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9780FA1A-9AD9-4C3D-8BED-D397F805E834}" xr6:coauthVersionLast="31" xr6:coauthVersionMax="31" xr10:uidLastSave="{00000000-0000-0000-0000-000000000000}"/>
  <bookViews>
    <workbookView xWindow="0" yWindow="0" windowWidth="19200" windowHeight="8250" tabRatio="875" xr2:uid="{00000000-000D-0000-FFFF-FFFF00000000}"/>
  </bookViews>
  <sheets>
    <sheet name=" Table 1 (Respondent Summary)" sheetId="107" r:id="rId1"/>
    <sheet name="Table 2 (Agency)" sheetId="104" r:id="rId2"/>
    <sheet name="Base Data" sheetId="49" r:id="rId3"/>
    <sheet name="LrgSolid" sheetId="10" r:id="rId4"/>
    <sheet name="LrgLiquid" sheetId="95" r:id="rId5"/>
    <sheet name="SmlSolid" sheetId="51" r:id="rId6"/>
    <sheet name="SmlLiquid" sheetId="90" r:id="rId7"/>
    <sheet name="Respondents&amp;Responses" sheetId="109" r:id="rId8"/>
    <sheet name="Capital vs. O&amp;M" sheetId="108" r:id="rId9"/>
  </sheets>
  <externalReferences>
    <externalReference r:id="rId10"/>
  </externalReferences>
  <definedNames>
    <definedName name="cler">[1]basis!$C$26</definedName>
    <definedName name="comptime" localSheetId="1">'Table 2 (Agency)'!#REF!</definedName>
    <definedName name="excd">[1]basis!$C$19</definedName>
    <definedName name="lit">[1]basis!$C$13</definedName>
    <definedName name="mang">[1]basis!$C$25</definedName>
    <definedName name="new_respondents">[1]basis!$C$17</definedName>
    <definedName name="noexcd">[1]basis!$C$20</definedName>
    <definedName name="_xlnm.Print_Area" localSheetId="4">LrgLiquid!$A$1:$O$59</definedName>
    <definedName name="_xlnm.Print_Area" localSheetId="5">SmlSolid!$A$1:$M$36</definedName>
    <definedName name="_xlnm.Print_Area" localSheetId="1">'Table 2 (Agency)'!$A$1:$H$33</definedName>
    <definedName name="_xlnm.Print_Titles" localSheetId="4">LrgLiquid!$1:$3</definedName>
    <definedName name="_xlnm.Print_Titles" localSheetId="3">LrgSolid!$1:$2</definedName>
    <definedName name="_xlnm.Print_Titles" localSheetId="6">SmlLiquid!$1:$4</definedName>
    <definedName name="_xlnm.Print_Titles" localSheetId="5">SmlSolid!$1:$4</definedName>
    <definedName name="read1">#REF!</definedName>
    <definedName name="respondents" localSheetId="1">'Table 2 (Agency)'!#REF!</definedName>
    <definedName name="retest" localSheetId="1">'Table 2 (Agency)'!$J$13</definedName>
    <definedName name="sperfac" localSheetId="1">'Table 2 (Agency)'!$J$12</definedName>
    <definedName name="ssmalf">[1]basis!$C$21</definedName>
    <definedName name="tech">[1]basis!$C$24</definedName>
  </definedNames>
  <calcPr calcId="179017"/>
</workbook>
</file>

<file path=xl/calcChain.xml><?xml version="1.0" encoding="utf-8"?>
<calcChain xmlns="http://schemas.openxmlformats.org/spreadsheetml/2006/main">
  <c r="F9" i="90" l="1"/>
  <c r="F9" i="51"/>
  <c r="H9" i="95"/>
  <c r="G9" i="10"/>
  <c r="O58" i="10" l="1"/>
  <c r="K19" i="49" l="1"/>
  <c r="L19" i="49" s="1"/>
  <c r="L20" i="49" s="1"/>
  <c r="L21" i="49" s="1"/>
  <c r="D15" i="49"/>
  <c r="K15" i="49" s="1"/>
  <c r="D14" i="49"/>
  <c r="D13" i="49"/>
  <c r="D12" i="49"/>
  <c r="D11" i="49"/>
  <c r="D10" i="49"/>
  <c r="D9" i="49"/>
  <c r="D8" i="49"/>
  <c r="D7" i="49"/>
  <c r="M19" i="49"/>
  <c r="N19" i="49"/>
  <c r="N20" i="49" s="1"/>
  <c r="N21" i="49" s="1"/>
  <c r="H17" i="10" l="1"/>
  <c r="H29" i="10"/>
  <c r="K11" i="49"/>
  <c r="H37" i="10"/>
  <c r="D16" i="49"/>
  <c r="E17" i="49" s="1"/>
  <c r="N12" i="95"/>
  <c r="G8" i="10"/>
  <c r="C34" i="109" l="1"/>
  <c r="C35" i="109"/>
  <c r="C33" i="109"/>
  <c r="C32" i="109"/>
  <c r="O30" i="95"/>
  <c r="H30" i="95"/>
  <c r="J30" i="95" s="1"/>
  <c r="L30" i="95" s="1"/>
  <c r="C39" i="109"/>
  <c r="C40" i="109"/>
  <c r="C41" i="109"/>
  <c r="C38" i="109"/>
  <c r="C45" i="109"/>
  <c r="C46" i="109"/>
  <c r="C44" i="109"/>
  <c r="C50" i="109"/>
  <c r="C51" i="109"/>
  <c r="C49" i="109"/>
  <c r="E24" i="109"/>
  <c r="D24" i="109"/>
  <c r="E19" i="109"/>
  <c r="D19" i="109"/>
  <c r="E14" i="109"/>
  <c r="D14" i="109"/>
  <c r="D9" i="109"/>
  <c r="E9" i="109"/>
  <c r="B10" i="108"/>
  <c r="B8" i="108"/>
  <c r="B6" i="108"/>
  <c r="E7" i="108"/>
  <c r="E9" i="108"/>
  <c r="E11" i="108"/>
  <c r="E12" i="108"/>
  <c r="B12" i="108"/>
  <c r="E13" i="108"/>
  <c r="B13" i="108"/>
  <c r="E14" i="108"/>
  <c r="E18" i="108"/>
  <c r="B17" i="108"/>
  <c r="E21" i="108"/>
  <c r="B20" i="108"/>
  <c r="E20" i="108"/>
  <c r="E19" i="108"/>
  <c r="B19" i="108"/>
  <c r="E27" i="108"/>
  <c r="E24" i="108"/>
  <c r="G17" i="104"/>
  <c r="L28" i="51"/>
  <c r="M28" i="90"/>
  <c r="L28" i="90"/>
  <c r="C20" i="104"/>
  <c r="D20" i="104" s="1"/>
  <c r="I14" i="95"/>
  <c r="H44" i="95"/>
  <c r="H43" i="95"/>
  <c r="H42" i="95"/>
  <c r="H41" i="95"/>
  <c r="H40" i="95"/>
  <c r="H39" i="95"/>
  <c r="N54" i="10"/>
  <c r="M54" i="10"/>
  <c r="G51" i="10"/>
  <c r="H23" i="95"/>
  <c r="H24" i="95"/>
  <c r="I22" i="95"/>
  <c r="I23" i="95" s="1"/>
  <c r="N23" i="95" s="1"/>
  <c r="N13" i="95"/>
  <c r="O48" i="95"/>
  <c r="N48" i="95"/>
  <c r="H32" i="95"/>
  <c r="M12" i="10"/>
  <c r="H12" i="95"/>
  <c r="J12" i="95" s="1"/>
  <c r="H13" i="95"/>
  <c r="J13" i="95" s="1"/>
  <c r="D25" i="109" l="1"/>
  <c r="E25" i="109"/>
  <c r="K30" i="95"/>
  <c r="M30" i="95" s="1"/>
  <c r="F20" i="108"/>
  <c r="G20" i="108" s="1"/>
  <c r="C17" i="108"/>
  <c r="F17" i="108" s="1"/>
  <c r="G17" i="108" s="1"/>
  <c r="C20" i="108"/>
  <c r="D20" i="108" s="1"/>
  <c r="K13" i="95"/>
  <c r="L13" i="95"/>
  <c r="L12" i="95"/>
  <c r="K12" i="95"/>
  <c r="J23" i="95"/>
  <c r="K23" i="95" s="1"/>
  <c r="N22" i="95"/>
  <c r="N14" i="95"/>
  <c r="M12" i="95" l="1"/>
  <c r="M13" i="95"/>
  <c r="D17" i="108"/>
  <c r="L23" i="95"/>
  <c r="M23" i="95" s="1"/>
  <c r="G50" i="10" l="1"/>
  <c r="G49" i="10"/>
  <c r="G48" i="10"/>
  <c r="G47" i="10"/>
  <c r="G46" i="10"/>
  <c r="G45" i="10"/>
  <c r="G38" i="10" l="1"/>
  <c r="G37" i="10"/>
  <c r="G36" i="10"/>
  <c r="I36" i="10" s="1"/>
  <c r="J36" i="10" s="1"/>
  <c r="G35" i="10"/>
  <c r="G34" i="10"/>
  <c r="N36" i="10"/>
  <c r="K36" i="10" l="1"/>
  <c r="L36" i="10" s="1"/>
  <c r="M20" i="10" l="1"/>
  <c r="M21" i="10"/>
  <c r="M13" i="10" l="1"/>
  <c r="J34" i="49"/>
  <c r="J33" i="49"/>
  <c r="G26" i="10"/>
  <c r="G25" i="10"/>
  <c r="G17" i="10"/>
  <c r="G18" i="10"/>
  <c r="G19" i="10"/>
  <c r="G33" i="49"/>
  <c r="G32" i="49"/>
  <c r="J35" i="49"/>
  <c r="J36" i="49"/>
  <c r="J37" i="49"/>
  <c r="J38" i="49"/>
  <c r="L34" i="49" s="1"/>
  <c r="M34" i="49" s="1"/>
  <c r="J39" i="49"/>
  <c r="J40" i="49"/>
  <c r="J32" i="49"/>
  <c r="I15" i="95" l="1"/>
  <c r="I20" i="95"/>
  <c r="G8" i="90"/>
  <c r="G16" i="90" s="1"/>
  <c r="B21" i="109"/>
  <c r="H14" i="10"/>
  <c r="L33" i="49"/>
  <c r="M33" i="49" s="1"/>
  <c r="H28" i="10"/>
  <c r="M28" i="10" s="1"/>
  <c r="H15" i="10"/>
  <c r="C8" i="108" s="1"/>
  <c r="N15" i="95"/>
  <c r="G16" i="10"/>
  <c r="K12" i="49"/>
  <c r="G35" i="49"/>
  <c r="G34" i="49"/>
  <c r="G14" i="10"/>
  <c r="G13" i="10"/>
  <c r="I13" i="10" s="1"/>
  <c r="K13" i="10" s="1"/>
  <c r="G12" i="10"/>
  <c r="I12" i="10" s="1"/>
  <c r="K13" i="49"/>
  <c r="N9" i="49" s="1"/>
  <c r="K10" i="49"/>
  <c r="K9" i="49"/>
  <c r="F30" i="10"/>
  <c r="I31" i="95" l="1"/>
  <c r="B40" i="109" s="1"/>
  <c r="E40" i="109" s="1"/>
  <c r="F18" i="108"/>
  <c r="C6" i="108"/>
  <c r="G15" i="90"/>
  <c r="B49" i="109" s="1"/>
  <c r="E49" i="109" s="1"/>
  <c r="G11" i="90"/>
  <c r="C21" i="109"/>
  <c r="H23" i="10"/>
  <c r="M23" i="10" s="1"/>
  <c r="B6" i="109"/>
  <c r="B23" i="109"/>
  <c r="B24" i="109" s="1"/>
  <c r="F21" i="109"/>
  <c r="B22" i="109"/>
  <c r="M15" i="10"/>
  <c r="B50" i="109"/>
  <c r="E50" i="109" s="1"/>
  <c r="M14" i="10"/>
  <c r="I14" i="10"/>
  <c r="J14" i="10" s="1"/>
  <c r="G7" i="49"/>
  <c r="I24" i="95"/>
  <c r="F21" i="108" s="1"/>
  <c r="H8" i="10"/>
  <c r="I8" i="10" s="1"/>
  <c r="G36" i="49"/>
  <c r="G37" i="49" s="1"/>
  <c r="C13" i="108"/>
  <c r="D13" i="108" s="1"/>
  <c r="K8" i="49"/>
  <c r="H30" i="10" s="1"/>
  <c r="I37" i="10"/>
  <c r="M15" i="90"/>
  <c r="D18" i="108"/>
  <c r="G18" i="108"/>
  <c r="O31" i="95"/>
  <c r="F19" i="108"/>
  <c r="G19" i="108" s="1"/>
  <c r="N20" i="95"/>
  <c r="K14" i="49"/>
  <c r="N10" i="49" s="1"/>
  <c r="C11" i="109" s="1"/>
  <c r="F6" i="108"/>
  <c r="G6" i="108" s="1"/>
  <c r="D6" i="108"/>
  <c r="F8" i="108"/>
  <c r="G8" i="108" s="1"/>
  <c r="D8" i="108"/>
  <c r="G30" i="10"/>
  <c r="J13" i="10"/>
  <c r="L13" i="10" s="1"/>
  <c r="J12" i="10"/>
  <c r="K12" i="10"/>
  <c r="G10" i="49"/>
  <c r="G9" i="49"/>
  <c r="G8" i="49"/>
  <c r="K7" i="49"/>
  <c r="L11" i="90" l="1"/>
  <c r="L18" i="90" s="1"/>
  <c r="F27" i="108"/>
  <c r="I43" i="95"/>
  <c r="J43" i="95" s="1"/>
  <c r="I32" i="95"/>
  <c r="N7" i="49"/>
  <c r="K16" i="49"/>
  <c r="G25" i="90"/>
  <c r="G27" i="108"/>
  <c r="G24" i="90"/>
  <c r="G17" i="90"/>
  <c r="B51" i="109" s="1"/>
  <c r="E51" i="109" s="1"/>
  <c r="E52" i="109" s="1"/>
  <c r="C7" i="107" s="1"/>
  <c r="C22" i="109"/>
  <c r="G9" i="90" s="1"/>
  <c r="H9" i="90" s="1"/>
  <c r="B7" i="109"/>
  <c r="B8" i="109" s="1"/>
  <c r="N37" i="10"/>
  <c r="H49" i="10"/>
  <c r="B34" i="109"/>
  <c r="E34" i="109" s="1"/>
  <c r="G21" i="108"/>
  <c r="G22" i="108" s="1"/>
  <c r="C18" i="104"/>
  <c r="D18" i="104" s="1"/>
  <c r="K14" i="10"/>
  <c r="L14" i="10" s="1"/>
  <c r="I45" i="95"/>
  <c r="I40" i="95"/>
  <c r="J40" i="95" s="1"/>
  <c r="L40" i="95" s="1"/>
  <c r="M8" i="10"/>
  <c r="H35" i="10"/>
  <c r="B33" i="109" s="1"/>
  <c r="E33" i="109" s="1"/>
  <c r="H34" i="10"/>
  <c r="I42" i="95"/>
  <c r="J42" i="95" s="1"/>
  <c r="L42" i="95" s="1"/>
  <c r="I44" i="95"/>
  <c r="J44" i="95" s="1"/>
  <c r="K44" i="95" s="1"/>
  <c r="I41" i="95"/>
  <c r="J41" i="95" s="1"/>
  <c r="L41" i="95" s="1"/>
  <c r="N24" i="95"/>
  <c r="I39" i="95"/>
  <c r="J39" i="95" s="1"/>
  <c r="J24" i="95"/>
  <c r="K24" i="95" s="1"/>
  <c r="G11" i="49"/>
  <c r="F7" i="108"/>
  <c r="M17" i="10"/>
  <c r="H18" i="10"/>
  <c r="I17" i="10"/>
  <c r="K43" i="95"/>
  <c r="L43" i="95"/>
  <c r="N8" i="49"/>
  <c r="L12" i="10"/>
  <c r="J37" i="10"/>
  <c r="K37" i="10"/>
  <c r="I9" i="90" l="1"/>
  <c r="J9" i="90"/>
  <c r="I30" i="10"/>
  <c r="J30" i="10" s="1"/>
  <c r="M30" i="10"/>
  <c r="I49" i="10"/>
  <c r="K49" i="10" s="1"/>
  <c r="C16" i="109"/>
  <c r="N11" i="49"/>
  <c r="F22" i="109"/>
  <c r="C23" i="109" s="1"/>
  <c r="I22" i="109"/>
  <c r="O33" i="90" s="1"/>
  <c r="H22" i="109"/>
  <c r="N33" i="90" s="1"/>
  <c r="D27" i="108"/>
  <c r="D28" i="108" s="1"/>
  <c r="M17" i="90"/>
  <c r="B9" i="109"/>
  <c r="C6" i="109"/>
  <c r="F6" i="109" s="1"/>
  <c r="C7" i="109" s="1"/>
  <c r="H9" i="10" s="1"/>
  <c r="K39" i="95"/>
  <c r="D21" i="108"/>
  <c r="I34" i="10"/>
  <c r="B32" i="109"/>
  <c r="E32" i="109" s="1"/>
  <c r="O32" i="95"/>
  <c r="B41" i="109"/>
  <c r="E41" i="109" s="1"/>
  <c r="L44" i="95"/>
  <c r="M44" i="95" s="1"/>
  <c r="N34" i="10"/>
  <c r="L24" i="95"/>
  <c r="M24" i="95" s="1"/>
  <c r="K41" i="95"/>
  <c r="M41" i="95" s="1"/>
  <c r="J32" i="95"/>
  <c r="K32" i="95" s="1"/>
  <c r="K40" i="95"/>
  <c r="M40" i="95" s="1"/>
  <c r="K42" i="95"/>
  <c r="M42" i="95" s="1"/>
  <c r="L39" i="95"/>
  <c r="M39" i="95" s="1"/>
  <c r="M43" i="95"/>
  <c r="I35" i="10"/>
  <c r="N35" i="10"/>
  <c r="D7" i="108"/>
  <c r="G7" i="108"/>
  <c r="G28" i="108"/>
  <c r="F9" i="108"/>
  <c r="M18" i="10"/>
  <c r="I18" i="10"/>
  <c r="H51" i="10"/>
  <c r="I51" i="10" s="1"/>
  <c r="F14" i="108"/>
  <c r="G14" i="108" s="1"/>
  <c r="H38" i="10"/>
  <c r="B35" i="109" s="1"/>
  <c r="E35" i="109" s="1"/>
  <c r="J17" i="10"/>
  <c r="K17" i="10"/>
  <c r="F13" i="108"/>
  <c r="G13" i="108" s="1"/>
  <c r="M29" i="10"/>
  <c r="L37" i="10"/>
  <c r="K8" i="10"/>
  <c r="J8" i="10"/>
  <c r="F23" i="109" l="1"/>
  <c r="C24" i="109"/>
  <c r="M9" i="10"/>
  <c r="I9" i="10"/>
  <c r="K9" i="90"/>
  <c r="K30" i="10"/>
  <c r="J49" i="10"/>
  <c r="L49" i="10" s="1"/>
  <c r="F7" i="109"/>
  <c r="K7" i="109" s="1"/>
  <c r="I7" i="109"/>
  <c r="P59" i="10" s="1"/>
  <c r="H7" i="109"/>
  <c r="O59" i="10" s="1"/>
  <c r="K22" i="109"/>
  <c r="Q33" i="90" s="1"/>
  <c r="J22" i="109"/>
  <c r="P33" i="90" s="1"/>
  <c r="F24" i="109"/>
  <c r="B7" i="107" s="1"/>
  <c r="H7" i="107"/>
  <c r="K34" i="10"/>
  <c r="J34" i="10"/>
  <c r="E36" i="109"/>
  <c r="L32" i="95"/>
  <c r="M32" i="95" s="1"/>
  <c r="L30" i="10"/>
  <c r="L17" i="10"/>
  <c r="J35" i="10"/>
  <c r="K35" i="10"/>
  <c r="J51" i="10"/>
  <c r="K51" i="10"/>
  <c r="D14" i="108"/>
  <c r="G9" i="108"/>
  <c r="D9" i="108"/>
  <c r="I38" i="10"/>
  <c r="N38" i="10"/>
  <c r="N39" i="10" s="1"/>
  <c r="K18" i="10"/>
  <c r="J18" i="10"/>
  <c r="L8" i="10"/>
  <c r="K9" i="10" l="1"/>
  <c r="J9" i="10"/>
  <c r="L9" i="10"/>
  <c r="C4" i="107"/>
  <c r="C8" i="109"/>
  <c r="R59" i="10"/>
  <c r="J7" i="109"/>
  <c r="Q59" i="10" s="1"/>
  <c r="L34" i="10"/>
  <c r="L35" i="10"/>
  <c r="L18" i="10"/>
  <c r="L51" i="10"/>
  <c r="K38" i="10"/>
  <c r="J38" i="10"/>
  <c r="N57" i="10"/>
  <c r="C9" i="109" l="1"/>
  <c r="F8" i="109"/>
  <c r="F9" i="109" s="1"/>
  <c r="B4" i="107" s="1"/>
  <c r="L38" i="10"/>
  <c r="F8" i="90" l="1"/>
  <c r="H8" i="90" s="1"/>
  <c r="H29" i="95"/>
  <c r="J8" i="90" l="1"/>
  <c r="I8" i="90"/>
  <c r="F25" i="51"/>
  <c r="F24" i="51"/>
  <c r="F17" i="51"/>
  <c r="F16" i="51"/>
  <c r="F15" i="51"/>
  <c r="F11" i="51"/>
  <c r="F8" i="51"/>
  <c r="L32" i="49"/>
  <c r="G11" i="51" s="1"/>
  <c r="F24" i="108" s="1"/>
  <c r="L35" i="49"/>
  <c r="M35" i="49" s="1"/>
  <c r="I8" i="95" l="1"/>
  <c r="I28" i="95" s="1"/>
  <c r="B11" i="109"/>
  <c r="K8" i="90"/>
  <c r="N8" i="95"/>
  <c r="I17" i="95"/>
  <c r="I29" i="95"/>
  <c r="B39" i="109" s="1"/>
  <c r="E39" i="109" s="1"/>
  <c r="I19" i="95"/>
  <c r="L11" i="51"/>
  <c r="L18" i="51" s="1"/>
  <c r="L30" i="51" s="1"/>
  <c r="G24" i="51"/>
  <c r="H24" i="51" s="1"/>
  <c r="H11" i="51"/>
  <c r="G17" i="51"/>
  <c r="B46" i="109" s="1"/>
  <c r="E46" i="109" s="1"/>
  <c r="G25" i="51"/>
  <c r="H25" i="51" s="1"/>
  <c r="M28" i="51"/>
  <c r="L36" i="49"/>
  <c r="J41" i="49"/>
  <c r="B13" i="109" l="1"/>
  <c r="B12" i="109"/>
  <c r="B14" i="109" s="1"/>
  <c r="F11" i="109"/>
  <c r="B38" i="109"/>
  <c r="E38" i="109" s="1"/>
  <c r="E42" i="109" s="1"/>
  <c r="I24" i="51"/>
  <c r="J24" i="51"/>
  <c r="O28" i="95"/>
  <c r="J11" i="51"/>
  <c r="I11" i="51"/>
  <c r="H17" i="51"/>
  <c r="C19" i="104"/>
  <c r="D19" i="104" s="1"/>
  <c r="M17" i="51"/>
  <c r="O29" i="95"/>
  <c r="J29" i="95"/>
  <c r="I25" i="51"/>
  <c r="J25" i="51"/>
  <c r="G24" i="108"/>
  <c r="D24" i="108"/>
  <c r="D25" i="108" s="1"/>
  <c r="C19" i="108"/>
  <c r="D19" i="108" s="1"/>
  <c r="D22" i="108" s="1"/>
  <c r="H5" i="107" s="1"/>
  <c r="N19" i="95"/>
  <c r="C5" i="107" l="1"/>
  <c r="C12" i="109"/>
  <c r="I9" i="95" s="1"/>
  <c r="H28" i="51"/>
  <c r="E6" i="107" s="1"/>
  <c r="K24" i="51"/>
  <c r="K11" i="51"/>
  <c r="K25" i="51"/>
  <c r="I17" i="51"/>
  <c r="J17" i="51"/>
  <c r="K29" i="95"/>
  <c r="L29" i="95"/>
  <c r="G25" i="108"/>
  <c r="N9" i="95" l="1"/>
  <c r="N33" i="95" s="1"/>
  <c r="N50" i="95" s="1"/>
  <c r="J9" i="95"/>
  <c r="F12" i="109"/>
  <c r="K12" i="109" s="1"/>
  <c r="U53" i="95" s="1"/>
  <c r="J12" i="109"/>
  <c r="T53" i="95" s="1"/>
  <c r="I12" i="109"/>
  <c r="S53" i="95" s="1"/>
  <c r="H12" i="109"/>
  <c r="R53" i="95" s="1"/>
  <c r="H6" i="107"/>
  <c r="M29" i="95"/>
  <c r="K28" i="51"/>
  <c r="K17" i="51"/>
  <c r="G46" i="49"/>
  <c r="E34" i="49"/>
  <c r="E20" i="104"/>
  <c r="D5" i="104"/>
  <c r="E5" i="104" s="1"/>
  <c r="G15" i="10"/>
  <c r="I15" i="10" s="1"/>
  <c r="G20" i="10"/>
  <c r="I20" i="10" s="1"/>
  <c r="G21" i="10"/>
  <c r="I21" i="10" s="1"/>
  <c r="G23" i="10"/>
  <c r="I23" i="10" s="1"/>
  <c r="G28" i="10"/>
  <c r="I28" i="10" s="1"/>
  <c r="G29" i="10"/>
  <c r="I29" i="10" s="1"/>
  <c r="F11" i="90"/>
  <c r="H11" i="90" s="1"/>
  <c r="F17" i="90"/>
  <c r="H17" i="90" s="1"/>
  <c r="H8" i="95"/>
  <c r="J8" i="95" s="1"/>
  <c r="H14" i="95"/>
  <c r="J14" i="95" s="1"/>
  <c r="H28" i="95"/>
  <c r="J28" i="95" s="1"/>
  <c r="H31" i="95"/>
  <c r="J31" i="95" s="1"/>
  <c r="H15" i="95"/>
  <c r="J15" i="95" s="1"/>
  <c r="H17" i="95"/>
  <c r="J17" i="95" s="1"/>
  <c r="H22" i="95"/>
  <c r="J22" i="95" s="1"/>
  <c r="H45" i="95"/>
  <c r="J45" i="95" s="1"/>
  <c r="H19" i="95"/>
  <c r="J19" i="95" s="1"/>
  <c r="H20" i="95"/>
  <c r="J20" i="95" s="1"/>
  <c r="F25" i="90"/>
  <c r="H25" i="90" s="1"/>
  <c r="F24" i="90"/>
  <c r="H24" i="90" s="1"/>
  <c r="M16" i="90"/>
  <c r="F15" i="90"/>
  <c r="H15" i="90" s="1"/>
  <c r="F16" i="90"/>
  <c r="H16" i="90" s="1"/>
  <c r="Q33" i="95"/>
  <c r="D41" i="49"/>
  <c r="P33" i="95"/>
  <c r="C13" i="109" l="1"/>
  <c r="H16" i="10"/>
  <c r="H45" i="10"/>
  <c r="H47" i="10" s="1"/>
  <c r="K9" i="95"/>
  <c r="M9" i="95" s="1"/>
  <c r="L9" i="95"/>
  <c r="I16" i="90"/>
  <c r="J16" i="90"/>
  <c r="I11" i="90"/>
  <c r="H18" i="90" s="1"/>
  <c r="J11" i="90"/>
  <c r="J15" i="90"/>
  <c r="I15" i="90"/>
  <c r="J25" i="90"/>
  <c r="I25" i="90"/>
  <c r="J24" i="90"/>
  <c r="I24" i="90"/>
  <c r="I17" i="90"/>
  <c r="J17" i="90"/>
  <c r="L45" i="95"/>
  <c r="K45" i="95"/>
  <c r="K31" i="95"/>
  <c r="L31" i="95"/>
  <c r="E41" i="49"/>
  <c r="H25" i="10"/>
  <c r="L30" i="90"/>
  <c r="L8" i="95"/>
  <c r="K8" i="95"/>
  <c r="L19" i="95"/>
  <c r="K19" i="95"/>
  <c r="K17" i="95"/>
  <c r="L17" i="95"/>
  <c r="K28" i="95"/>
  <c r="L28" i="95"/>
  <c r="L15" i="95"/>
  <c r="K15" i="95"/>
  <c r="K14" i="95"/>
  <c r="L14" i="95"/>
  <c r="K20" i="95"/>
  <c r="L20" i="95"/>
  <c r="L22" i="95"/>
  <c r="K22" i="95"/>
  <c r="J29" i="10"/>
  <c r="K29" i="10"/>
  <c r="K28" i="10"/>
  <c r="J28" i="10"/>
  <c r="K23" i="10"/>
  <c r="J23" i="10"/>
  <c r="K20" i="10"/>
  <c r="J20" i="10"/>
  <c r="J21" i="10"/>
  <c r="K21" i="10"/>
  <c r="K15" i="10"/>
  <c r="J15" i="10"/>
  <c r="M36" i="49"/>
  <c r="M32" i="49"/>
  <c r="L17" i="49"/>
  <c r="O33" i="95"/>
  <c r="G5" i="104"/>
  <c r="F5" i="104"/>
  <c r="G20" i="104"/>
  <c r="F20" i="104"/>
  <c r="H19" i="10" l="1"/>
  <c r="H26" i="10"/>
  <c r="F12" i="108" s="1"/>
  <c r="C8" i="104"/>
  <c r="C10" i="104"/>
  <c r="F13" i="109"/>
  <c r="F14" i="109" s="1"/>
  <c r="B5" i="107" s="1"/>
  <c r="C14" i="109"/>
  <c r="J33" i="95"/>
  <c r="D5" i="107" s="1"/>
  <c r="G8" i="51"/>
  <c r="B16" i="109"/>
  <c r="J48" i="95"/>
  <c r="E5" i="107" s="1"/>
  <c r="K16" i="90"/>
  <c r="H28" i="90"/>
  <c r="E7" i="107" s="1"/>
  <c r="M45" i="95"/>
  <c r="M31" i="95"/>
  <c r="C10" i="108"/>
  <c r="M16" i="10"/>
  <c r="I16" i="10"/>
  <c r="M25" i="10"/>
  <c r="C12" i="108"/>
  <c r="D12" i="108" s="1"/>
  <c r="I25" i="10"/>
  <c r="G16" i="51"/>
  <c r="B45" i="109" s="1"/>
  <c r="E45" i="109" s="1"/>
  <c r="H8" i="51"/>
  <c r="G15" i="51"/>
  <c r="H50" i="10"/>
  <c r="I50" i="10" s="1"/>
  <c r="C11" i="104"/>
  <c r="D11" i="104" s="1"/>
  <c r="E11" i="104" s="1"/>
  <c r="H46" i="10"/>
  <c r="I46" i="10" s="1"/>
  <c r="I47" i="10"/>
  <c r="H48" i="10"/>
  <c r="I48" i="10" s="1"/>
  <c r="I45" i="10"/>
  <c r="M14" i="95"/>
  <c r="M20" i="95"/>
  <c r="M22" i="95"/>
  <c r="M17" i="95"/>
  <c r="E18" i="104"/>
  <c r="H5" i="104"/>
  <c r="K17" i="90"/>
  <c r="O51" i="95"/>
  <c r="M28" i="95"/>
  <c r="M8" i="95"/>
  <c r="M19" i="95"/>
  <c r="M15" i="95"/>
  <c r="L29" i="10"/>
  <c r="L21" i="10"/>
  <c r="L28" i="10"/>
  <c r="L20" i="10"/>
  <c r="L23" i="10"/>
  <c r="L15" i="10"/>
  <c r="M18" i="90"/>
  <c r="K24" i="90"/>
  <c r="K11" i="90"/>
  <c r="K25" i="90"/>
  <c r="H20" i="104"/>
  <c r="C15" i="104" l="1"/>
  <c r="C12" i="104"/>
  <c r="K28" i="90"/>
  <c r="D7" i="107"/>
  <c r="H31" i="90"/>
  <c r="F7" i="107" s="1"/>
  <c r="B18" i="109"/>
  <c r="F16" i="109"/>
  <c r="C17" i="109" s="1"/>
  <c r="G9" i="51" s="1"/>
  <c r="H9" i="51" s="1"/>
  <c r="B17" i="109"/>
  <c r="B44" i="109"/>
  <c r="E44" i="109" s="1"/>
  <c r="E47" i="109" s="1"/>
  <c r="C6" i="104"/>
  <c r="D6" i="104" s="1"/>
  <c r="E6" i="104" s="1"/>
  <c r="K48" i="10"/>
  <c r="J48" i="10"/>
  <c r="J50" i="10"/>
  <c r="K50" i="10"/>
  <c r="H16" i="51"/>
  <c r="M16" i="51"/>
  <c r="C16" i="104"/>
  <c r="D16" i="104" s="1"/>
  <c r="E16" i="104" s="1"/>
  <c r="F10" i="108"/>
  <c r="G10" i="108" s="1"/>
  <c r="D10" i="108"/>
  <c r="J45" i="10"/>
  <c r="K45" i="10"/>
  <c r="I8" i="51"/>
  <c r="J8" i="51"/>
  <c r="F11" i="108"/>
  <c r="I19" i="10"/>
  <c r="M19" i="10"/>
  <c r="J46" i="10"/>
  <c r="K46" i="10"/>
  <c r="M15" i="51"/>
  <c r="H15" i="51"/>
  <c r="D12" i="104"/>
  <c r="E12" i="104" s="1"/>
  <c r="D10" i="104"/>
  <c r="E10" i="104" s="1"/>
  <c r="F10" i="104" s="1"/>
  <c r="D15" i="104"/>
  <c r="E15" i="104" s="1"/>
  <c r="G15" i="104" s="1"/>
  <c r="C9" i="104"/>
  <c r="D9" i="104" s="1"/>
  <c r="E9" i="104" s="1"/>
  <c r="F9" i="104" s="1"/>
  <c r="D8" i="104"/>
  <c r="E8" i="104" s="1"/>
  <c r="J16" i="10"/>
  <c r="K16" i="10"/>
  <c r="K47" i="10"/>
  <c r="J47" i="10"/>
  <c r="J25" i="10"/>
  <c r="K25" i="10"/>
  <c r="M31" i="90"/>
  <c r="G11" i="104"/>
  <c r="F11" i="104"/>
  <c r="G18" i="104"/>
  <c r="F18" i="104"/>
  <c r="J51" i="95"/>
  <c r="F5" i="107" s="1"/>
  <c r="E19" i="104"/>
  <c r="J9" i="51" l="1"/>
  <c r="I9" i="51"/>
  <c r="K9" i="51" s="1"/>
  <c r="C6" i="107"/>
  <c r="C8" i="107" s="1"/>
  <c r="E53" i="109"/>
  <c r="I54" i="10"/>
  <c r="I17" i="109"/>
  <c r="O33" i="51" s="1"/>
  <c r="H17" i="109"/>
  <c r="N33" i="51" s="1"/>
  <c r="L16" i="10"/>
  <c r="B19" i="109"/>
  <c r="B25" i="109" s="1"/>
  <c r="F17" i="109"/>
  <c r="C11" i="107"/>
  <c r="C12" i="107"/>
  <c r="G6" i="104"/>
  <c r="G9" i="104"/>
  <c r="H9" i="104" s="1"/>
  <c r="L47" i="10"/>
  <c r="M18" i="51"/>
  <c r="G10" i="104"/>
  <c r="H10" i="104" s="1"/>
  <c r="L50" i="10"/>
  <c r="L46" i="10"/>
  <c r="F15" i="104"/>
  <c r="H15" i="104" s="1"/>
  <c r="H21" i="104"/>
  <c r="L48" i="10"/>
  <c r="K8" i="51"/>
  <c r="D11" i="108"/>
  <c r="D15" i="108" s="1"/>
  <c r="D29" i="108" s="1"/>
  <c r="G11" i="108"/>
  <c r="G12" i="104"/>
  <c r="F12" i="104"/>
  <c r="L45" i="10"/>
  <c r="G12" i="108"/>
  <c r="I26" i="10"/>
  <c r="M26" i="10"/>
  <c r="M39" i="10" s="1"/>
  <c r="M56" i="10" s="1"/>
  <c r="I15" i="51"/>
  <c r="J15" i="51"/>
  <c r="J16" i="51"/>
  <c r="I16" i="51"/>
  <c r="C14" i="104"/>
  <c r="D14" i="104" s="1"/>
  <c r="E14" i="104" s="1"/>
  <c r="J19" i="10"/>
  <c r="K19" i="10"/>
  <c r="H11" i="104"/>
  <c r="L25" i="10"/>
  <c r="H18" i="104"/>
  <c r="G8" i="104"/>
  <c r="F8" i="104"/>
  <c r="G16" i="104"/>
  <c r="F16" i="104"/>
  <c r="G19" i="104"/>
  <c r="F19" i="104"/>
  <c r="M48" i="95"/>
  <c r="K15" i="90"/>
  <c r="K18" i="90" s="1"/>
  <c r="H18" i="51" l="1"/>
  <c r="K31" i="90"/>
  <c r="K29" i="90"/>
  <c r="G7" i="107" s="1"/>
  <c r="I7" i="107" s="1"/>
  <c r="H8" i="104"/>
  <c r="C18" i="109"/>
  <c r="C19" i="109" s="1"/>
  <c r="C25" i="109" s="1"/>
  <c r="H25" i="109" s="1"/>
  <c r="K17" i="109"/>
  <c r="Q33" i="51" s="1"/>
  <c r="J17" i="109"/>
  <c r="P33" i="51" s="1"/>
  <c r="E4" i="107"/>
  <c r="E8" i="107" s="1"/>
  <c r="E11" i="107" s="1"/>
  <c r="H31" i="51"/>
  <c r="F6" i="107" s="1"/>
  <c r="G15" i="108"/>
  <c r="M31" i="51"/>
  <c r="L54" i="10"/>
  <c r="L19" i="10"/>
  <c r="K16" i="51"/>
  <c r="H12" i="104"/>
  <c r="K26" i="10"/>
  <c r="J26" i="10"/>
  <c r="F6" i="104"/>
  <c r="K15" i="51"/>
  <c r="H16" i="104"/>
  <c r="H19" i="104"/>
  <c r="F14" i="104"/>
  <c r="G14" i="104"/>
  <c r="M33" i="95"/>
  <c r="M51" i="95" s="1"/>
  <c r="I39" i="10" l="1"/>
  <c r="G29" i="108"/>
  <c r="H4" i="107"/>
  <c r="M49" i="95"/>
  <c r="G5" i="107" s="1"/>
  <c r="I5" i="107" s="1"/>
  <c r="H6" i="104"/>
  <c r="E22" i="104"/>
  <c r="E12" i="107"/>
  <c r="F18" i="109"/>
  <c r="F19" i="109" s="1"/>
  <c r="D6" i="107"/>
  <c r="H8" i="107"/>
  <c r="K18" i="51"/>
  <c r="L26" i="10"/>
  <c r="H14" i="104"/>
  <c r="H22" i="104" s="1"/>
  <c r="L39" i="10" l="1"/>
  <c r="L57" i="10" s="1"/>
  <c r="K31" i="51"/>
  <c r="K29" i="51"/>
  <c r="G6" i="107" s="1"/>
  <c r="I6" i="107" s="1"/>
  <c r="H9" i="107"/>
  <c r="H12" i="107"/>
  <c r="H11" i="107"/>
  <c r="I57" i="10"/>
  <c r="F4" i="107" s="1"/>
  <c r="F8" i="107" s="1"/>
  <c r="F25" i="109"/>
  <c r="B6" i="107"/>
  <c r="B8" i="107" s="1"/>
  <c r="D4" i="107"/>
  <c r="D8" i="107" s="1"/>
  <c r="D12" i="107" s="1"/>
  <c r="K9" i="107" l="1"/>
  <c r="F9" i="107"/>
  <c r="L55" i="10"/>
  <c r="G4" i="107" s="1"/>
  <c r="I4" i="107" s="1"/>
  <c r="I8" i="107" s="1"/>
  <c r="I9" i="107" s="1"/>
  <c r="F12" i="107"/>
  <c r="F11" i="107"/>
  <c r="B11" i="107"/>
  <c r="B12" i="107"/>
  <c r="D11" i="107"/>
  <c r="G8" i="107" l="1"/>
  <c r="G9" i="107" s="1"/>
  <c r="G11" i="107" l="1"/>
  <c r="I11" i="107" s="1"/>
  <c r="G12" i="107"/>
  <c r="I12" i="1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D6" authorId="0" shapeId="0" xr:uid="{00000000-0006-0000-0200-000001000000}">
      <text>
        <r>
          <rPr>
            <b/>
            <sz val="9"/>
            <color indexed="81"/>
            <rFont val="Tahoma"/>
            <family val="2"/>
          </rPr>
          <t>Tracy Curtis:</t>
        </r>
        <r>
          <rPr>
            <sz val="9"/>
            <color indexed="81"/>
            <rFont val="Tahoma"/>
            <family val="2"/>
          </rPr>
          <t xml:space="preserve">
Updated the base data unit totals to reflect growth from 3 year period of prior ICR.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 Curtis</author>
    <author>ERG, EV</author>
  </authors>
  <commentList>
    <comment ref="H17" authorId="0" shapeId="0" xr:uid="{00000000-0006-0000-0300-000001000000}">
      <text>
        <r>
          <rPr>
            <b/>
            <sz val="9"/>
            <color indexed="81"/>
            <rFont val="Tahoma"/>
            <charset val="1"/>
          </rPr>
          <t>Tracy Curtis:</t>
        </r>
        <r>
          <rPr>
            <sz val="9"/>
            <color indexed="81"/>
            <rFont val="Tahoma"/>
            <charset val="1"/>
          </rPr>
          <t xml:space="preserve">
includes 1/3 of existing coal boilers</t>
        </r>
      </text>
    </comment>
    <comment ref="H19" authorId="1" shapeId="0" xr:uid="{00000000-0006-0000-0300-000002000000}">
      <text>
        <r>
          <rPr>
            <b/>
            <sz val="9"/>
            <color indexed="81"/>
            <rFont val="Tahoma"/>
            <family val="2"/>
          </rPr>
          <t>ERG:</t>
        </r>
        <r>
          <rPr>
            <sz val="9"/>
            <color indexed="81"/>
            <rFont val="Tahoma"/>
            <family val="2"/>
          </rPr>
          <t xml:space="preserve">
=1.83 x 2 + 1/3*(5.5 x 2) (includes 2/3 new biomass facilities &gt;10 + 1/3 of all new biomass facilities &gt;10 from prior 2 ICRs assuming constant 5.5 growth rate</t>
        </r>
      </text>
    </comment>
    <comment ref="H26" authorId="0" shapeId="0" xr:uid="{00000000-0006-0000-0300-000003000000}">
      <text>
        <r>
          <rPr>
            <b/>
            <sz val="9"/>
            <color indexed="81"/>
            <rFont val="Tahoma"/>
            <family val="2"/>
          </rPr>
          <t>Tracy Curtis:</t>
        </r>
        <r>
          <rPr>
            <sz val="9"/>
            <color indexed="81"/>
            <rFont val="Tahoma"/>
            <family val="2"/>
          </rPr>
          <t xml:space="preserve">
1.83x2 + 11 facilities (5.5 x 2) from last two ICRs that will continue annual activities</t>
        </r>
      </text>
    </comment>
    <comment ref="H29" authorId="0" shapeId="0" xr:uid="{00000000-0006-0000-0300-000004000000}">
      <text>
        <r>
          <rPr>
            <b/>
            <sz val="9"/>
            <color indexed="81"/>
            <rFont val="Tahoma"/>
            <family val="2"/>
          </rPr>
          <t>Tracy Curtis:</t>
        </r>
        <r>
          <rPr>
            <sz val="9"/>
            <color indexed="81"/>
            <rFont val="Tahoma"/>
            <family val="2"/>
          </rPr>
          <t xml:space="preserve">
All facilities w/ existing coal units (no new units)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ERG, EV</author>
    <author>Tracy Curtis</author>
  </authors>
  <commentList>
    <comment ref="I15" authorId="0" shapeId="0" xr:uid="{00000000-0006-0000-0400-000001000000}">
      <text>
        <r>
          <rPr>
            <b/>
            <sz val="9"/>
            <color indexed="81"/>
            <rFont val="Tahoma"/>
            <family val="2"/>
          </rPr>
          <t>ERG:</t>
        </r>
        <r>
          <rPr>
            <sz val="9"/>
            <color indexed="81"/>
            <rFont val="Tahoma"/>
            <family val="2"/>
          </rPr>
          <t xml:space="preserve">
81.17 x 2 +  1/3*(243.5*2) (includes 2/3 of new facilities &gt;10 + 1/3 of all new facilities from prior 2 ICRs assuming constant growth rate)</t>
        </r>
      </text>
    </comment>
    <comment ref="I20" authorId="1" shapeId="0" xr:uid="{00000000-0006-0000-0400-000002000000}">
      <text>
        <r>
          <rPr>
            <b/>
            <sz val="9"/>
            <color indexed="81"/>
            <rFont val="Tahoma"/>
            <charset val="1"/>
          </rPr>
          <t>Tracy Curtis:</t>
        </r>
        <r>
          <rPr>
            <sz val="9"/>
            <color indexed="81"/>
            <rFont val="Tahoma"/>
            <charset val="1"/>
          </rPr>
          <t xml:space="preserve">
81.17 x 2 + 243.5 x 2 (includes 2/3 new facilities and all new facilities from last two ICRs that will continue annual activities</t>
        </r>
      </text>
    </comment>
  </commentList>
</comments>
</file>

<file path=xl/sharedStrings.xml><?xml version="1.0" encoding="utf-8"?>
<sst xmlns="http://schemas.openxmlformats.org/spreadsheetml/2006/main" count="642" uniqueCount="311">
  <si>
    <t>*All new units &gt;100 will install a CO monitor</t>
  </si>
  <si>
    <t>General Contractor</t>
  </si>
  <si>
    <t>Certfied Energy Audit Contractor</t>
  </si>
  <si>
    <t>.</t>
  </si>
  <si>
    <t>Annualized Capital/start-up O&amp;M</t>
  </si>
  <si>
    <t>Number of Responses</t>
  </si>
  <si>
    <t>*All biomass and distillate liquid units will install an opacity monitor since they are not expected to install a FF to meet PM limits.</t>
  </si>
  <si>
    <t>(A)</t>
  </si>
  <si>
    <t>(B)</t>
  </si>
  <si>
    <t>(C)</t>
  </si>
  <si>
    <t>(D)</t>
  </si>
  <si>
    <t>(E)</t>
  </si>
  <si>
    <t>Hotel</t>
  </si>
  <si>
    <t>Meals</t>
  </si>
  <si>
    <t>Airfare</t>
  </si>
  <si>
    <t>Trip Length</t>
  </si>
  <si>
    <t>Other Data</t>
  </si>
  <si>
    <t>Percent of Stack Tests Observed</t>
  </si>
  <si>
    <t>Estimated Percent Retesting</t>
  </si>
  <si>
    <t>Estimated Percent Emission Exceedences</t>
  </si>
  <si>
    <t>*All new coal and residual liquid units will have Fabric filter installed and will be assumed to use bag leak detection monitors.</t>
  </si>
  <si>
    <t>Burden Item</t>
  </si>
  <si>
    <t>1. Applications</t>
  </si>
  <si>
    <t>2. Surveys and Studies</t>
  </si>
  <si>
    <t>3. Reporting Requirements</t>
  </si>
  <si>
    <t xml:space="preserve">    B.  Required Activities</t>
  </si>
  <si>
    <t xml:space="preserve">    C.  Create Information </t>
  </si>
  <si>
    <t xml:space="preserve">    D.  Gather Information</t>
  </si>
  <si>
    <t xml:space="preserve">    E.  Report Preparation</t>
  </si>
  <si>
    <t xml:space="preserve">     B.  Implement Activities</t>
  </si>
  <si>
    <t xml:space="preserve">     D.  Record Information</t>
  </si>
  <si>
    <t xml:space="preserve">     E.  Personnel Training</t>
  </si>
  <si>
    <t xml:space="preserve">     F.  Time for Audits</t>
  </si>
  <si>
    <t>4.  Recordkeeping Requirements</t>
  </si>
  <si>
    <t>Managerial</t>
  </si>
  <si>
    <t>Technical</t>
  </si>
  <si>
    <t>Clerical</t>
  </si>
  <si>
    <t>Rate</t>
  </si>
  <si>
    <t>Category</t>
  </si>
  <si>
    <t>Fuel Category</t>
  </si>
  <si>
    <t>Size Category</t>
  </si>
  <si>
    <t>Total</t>
  </si>
  <si>
    <t>Biomass</t>
  </si>
  <si>
    <t>&lt; 10</t>
  </si>
  <si>
    <t>&gt;= 10 to 100</t>
  </si>
  <si>
    <t>&gt;100</t>
  </si>
  <si>
    <t>Coal</t>
  </si>
  <si>
    <t>Liquid</t>
  </si>
  <si>
    <t>Grand Total</t>
  </si>
  <si>
    <t>Assume units with bag leak detection will have a bag leak detection monitor</t>
  </si>
  <si>
    <t>Otherwise, all units will have an opacity monitor</t>
  </si>
  <si>
    <t>Existing Boiler Data</t>
  </si>
  <si>
    <t>New Boiler Data</t>
  </si>
  <si>
    <t>new biomass &gt;10</t>
  </si>
  <si>
    <t>new oil &gt;10</t>
  </si>
  <si>
    <t>BLD Monitors</t>
  </si>
  <si>
    <t>Coal &gt;10</t>
  </si>
  <si>
    <t>Opacity monitors</t>
  </si>
  <si>
    <t>Affirmative Defense</t>
  </si>
  <si>
    <t xml:space="preserve">Cost in labor </t>
  </si>
  <si>
    <t>Existing Large Solid</t>
  </si>
  <si>
    <t>Existing Small Solid</t>
  </si>
  <si>
    <t>Existing Large Liquid</t>
  </si>
  <si>
    <t>Existing Small Liquid</t>
  </si>
  <si>
    <t>&lt;10</t>
  </si>
  <si>
    <t>New Small Solid</t>
  </si>
  <si>
    <t>New Large Solid</t>
  </si>
  <si>
    <t>New Small Liquid</t>
  </si>
  <si>
    <t>New Large Liquid</t>
  </si>
  <si>
    <t>No. of units claiming affirmative defense</t>
  </si>
  <si>
    <t>Hours per unit</t>
  </si>
  <si>
    <t>Boilers per Facility</t>
  </si>
  <si>
    <t>3-Yr Total</t>
  </si>
  <si>
    <t>Facilities/Yr</t>
  </si>
  <si>
    <t>Facilities 
(3-Yr Total)</t>
  </si>
  <si>
    <t>Number of Boilers Represented by Model (Over 3-Yr ICR Period)</t>
  </si>
  <si>
    <t>Number of Facility Represented by Model (Over 3-Yr ICR Period)</t>
  </si>
  <si>
    <t>Number of Facilities Represented by Model (Over 3-Yr ICR Period)</t>
  </si>
  <si>
    <t>Source 
Classification</t>
  </si>
  <si>
    <t>Grand Total*</t>
  </si>
  <si>
    <t>Sources w/ Size Category &gt;30 MMBtu/hr that will have PM costs covered by NSPS (Part 60, Subparts Db or Dc)</t>
  </si>
  <si>
    <t>Table 1A: Annual Respondent Burden and Cost – Existing and New Large Solid Fuel Boilers, NESHAP for Industrial, Commercial, and Institutional Boilers Area Sources (40 CFR Part 63, Subpart JJJJJJ) (Renewal)</t>
  </si>
  <si>
    <t>Table 2: Average Annual EPA Burden and Cost – NESHAP for Industrial, Commercial, and Institutional Boilers Area Sources (40 CFR Part 63, Subpart JJJJJJ) (Renewal)</t>
  </si>
  <si>
    <t>Table 1B: Annual Respondent Burden and Cost – Existing and New Large Liquid Fuel Boilers, NESHAP for Industrial, Commercial, and Institutional Boilers Area Sources (40 CFR Part 63, Subpart JJJJJJ) (Renewal)</t>
  </si>
  <si>
    <t>Table 1D: Annual Respondent Burden and Cost – Existing and New Small Liquid Fuel Boilers, NESHAP for Industrial, Commercial, and Institutional Boilers Area Sources (40 CFR Part 63, Subpart JJJJJJ) (Renewal)</t>
  </si>
  <si>
    <t>Table 1C: Annual Respondent Burden and Cost – Existing and New Small Solid Fuel Boilers, NESHAP for Industrial, Commercial, and Institutional Boilers Area Sources (40 CFR Part 63, Subpart JJJJJJ) (Renewal)</t>
  </si>
  <si>
    <t>Capital/Startup vs. Operation and Maintenance (O&amp;M) Costs</t>
  </si>
  <si>
    <t>Continuous Monitoring Device</t>
  </si>
  <si>
    <t>Capital/Startup Cost for One Respondent</t>
  </si>
  <si>
    <t xml:space="preserve">Number of New Respondents </t>
  </si>
  <si>
    <t>Annual O&amp;M Costs for One Respondent</t>
  </si>
  <si>
    <t>(F)</t>
  </si>
  <si>
    <t>(G)</t>
  </si>
  <si>
    <t>Number of Respondents with O&amp;M</t>
  </si>
  <si>
    <t>Total Capital/Startup Cost, (B X C)</t>
  </si>
  <si>
    <t>Large Solid Boilers</t>
  </si>
  <si>
    <t>Large Liquid Boilers</t>
  </si>
  <si>
    <t>Small Solid Boilers</t>
  </si>
  <si>
    <t>Small Liquid Boilers</t>
  </si>
  <si>
    <t>Bag Leak Detection System</t>
  </si>
  <si>
    <t>Electrostatic Precipitator System</t>
  </si>
  <si>
    <t>Biennial Tune-Up</t>
  </si>
  <si>
    <t>Initial Stack Test and Report (PM)</t>
  </si>
  <si>
    <t>Total O&amp;M,
(E X F)</t>
  </si>
  <si>
    <t>Subtotal</t>
  </si>
  <si>
    <t>Triennial Stack Test and Report (PM)</t>
  </si>
  <si>
    <t>Initial Stack Test and Report (Hg)</t>
  </si>
  <si>
    <t>Triennial Stack Test and Report (Hg)</t>
  </si>
  <si>
    <t>Initial Stack Test and Report (CO)</t>
  </si>
  <si>
    <t>Triennial Stack Test and Report (CO)</t>
  </si>
  <si>
    <t>Respondent Labor Rates</t>
  </si>
  <si>
    <t>Agency Labor Rates &amp; Per Diem Info</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</si>
  <si>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</si>
  <si>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</si>
  <si>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</si>
  <si>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</si>
  <si>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</si>
  <si>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</si>
  <si>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</si>
  <si>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Number of Respondents</t>
  </si>
  <si>
    <t>Average</t>
  </si>
  <si>
    <t>Number of Respondents (E=A+B+C-D)</t>
  </si>
  <si>
    <t>Total Annual Responses</t>
  </si>
  <si>
    <t>Information Collection Activity</t>
  </si>
  <si>
    <t xml:space="preserve">Number of Respondents  </t>
  </si>
  <si>
    <t>Number of Existing Respondents That Keep Records But Do Not Submit Reports</t>
  </si>
  <si>
    <t>Notification of Compliance Status</t>
  </si>
  <si>
    <t>Total Annual  Responses
E=(BxC)+D</t>
  </si>
  <si>
    <t>Initial Notification</t>
  </si>
  <si>
    <t>Biennial Compliance Report</t>
  </si>
  <si>
    <t>Annual Compliance Report</t>
  </si>
  <si>
    <t>A</t>
  </si>
  <si>
    <t>B</t>
  </si>
  <si>
    <t>C</t>
  </si>
  <si>
    <t>D</t>
  </si>
  <si>
    <t>E</t>
  </si>
  <si>
    <t>F</t>
  </si>
  <si>
    <t>G</t>
  </si>
  <si>
    <t>H</t>
  </si>
  <si>
    <t>Technical Person-Hours per Occurrence</t>
  </si>
  <si>
    <t>Occurrences per Year</t>
  </si>
  <si>
    <t>Technical Person-Hours per Respondent per Year (C=AxB)</t>
  </si>
  <si>
    <t>Technical Hours per Year (D=C)</t>
  </si>
  <si>
    <t>Management Hours per Year (E=Dx0.05)</t>
  </si>
  <si>
    <t>Clerical Hours per Year (F=Dx0.10)</t>
  </si>
  <si>
    <t>Certified Energy Audit Cost per Occurrence</t>
  </si>
  <si>
    <t>Total Non-Labor Annual Costs</t>
  </si>
  <si>
    <t>Total Number of Responses per Year</t>
  </si>
  <si>
    <t>Occurrences per Respondent per Year</t>
  </si>
  <si>
    <t>Tune-Up Cost per Occurrence</t>
  </si>
  <si>
    <t>d.  It is assumed that facilities must already maintain records on boiler insurance and/or maintenance scheduling; therefore, no new record system would be required.</t>
  </si>
  <si>
    <t>d.  This burden applies to existing large solid fuel boilers only. All existing sources were required to complete the energy audit by the conclusion of the previous ICR period; therefore, no new or existing sources will incur this burden over the next three years.</t>
  </si>
  <si>
    <t>d.  This burden applies to existing large liquid fuel boilers only. All existing sources were required to complete the energy audit by the conclusion of the previous ICR period; therefore, no new or existing sources will incur this burden over the next three years.</t>
  </si>
  <si>
    <t>e.  Cost per occurrence for certified energy audit professionals includes a phone screening to discuss the facility prior to a visit, a 2- to 4-hour site visit, and an additional 2 to 4 hours to prepare a follow-up report on recommendations and findings.  Cost depends on whether the source is industrial or commercial.  It is assumed that 10% of sources will be industrial and 90% will be commercial.</t>
  </si>
  <si>
    <t>f.  Only existing and new large coal boilers are subject to numerical mercury (Hg) and carbon monoxide (CO) limits, while new large coal and biomass boilers are subject to particulate matter (PM) limits.</t>
  </si>
  <si>
    <t>g.  All projected large solid fuel boilers are expected to comply through stack testing instead of the fuel testing compliance option.</t>
  </si>
  <si>
    <t>j.  All new biomass boilers &gt;10 MMBtu/hr are expected to meet PM limits with an electrostatic precipitator (ESP); therefore, those sources will install opacity monitors.</t>
  </si>
  <si>
    <t>l.  Only existing large biomass boilers are subject to biennial tune-ups.</t>
  </si>
  <si>
    <t>b.  No burden will be incurred over the three-year ICR period, as this was a one-time requirement during the previous ICR period.</t>
  </si>
  <si>
    <t>c.  All new sources must submit initial notifications and notifications of compliance status, regardless of subcategory.</t>
  </si>
  <si>
    <t>d.  It is assumed that EPA will observe 20% of  initial performance tests.</t>
  </si>
  <si>
    <t>e.  It is assumed that 10% of initial performance tests will be repeated, which will be observed by EPA.</t>
  </si>
  <si>
    <t>f.  The number of occurrences is based on the number of new facilities that will test and set/submit operating limits.  All new sources must submit operating limits, regardless of subcategory.</t>
  </si>
  <si>
    <t>g.  The number of occurrences is based on the number of facilities maintaining records of control device parameters.</t>
  </si>
  <si>
    <t>h.  It is assumed that 10% of new facilities will have exceedances, requiring EPA enforcement.</t>
  </si>
  <si>
    <t>i.  All existing sources at the time of promulgation of the standard were required to complete the energy audit by the conclusion of the previous ICR period; therefore, no new or existing sources will incur this burden over the next three years.</t>
  </si>
  <si>
    <t>j.  The total cost is based on the number of performance tests observed by EPA multiplied by the cost of each trip.  Based on EPA experience with other rulemakings, each trip is estimated to be 3 days x ($110 hotel + $58 meals/incidentals) + ($600 round trip) = $1,104 per trip.</t>
  </si>
  <si>
    <t>Large Solid</t>
  </si>
  <si>
    <t>Large Liquid</t>
  </si>
  <si>
    <t>Small Solid</t>
  </si>
  <si>
    <t>Small Liquid</t>
  </si>
  <si>
    <t>Average No. Respondents</t>
  </si>
  <si>
    <t>Recordkeeping Burden (hrs)</t>
  </si>
  <si>
    <t>Reporting Burden (hrs)</t>
  </si>
  <si>
    <t>Total Labor Burden (hrs)</t>
  </si>
  <si>
    <t>Total Labor Cost ($)</t>
  </si>
  <si>
    <t>Total Capital and O&amp;M Cost ($)</t>
  </si>
  <si>
    <t>hrs/response</t>
  </si>
  <si>
    <t>Average No. Responses</t>
  </si>
  <si>
    <t>N/A</t>
  </si>
  <si>
    <t>See 3A</t>
  </si>
  <si>
    <t>N/A - Not Applicable</t>
  </si>
  <si>
    <t>Subtotal for Recordkeeping Requirements</t>
  </si>
  <si>
    <t>Subtotal for Reporting Requirements</t>
  </si>
  <si>
    <t>Stack Testing and Fuel Analysis Cost per Occurrence</t>
  </si>
  <si>
    <t>Other Non-Labor Costs per Occurrence</t>
  </si>
  <si>
    <t>Technical Hours per Year (E=CxD)</t>
  </si>
  <si>
    <t>Clerical Hours per Year (F=Ex0.10)</t>
  </si>
  <si>
    <t>Management Hours per Year  (G=Ex0.05)</t>
  </si>
  <si>
    <t xml:space="preserve">         1) Conduct Energy Audit</t>
  </si>
  <si>
    <t xml:space="preserve">         10) Continuous Parameter Monitoring</t>
  </si>
  <si>
    <t xml:space="preserve">              b) Opacity (All Sources with ESPs)</t>
  </si>
  <si>
    <t xml:space="preserve">              c) BLD System Operation (All Sources with Fabric Filters)</t>
  </si>
  <si>
    <t xml:space="preserve">         4) Continuous Parameter Monitoring</t>
  </si>
  <si>
    <t xml:space="preserve">                   i) Initial</t>
  </si>
  <si>
    <t xml:space="preserve">                   ii) Annual</t>
  </si>
  <si>
    <t xml:space="preserve">         5) Biennial Tune-Up</t>
  </si>
  <si>
    <t xml:space="preserve">    B.  Implement Activities</t>
  </si>
  <si>
    <t xml:space="preserve">    D.  Record Information</t>
  </si>
  <si>
    <t xml:space="preserve">    E.  Personnel Training</t>
  </si>
  <si>
    <t xml:space="preserve">    F.  Time for Audits</t>
  </si>
  <si>
    <t xml:space="preserve">         1) Initial Notification that Source is Subject</t>
  </si>
  <si>
    <t xml:space="preserve">         2) Notification of Compliance Status</t>
  </si>
  <si>
    <t xml:space="preserve">         4) Annual Compliance Report</t>
  </si>
  <si>
    <t xml:space="preserve">         5) Biennial Compliance Report</t>
  </si>
  <si>
    <t xml:space="preserve">         1)  Records of Operating Parameter Values</t>
  </si>
  <si>
    <t xml:space="preserve">         2)  Records of Deviations</t>
  </si>
  <si>
    <t xml:space="preserve">         3)  Records of Stack Tests</t>
  </si>
  <si>
    <t xml:space="preserve">         4)  Records of Monitoring Device Calibrations</t>
  </si>
  <si>
    <t xml:space="preserve">         5) Records of All Compliance Reports Submitted</t>
  </si>
  <si>
    <t xml:space="preserve">         6) Records of Monthly Fuel Use</t>
  </si>
  <si>
    <t xml:space="preserve">         7) Records of Biennial Tune-Up</t>
  </si>
  <si>
    <t xml:space="preserve">         3) Biennial Compliance Report</t>
  </si>
  <si>
    <t xml:space="preserve">           Biennial Tune-Up</t>
  </si>
  <si>
    <t xml:space="preserve">         1) Records of All Compliance Reports Submitted</t>
  </si>
  <si>
    <t xml:space="preserve">         2) Records of Biennial Tune-Up</t>
  </si>
  <si>
    <t xml:space="preserve">          1) Records of All Compliance Reports Submitted</t>
  </si>
  <si>
    <t xml:space="preserve">          2) Records of Biennial Tune-Up</t>
  </si>
  <si>
    <t>3.  Required Activities</t>
  </si>
  <si>
    <t>5.  Notification Requirements</t>
  </si>
  <si>
    <t>6.  Reporting Requirements</t>
  </si>
  <si>
    <t xml:space="preserve">     a) Review Annual Compliance Report</t>
  </si>
  <si>
    <t xml:space="preserve">     b) Review Biennial Compliance Report</t>
  </si>
  <si>
    <t>i.  Sources demonstrating compliance with any applicable emission limits through stack testing must develop a site-specific monitoring plan.  All new large solid fuel units are expected to develop this plan.</t>
  </si>
  <si>
    <t>k.  All new coal boilers &gt;10 MMBtu/hr are expected to install fabric filters equipped with bag leak detection (BLD) systems instead of opacity monitors.  No new large coal boilers are projected over the three-year ICR period.</t>
  </si>
  <si>
    <t>g.  Sources demonstrating compliance with any applicable emission limits through stack testing must develop a site-specific monitoring plan.  All new large liquid fuel units are expected to develop this plan.</t>
  </si>
  <si>
    <t>New units/yr</t>
  </si>
  <si>
    <t>Units</t>
  </si>
  <si>
    <t>2015 Existing Facilities</t>
  </si>
  <si>
    <t>End of Yr</t>
  </si>
  <si>
    <t>b.  This ICR uses the following labor rates: $117.92 for technical, $147.40 for managerial, and $57.02 for clerical labor.  These rates are from the United States Department of Labor, Bureau of Labor Statistics, December 2018, “Table 2. Civilian workers, by occupational and industry group.”  The rates are from column 1, “Total compensation.”  The rates have been increased by 110 percent to account for the benefit packages available to those employed by private industry.</t>
  </si>
  <si>
    <t>a.  This ICR uses the following labor rates: $48.75 for technical, $65.71 for managerial, and $26.38 for clerical labor.  These rates are from the Office of Personnel Management (OPM) 2018 General Schedule, which excludes locality rates of pay.  The rates have been increased by 60 percent to account for the benefit packages available to government employees.</t>
  </si>
  <si>
    <r>
      <t xml:space="preserve">Respondents per Year </t>
    </r>
    <r>
      <rPr>
        <b/>
        <vertAlign val="superscript"/>
        <sz val="9"/>
        <rFont val="Times New Roman"/>
        <family val="1"/>
      </rPr>
      <t>a</t>
    </r>
  </si>
  <si>
    <r>
      <t xml:space="preserve">Total Cost per Year ($) </t>
    </r>
    <r>
      <rPr>
        <b/>
        <vertAlign val="superscript"/>
        <sz val="9"/>
        <rFont val="Times New Roman"/>
        <family val="1"/>
      </rPr>
      <t>b</t>
    </r>
  </si>
  <si>
    <r>
      <t xml:space="preserve">     C.  Develop Record System</t>
    </r>
    <r>
      <rPr>
        <vertAlign val="superscript"/>
        <sz val="9"/>
        <rFont val="Times New Roman"/>
        <family val="1"/>
      </rPr>
      <t>d</t>
    </r>
  </si>
  <si>
    <r>
      <t xml:space="preserve">    C.  Develop Record System</t>
    </r>
    <r>
      <rPr>
        <vertAlign val="superscript"/>
        <sz val="9"/>
        <rFont val="Times New Roman"/>
        <family val="1"/>
      </rPr>
      <t>d</t>
    </r>
  </si>
  <si>
    <r>
      <t xml:space="preserve">               a) Industrial</t>
    </r>
    <r>
      <rPr>
        <vertAlign val="superscript"/>
        <sz val="9"/>
        <rFont val="Times New Roman"/>
        <family val="1"/>
      </rPr>
      <t>d, e</t>
    </r>
  </si>
  <si>
    <r>
      <t xml:space="preserve">               b) Commercial</t>
    </r>
    <r>
      <rPr>
        <vertAlign val="superscript"/>
        <sz val="9"/>
        <rFont val="Times New Roman"/>
        <family val="1"/>
      </rPr>
      <t>d, e</t>
    </r>
  </si>
  <si>
    <r>
      <t xml:space="preserve">         2) Initial Stack Test and Report (PM)</t>
    </r>
    <r>
      <rPr>
        <vertAlign val="superscript"/>
        <sz val="9"/>
        <rFont val="Times New Roman"/>
        <family val="1"/>
      </rPr>
      <t>f</t>
    </r>
  </si>
  <si>
    <r>
      <t xml:space="preserve">         3) Triennial Stack Test and Report (PM)</t>
    </r>
    <r>
      <rPr>
        <vertAlign val="superscript"/>
        <sz val="9"/>
        <rFont val="Times New Roman"/>
        <family val="1"/>
      </rPr>
      <t>f</t>
    </r>
  </si>
  <si>
    <r>
      <t xml:space="preserve">              a) Establish Site-specific monitoring plan</t>
    </r>
    <r>
      <rPr>
        <vertAlign val="superscript"/>
        <sz val="9"/>
        <rFont val="Times New Roman"/>
        <family val="1"/>
      </rPr>
      <t>g</t>
    </r>
  </si>
  <si>
    <r>
      <t xml:space="preserve">         3) Initial Report on Results of Energy Audit</t>
    </r>
    <r>
      <rPr>
        <vertAlign val="superscript"/>
        <sz val="9"/>
        <rFont val="Times New Roman"/>
        <family val="1"/>
      </rPr>
      <t>d</t>
    </r>
  </si>
  <si>
    <r>
      <t xml:space="preserve">              a) Industrial</t>
    </r>
    <r>
      <rPr>
        <vertAlign val="superscript"/>
        <sz val="9"/>
        <rFont val="Times New Roman"/>
        <family val="1"/>
      </rPr>
      <t>d, e</t>
    </r>
  </si>
  <si>
    <r>
      <t xml:space="preserve">              b) Commercial</t>
    </r>
    <r>
      <rPr>
        <vertAlign val="superscript"/>
        <sz val="9"/>
        <rFont val="Times New Roman"/>
        <family val="1"/>
      </rPr>
      <t>d, e</t>
    </r>
  </si>
  <si>
    <r>
      <t xml:space="preserve">         2) Initial Stack Test (Hg)</t>
    </r>
    <r>
      <rPr>
        <vertAlign val="superscript"/>
        <sz val="9"/>
        <rFont val="Times New Roman"/>
        <family val="1"/>
      </rPr>
      <t>f, g</t>
    </r>
  </si>
  <si>
    <r>
      <t xml:space="preserve">         3) Initial Stack Test (CO)</t>
    </r>
    <r>
      <rPr>
        <vertAlign val="superscript"/>
        <sz val="9"/>
        <rFont val="Times New Roman"/>
        <family val="1"/>
      </rPr>
      <t>f</t>
    </r>
  </si>
  <si>
    <r>
      <t xml:space="preserve">         4) Initial Stack Test (PM)</t>
    </r>
    <r>
      <rPr>
        <vertAlign val="superscript"/>
        <sz val="9"/>
        <rFont val="Times New Roman"/>
        <family val="1"/>
      </rPr>
      <t>f, h</t>
    </r>
  </si>
  <si>
    <r>
      <t xml:space="preserve">         6) Triennial Stack Test (CO)</t>
    </r>
    <r>
      <rPr>
        <vertAlign val="superscript"/>
        <sz val="9"/>
        <rFont val="Times New Roman"/>
        <family val="1"/>
      </rPr>
      <t>f</t>
    </r>
  </si>
  <si>
    <r>
      <t xml:space="preserve">         7) Triennial Stack Test (PM)</t>
    </r>
    <r>
      <rPr>
        <vertAlign val="superscript"/>
        <sz val="9"/>
        <rFont val="Times New Roman"/>
        <family val="1"/>
      </rPr>
      <t>f, h</t>
    </r>
  </si>
  <si>
    <r>
      <t xml:space="preserve">         8) Initial Fuel Analysis for Hg Content</t>
    </r>
    <r>
      <rPr>
        <vertAlign val="superscript"/>
        <sz val="9"/>
        <rFont val="Times New Roman"/>
        <family val="1"/>
      </rPr>
      <t>g</t>
    </r>
  </si>
  <si>
    <r>
      <t xml:space="preserve">         9) Monthly Fuel Analysis for Hg Content</t>
    </r>
    <r>
      <rPr>
        <vertAlign val="superscript"/>
        <sz val="9"/>
        <rFont val="Times New Roman"/>
        <family val="1"/>
      </rPr>
      <t>g</t>
    </r>
  </si>
  <si>
    <r>
      <t xml:space="preserve">              a) Establish Site-Specific Monitoring Plan (Hg, CO, and PM)</t>
    </r>
    <r>
      <rPr>
        <vertAlign val="superscript"/>
        <sz val="9"/>
        <rFont val="Times New Roman"/>
        <family val="1"/>
      </rPr>
      <t>f, i</t>
    </r>
  </si>
  <si>
    <r>
      <t xml:space="preserve">                   i) Initial</t>
    </r>
    <r>
      <rPr>
        <vertAlign val="superscript"/>
        <sz val="9"/>
        <rFont val="Times New Roman"/>
        <family val="1"/>
      </rPr>
      <t>j</t>
    </r>
  </si>
  <si>
    <r>
      <t xml:space="preserve">                   ii) Annual</t>
    </r>
    <r>
      <rPr>
        <vertAlign val="superscript"/>
        <sz val="9"/>
        <rFont val="Times New Roman"/>
        <family val="1"/>
      </rPr>
      <t>j</t>
    </r>
  </si>
  <si>
    <r>
      <t xml:space="preserve">                   i) Initial</t>
    </r>
    <r>
      <rPr>
        <vertAlign val="superscript"/>
        <sz val="9"/>
        <rFont val="Times New Roman"/>
        <family val="1"/>
      </rPr>
      <t>k</t>
    </r>
  </si>
  <si>
    <r>
      <t xml:space="preserve">                   ii) Annual</t>
    </r>
    <r>
      <rPr>
        <vertAlign val="superscript"/>
        <sz val="9"/>
        <rFont val="Times New Roman"/>
        <family val="1"/>
      </rPr>
      <t>k</t>
    </r>
  </si>
  <si>
    <r>
      <t xml:space="preserve">         11) Biennial Tune-Up</t>
    </r>
    <r>
      <rPr>
        <vertAlign val="superscript"/>
        <sz val="9"/>
        <rFont val="Times New Roman"/>
        <family val="1"/>
      </rPr>
      <t>l</t>
    </r>
  </si>
  <si>
    <r>
      <t xml:space="preserve">         1)  Records of Operating Parameter Values</t>
    </r>
    <r>
      <rPr>
        <vertAlign val="superscript"/>
        <sz val="9"/>
        <rFont val="Times New Roman"/>
        <family val="1"/>
      </rPr>
      <t>f</t>
    </r>
  </si>
  <si>
    <r>
      <t xml:space="preserve">         2)  Records of Deviations</t>
    </r>
    <r>
      <rPr>
        <vertAlign val="superscript"/>
        <sz val="9"/>
        <rFont val="Times New Roman"/>
        <family val="1"/>
      </rPr>
      <t>f</t>
    </r>
  </si>
  <si>
    <r>
      <t xml:space="preserve">         3)  Records of Stack Tests</t>
    </r>
    <r>
      <rPr>
        <vertAlign val="superscript"/>
        <sz val="9"/>
        <rFont val="Times New Roman"/>
        <family val="1"/>
      </rPr>
      <t>f</t>
    </r>
  </si>
  <si>
    <r>
      <t xml:space="preserve">         4)  Records of Monitoring Device Calibrations</t>
    </r>
    <r>
      <rPr>
        <vertAlign val="superscript"/>
        <sz val="9"/>
        <rFont val="Times New Roman"/>
        <family val="1"/>
      </rPr>
      <t>f</t>
    </r>
  </si>
  <si>
    <r>
      <t xml:space="preserve">         5) Records of All Compliance Reports Submitted</t>
    </r>
    <r>
      <rPr>
        <vertAlign val="superscript"/>
        <sz val="9"/>
        <rFont val="Times New Roman"/>
        <family val="1"/>
      </rPr>
      <t>f</t>
    </r>
  </si>
  <si>
    <r>
      <t xml:space="preserve">         6) Records of Monthly Fuel Use</t>
    </r>
    <r>
      <rPr>
        <vertAlign val="superscript"/>
        <sz val="9"/>
        <rFont val="Times New Roman"/>
        <family val="1"/>
      </rPr>
      <t>f</t>
    </r>
  </si>
  <si>
    <t>Notes</t>
  </si>
  <si>
    <t>k. Totals have been rounded to 3 significant figures. Figures may not add exactly due to rounding.</t>
  </si>
  <si>
    <r>
      <t xml:space="preserve">Total Cost per Year ($) </t>
    </r>
    <r>
      <rPr>
        <b/>
        <vertAlign val="superscript"/>
        <sz val="9"/>
        <rFont val="Times New Roman"/>
        <family val="1"/>
      </rPr>
      <t>a</t>
    </r>
  </si>
  <si>
    <r>
      <t>1.  Read and Understand Rule Requirements</t>
    </r>
    <r>
      <rPr>
        <vertAlign val="superscript"/>
        <sz val="9"/>
        <rFont val="Times New Roman"/>
        <family val="1"/>
      </rPr>
      <t>b</t>
    </r>
  </si>
  <si>
    <r>
      <t>2.  Enter and Update Information into Agency Recordkeeping System</t>
    </r>
    <r>
      <rPr>
        <vertAlign val="superscript"/>
        <sz val="9"/>
        <rFont val="Times New Roman"/>
        <family val="1"/>
      </rPr>
      <t>c</t>
    </r>
  </si>
  <si>
    <r>
      <t xml:space="preserve">     a) Observe Initial Stack/Performance Test</t>
    </r>
    <r>
      <rPr>
        <vertAlign val="superscript"/>
        <sz val="9"/>
        <rFont val="Times New Roman"/>
        <family val="1"/>
      </rPr>
      <t>d</t>
    </r>
  </si>
  <si>
    <r>
      <t xml:space="preserve">     b) Observe Repeat Performance Test</t>
    </r>
    <r>
      <rPr>
        <vertAlign val="superscript"/>
        <sz val="9"/>
        <rFont val="Times New Roman"/>
        <family val="1"/>
      </rPr>
      <t>e</t>
    </r>
  </si>
  <si>
    <r>
      <t xml:space="preserve">     c) Review Operating Parameters</t>
    </r>
    <r>
      <rPr>
        <vertAlign val="superscript"/>
        <sz val="9"/>
        <rFont val="Times New Roman"/>
        <family val="1"/>
      </rPr>
      <t>f</t>
    </r>
  </si>
  <si>
    <r>
      <t xml:space="preserve">     d) Review Continuous Parameter Monitoring</t>
    </r>
    <r>
      <rPr>
        <vertAlign val="superscript"/>
        <sz val="9"/>
        <rFont val="Times New Roman"/>
        <family val="1"/>
      </rPr>
      <t>g</t>
    </r>
  </si>
  <si>
    <r>
      <t>4.  Excess Emissions Enforcement Activities and Inspections</t>
    </r>
    <r>
      <rPr>
        <vertAlign val="superscript"/>
        <sz val="9"/>
        <rFont val="Times New Roman"/>
        <family val="1"/>
      </rPr>
      <t>h</t>
    </r>
  </si>
  <si>
    <r>
      <t xml:space="preserve">     a) Review Initial Notification that Sources are Subject to the Standard</t>
    </r>
    <r>
      <rPr>
        <vertAlign val="superscript"/>
        <sz val="9"/>
        <rFont val="Times New Roman"/>
        <family val="1"/>
      </rPr>
      <t>c</t>
    </r>
  </si>
  <si>
    <r>
      <t xml:space="preserve">     b) Review Notification of Initial Performance Tests and Review Test Plan</t>
    </r>
    <r>
      <rPr>
        <vertAlign val="superscript"/>
        <sz val="9"/>
        <rFont val="Times New Roman"/>
        <family val="1"/>
      </rPr>
      <t>f</t>
    </r>
  </si>
  <si>
    <r>
      <t xml:space="preserve">     c) Review Notification of Compliance Status</t>
    </r>
    <r>
      <rPr>
        <vertAlign val="superscript"/>
        <sz val="9"/>
        <rFont val="Times New Roman"/>
        <family val="1"/>
      </rPr>
      <t>c</t>
    </r>
  </si>
  <si>
    <r>
      <t xml:space="preserve">     c) Review Initial Report on Energy Audit Results</t>
    </r>
    <r>
      <rPr>
        <vertAlign val="superscript"/>
        <sz val="9"/>
        <rFont val="Times New Roman"/>
        <family val="1"/>
      </rPr>
      <t>i</t>
    </r>
  </si>
  <si>
    <r>
      <t>7.  Travel Expenses for Performance Tests Observed</t>
    </r>
    <r>
      <rPr>
        <vertAlign val="superscript"/>
        <sz val="9"/>
        <rFont val="Times New Roman"/>
        <family val="1"/>
      </rPr>
      <t>j</t>
    </r>
  </si>
  <si>
    <r>
      <t>TOTAL ANNUAL BURDEN AND COST (ROUNDED)</t>
    </r>
    <r>
      <rPr>
        <b/>
        <vertAlign val="superscript"/>
        <sz val="9"/>
        <rFont val="Times New Roman"/>
        <family val="1"/>
      </rPr>
      <t>k</t>
    </r>
  </si>
  <si>
    <t xml:space="preserve">TOTAL LABOR BURDEN AND COSTS </t>
  </si>
  <si>
    <t>Total Costs ($)</t>
  </si>
  <si>
    <r>
      <t>Grand Total (rounded)</t>
    </r>
    <r>
      <rPr>
        <b/>
        <vertAlign val="superscript"/>
        <sz val="8"/>
        <rFont val="Arial"/>
        <family val="2"/>
      </rPr>
      <t>1</t>
    </r>
  </si>
  <si>
    <r>
      <rPr>
        <vertAlign val="superscript"/>
        <sz val="10"/>
        <color rgb="FF000000"/>
        <rFont val="Times New Roman"/>
        <family val="1"/>
      </rPr>
      <t>1</t>
    </r>
    <r>
      <rPr>
        <sz val="10"/>
        <color rgb="FF000000"/>
        <rFont val="Times New Roman"/>
        <family val="1"/>
      </rPr>
      <t xml:space="preserve"> Totals have been rounded to 3 significant figures. Figures may not add exactly due to rounding.</t>
    </r>
  </si>
  <si>
    <r>
      <t>Rounded by Sector</t>
    </r>
    <r>
      <rPr>
        <b/>
        <vertAlign val="superscript"/>
        <sz val="10"/>
        <color rgb="FF000000"/>
        <rFont val="Times New Roman"/>
        <family val="1"/>
      </rPr>
      <t>1</t>
    </r>
  </si>
  <si>
    <t>Table 1: Annual Respondent Burden and Cost – NESHAP for Industrial, Commercial, and Institutional Boilers Area Sources (40 CFR Part 63, Subpart JJJJJJ) (Renewal)</t>
  </si>
  <si>
    <r>
      <rPr>
        <i/>
        <sz val="8"/>
        <rFont val="Arial"/>
        <family val="2"/>
      </rPr>
      <t xml:space="preserve">Total Private Sector </t>
    </r>
    <r>
      <rPr>
        <sz val="8"/>
        <rFont val="Arial"/>
        <family val="2"/>
      </rPr>
      <t>(49% of Respondents)</t>
    </r>
  </si>
  <si>
    <r>
      <rPr>
        <i/>
        <sz val="8"/>
        <rFont val="Arial"/>
        <family val="2"/>
      </rPr>
      <t xml:space="preserve">Total Public Sector </t>
    </r>
    <r>
      <rPr>
        <sz val="8"/>
        <rFont val="Arial"/>
        <family val="2"/>
      </rPr>
      <t>(51% of Respondents)</t>
    </r>
  </si>
  <si>
    <r>
      <t xml:space="preserve">         5) Biennial Compliance Report</t>
    </r>
    <r>
      <rPr>
        <vertAlign val="superscript"/>
        <sz val="9"/>
        <rFont val="Times New Roman"/>
        <family val="1"/>
      </rPr>
      <t>l</t>
    </r>
  </si>
  <si>
    <r>
      <t xml:space="preserve">    C.  Develop Record System</t>
    </r>
    <r>
      <rPr>
        <vertAlign val="superscript"/>
        <sz val="9"/>
        <rFont val="Times New Roman"/>
        <family val="1"/>
      </rPr>
      <t>m</t>
    </r>
  </si>
  <si>
    <t>m.  It is assumed that facilities must already maintain records on boiler insurance and/or maintenance scheduling; therefore, no new record system would be required.</t>
  </si>
  <si>
    <t>TOTAL LABOR BURDEN AND COST</t>
  </si>
  <si>
    <t>TOTAL CAPITAL AND O&amp;M COST</t>
  </si>
  <si>
    <t>GRAND TOTAL</t>
  </si>
  <si>
    <r>
      <t xml:space="preserve">    C.  Develop Record System</t>
    </r>
    <r>
      <rPr>
        <vertAlign val="superscript"/>
        <sz val="9"/>
        <rFont val="Times New Roman"/>
        <family val="1"/>
      </rPr>
      <t>h</t>
    </r>
  </si>
  <si>
    <t xml:space="preserve">TOTAL CAPITAL AND O&amp;M COST </t>
  </si>
  <si>
    <t>Total (rounded)</t>
  </si>
  <si>
    <r>
      <t xml:space="preserve">    A.  Read and Understand Rule Requirements (new sources)</t>
    </r>
    <r>
      <rPr>
        <vertAlign val="superscript"/>
        <sz val="9"/>
        <rFont val="Times New Roman"/>
        <family val="1"/>
      </rPr>
      <t>c</t>
    </r>
  </si>
  <si>
    <t xml:space="preserve">         Familiarization with Rule Requirements (existing sources)</t>
  </si>
  <si>
    <t xml:space="preserve">    A.  Familiarization with Rule Requirements</t>
  </si>
  <si>
    <t xml:space="preserve">     A.  Familiarization with Rule Requirements</t>
  </si>
  <si>
    <t>c.  This burden applies to new sources only. The burden on existing sources to read and understand rule requirements and submit initial notifications was incurred during a previous ICR period.  It is assumed that existing sources will take 1 hour to refamiliarize themselves with the rule requirements each year.</t>
  </si>
  <si>
    <t>Notes (Units vs. Respondents):</t>
  </si>
  <si>
    <t>a.  On average, over the 3-year period of this ICR, we estimate 10,365 existing large liquid boilers (i.e., units &gt;10 MMBtu/hr) at 5,183 facilities will be subject to the rule.  We also estimate 162 new boilers at 81 facilities per year, for a total of 10,528 boilers at 5,264 facilities.</t>
  </si>
  <si>
    <t>f.  All projected large liquid fuel boilers are expected to comply through stack testing instead of the fuel testing compliance option. Only units &lt;30 MMBtu/hr that are not subject to PM limits under the NSPS (40 CFR Part 60 Subparts Db, Dc) will incur additional testing, monitoring, recordkeeping and reporting costs under this rule. This is a conservatively high estimate for burden as we expect some of the units will comply with the PM standard by combusting ultra-low sulfur diesel (ULSD), but the number of units with ULSD is unknown.</t>
  </si>
  <si>
    <t>h.  It is assumed that facilities must already maintain records on boiler insurance and/or maintenance scheduling; therefore, no new record system would be required.</t>
  </si>
  <si>
    <r>
      <t xml:space="preserve">         5) Triennial Stack Test (Hg)</t>
    </r>
    <r>
      <rPr>
        <vertAlign val="superscript"/>
        <sz val="9"/>
        <rFont val="Times New Roman"/>
        <family val="1"/>
      </rPr>
      <t>f</t>
    </r>
  </si>
  <si>
    <t>a.  On average, over the 3-year period of this ICR, we estimate 4,179 existing large solid boilers (i.e., biomass- and coal-fired boilers &gt;10 MMBtu/hr) at 2,089.5 facilities will be subject to the rule. We also estimate 20 new boilers at 10 facilities per year, all of which are biomass-fired, for a total of 4,199 boilers at 2,099.5 facilities.</t>
  </si>
  <si>
    <t>h.  Only boilers &lt;30 MMBtu/hr that are not subject to limits under the NSPS (40 CFR Part 60 Subparts Db, Dc) will incur additional testing, monitoring, recordkeeping and reporting costs under this rule.  It is estimated that 11 boilers (5.5 facilities, assuming 2 boilers per facility) will be subject to additional testing.</t>
  </si>
  <si>
    <t>a.  On average, over the 3-year period of this ICR, we estimate 11,317 existing small solid boilers (i.e., units &lt;10 MMBtu/hr) at 5,659 facilities will be subject to the rule.  We also estimate 98 new boilers at 49 facilities per year, for a total of 11,416 boilers at 5,708 facilities.</t>
  </si>
  <si>
    <t>a.  On average, over the 3-year period of this ICR, we estimate 172,627 existing small liquid boilers (i.e., units &lt;10 MMBtu/hr) at 86,314 facilities will be subject to the rule.  We also estimate 1,979 new boilers at 989.5 facilities per year, for a total of 174,606 boilers at 87,303 facilities.</t>
  </si>
  <si>
    <r>
      <t>*</t>
    </r>
    <r>
      <rPr>
        <sz val="10"/>
        <rFont val="Arial"/>
        <family val="2"/>
      </rPr>
      <t>Roundup/down functions used above to reconcile # facilities with # sources (i.e., 196,229 sources / (2 sources/facility) must equal 98,115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</si>
</sst>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quot;$&quot;#,##0"/>
    <numFmt numFmtId="166" formatCode="#,##0.0"/>
    <numFmt numFmtId="167" formatCode="&quot;$&quot;#,##0.0"/>
    <numFmt numFmtId="168" formatCode="#,##0.000"/>
    <numFmt numFmtId="169" formatCode="0.0"/>
    <numFmt numFmtId="170" formatCode="&quot;$&quot;#,##0.000"/>
  </numFmts>
  <fonts count="40" x14ac:knownFonts="1">
    <font>
      <sz val="10"/>
      <name val="Arial"/>
    </font>
    <font>
      <sz val="10"/>
      <name val="Arial"/>
      <family val="2"/>
    </font>
    <font>
      <sz val="8"/>
      <name val="Arial"/>
      <family val="2"/>
    </font>
    <font>
      <b/>
      <sz val="8"/>
      <name val="Arial"/>
      <family val="2"/>
    </font>
    <font>
      <sz val="8"/>
      <name val="Arial"/>
      <family val="2"/>
    </font>
    <font>
      <b/>
      <sz val="10"/>
      <name val="Arial"/>
      <family val="2"/>
    </font>
    <font>
      <b/>
      <u/>
      <sz val="10"/>
      <name val="Arial"/>
      <family val="2"/>
    </font>
    <font>
      <i/>
      <sz val="10"/>
      <name val="Arial"/>
      <family val="2"/>
    </font>
    <font>
      <sz val="10"/>
      <name val="Times New Roman"/>
      <family val="1"/>
    </font>
    <font>
      <sz val="10"/>
      <name val="Arial"/>
      <family val="2"/>
    </font>
    <font>
      <sz val="9"/>
      <color indexed="81"/>
      <name val="Tahoma"/>
      <family val="2"/>
    </font>
    <font>
      <b/>
      <sz val="9"/>
      <color indexed="81"/>
      <name val="Tahoma"/>
      <family val="2"/>
    </font>
    <font>
      <b/>
      <sz val="12"/>
      <name val="Times New Roman"/>
      <family val="1"/>
    </font>
    <font>
      <b/>
      <sz val="12"/>
      <color rgb="FF000000"/>
      <name val="Times New Roman"/>
      <family val="1"/>
    </font>
    <font>
      <sz val="10"/>
      <color rgb="FF000000"/>
      <name val="Times New Roman"/>
      <family val="1"/>
    </font>
    <font>
      <i/>
      <sz val="10"/>
      <name val="Times New Roman"/>
      <family val="1"/>
    </font>
    <font>
      <b/>
      <sz val="10"/>
      <name val="Times New Roman"/>
      <family val="1"/>
    </font>
    <font>
      <b/>
      <sz val="8"/>
      <name val="Times New Roman"/>
      <family val="1"/>
    </font>
    <font>
      <sz val="8"/>
      <name val="Times New Roman"/>
      <family val="1"/>
    </font>
    <font>
      <sz val="8"/>
      <color rgb="FFFFC000"/>
      <name val="Times New Roman"/>
      <family val="1"/>
    </font>
    <font>
      <i/>
      <sz val="8"/>
      <name val="Times New Roman"/>
      <family val="1"/>
    </font>
    <font>
      <b/>
      <sz val="10"/>
      <color rgb="FF000000"/>
      <name val="Times New Roman"/>
      <family val="1"/>
    </font>
    <font>
      <sz val="10"/>
      <color rgb="FFFF0000"/>
      <name val="Arial"/>
      <family val="2"/>
    </font>
    <font>
      <b/>
      <sz val="10"/>
      <color rgb="FFFF0000"/>
      <name val="Arial"/>
      <family val="2"/>
    </font>
    <font>
      <sz val="8"/>
      <color rgb="FFFF0000"/>
      <name val="Times New Roman"/>
      <family val="1"/>
    </font>
    <font>
      <b/>
      <sz val="9"/>
      <name val="Times New Roman"/>
      <family val="1"/>
    </font>
    <font>
      <sz val="9"/>
      <name val="Times New Roman"/>
      <family val="1"/>
    </font>
    <font>
      <b/>
      <vertAlign val="superscript"/>
      <sz val="9"/>
      <name val="Times New Roman"/>
      <family val="1"/>
    </font>
    <font>
      <vertAlign val="superscript"/>
      <sz val="9"/>
      <name val="Times New Roman"/>
      <family val="1"/>
    </font>
    <font>
      <b/>
      <i/>
      <sz val="9"/>
      <name val="Times New Roman"/>
      <family val="1"/>
    </font>
    <font>
      <b/>
      <sz val="9"/>
      <color theme="1"/>
      <name val="Times New Roman"/>
      <family val="1"/>
    </font>
    <font>
      <b/>
      <vertAlign val="superscript"/>
      <sz val="8"/>
      <name val="Arial"/>
      <family val="2"/>
    </font>
    <font>
      <vertAlign val="superscript"/>
      <sz val="10"/>
      <color rgb="FF000000"/>
      <name val="Times New Roman"/>
      <family val="1"/>
    </font>
    <font>
      <b/>
      <vertAlign val="superscript"/>
      <sz val="10"/>
      <color rgb="FF000000"/>
      <name val="Times New Roman"/>
      <family val="1"/>
    </font>
    <font>
      <i/>
      <sz val="8"/>
      <name val="Arial"/>
      <family val="2"/>
    </font>
    <font>
      <sz val="9"/>
      <color indexed="81"/>
      <name val="Tahoma"/>
      <charset val="1"/>
    </font>
    <font>
      <b/>
      <sz val="9"/>
      <color indexed="81"/>
      <name val="Tahoma"/>
      <charset val="1"/>
    </font>
    <font>
      <sz val="8"/>
      <color theme="0"/>
      <name val="Times New Roman"/>
      <family val="1"/>
    </font>
    <font>
      <sz val="10"/>
      <color theme="0"/>
      <name val="Arial"/>
      <family val="2"/>
    </font>
    <font>
      <b/>
      <sz val="10"/>
      <color theme="0"/>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342">
    <xf numFmtId="0" fontId="0" fillId="0" borderId="0" xfId="0"/>
    <xf numFmtId="0" fontId="5" fillId="2" borderId="2" xfId="0" applyFont="1" applyFill="1" applyBorder="1"/>
    <xf numFmtId="0" fontId="6" fillId="0" borderId="0" xfId="0" applyFont="1"/>
    <xf numFmtId="0" fontId="5" fillId="0" borderId="0" xfId="0" applyFont="1" applyFill="1" applyBorder="1"/>
    <xf numFmtId="0" fontId="4" fillId="0" borderId="0" xfId="0" applyFont="1"/>
    <xf numFmtId="0" fontId="5" fillId="0" borderId="0" xfId="0" applyFont="1"/>
    <xf numFmtId="0" fontId="5" fillId="0" borderId="0" xfId="0" applyFont="1" applyFill="1"/>
    <xf numFmtId="0" fontId="5" fillId="0" borderId="3" xfId="0" applyFont="1" applyBorder="1"/>
    <xf numFmtId="0" fontId="1" fillId="0" borderId="4" xfId="0" applyFont="1" applyBorder="1"/>
    <xf numFmtId="0" fontId="1" fillId="0" borderId="5" xfId="0" applyFont="1" applyFill="1" applyBorder="1"/>
    <xf numFmtId="0" fontId="1" fillId="0" borderId="0" xfId="0" applyFont="1"/>
    <xf numFmtId="0" fontId="1" fillId="0" borderId="2" xfId="0" applyFont="1" applyFill="1" applyBorder="1"/>
    <xf numFmtId="3" fontId="1" fillId="0" borderId="0" xfId="0" applyNumberFormat="1" applyFont="1" applyBorder="1"/>
    <xf numFmtId="0" fontId="5" fillId="2" borderId="2" xfId="0" applyFont="1" applyFill="1" applyBorder="1" applyAlignment="1">
      <alignment horizontal="center" wrapText="1"/>
    </xf>
    <xf numFmtId="0" fontId="5" fillId="2" borderId="6" xfId="0" applyFont="1" applyFill="1" applyBorder="1"/>
    <xf numFmtId="0" fontId="1" fillId="3" borderId="16" xfId="0" applyFont="1" applyFill="1" applyBorder="1"/>
    <xf numFmtId="0" fontId="7" fillId="3" borderId="16" xfId="0" applyFont="1" applyFill="1" applyBorder="1"/>
    <xf numFmtId="0" fontId="7" fillId="3" borderId="17" xfId="0" applyFont="1" applyFill="1" applyBorder="1"/>
    <xf numFmtId="0" fontId="7" fillId="3" borderId="18" xfId="0" applyFont="1" applyFill="1" applyBorder="1"/>
    <xf numFmtId="0" fontId="5" fillId="2" borderId="6" xfId="0" applyFont="1" applyFill="1" applyBorder="1" applyAlignment="1">
      <alignment wrapText="1"/>
    </xf>
    <xf numFmtId="0" fontId="1" fillId="0" borderId="0" xfId="0" applyFont="1" applyFill="1"/>
    <xf numFmtId="0" fontId="14" fillId="0" borderId="12" xfId="0" applyFont="1" applyBorder="1" applyAlignment="1">
      <alignment horizontal="center" vertical="top" wrapText="1"/>
    </xf>
    <xf numFmtId="0" fontId="14" fillId="0" borderId="6" xfId="0" applyFont="1" applyBorder="1" applyAlignment="1">
      <alignment vertical="top" wrapText="1"/>
    </xf>
    <xf numFmtId="0" fontId="14" fillId="0" borderId="0" xfId="0" applyFont="1" applyFill="1" applyBorder="1" applyAlignment="1">
      <alignment vertical="top" wrapText="1"/>
    </xf>
    <xf numFmtId="0" fontId="1" fillId="0" borderId="0" xfId="0" applyFont="1" applyFill="1" applyBorder="1"/>
    <xf numFmtId="0" fontId="6" fillId="0" borderId="0" xfId="0" applyFont="1" applyBorder="1"/>
    <xf numFmtId="0" fontId="8" fillId="0" borderId="12" xfId="0" applyFont="1" applyBorder="1" applyAlignment="1">
      <alignment horizontal="center" vertical="top" wrapText="1"/>
    </xf>
    <xf numFmtId="0" fontId="8" fillId="0" borderId="6" xfId="0" applyFont="1" applyBorder="1" applyAlignment="1">
      <alignment horizontal="center" vertical="top" wrapText="1"/>
    </xf>
    <xf numFmtId="0" fontId="8" fillId="0" borderId="6" xfId="0" applyFont="1" applyBorder="1" applyAlignment="1">
      <alignment vertical="top" wrapText="1"/>
    </xf>
    <xf numFmtId="0" fontId="5" fillId="0" borderId="2" xfId="0" applyFont="1" applyBorder="1"/>
    <xf numFmtId="0" fontId="1" fillId="0" borderId="2" xfId="0" applyFont="1" applyBorder="1" applyAlignment="1">
      <alignment horizontal="center"/>
    </xf>
    <xf numFmtId="0" fontId="1" fillId="3" borderId="17" xfId="0" applyFont="1" applyFill="1" applyBorder="1"/>
    <xf numFmtId="0" fontId="1" fillId="3" borderId="18" xfId="0" applyFont="1" applyFill="1" applyBorder="1"/>
    <xf numFmtId="1" fontId="1" fillId="0" borderId="0" xfId="0" applyNumberFormat="1" applyFont="1"/>
    <xf numFmtId="0" fontId="1" fillId="0" borderId="2" xfId="0" applyFont="1" applyBorder="1"/>
    <xf numFmtId="3" fontId="1" fillId="0" borderId="2" xfId="0" applyNumberFormat="1" applyFont="1" applyFill="1" applyBorder="1"/>
    <xf numFmtId="0" fontId="7" fillId="0" borderId="2" xfId="0" applyFont="1" applyFill="1" applyBorder="1"/>
    <xf numFmtId="3" fontId="1" fillId="0" borderId="2" xfId="0" applyNumberFormat="1" applyFont="1" applyBorder="1"/>
    <xf numFmtId="166" fontId="1" fillId="0" borderId="2" xfId="0" applyNumberFormat="1" applyFont="1" applyBorder="1"/>
    <xf numFmtId="0" fontId="1" fillId="0" borderId="18" xfId="0" applyFont="1" applyBorder="1"/>
    <xf numFmtId="0" fontId="1" fillId="0" borderId="0" xfId="0" applyFont="1" applyBorder="1"/>
    <xf numFmtId="0" fontId="1" fillId="0" borderId="2" xfId="0" applyFont="1" applyBorder="1" applyAlignment="1"/>
    <xf numFmtId="4" fontId="1" fillId="0" borderId="2" xfId="0" applyNumberFormat="1" applyFont="1" applyBorder="1"/>
    <xf numFmtId="0" fontId="1" fillId="0" borderId="0" xfId="0" applyFont="1" applyAlignment="1"/>
    <xf numFmtId="0" fontId="1" fillId="0" borderId="12" xfId="0" applyFont="1" applyBorder="1" applyAlignment="1"/>
    <xf numFmtId="3" fontId="1" fillId="0" borderId="16" xfId="0" applyNumberFormat="1" applyFont="1" applyBorder="1"/>
    <xf numFmtId="3" fontId="1" fillId="0" borderId="16" xfId="0" applyNumberFormat="1" applyFont="1" applyFill="1" applyBorder="1"/>
    <xf numFmtId="0" fontId="1" fillId="0" borderId="0" xfId="0" applyFont="1" applyBorder="1" applyAlignment="1">
      <alignment horizontal="right"/>
    </xf>
    <xf numFmtId="3" fontId="1" fillId="0" borderId="0" xfId="0" applyNumberFormat="1" applyFont="1" applyBorder="1" applyAlignment="1">
      <alignment horizontal="right"/>
    </xf>
    <xf numFmtId="1" fontId="1" fillId="0" borderId="0" xfId="0" applyNumberFormat="1" applyFont="1" applyBorder="1"/>
    <xf numFmtId="164" fontId="1" fillId="0" borderId="2" xfId="0" applyNumberFormat="1" applyFont="1" applyBorder="1"/>
    <xf numFmtId="165" fontId="1" fillId="0" borderId="2" xfId="0" applyNumberFormat="1" applyFont="1" applyBorder="1"/>
    <xf numFmtId="0" fontId="1" fillId="0" borderId="2" xfId="0" applyFont="1" applyBorder="1" applyAlignment="1">
      <alignment vertical="center" wrapText="1"/>
    </xf>
    <xf numFmtId="164" fontId="1" fillId="0" borderId="2" xfId="0" applyNumberFormat="1" applyFont="1" applyBorder="1" applyAlignment="1">
      <alignment vertical="center"/>
    </xf>
    <xf numFmtId="9" fontId="1" fillId="0" borderId="2" xfId="0" applyNumberFormat="1" applyFont="1" applyBorder="1"/>
    <xf numFmtId="0" fontId="1" fillId="0" borderId="11" xfId="0" applyFont="1" applyBorder="1"/>
    <xf numFmtId="0" fontId="1" fillId="0" borderId="7" xfId="0" applyFont="1" applyBorder="1"/>
    <xf numFmtId="0" fontId="1" fillId="0" borderId="9" xfId="0" applyFont="1" applyBorder="1"/>
    <xf numFmtId="0" fontId="1" fillId="0" borderId="0" xfId="0" applyFont="1" applyBorder="1" applyAlignment="1">
      <alignment vertical="center" wrapText="1"/>
    </xf>
    <xf numFmtId="164" fontId="1" fillId="0" borderId="0" xfId="0" applyNumberFormat="1" applyFont="1" applyBorder="1" applyAlignment="1">
      <alignment vertical="center"/>
    </xf>
    <xf numFmtId="0" fontId="1" fillId="0" borderId="10" xfId="0" applyFont="1" applyBorder="1"/>
    <xf numFmtId="0" fontId="1" fillId="0" borderId="8" xfId="0" applyFont="1" applyBorder="1"/>
    <xf numFmtId="0" fontId="8" fillId="0" borderId="0" xfId="0" applyFont="1"/>
    <xf numFmtId="0" fontId="1" fillId="0" borderId="0" xfId="0" applyNumberFormat="1" applyFont="1"/>
    <xf numFmtId="0" fontId="8" fillId="0" borderId="0" xfId="0" applyFont="1" applyFill="1" applyBorder="1"/>
    <xf numFmtId="0" fontId="8" fillId="0" borderId="0" xfId="0" applyFont="1" applyFill="1"/>
    <xf numFmtId="0" fontId="15" fillId="0" borderId="16" xfId="0" applyFont="1" applyBorder="1"/>
    <xf numFmtId="0" fontId="8" fillId="0" borderId="17" xfId="0" applyFont="1" applyBorder="1"/>
    <xf numFmtId="0" fontId="8" fillId="0" borderId="18" xfId="0" applyFont="1" applyBorder="1"/>
    <xf numFmtId="165" fontId="8" fillId="0" borderId="0" xfId="0" applyNumberFormat="1" applyFont="1" applyBorder="1"/>
    <xf numFmtId="4" fontId="8" fillId="0" borderId="0" xfId="0" applyNumberFormat="1" applyFont="1" applyBorder="1"/>
    <xf numFmtId="0" fontId="15" fillId="0" borderId="21" xfId="0" applyFont="1" applyBorder="1" applyAlignment="1">
      <alignment horizontal="left" indent="1"/>
    </xf>
    <xf numFmtId="0" fontId="15" fillId="0" borderId="16" xfId="0" applyFont="1" applyFill="1" applyBorder="1"/>
    <xf numFmtId="0" fontId="15" fillId="0" borderId="23" xfId="0" applyFont="1" applyBorder="1" applyAlignment="1">
      <alignment horizontal="left" indent="1"/>
    </xf>
    <xf numFmtId="165" fontId="8" fillId="0" borderId="15" xfId="0" applyNumberFormat="1" applyFont="1" applyBorder="1"/>
    <xf numFmtId="4" fontId="8" fillId="0" borderId="15" xfId="0" applyNumberFormat="1" applyFont="1" applyBorder="1"/>
    <xf numFmtId="0" fontId="16" fillId="0" borderId="16" xfId="0" applyFont="1" applyFill="1" applyBorder="1"/>
    <xf numFmtId="0" fontId="16" fillId="0" borderId="17" xfId="0" applyFont="1" applyBorder="1"/>
    <xf numFmtId="165" fontId="16" fillId="0" borderId="17" xfId="0" applyNumberFormat="1" applyFont="1" applyBorder="1"/>
    <xf numFmtId="165" fontId="16" fillId="0" borderId="18" xfId="0" applyNumberFormat="1" applyFont="1" applyBorder="1"/>
    <xf numFmtId="0" fontId="3" fillId="0" borderId="0" xfId="0" applyFont="1"/>
    <xf numFmtId="0" fontId="2" fillId="0" borderId="2" xfId="0" applyFont="1" applyBorder="1"/>
    <xf numFmtId="0" fontId="3" fillId="0" borderId="2" xfId="0" applyFont="1" applyBorder="1"/>
    <xf numFmtId="0" fontId="8" fillId="0" borderId="2" xfId="0" applyFont="1" applyBorder="1"/>
    <xf numFmtId="165" fontId="8" fillId="0" borderId="2" xfId="0" applyNumberFormat="1" applyFont="1" applyBorder="1"/>
    <xf numFmtId="3" fontId="8" fillId="0" borderId="2" xfId="0" applyNumberFormat="1" applyFont="1" applyBorder="1"/>
    <xf numFmtId="165" fontId="8" fillId="0" borderId="2" xfId="0" applyNumberFormat="1" applyFont="1" applyFill="1" applyBorder="1"/>
    <xf numFmtId="3" fontId="8" fillId="0" borderId="2" xfId="0" applyNumberFormat="1" applyFont="1" applyFill="1" applyBorder="1"/>
    <xf numFmtId="169" fontId="8" fillId="0" borderId="2" xfId="0" applyNumberFormat="1" applyFont="1" applyFill="1" applyBorder="1"/>
    <xf numFmtId="170" fontId="8" fillId="0" borderId="2" xfId="0" applyNumberFormat="1" applyFont="1" applyFill="1" applyBorder="1"/>
    <xf numFmtId="0" fontId="8" fillId="0" borderId="2" xfId="0" applyFont="1" applyFill="1" applyBorder="1"/>
    <xf numFmtId="4" fontId="8" fillId="0" borderId="2" xfId="0" applyNumberFormat="1" applyFont="1" applyBorder="1"/>
    <xf numFmtId="167" fontId="8" fillId="0" borderId="2" xfId="0" applyNumberFormat="1" applyFont="1" applyFill="1" applyBorder="1"/>
    <xf numFmtId="164" fontId="8" fillId="0" borderId="2" xfId="0" applyNumberFormat="1" applyFont="1" applyBorder="1"/>
    <xf numFmtId="3" fontId="3" fillId="0" borderId="0" xfId="0" applyNumberFormat="1" applyFont="1"/>
    <xf numFmtId="165" fontId="3" fillId="0" borderId="0" xfId="0" applyNumberFormat="1" applyFont="1"/>
    <xf numFmtId="3" fontId="4" fillId="0" borderId="2" xfId="0" applyNumberFormat="1" applyFont="1" applyBorder="1"/>
    <xf numFmtId="165" fontId="4" fillId="0" borderId="2" xfId="0" applyNumberFormat="1" applyFont="1" applyBorder="1"/>
    <xf numFmtId="3" fontId="3" fillId="0" borderId="2" xfId="0" applyNumberFormat="1" applyFont="1" applyBorder="1"/>
    <xf numFmtId="165" fontId="3" fillId="0" borderId="2" xfId="0" applyNumberFormat="1" applyFont="1" applyBorder="1"/>
    <xf numFmtId="0" fontId="3" fillId="0" borderId="2" xfId="0" applyFont="1" applyBorder="1" applyAlignment="1">
      <alignment horizontal="center" wrapText="1"/>
    </xf>
    <xf numFmtId="0" fontId="18" fillId="0" borderId="0" xfId="0" applyFont="1" applyFill="1"/>
    <xf numFmtId="0" fontId="18" fillId="0" borderId="0" xfId="0" applyFont="1" applyFill="1" applyAlignment="1">
      <alignment horizontal="left"/>
    </xf>
    <xf numFmtId="0" fontId="18" fillId="0" borderId="0" xfId="0" applyFont="1" applyFill="1" applyAlignment="1">
      <alignment horizontal="center"/>
    </xf>
    <xf numFmtId="3" fontId="18" fillId="0" borderId="0" xfId="0" applyNumberFormat="1" applyFont="1" applyFill="1" applyAlignment="1">
      <alignment horizontal="center"/>
    </xf>
    <xf numFmtId="0" fontId="17" fillId="0" borderId="0" xfId="0" applyFont="1" applyFill="1"/>
    <xf numFmtId="0" fontId="16" fillId="0" borderId="0" xfId="0" applyFont="1" applyFill="1" applyAlignment="1">
      <alignment vertical="top"/>
    </xf>
    <xf numFmtId="0" fontId="16" fillId="0" borderId="0" xfId="0" applyFont="1" applyFill="1" applyAlignment="1">
      <alignment horizontal="left" vertical="top"/>
    </xf>
    <xf numFmtId="0" fontId="16" fillId="0" borderId="0" xfId="0" applyFont="1" applyFill="1" applyAlignment="1">
      <alignment horizontal="left"/>
    </xf>
    <xf numFmtId="0" fontId="8" fillId="0" borderId="0" xfId="0" applyFont="1" applyFill="1" applyAlignment="1">
      <alignment horizontal="left" vertical="top"/>
    </xf>
    <xf numFmtId="0" fontId="17" fillId="0" borderId="0" xfId="0" applyFont="1" applyFill="1" applyAlignment="1">
      <alignment vertical="top"/>
    </xf>
    <xf numFmtId="0" fontId="18" fillId="0" borderId="0" xfId="0" applyNumberFormat="1" applyFont="1" applyFill="1" applyAlignment="1"/>
    <xf numFmtId="0" fontId="18" fillId="0" borderId="0" xfId="0" applyNumberFormat="1" applyFont="1" applyFill="1" applyAlignment="1">
      <alignment wrapText="1"/>
    </xf>
    <xf numFmtId="0" fontId="19" fillId="0" borderId="0" xfId="0" applyFont="1" applyFill="1"/>
    <xf numFmtId="1" fontId="18" fillId="0" borderId="0" xfId="0" applyNumberFormat="1" applyFont="1" applyFill="1" applyAlignment="1">
      <alignment horizontal="center"/>
    </xf>
    <xf numFmtId="0" fontId="18" fillId="0" borderId="0" xfId="0" applyFont="1" applyFill="1" applyAlignment="1"/>
    <xf numFmtId="0" fontId="17" fillId="0" borderId="0" xfId="0" applyFont="1" applyFill="1" applyBorder="1" applyAlignment="1">
      <alignment horizontal="left" vertical="center"/>
    </xf>
    <xf numFmtId="0" fontId="18" fillId="0" borderId="0" xfId="0" applyFont="1" applyFill="1" applyBorder="1" applyAlignment="1">
      <alignment horizontal="left"/>
    </xf>
    <xf numFmtId="0" fontId="18" fillId="0" borderId="0" xfId="0" applyFont="1" applyFill="1" applyBorder="1" applyAlignment="1">
      <alignment horizontal="center" vertical="top" wrapText="1"/>
    </xf>
    <xf numFmtId="0" fontId="17" fillId="0" borderId="0" xfId="0" applyFont="1" applyFill="1" applyBorder="1" applyAlignment="1">
      <alignment horizontal="center" vertical="top" wrapText="1"/>
    </xf>
    <xf numFmtId="0" fontId="18" fillId="0" borderId="0" xfId="0" applyFont="1" applyFill="1" applyBorder="1" applyAlignment="1">
      <alignment horizontal="centerContinuous"/>
    </xf>
    <xf numFmtId="0" fontId="18" fillId="0" borderId="0" xfId="0" applyFont="1" applyFill="1" applyBorder="1" applyAlignment="1">
      <alignment horizontal="centerContinuous" vertical="top" wrapText="1"/>
    </xf>
    <xf numFmtId="0" fontId="20" fillId="0" borderId="0" xfId="0" applyFont="1" applyFill="1" applyBorder="1" applyAlignment="1">
      <alignment horizontal="center" vertical="top" wrapText="1"/>
    </xf>
    <xf numFmtId="0" fontId="18" fillId="0" borderId="0" xfId="0" applyFont="1" applyFill="1" applyBorder="1"/>
    <xf numFmtId="3" fontId="18" fillId="0" borderId="0" xfId="0" applyNumberFormat="1" applyFont="1" applyFill="1" applyBorder="1" applyAlignment="1">
      <alignment horizontal="center"/>
    </xf>
    <xf numFmtId="0" fontId="18" fillId="0" borderId="0" xfId="0" applyFont="1" applyFill="1" applyBorder="1" applyAlignment="1">
      <alignment horizontal="center"/>
    </xf>
    <xf numFmtId="3" fontId="18" fillId="0" borderId="0" xfId="0" applyNumberFormat="1" applyFont="1" applyFill="1" applyBorder="1" applyAlignment="1">
      <alignment horizontal="center" wrapText="1"/>
    </xf>
    <xf numFmtId="0" fontId="18" fillId="0" borderId="0" xfId="0" applyFont="1" applyFill="1" applyAlignment="1">
      <alignment wrapText="1"/>
    </xf>
    <xf numFmtId="0" fontId="18" fillId="0" borderId="0" xfId="0" applyFont="1" applyFill="1" applyAlignment="1">
      <alignment horizontal="center" wrapText="1"/>
    </xf>
    <xf numFmtId="3" fontId="18" fillId="0" borderId="0" xfId="0" applyNumberFormat="1" applyFont="1" applyFill="1" applyAlignment="1">
      <alignment horizontal="center" wrapText="1"/>
    </xf>
    <xf numFmtId="0" fontId="18" fillId="0" borderId="14" xfId="0" applyFont="1" applyFill="1" applyBorder="1"/>
    <xf numFmtId="0" fontId="18" fillId="0" borderId="1" xfId="0" applyFont="1" applyFill="1" applyBorder="1"/>
    <xf numFmtId="165" fontId="17" fillId="0" borderId="14" xfId="0" applyNumberFormat="1" applyFont="1" applyFill="1" applyBorder="1" applyAlignment="1">
      <alignment horizontal="right"/>
    </xf>
    <xf numFmtId="165" fontId="17" fillId="0" borderId="1" xfId="0" applyNumberFormat="1" applyFont="1" applyFill="1" applyBorder="1"/>
    <xf numFmtId="0" fontId="17" fillId="0" borderId="14" xfId="0" applyFont="1" applyFill="1" applyBorder="1"/>
    <xf numFmtId="0" fontId="17" fillId="0" borderId="1" xfId="0" applyFont="1" applyFill="1" applyBorder="1"/>
    <xf numFmtId="0" fontId="2" fillId="0" borderId="0" xfId="0" applyFont="1"/>
    <xf numFmtId="0" fontId="16" fillId="0" borderId="2" xfId="0" applyFont="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center" vertical="top" wrapText="1"/>
    </xf>
    <xf numFmtId="3" fontId="8" fillId="0" borderId="2" xfId="0" applyNumberFormat="1" applyFont="1" applyBorder="1" applyAlignment="1">
      <alignment horizontal="center" vertical="top" wrapText="1"/>
    </xf>
    <xf numFmtId="166" fontId="8" fillId="0" borderId="2" xfId="0" applyNumberFormat="1" applyFont="1" applyBorder="1" applyAlignment="1">
      <alignment horizontal="center" vertical="top" wrapText="1"/>
    </xf>
    <xf numFmtId="0" fontId="16" fillId="0" borderId="2" xfId="0" applyFont="1" applyBorder="1" applyAlignment="1">
      <alignment horizontal="center" vertical="top" wrapText="1"/>
    </xf>
    <xf numFmtId="3" fontId="16" fillId="0" borderId="2" xfId="0" applyNumberFormat="1" applyFont="1" applyBorder="1" applyAlignment="1">
      <alignment horizontal="center" vertical="top" wrapText="1"/>
    </xf>
    <xf numFmtId="4" fontId="8" fillId="0" borderId="2" xfId="0" applyNumberFormat="1" applyFont="1" applyBorder="1" applyAlignment="1">
      <alignment horizontal="center" vertical="top" wrapText="1"/>
    </xf>
    <xf numFmtId="0" fontId="16" fillId="0" borderId="2" xfId="0" applyFont="1" applyBorder="1" applyAlignment="1">
      <alignment horizontal="left" vertical="top" wrapText="1"/>
    </xf>
    <xf numFmtId="3" fontId="8" fillId="0" borderId="2" xfId="0" applyNumberFormat="1" applyFont="1" applyBorder="1" applyAlignment="1">
      <alignment vertical="top" wrapText="1"/>
    </xf>
    <xf numFmtId="166" fontId="8" fillId="0" borderId="2" xfId="0" applyNumberFormat="1" applyFont="1" applyBorder="1" applyAlignment="1">
      <alignment vertical="top" wrapText="1"/>
    </xf>
    <xf numFmtId="0" fontId="15" fillId="0" borderId="16" xfId="0" applyFont="1" applyBorder="1" applyAlignment="1">
      <alignment horizontal="left" vertical="top" wrapText="1" indent="1"/>
    </xf>
    <xf numFmtId="0" fontId="15" fillId="0" borderId="17" xfId="0" applyFont="1" applyBorder="1" applyAlignment="1">
      <alignment vertical="top" wrapText="1"/>
    </xf>
    <xf numFmtId="3" fontId="15" fillId="0" borderId="18" xfId="0" applyNumberFormat="1" applyFont="1" applyBorder="1" applyAlignment="1">
      <alignment horizontal="center" vertical="top" wrapText="1"/>
    </xf>
    <xf numFmtId="4" fontId="8" fillId="0" borderId="2" xfId="0" applyNumberFormat="1" applyFont="1" applyBorder="1" applyAlignment="1">
      <alignment vertical="top" wrapText="1"/>
    </xf>
    <xf numFmtId="4" fontId="15" fillId="0" borderId="18" xfId="0" applyNumberFormat="1" applyFont="1" applyBorder="1" applyAlignment="1">
      <alignment horizontal="center" vertical="top" wrapText="1"/>
    </xf>
    <xf numFmtId="0" fontId="8" fillId="0" borderId="16" xfId="0" applyFont="1" applyBorder="1" applyAlignment="1">
      <alignment horizontal="left" vertical="top" wrapText="1"/>
    </xf>
    <xf numFmtId="0" fontId="8" fillId="0" borderId="19" xfId="0" applyFont="1" applyBorder="1" applyAlignment="1">
      <alignment horizontal="left" vertical="top" wrapText="1"/>
    </xf>
    <xf numFmtId="4" fontId="8" fillId="0" borderId="12" xfId="0" applyNumberFormat="1" applyFont="1" applyBorder="1" applyAlignment="1">
      <alignment horizontal="center" vertical="top" wrapText="1"/>
    </xf>
    <xf numFmtId="166" fontId="8" fillId="0" borderId="12" xfId="0" applyNumberFormat="1" applyFont="1" applyBorder="1" applyAlignment="1">
      <alignment horizontal="center" vertical="top" wrapText="1"/>
    </xf>
    <xf numFmtId="0" fontId="16" fillId="0" borderId="17" xfId="0" applyFont="1" applyBorder="1" applyAlignment="1">
      <alignment horizontal="center" vertical="top" wrapText="1"/>
    </xf>
    <xf numFmtId="3" fontId="16" fillId="0" borderId="18" xfId="0" applyNumberFormat="1" applyFont="1" applyBorder="1" applyAlignment="1">
      <alignment horizontal="center" vertical="top" wrapText="1"/>
    </xf>
    <xf numFmtId="0" fontId="21" fillId="0" borderId="0" xfId="0" applyFont="1" applyFill="1" applyBorder="1" applyAlignment="1">
      <alignment vertical="top" wrapText="1"/>
    </xf>
    <xf numFmtId="0" fontId="22" fillId="0" borderId="0" xfId="0" applyFont="1"/>
    <xf numFmtId="0" fontId="1" fillId="3" borderId="0" xfId="0" applyFont="1" applyFill="1" applyBorder="1"/>
    <xf numFmtId="0" fontId="23" fillId="2" borderId="6" xfId="0" applyFont="1" applyFill="1" applyBorder="1"/>
    <xf numFmtId="3" fontId="22" fillId="0" borderId="0" xfId="0" applyNumberFormat="1" applyFont="1" applyFill="1" applyBorder="1"/>
    <xf numFmtId="3" fontId="1" fillId="0" borderId="0" xfId="0" applyNumberFormat="1" applyFont="1"/>
    <xf numFmtId="166" fontId="1" fillId="0" borderId="0" xfId="0" applyNumberFormat="1" applyFont="1"/>
    <xf numFmtId="1" fontId="22" fillId="0" borderId="0" xfId="0" applyNumberFormat="1" applyFont="1"/>
    <xf numFmtId="0" fontId="24" fillId="0" borderId="0" xfId="0" applyFont="1" applyFill="1"/>
    <xf numFmtId="0" fontId="24" fillId="0" borderId="0" xfId="0" applyFont="1" applyFill="1" applyAlignment="1"/>
    <xf numFmtId="0" fontId="24" fillId="0" borderId="0" xfId="0" applyFont="1" applyFill="1" applyAlignment="1">
      <alignment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22" fillId="0" borderId="0" xfId="0" applyFont="1" applyFill="1" applyBorder="1" applyAlignment="1">
      <alignment horizontal="right"/>
    </xf>
    <xf numFmtId="9" fontId="22" fillId="0" borderId="0" xfId="5" applyFont="1" applyBorder="1" applyAlignment="1">
      <alignment horizontal="right"/>
    </xf>
    <xf numFmtId="164" fontId="8" fillId="0" borderId="2" xfId="0" applyNumberFormat="1" applyFont="1" applyFill="1" applyBorder="1"/>
    <xf numFmtId="165" fontId="16" fillId="0" borderId="0" xfId="0" applyNumberFormat="1" applyFont="1" applyFill="1" applyBorder="1"/>
    <xf numFmtId="4" fontId="16" fillId="0" borderId="0" xfId="0" applyNumberFormat="1" applyFont="1" applyFill="1" applyBorder="1"/>
    <xf numFmtId="165" fontId="16" fillId="0" borderId="22" xfId="0" applyNumberFormat="1" applyFont="1" applyFill="1" applyBorder="1"/>
    <xf numFmtId="165" fontId="16" fillId="0" borderId="0" xfId="0" applyNumberFormat="1" applyFont="1" applyBorder="1"/>
    <xf numFmtId="4" fontId="16" fillId="0" borderId="0" xfId="0" applyNumberFormat="1" applyFont="1" applyBorder="1"/>
    <xf numFmtId="165" fontId="16" fillId="0" borderId="22" xfId="0" applyNumberFormat="1" applyFont="1" applyBorder="1"/>
    <xf numFmtId="165" fontId="16" fillId="0" borderId="15" xfId="0" applyNumberFormat="1" applyFont="1" applyBorder="1"/>
    <xf numFmtId="4" fontId="16" fillId="0" borderId="15" xfId="0" applyNumberFormat="1" applyFont="1" applyBorder="1"/>
    <xf numFmtId="165" fontId="16" fillId="0" borderId="24" xfId="0" applyNumberFormat="1" applyFont="1" applyBorder="1"/>
    <xf numFmtId="165" fontId="8" fillId="0" borderId="0" xfId="0" applyNumberFormat="1" applyFont="1"/>
    <xf numFmtId="0" fontId="17" fillId="0" borderId="0" xfId="0" applyFont="1" applyFill="1" applyBorder="1"/>
    <xf numFmtId="0" fontId="25" fillId="0" borderId="16" xfId="0" applyNumberFormat="1" applyFont="1" applyFill="1" applyBorder="1" applyAlignment="1">
      <alignment horizontal="center"/>
    </xf>
    <xf numFmtId="0" fontId="25" fillId="0" borderId="12" xfId="0" applyFont="1" applyFill="1" applyBorder="1" applyAlignment="1"/>
    <xf numFmtId="0" fontId="26" fillId="0" borderId="25" xfId="0" applyNumberFormat="1" applyFont="1" applyFill="1" applyBorder="1" applyAlignment="1"/>
    <xf numFmtId="0" fontId="25" fillId="0" borderId="18" xfId="0" applyNumberFormat="1" applyFont="1" applyFill="1" applyBorder="1" applyAlignment="1">
      <alignment horizontal="center"/>
    </xf>
    <xf numFmtId="0" fontId="25" fillId="0" borderId="2" xfId="0" applyNumberFormat="1" applyFont="1" applyFill="1" applyBorder="1" applyAlignment="1">
      <alignment horizontal="center"/>
    </xf>
    <xf numFmtId="4" fontId="25" fillId="0" borderId="16" xfId="0" applyNumberFormat="1" applyFont="1" applyFill="1" applyBorder="1" applyAlignment="1">
      <alignment horizontal="center"/>
    </xf>
    <xf numFmtId="164" fontId="26" fillId="0" borderId="12" xfId="0" applyNumberFormat="1" applyFont="1" applyFill="1" applyBorder="1" applyAlignment="1"/>
    <xf numFmtId="0" fontId="26" fillId="0" borderId="12" xfId="0" applyNumberFormat="1" applyFont="1" applyFill="1" applyBorder="1" applyAlignment="1"/>
    <xf numFmtId="0" fontId="25" fillId="0" borderId="19" xfId="0" applyNumberFormat="1" applyFont="1" applyFill="1" applyBorder="1" applyAlignment="1">
      <alignment horizontal="center" wrapText="1"/>
    </xf>
    <xf numFmtId="0" fontId="26" fillId="0" borderId="13" xfId="0" applyFont="1" applyFill="1" applyBorder="1" applyAlignment="1">
      <alignment horizontal="center" wrapText="1"/>
    </xf>
    <xf numFmtId="0" fontId="26" fillId="0" borderId="22" xfId="0" applyFont="1" applyFill="1" applyBorder="1" applyAlignment="1">
      <alignment horizontal="center" wrapText="1"/>
    </xf>
    <xf numFmtId="0" fontId="25" fillId="0" borderId="25" xfId="0" applyNumberFormat="1" applyFont="1" applyFill="1" applyBorder="1" applyAlignment="1">
      <alignment horizontal="center" wrapText="1"/>
    </xf>
    <xf numFmtId="0" fontId="25" fillId="0" borderId="12" xfId="0" applyNumberFormat="1" applyFont="1" applyFill="1" applyBorder="1" applyAlignment="1">
      <alignment horizontal="center" wrapText="1"/>
    </xf>
    <xf numFmtId="0" fontId="25" fillId="0" borderId="2" xfId="0" applyNumberFormat="1" applyFont="1" applyFill="1" applyBorder="1" applyAlignment="1">
      <alignment horizontal="center" wrapText="1"/>
    </xf>
    <xf numFmtId="4" fontId="25" fillId="0" borderId="19" xfId="0" applyNumberFormat="1" applyFont="1" applyFill="1" applyBorder="1" applyAlignment="1">
      <alignment horizontal="center" wrapText="1"/>
    </xf>
    <xf numFmtId="3" fontId="26" fillId="0" borderId="13" xfId="0" applyNumberFormat="1" applyFont="1" applyFill="1" applyBorder="1" applyAlignment="1">
      <alignment horizontal="center" wrapText="1"/>
    </xf>
    <xf numFmtId="0" fontId="26" fillId="0" borderId="2" xfId="0" applyFont="1" applyFill="1" applyBorder="1" applyAlignment="1">
      <alignment wrapText="1"/>
    </xf>
    <xf numFmtId="0" fontId="26" fillId="0" borderId="2" xfId="0" applyFont="1" applyFill="1" applyBorder="1" applyAlignment="1">
      <alignment horizontal="center"/>
    </xf>
    <xf numFmtId="165" fontId="26" fillId="0" borderId="2" xfId="0" applyNumberFormat="1" applyFont="1" applyFill="1" applyBorder="1" applyAlignment="1">
      <alignment horizontal="center"/>
    </xf>
    <xf numFmtId="3" fontId="26" fillId="0" borderId="2" xfId="0" applyNumberFormat="1" applyFont="1" applyFill="1" applyBorder="1" applyAlignment="1">
      <alignment horizontal="center"/>
    </xf>
    <xf numFmtId="166" fontId="26" fillId="0" borderId="2" xfId="1" applyNumberFormat="1" applyFont="1" applyFill="1" applyBorder="1" applyAlignment="1">
      <alignment horizontal="center"/>
    </xf>
    <xf numFmtId="3" fontId="26" fillId="0" borderId="2" xfId="1" applyNumberFormat="1" applyFont="1" applyFill="1" applyBorder="1" applyAlignment="1">
      <alignment horizontal="center"/>
    </xf>
    <xf numFmtId="0" fontId="26" fillId="0" borderId="2" xfId="0" applyFont="1" applyFill="1" applyBorder="1" applyAlignment="1">
      <alignment horizontal="left" wrapText="1"/>
    </xf>
    <xf numFmtId="166" fontId="26" fillId="0" borderId="2" xfId="0" applyNumberFormat="1" applyFont="1" applyFill="1" applyBorder="1" applyAlignment="1">
      <alignment horizontal="center"/>
    </xf>
    <xf numFmtId="4" fontId="26" fillId="0" borderId="2" xfId="1" applyNumberFormat="1" applyFont="1" applyFill="1" applyBorder="1" applyAlignment="1">
      <alignment horizontal="center"/>
    </xf>
    <xf numFmtId="4" fontId="26" fillId="0" borderId="2" xfId="0" applyNumberFormat="1" applyFont="1" applyFill="1" applyBorder="1" applyAlignment="1">
      <alignment horizontal="center"/>
    </xf>
    <xf numFmtId="0" fontId="29" fillId="0" borderId="2" xfId="0" applyFont="1" applyFill="1" applyBorder="1" applyAlignment="1"/>
    <xf numFmtId="0" fontId="25" fillId="0" borderId="2" xfId="0" applyFont="1" applyFill="1" applyBorder="1" applyAlignment="1">
      <alignment horizontal="center"/>
    </xf>
    <xf numFmtId="165" fontId="25" fillId="0" borderId="2" xfId="0" applyNumberFormat="1" applyFont="1" applyFill="1" applyBorder="1" applyAlignment="1">
      <alignment horizontal="center"/>
    </xf>
    <xf numFmtId="3" fontId="25" fillId="0" borderId="2" xfId="0" applyNumberFormat="1" applyFont="1" applyFill="1" applyBorder="1" applyAlignment="1">
      <alignment horizontal="center"/>
    </xf>
    <xf numFmtId="3" fontId="25" fillId="0" borderId="2" xfId="1" applyNumberFormat="1" applyFont="1" applyFill="1" applyBorder="1" applyAlignment="1">
      <alignment horizontal="center"/>
    </xf>
    <xf numFmtId="0" fontId="29" fillId="0" borderId="2" xfId="0" applyFont="1" applyFill="1" applyBorder="1"/>
    <xf numFmtId="0" fontId="30" fillId="0" borderId="2" xfId="0" applyFont="1" applyFill="1" applyBorder="1" applyAlignment="1">
      <alignment vertical="center"/>
    </xf>
    <xf numFmtId="0" fontId="25" fillId="0" borderId="2" xfId="0" applyFont="1" applyFill="1" applyBorder="1" applyAlignment="1">
      <alignment vertical="center"/>
    </xf>
    <xf numFmtId="1" fontId="25" fillId="0" borderId="2" xfId="0" applyNumberFormat="1" applyFont="1" applyFill="1" applyBorder="1" applyAlignment="1">
      <alignment horizontal="center"/>
    </xf>
    <xf numFmtId="0" fontId="26" fillId="0" borderId="2" xfId="0" applyFont="1" applyFill="1" applyBorder="1"/>
    <xf numFmtId="166" fontId="26" fillId="0" borderId="2" xfId="2" applyNumberFormat="1" applyFont="1" applyFill="1" applyBorder="1" applyAlignment="1">
      <alignment horizontal="center"/>
    </xf>
    <xf numFmtId="4" fontId="26" fillId="0" borderId="2" xfId="2" applyNumberFormat="1" applyFont="1" applyFill="1" applyBorder="1" applyAlignment="1">
      <alignment horizontal="center"/>
    </xf>
    <xf numFmtId="164" fontId="26" fillId="0" borderId="2" xfId="2" applyNumberFormat="1" applyFont="1" applyFill="1" applyBorder="1" applyAlignment="1">
      <alignment horizontal="center"/>
    </xf>
    <xf numFmtId="165" fontId="26" fillId="0" borderId="2" xfId="2" applyNumberFormat="1" applyFont="1" applyFill="1" applyBorder="1" applyAlignment="1">
      <alignment horizontal="center"/>
    </xf>
    <xf numFmtId="1" fontId="26" fillId="0" borderId="2" xfId="2" applyNumberFormat="1" applyFont="1" applyFill="1" applyBorder="1" applyAlignment="1">
      <alignment horizontal="center"/>
    </xf>
    <xf numFmtId="168" fontId="26" fillId="0" borderId="2" xfId="0" applyNumberFormat="1" applyFont="1" applyFill="1" applyBorder="1" applyAlignment="1">
      <alignment horizontal="center"/>
    </xf>
    <xf numFmtId="165" fontId="25" fillId="0" borderId="2" xfId="2" applyNumberFormat="1" applyFont="1" applyFill="1" applyBorder="1" applyAlignment="1">
      <alignment horizontal="center"/>
    </xf>
    <xf numFmtId="1" fontId="26" fillId="0" borderId="2" xfId="0" applyNumberFormat="1" applyFont="1" applyFill="1" applyBorder="1" applyAlignment="1">
      <alignment horizontal="center"/>
    </xf>
    <xf numFmtId="0" fontId="25" fillId="0" borderId="2" xfId="0" applyFont="1" applyFill="1" applyBorder="1"/>
    <xf numFmtId="0" fontId="26" fillId="0" borderId="19" xfId="0" applyNumberFormat="1" applyFont="1" applyFill="1" applyBorder="1" applyAlignment="1"/>
    <xf numFmtId="0" fontId="25" fillId="0" borderId="16" xfId="0" applyNumberFormat="1" applyFont="1" applyFill="1" applyBorder="1" applyAlignment="1">
      <alignment horizontal="center" wrapText="1"/>
    </xf>
    <xf numFmtId="0" fontId="26" fillId="0" borderId="6" xfId="0" applyFont="1" applyFill="1" applyBorder="1" applyAlignment="1">
      <alignment horizontal="center" wrapText="1"/>
    </xf>
    <xf numFmtId="0" fontId="26" fillId="0" borderId="24" xfId="0" applyFont="1" applyFill="1" applyBorder="1" applyAlignment="1">
      <alignment horizontal="center" wrapText="1"/>
    </xf>
    <xf numFmtId="0" fontId="25" fillId="0" borderId="18" xfId="0" applyNumberFormat="1" applyFont="1" applyFill="1" applyBorder="1" applyAlignment="1">
      <alignment horizontal="center" wrapText="1"/>
    </xf>
    <xf numFmtId="4" fontId="25" fillId="0" borderId="16" xfId="0" applyNumberFormat="1" applyFont="1" applyFill="1" applyBorder="1" applyAlignment="1">
      <alignment horizontal="center" wrapText="1"/>
    </xf>
    <xf numFmtId="3" fontId="26" fillId="0" borderId="6" xfId="0" applyNumberFormat="1" applyFont="1" applyFill="1" applyBorder="1" applyAlignment="1">
      <alignment horizontal="center" wrapText="1"/>
    </xf>
    <xf numFmtId="165" fontId="26" fillId="0" borderId="6" xfId="0" applyNumberFormat="1" applyFont="1" applyFill="1" applyBorder="1" applyAlignment="1">
      <alignment horizontal="center"/>
    </xf>
    <xf numFmtId="164" fontId="26" fillId="0" borderId="2" xfId="0" applyNumberFormat="1" applyFont="1" applyFill="1" applyBorder="1" applyAlignment="1">
      <alignment horizontal="center"/>
    </xf>
    <xf numFmtId="167" fontId="26" fillId="0" borderId="2" xfId="0" applyNumberFormat="1" applyFont="1" applyFill="1" applyBorder="1" applyAlignment="1">
      <alignment horizontal="center"/>
    </xf>
    <xf numFmtId="0" fontId="26" fillId="0" borderId="2" xfId="0" applyFont="1" applyFill="1" applyBorder="1" applyAlignment="1">
      <alignment horizontal="left"/>
    </xf>
    <xf numFmtId="2" fontId="26" fillId="0" borderId="2" xfId="0" applyNumberFormat="1" applyFont="1" applyFill="1" applyBorder="1" applyAlignment="1">
      <alignment horizontal="center"/>
    </xf>
    <xf numFmtId="164" fontId="26" fillId="0" borderId="2" xfId="1" applyNumberFormat="1" applyFont="1" applyFill="1" applyBorder="1" applyAlignment="1">
      <alignment horizontal="center"/>
    </xf>
    <xf numFmtId="169" fontId="26" fillId="0" borderId="2" xfId="0" applyNumberFormat="1" applyFont="1" applyFill="1" applyBorder="1" applyAlignment="1">
      <alignment horizontal="center"/>
    </xf>
    <xf numFmtId="166" fontId="26" fillId="0" borderId="2" xfId="1" quotePrefix="1" applyNumberFormat="1" applyFont="1" applyFill="1" applyBorder="1" applyAlignment="1">
      <alignment horizontal="center"/>
    </xf>
    <xf numFmtId="0" fontId="25" fillId="0" borderId="2" xfId="0" applyNumberFormat="1" applyFont="1" applyFill="1" applyBorder="1" applyAlignment="1">
      <alignment horizontal="center" vertical="center"/>
    </xf>
    <xf numFmtId="3" fontId="26" fillId="0" borderId="2" xfId="0" applyNumberFormat="1" applyFont="1" applyFill="1" applyBorder="1" applyAlignment="1">
      <alignment horizontal="center" wrapText="1"/>
    </xf>
    <xf numFmtId="49" fontId="26" fillId="0" borderId="2" xfId="0" applyNumberFormat="1" applyFont="1" applyFill="1" applyBorder="1" applyAlignment="1">
      <alignment vertical="top" wrapText="1"/>
    </xf>
    <xf numFmtId="4" fontId="26" fillId="0" borderId="2" xfId="0" applyNumberFormat="1" applyFont="1" applyFill="1" applyBorder="1" applyAlignment="1">
      <alignment horizontal="center" wrapText="1"/>
    </xf>
    <xf numFmtId="49" fontId="26" fillId="0" borderId="2" xfId="0" applyNumberFormat="1" applyFont="1" applyFill="1" applyBorder="1" applyAlignment="1">
      <alignment vertical="top"/>
    </xf>
    <xf numFmtId="49" fontId="26" fillId="0" borderId="12" xfId="0" applyNumberFormat="1" applyFont="1" applyFill="1" applyBorder="1" applyAlignment="1">
      <alignment vertical="top"/>
    </xf>
    <xf numFmtId="166" fontId="26" fillId="0" borderId="2" xfId="0" applyNumberFormat="1" applyFont="1" applyFill="1" applyBorder="1" applyAlignment="1">
      <alignment horizontal="center" wrapText="1"/>
    </xf>
    <xf numFmtId="49" fontId="26" fillId="0" borderId="12" xfId="0" applyNumberFormat="1" applyFont="1" applyFill="1" applyBorder="1" applyAlignment="1">
      <alignment horizontal="left" vertical="top" wrapText="1"/>
    </xf>
    <xf numFmtId="49" fontId="26" fillId="0" borderId="2" xfId="0" applyNumberFormat="1" applyFont="1" applyFill="1" applyBorder="1" applyAlignment="1">
      <alignment horizontal="left" vertical="top" wrapText="1"/>
    </xf>
    <xf numFmtId="49" fontId="26" fillId="0" borderId="13" xfId="0" applyNumberFormat="1" applyFont="1" applyFill="1" applyBorder="1" applyAlignment="1">
      <alignment vertical="top"/>
    </xf>
    <xf numFmtId="3" fontId="26" fillId="0" borderId="13" xfId="0" applyNumberFormat="1" applyFont="1" applyFill="1" applyBorder="1" applyAlignment="1">
      <alignment vertical="top"/>
    </xf>
    <xf numFmtId="39" fontId="26" fillId="0" borderId="2" xfId="0" applyNumberFormat="1" applyFont="1" applyFill="1" applyBorder="1" applyAlignment="1">
      <alignment horizontal="center" wrapText="1"/>
    </xf>
    <xf numFmtId="0" fontId="25" fillId="0" borderId="2" xfId="0" applyFont="1" applyFill="1" applyBorder="1" applyAlignment="1">
      <alignment horizontal="left"/>
    </xf>
    <xf numFmtId="165" fontId="26" fillId="0" borderId="2" xfId="0" applyNumberFormat="1" applyFont="1" applyFill="1" applyBorder="1" applyAlignment="1">
      <alignment horizontal="right" wrapText="1"/>
    </xf>
    <xf numFmtId="164" fontId="26" fillId="0" borderId="2" xfId="0" applyNumberFormat="1" applyFont="1" applyFill="1" applyBorder="1" applyAlignment="1">
      <alignment horizontal="right" wrapText="1"/>
    </xf>
    <xf numFmtId="167" fontId="26" fillId="0" borderId="2" xfId="0" applyNumberFormat="1" applyFont="1" applyFill="1" applyBorder="1" applyAlignment="1">
      <alignment horizontal="right" wrapText="1"/>
    </xf>
    <xf numFmtId="165" fontId="25" fillId="0" borderId="2" xfId="0" applyNumberFormat="1" applyFont="1" applyFill="1" applyBorder="1" applyAlignment="1">
      <alignment horizontal="right" wrapText="1"/>
    </xf>
    <xf numFmtId="0" fontId="14" fillId="0" borderId="0" xfId="0" applyFont="1" applyBorder="1" applyAlignment="1">
      <alignment vertical="center"/>
    </xf>
    <xf numFmtId="0" fontId="5" fillId="0" borderId="0" xfId="0" applyFont="1" applyBorder="1"/>
    <xf numFmtId="3" fontId="26" fillId="0" borderId="21" xfId="0" applyNumberFormat="1" applyFont="1" applyFill="1" applyBorder="1" applyAlignment="1">
      <alignment horizontal="center"/>
    </xf>
    <xf numFmtId="0" fontId="24" fillId="0" borderId="0" xfId="0" applyFont="1" applyFill="1" applyBorder="1" applyAlignment="1">
      <alignment horizontal="left"/>
    </xf>
    <xf numFmtId="3" fontId="25" fillId="0" borderId="16" xfId="0" applyNumberFormat="1" applyFont="1" applyFill="1" applyBorder="1" applyAlignment="1">
      <alignment horizontal="center"/>
    </xf>
    <xf numFmtId="3" fontId="25" fillId="0" borderId="17" xfId="0" applyNumberFormat="1" applyFont="1" applyFill="1" applyBorder="1" applyAlignment="1">
      <alignment horizontal="center"/>
    </xf>
    <xf numFmtId="3" fontId="25" fillId="0" borderId="18" xfId="0" applyNumberFormat="1" applyFont="1" applyFill="1" applyBorder="1" applyAlignment="1">
      <alignment horizontal="center"/>
    </xf>
    <xf numFmtId="1" fontId="37" fillId="0" borderId="0" xfId="0" applyNumberFormat="1" applyFont="1" applyFill="1"/>
    <xf numFmtId="0" fontId="37" fillId="0" borderId="0" xfId="0" applyFont="1" applyFill="1"/>
    <xf numFmtId="3" fontId="26" fillId="0" borderId="16" xfId="0" applyNumberFormat="1" applyFont="1" applyFill="1" applyBorder="1" applyAlignment="1">
      <alignment horizontal="center"/>
    </xf>
    <xf numFmtId="0" fontId="38" fillId="0" borderId="0" xfId="0" applyFont="1"/>
    <xf numFmtId="166" fontId="38" fillId="0" borderId="0" xfId="0" applyNumberFormat="1" applyFont="1"/>
    <xf numFmtId="1" fontId="38" fillId="0" borderId="0" xfId="0" applyNumberFormat="1" applyFont="1"/>
    <xf numFmtId="3" fontId="38" fillId="0" borderId="0" xfId="0" applyNumberFormat="1" applyFont="1"/>
    <xf numFmtId="3" fontId="39" fillId="0" borderId="21" xfId="0" applyNumberFormat="1" applyFont="1" applyFill="1" applyBorder="1" applyAlignment="1">
      <alignment horizontal="center" vertical="top" wrapText="1"/>
    </xf>
    <xf numFmtId="1" fontId="8" fillId="0" borderId="2" xfId="0" applyNumberFormat="1" applyFont="1" applyBorder="1"/>
    <xf numFmtId="1" fontId="8" fillId="0" borderId="2" xfId="0" applyNumberFormat="1" applyFont="1" applyFill="1" applyBorder="1"/>
    <xf numFmtId="164" fontId="1" fillId="0" borderId="2" xfId="0" applyNumberFormat="1" applyFont="1" applyFill="1" applyBorder="1"/>
    <xf numFmtId="0" fontId="22" fillId="0" borderId="0" xfId="0" applyFont="1" applyFill="1"/>
    <xf numFmtId="0" fontId="1" fillId="0" borderId="0" xfId="0" applyFont="1" applyFill="1" applyAlignment="1">
      <alignment wrapText="1"/>
    </xf>
    <xf numFmtId="0" fontId="7" fillId="0" borderId="0" xfId="0" applyFont="1" applyFill="1" applyBorder="1"/>
    <xf numFmtId="3" fontId="1" fillId="0" borderId="0" xfId="0" applyNumberFormat="1" applyFont="1" applyFill="1" applyBorder="1"/>
    <xf numFmtId="166" fontId="1" fillId="0" borderId="2" xfId="0" applyNumberFormat="1" applyFont="1" applyFill="1" applyBorder="1"/>
    <xf numFmtId="3" fontId="38" fillId="0" borderId="2" xfId="0" applyNumberFormat="1" applyFont="1" applyFill="1" applyBorder="1"/>
    <xf numFmtId="3" fontId="38" fillId="0" borderId="0" xfId="0" applyNumberFormat="1" applyFont="1" applyFill="1" applyBorder="1"/>
    <xf numFmtId="3" fontId="38" fillId="0" borderId="0" xfId="0" applyNumberFormat="1" applyFont="1" applyBorder="1"/>
    <xf numFmtId="166" fontId="38" fillId="0" borderId="2" xfId="0" applyNumberFormat="1" applyFont="1" applyFill="1" applyBorder="1"/>
    <xf numFmtId="3" fontId="38" fillId="0" borderId="19" xfId="0" applyNumberFormat="1" applyFont="1" applyFill="1" applyBorder="1"/>
    <xf numFmtId="166" fontId="38" fillId="0" borderId="21" xfId="0" applyNumberFormat="1" applyFont="1" applyFill="1" applyBorder="1"/>
    <xf numFmtId="3" fontId="38" fillId="0" borderId="21" xfId="0" applyNumberFormat="1" applyFont="1" applyFill="1" applyBorder="1"/>
    <xf numFmtId="3" fontId="38" fillId="0" borderId="0" xfId="0" applyNumberFormat="1" applyFont="1" applyFill="1"/>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3" fontId="21" fillId="0" borderId="16" xfId="0" applyNumberFormat="1" applyFont="1" applyFill="1" applyBorder="1" applyAlignment="1">
      <alignment horizontal="center" vertical="center" wrapText="1"/>
    </xf>
    <xf numFmtId="3" fontId="21" fillId="0" borderId="17" xfId="0" applyNumberFormat="1" applyFont="1" applyFill="1" applyBorder="1" applyAlignment="1">
      <alignment horizontal="center" vertical="center" wrapText="1"/>
    </xf>
    <xf numFmtId="3" fontId="21" fillId="0" borderId="18" xfId="0" applyNumberFormat="1" applyFont="1" applyFill="1" applyBorder="1" applyAlignment="1">
      <alignment horizontal="center" vertical="center" wrapText="1"/>
    </xf>
    <xf numFmtId="0" fontId="25" fillId="0" borderId="12" xfId="0" applyNumberFormat="1" applyFont="1" applyFill="1" applyBorder="1" applyAlignment="1">
      <alignment horizontal="left" wrapText="1"/>
    </xf>
    <xf numFmtId="0" fontId="25" fillId="0" borderId="13" xfId="0" applyNumberFormat="1" applyFont="1" applyFill="1" applyBorder="1" applyAlignment="1">
      <alignment horizontal="left" wrapText="1"/>
    </xf>
    <xf numFmtId="3" fontId="25" fillId="0" borderId="2" xfId="0" applyNumberFormat="1" applyFont="1" applyFill="1" applyBorder="1" applyAlignment="1">
      <alignment horizontal="center" wrapText="1"/>
    </xf>
    <xf numFmtId="0" fontId="18" fillId="0" borderId="0" xfId="0" applyFont="1" applyFill="1" applyAlignment="1">
      <alignment horizontal="left" wrapText="1"/>
    </xf>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6" xfId="0" applyFont="1" applyBorder="1" applyAlignment="1">
      <alignment horizontal="center" vertical="center"/>
    </xf>
    <xf numFmtId="0" fontId="7" fillId="0" borderId="19" xfId="0" applyFont="1" applyFill="1" applyBorder="1" applyAlignment="1">
      <alignment horizontal="left" wrapText="1"/>
    </xf>
    <xf numFmtId="0" fontId="7" fillId="0" borderId="20" xfId="0" applyFont="1" applyFill="1" applyBorder="1" applyAlignment="1">
      <alignment horizontal="left" wrapText="1"/>
    </xf>
    <xf numFmtId="0" fontId="7" fillId="0" borderId="21" xfId="0" applyFont="1" applyFill="1" applyBorder="1" applyAlignment="1">
      <alignment horizontal="left" wrapText="1"/>
    </xf>
    <xf numFmtId="0" fontId="7" fillId="0" borderId="0" xfId="0" applyFont="1" applyFill="1" applyBorder="1" applyAlignment="1">
      <alignment horizontal="left" wrapText="1"/>
    </xf>
    <xf numFmtId="0" fontId="1" fillId="0" borderId="0" xfId="0" applyFont="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vertical="top"/>
    </xf>
    <xf numFmtId="0" fontId="25" fillId="0" borderId="6" xfId="0" applyNumberFormat="1" applyFont="1" applyFill="1" applyBorder="1" applyAlignment="1">
      <alignment horizontal="left" wrapText="1"/>
    </xf>
    <xf numFmtId="3" fontId="25" fillId="0" borderId="16" xfId="0" applyNumberFormat="1" applyFont="1" applyFill="1" applyBorder="1" applyAlignment="1">
      <alignment horizontal="center"/>
    </xf>
    <xf numFmtId="3" fontId="25" fillId="0" borderId="17" xfId="0" applyNumberFormat="1" applyFont="1" applyFill="1" applyBorder="1" applyAlignment="1">
      <alignment horizontal="center"/>
    </xf>
    <xf numFmtId="3" fontId="25" fillId="0" borderId="18" xfId="0" applyNumberFormat="1" applyFont="1" applyFill="1" applyBorder="1" applyAlignment="1">
      <alignment horizontal="center"/>
    </xf>
    <xf numFmtId="0" fontId="18" fillId="0" borderId="0" xfId="0" applyFont="1" applyFill="1" applyBorder="1" applyAlignment="1">
      <alignment horizontal="left" wrapText="1"/>
    </xf>
    <xf numFmtId="3" fontId="25" fillId="0" borderId="16" xfId="2" applyNumberFormat="1" applyFont="1" applyFill="1" applyBorder="1" applyAlignment="1">
      <alignment horizontal="center"/>
    </xf>
    <xf numFmtId="3" fontId="25" fillId="0" borderId="17" xfId="2" applyNumberFormat="1" applyFont="1" applyFill="1" applyBorder="1" applyAlignment="1">
      <alignment horizontal="center"/>
    </xf>
    <xf numFmtId="3" fontId="25" fillId="0" borderId="18" xfId="2" applyNumberFormat="1" applyFont="1" applyFill="1" applyBorder="1" applyAlignment="1">
      <alignment horizontal="center"/>
    </xf>
    <xf numFmtId="3" fontId="25" fillId="0" borderId="16" xfId="1" applyNumberFormat="1" applyFont="1" applyFill="1" applyBorder="1" applyAlignment="1">
      <alignment horizontal="center"/>
    </xf>
    <xf numFmtId="3" fontId="25" fillId="0" borderId="17" xfId="1" applyNumberFormat="1" applyFont="1" applyFill="1" applyBorder="1" applyAlignment="1">
      <alignment horizontal="center"/>
    </xf>
    <xf numFmtId="3" fontId="25" fillId="0" borderId="18" xfId="1" applyNumberFormat="1" applyFont="1" applyFill="1" applyBorder="1" applyAlignment="1">
      <alignment horizontal="center"/>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6" fillId="0" borderId="16" xfId="0" applyFont="1" applyBorder="1" applyAlignment="1">
      <alignment vertical="top" wrapText="1"/>
    </xf>
    <xf numFmtId="0" fontId="16" fillId="0" borderId="17" xfId="0" applyFont="1" applyBorder="1" applyAlignment="1">
      <alignment vertical="top" wrapText="1"/>
    </xf>
    <xf numFmtId="0" fontId="15" fillId="0" borderId="16" xfId="0" applyFont="1" applyBorder="1" applyAlignment="1">
      <alignment horizontal="left" vertical="top" wrapText="1"/>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8" fillId="0" borderId="16" xfId="0" applyFont="1" applyBorder="1" applyAlignment="1">
      <alignment vertical="top" wrapText="1"/>
    </xf>
    <xf numFmtId="0" fontId="8" fillId="0" borderId="18" xfId="0" applyFont="1" applyBorder="1" applyAlignment="1">
      <alignment vertical="top" wrapText="1"/>
    </xf>
    <xf numFmtId="0" fontId="13" fillId="0" borderId="0" xfId="0" applyFont="1" applyFill="1" applyBorder="1" applyAlignment="1">
      <alignment horizontal="center" vertical="top"/>
    </xf>
  </cellXfs>
  <cellStyles count="6">
    <cellStyle name="Comma" xfId="1" builtinId="3"/>
    <cellStyle name="Comma 2" xfId="3" xr:uid="{00000000-0005-0000-0000-000001000000}"/>
    <cellStyle name="Currency" xfId="2" builtinId="4"/>
    <cellStyle name="Currency 2" xfId="4" xr:uid="{00000000-0005-0000-0000-000003000000}"/>
    <cellStyle name="Normal" xfId="0" builtinId="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
  <sheetViews>
    <sheetView tabSelected="1" workbookViewId="0">
      <selection activeCell="L17" sqref="L17"/>
    </sheetView>
  </sheetViews>
  <sheetFormatPr defaultColWidth="9.140625" defaultRowHeight="11.25" x14ac:dyDescent="0.2"/>
  <cols>
    <col min="1" max="1" width="33.28515625" style="4" customWidth="1"/>
    <col min="2" max="2" width="13.85546875" style="4" customWidth="1"/>
    <col min="3" max="3" width="16.28515625" style="4" customWidth="1"/>
    <col min="4" max="4" width="13.85546875" style="4" bestFit="1" customWidth="1"/>
    <col min="5" max="5" width="18.85546875" style="4" customWidth="1"/>
    <col min="6" max="7" width="15.28515625" style="4" customWidth="1"/>
    <col min="8" max="8" width="14" style="4" bestFit="1" customWidth="1"/>
    <col min="9" max="9" width="12.140625" style="4" customWidth="1"/>
    <col min="10" max="10" width="16.85546875" style="4" customWidth="1"/>
    <col min="11" max="16384" width="9.140625" style="4"/>
  </cols>
  <sheetData>
    <row r="1" spans="1:12" ht="13.5" thickBot="1" x14ac:dyDescent="0.25">
      <c r="A1" s="265" t="s">
        <v>284</v>
      </c>
    </row>
    <row r="2" spans="1:12" ht="13.5" thickBot="1" x14ac:dyDescent="0.25">
      <c r="C2" s="295" t="s">
        <v>279</v>
      </c>
      <c r="D2" s="296"/>
      <c r="E2" s="296"/>
      <c r="F2" s="297"/>
    </row>
    <row r="3" spans="1:12" ht="22.5" x14ac:dyDescent="0.2">
      <c r="A3" s="82" t="s">
        <v>39</v>
      </c>
      <c r="B3" s="100" t="s">
        <v>171</v>
      </c>
      <c r="C3" s="100" t="s">
        <v>178</v>
      </c>
      <c r="D3" s="100" t="s">
        <v>173</v>
      </c>
      <c r="E3" s="100" t="s">
        <v>172</v>
      </c>
      <c r="F3" s="100" t="s">
        <v>174</v>
      </c>
      <c r="G3" s="100" t="s">
        <v>175</v>
      </c>
      <c r="H3" s="100" t="s">
        <v>176</v>
      </c>
      <c r="I3" s="100" t="s">
        <v>280</v>
      </c>
    </row>
    <row r="4" spans="1:12" x14ac:dyDescent="0.2">
      <c r="A4" s="81" t="s">
        <v>167</v>
      </c>
      <c r="B4" s="96">
        <f>'Respondents&amp;Responses'!F9</f>
        <v>2099.5</v>
      </c>
      <c r="C4" s="96">
        <f>'Respondents&amp;Responses'!E36</f>
        <v>3026</v>
      </c>
      <c r="D4" s="96">
        <f>LrgSolid!I39</f>
        <v>98005.59</v>
      </c>
      <c r="E4" s="96">
        <f>LrgSolid!I54</f>
        <v>25479.86</v>
      </c>
      <c r="F4" s="96">
        <f>LrgSolid!I57</f>
        <v>123485.45</v>
      </c>
      <c r="G4" s="97">
        <f>LrgSolid!L55</f>
        <v>14065744.65</v>
      </c>
      <c r="H4" s="97">
        <f>'Capital vs. O&amp;M'!D15+'Capital vs. O&amp;M'!G15</f>
        <v>6060259.9000000004</v>
      </c>
      <c r="I4" s="97">
        <f>SUM(G4,H4)</f>
        <v>20126004.550000001</v>
      </c>
    </row>
    <row r="5" spans="1:12" x14ac:dyDescent="0.2">
      <c r="A5" s="81" t="s">
        <v>168</v>
      </c>
      <c r="B5" s="96">
        <f>'Respondents&amp;Responses'!F14</f>
        <v>5263.84</v>
      </c>
      <c r="C5" s="96">
        <f>'Respondents&amp;Responses'!E42</f>
        <v>3118.9283333333333</v>
      </c>
      <c r="D5" s="96">
        <f>LrgLiquid!J33</f>
        <v>88274.680000000008</v>
      </c>
      <c r="E5" s="96">
        <f>LrgLiquid!J48</f>
        <v>298130.19</v>
      </c>
      <c r="F5" s="96">
        <f>LrgLiquid!J51</f>
        <v>386404.87</v>
      </c>
      <c r="G5" s="97">
        <f>LrgLiquid!M49</f>
        <v>44013865.959999993</v>
      </c>
      <c r="H5" s="97">
        <f>'Capital vs. O&amp;M'!D22+'Capital vs. O&amp;M'!G22</f>
        <v>22453728.23</v>
      </c>
      <c r="I5" s="97">
        <f>SUM(G5,H5)</f>
        <v>66467594.189999998</v>
      </c>
    </row>
    <row r="6" spans="1:12" x14ac:dyDescent="0.2">
      <c r="A6" s="81" t="s">
        <v>169</v>
      </c>
      <c r="B6" s="96">
        <f>'Respondents&amp;Responses'!F19</f>
        <v>5707.84</v>
      </c>
      <c r="C6" s="96">
        <f>'Respondents&amp;Responses'!E47</f>
        <v>2952.2550000000001</v>
      </c>
      <c r="D6" s="96">
        <f>SmlSolid!H18</f>
        <v>65128.799999999996</v>
      </c>
      <c r="E6" s="96">
        <f>SmlSolid!H28</f>
        <v>14769.020000000002</v>
      </c>
      <c r="F6" s="96">
        <f>SmlSolid!H31</f>
        <v>79897.819999999992</v>
      </c>
      <c r="G6" s="97">
        <f>SmlSolid!K29</f>
        <v>9100847.2800000012</v>
      </c>
      <c r="H6" s="97">
        <f>'Capital vs. O&amp;M'!D25+'Capital vs. O&amp;M'!G25</f>
        <v>6358522.6200000001</v>
      </c>
      <c r="I6" s="97">
        <f>SUM(G6,H6)</f>
        <v>15459369.900000002</v>
      </c>
    </row>
    <row r="7" spans="1:12" x14ac:dyDescent="0.2">
      <c r="A7" s="81" t="s">
        <v>170</v>
      </c>
      <c r="B7" s="96">
        <f>'Respondents&amp;Responses'!F24</f>
        <v>87303</v>
      </c>
      <c r="C7" s="96">
        <f>'Respondents&amp;Responses'!E52</f>
        <v>45630.5</v>
      </c>
      <c r="D7" s="96">
        <f>SmlLiquid!H18</f>
        <v>1009543.6100000001</v>
      </c>
      <c r="E7" s="96">
        <f>SmlLiquid!H28</f>
        <v>225896.52</v>
      </c>
      <c r="F7" s="96">
        <f>SmlLiquid!H31</f>
        <v>1235440.1300000001</v>
      </c>
      <c r="G7" s="97">
        <f>SmlLiquid!K29</f>
        <v>140724151.01160002</v>
      </c>
      <c r="H7" s="97">
        <f>'Capital vs. O&amp;M'!D28+'Capital vs. O&amp;M'!G28</f>
        <v>97255542</v>
      </c>
      <c r="I7" s="97">
        <f>SUM(G7,H7)</f>
        <v>237979693.01160002</v>
      </c>
    </row>
    <row r="8" spans="1:12" x14ac:dyDescent="0.2">
      <c r="A8" s="82" t="s">
        <v>41</v>
      </c>
      <c r="B8" s="98">
        <f>SUM(B4:B7)</f>
        <v>100374.18</v>
      </c>
      <c r="C8" s="98">
        <f>SUM(C4:C7)</f>
        <v>54727.683333333334</v>
      </c>
      <c r="D8" s="98">
        <f t="shared" ref="D8:E8" si="0">SUM(D4:D7)</f>
        <v>1260952.6800000002</v>
      </c>
      <c r="E8" s="98">
        <f t="shared" si="0"/>
        <v>564275.59</v>
      </c>
      <c r="F8" s="98">
        <f>SUM(F4:F7)</f>
        <v>1825228.27</v>
      </c>
      <c r="G8" s="99">
        <f>SUM(G4:G7)</f>
        <v>207904608.9016</v>
      </c>
      <c r="H8" s="99">
        <f>SUM(H4:H7)</f>
        <v>132128052.75</v>
      </c>
      <c r="I8" s="99">
        <f>(SUM(I4:I7))</f>
        <v>340032661.6516</v>
      </c>
    </row>
    <row r="9" spans="1:12" x14ac:dyDescent="0.2">
      <c r="A9" s="82" t="s">
        <v>281</v>
      </c>
      <c r="B9" s="98"/>
      <c r="C9" s="98"/>
      <c r="D9" s="98"/>
      <c r="E9" s="98"/>
      <c r="F9" s="98">
        <f>ROUND(F8,-4)</f>
        <v>1830000</v>
      </c>
      <c r="G9" s="99">
        <f>ROUND(G8,-6)</f>
        <v>208000000</v>
      </c>
      <c r="H9" s="99">
        <f>ROUND(H8,-6)</f>
        <v>132000000</v>
      </c>
      <c r="I9" s="99">
        <f>ROUND(I8,-6)</f>
        <v>340000000</v>
      </c>
      <c r="K9" s="94">
        <f>F8/C8</f>
        <v>33.351096900684936</v>
      </c>
      <c r="L9" s="95" t="s">
        <v>177</v>
      </c>
    </row>
    <row r="10" spans="1:12" ht="12.75" x14ac:dyDescent="0.2">
      <c r="A10" s="80"/>
      <c r="B10" s="94"/>
      <c r="C10" s="94"/>
      <c r="F10" s="298" t="s">
        <v>283</v>
      </c>
      <c r="G10" s="299"/>
      <c r="H10" s="299"/>
      <c r="I10" s="300"/>
    </row>
    <row r="11" spans="1:12" x14ac:dyDescent="0.2">
      <c r="A11" s="81" t="s">
        <v>285</v>
      </c>
      <c r="B11" s="96">
        <f>0.49*B8</f>
        <v>49183.348199999993</v>
      </c>
      <c r="C11" s="96">
        <f>0.49*C8</f>
        <v>26816.564833333334</v>
      </c>
      <c r="D11" s="96">
        <f>0.49*D8</f>
        <v>617866.81320000009</v>
      </c>
      <c r="E11" s="96">
        <f>0.49*E8</f>
        <v>276495.03909999999</v>
      </c>
      <c r="F11" s="96">
        <f>ROUND(0.49*F8,-3)</f>
        <v>894000</v>
      </c>
      <c r="G11" s="96">
        <f>ROUND(0.49*G8,-5)</f>
        <v>101900000</v>
      </c>
      <c r="H11" s="96">
        <f>ROUND(0.49*H8,-5)</f>
        <v>64700000</v>
      </c>
      <c r="I11" s="96">
        <f>G11+H11</f>
        <v>166600000</v>
      </c>
    </row>
    <row r="12" spans="1:12" x14ac:dyDescent="0.2">
      <c r="A12" s="81" t="s">
        <v>286</v>
      </c>
      <c r="B12" s="96">
        <f>0.51*B8</f>
        <v>51190.8318</v>
      </c>
      <c r="C12" s="96">
        <f>0.51*C8</f>
        <v>27911.1185</v>
      </c>
      <c r="D12" s="96">
        <f>0.51*D8</f>
        <v>643085.86680000008</v>
      </c>
      <c r="E12" s="96">
        <f>0.51*E8</f>
        <v>287780.55089999997</v>
      </c>
      <c r="F12" s="96">
        <f>ROUND(0.51*F8,-3)</f>
        <v>931000</v>
      </c>
      <c r="G12" s="96">
        <f>ROUND(0.51*G8,-5)</f>
        <v>106000000</v>
      </c>
      <c r="H12" s="96">
        <f>ROUND(0.51*H8,-5)</f>
        <v>67400000</v>
      </c>
      <c r="I12" s="96">
        <f>G12+H12</f>
        <v>173400000</v>
      </c>
    </row>
    <row r="13" spans="1:12" ht="15.75" x14ac:dyDescent="0.2">
      <c r="A13" s="264" t="s">
        <v>282</v>
      </c>
      <c r="D13" s="136"/>
    </row>
  </sheetData>
  <mergeCells count="2">
    <mergeCell ref="C2:F2"/>
    <mergeCell ref="F10:I10"/>
  </mergeCells>
  <phoneticPr fontId="4" type="noConversion"/>
  <pageMargins left="0.75" right="0.75" top="1" bottom="1" header="0.5"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topLeftCell="A7" zoomScaleNormal="100" workbookViewId="0">
      <selection activeCell="I8" sqref="I8"/>
    </sheetView>
  </sheetViews>
  <sheetFormatPr defaultColWidth="9.140625" defaultRowHeight="11.25" x14ac:dyDescent="0.2"/>
  <cols>
    <col min="1" max="1" width="48.85546875" style="101" customWidth="1"/>
    <col min="2" max="2" width="12" style="128" customWidth="1"/>
    <col min="3" max="3" width="13" style="128" customWidth="1"/>
    <col min="4" max="4" width="14.28515625" style="128" customWidth="1"/>
    <col min="5" max="5" width="10.5703125" style="128" customWidth="1"/>
    <col min="6" max="6" width="11.7109375" style="128" bestFit="1" customWidth="1"/>
    <col min="7" max="7" width="9.5703125" style="128" customWidth="1"/>
    <col min="8" max="8" width="13" style="129" customWidth="1"/>
    <col min="9" max="9" width="27.140625" style="101" customWidth="1"/>
    <col min="10" max="10" width="14.85546875" style="101" customWidth="1"/>
    <col min="11" max="11" width="31.85546875" style="101" customWidth="1"/>
    <col min="12" max="16384" width="9.140625" style="101"/>
  </cols>
  <sheetData>
    <row r="1" spans="1:11" s="65" customFormat="1" ht="12.75" customHeight="1" x14ac:dyDescent="0.2">
      <c r="A1" s="107" t="s">
        <v>82</v>
      </c>
      <c r="B1" s="107"/>
      <c r="C1" s="107"/>
      <c r="D1" s="107"/>
      <c r="E1" s="107"/>
      <c r="F1" s="107"/>
      <c r="G1" s="107"/>
      <c r="H1" s="107"/>
    </row>
    <row r="2" spans="1:11" x14ac:dyDescent="0.2">
      <c r="A2" s="110"/>
      <c r="B2" s="110"/>
      <c r="C2" s="110"/>
      <c r="D2" s="110"/>
      <c r="E2" s="110"/>
      <c r="F2" s="110"/>
      <c r="G2" s="110"/>
      <c r="H2" s="110"/>
      <c r="I2" s="110"/>
    </row>
    <row r="3" spans="1:11" s="111" customFormat="1" ht="12.75" customHeight="1" x14ac:dyDescent="0.2">
      <c r="A3" s="301" t="s">
        <v>21</v>
      </c>
      <c r="B3" s="247" t="s">
        <v>131</v>
      </c>
      <c r="C3" s="247" t="s">
        <v>132</v>
      </c>
      <c r="D3" s="247" t="s">
        <v>133</v>
      </c>
      <c r="E3" s="247" t="s">
        <v>134</v>
      </c>
      <c r="F3" s="247" t="s">
        <v>135</v>
      </c>
      <c r="G3" s="247" t="s">
        <v>136</v>
      </c>
      <c r="H3" s="247" t="s">
        <v>137</v>
      </c>
    </row>
    <row r="4" spans="1:11" s="112" customFormat="1" ht="48" x14ac:dyDescent="0.2">
      <c r="A4" s="302"/>
      <c r="B4" s="199" t="s">
        <v>139</v>
      </c>
      <c r="C4" s="199" t="s">
        <v>140</v>
      </c>
      <c r="D4" s="199" t="s">
        <v>141</v>
      </c>
      <c r="E4" s="199" t="s">
        <v>142</v>
      </c>
      <c r="F4" s="199" t="s">
        <v>143</v>
      </c>
      <c r="G4" s="199" t="s">
        <v>144</v>
      </c>
      <c r="H4" s="200" t="s">
        <v>265</v>
      </c>
    </row>
    <row r="5" spans="1:11" ht="13.5" x14ac:dyDescent="0.2">
      <c r="A5" s="222" t="s">
        <v>266</v>
      </c>
      <c r="B5" s="248">
        <v>40</v>
      </c>
      <c r="C5" s="248">
        <v>0</v>
      </c>
      <c r="D5" s="248">
        <f>B5*C5</f>
        <v>0</v>
      </c>
      <c r="E5" s="248">
        <f>D5</f>
        <v>0</v>
      </c>
      <c r="F5" s="248">
        <f>E5*0.05</f>
        <v>0</v>
      </c>
      <c r="G5" s="248">
        <f>E5*0.1</f>
        <v>0</v>
      </c>
      <c r="H5" s="260">
        <f>(E5*'Base Data'!$G$59)+(F5*'Base Data'!$G$57)+(G5*'Base Data'!$G$58)</f>
        <v>0</v>
      </c>
      <c r="I5" s="116"/>
      <c r="J5" s="117"/>
      <c r="K5" s="118"/>
    </row>
    <row r="6" spans="1:11" ht="15.6" customHeight="1" x14ac:dyDescent="0.2">
      <c r="A6" s="249" t="s">
        <v>267</v>
      </c>
      <c r="B6" s="248">
        <v>2</v>
      </c>
      <c r="C6" s="250">
        <f>LrgSolid!$H$34 + LrgLiquid!$I$28 + SmlSolid!$G$15 + SmlLiquid!$G$15</f>
        <v>1129.8399999999999</v>
      </c>
      <c r="D6" s="250">
        <f>ROUND(B6*C6, 2)</f>
        <v>2259.6799999999998</v>
      </c>
      <c r="E6" s="250">
        <f>D6</f>
        <v>2259.6799999999998</v>
      </c>
      <c r="F6" s="250">
        <f>ROUND(E6*0.05, 2)</f>
        <v>112.98</v>
      </c>
      <c r="G6" s="250">
        <f>ROUND(E6*0.1, 2)</f>
        <v>225.97</v>
      </c>
      <c r="H6" s="261">
        <f>ROUND((E6*'Base Data'!$G$59)+(F6*'Base Data'!$G$57)+(G6*'Base Data'!$G$58), 2)</f>
        <v>123544.4</v>
      </c>
      <c r="I6" s="119"/>
      <c r="J6" s="119"/>
      <c r="K6" s="119"/>
    </row>
    <row r="7" spans="1:11" ht="12" x14ac:dyDescent="0.2">
      <c r="A7" s="251" t="s">
        <v>218</v>
      </c>
      <c r="B7" s="248"/>
      <c r="C7" s="248"/>
      <c r="D7" s="248"/>
      <c r="E7" s="248"/>
      <c r="F7" s="248"/>
      <c r="G7" s="248"/>
      <c r="H7" s="261"/>
      <c r="I7" s="118"/>
      <c r="J7" s="118"/>
      <c r="K7" s="118"/>
    </row>
    <row r="8" spans="1:11" ht="13.5" x14ac:dyDescent="0.2">
      <c r="A8" s="252" t="s">
        <v>268</v>
      </c>
      <c r="B8" s="248">
        <v>40</v>
      </c>
      <c r="C8" s="248">
        <f>ROUND(0.2*(SUM(LrgSolid!$H$14:$H$16) + LrgLiquid!$I$14), 2)</f>
        <v>16.600000000000001</v>
      </c>
      <c r="D8" s="248">
        <f t="shared" ref="D8:D12" si="0">ROUND(B8*C8, 2)</f>
        <v>664</v>
      </c>
      <c r="E8" s="248">
        <f>D8</f>
        <v>664</v>
      </c>
      <c r="F8" s="248">
        <f t="shared" ref="F8:F12" si="1">ROUND(E8*0.05, 2)</f>
        <v>33.200000000000003</v>
      </c>
      <c r="G8" s="248">
        <f t="shared" ref="G8:G12" si="2">ROUND(E8*0.1, 2)</f>
        <v>66.400000000000006</v>
      </c>
      <c r="H8" s="261">
        <f>ROUND((E8*'Base Data'!$G$59)+(F8*'Base Data'!$G$57)+(G8*'Base Data'!$G$58), 2)</f>
        <v>36303.199999999997</v>
      </c>
      <c r="I8" s="267"/>
      <c r="J8" s="120"/>
      <c r="K8" s="121"/>
    </row>
    <row r="9" spans="1:11" ht="13.5" x14ac:dyDescent="0.2">
      <c r="A9" s="251" t="s">
        <v>269</v>
      </c>
      <c r="B9" s="248">
        <v>40</v>
      </c>
      <c r="C9" s="253">
        <f>ROUND(0.1*C8, 2)</f>
        <v>1.66</v>
      </c>
      <c r="D9" s="248">
        <f t="shared" si="0"/>
        <v>66.400000000000006</v>
      </c>
      <c r="E9" s="248">
        <f>D9</f>
        <v>66.400000000000006</v>
      </c>
      <c r="F9" s="253">
        <f t="shared" si="1"/>
        <v>3.32</v>
      </c>
      <c r="G9" s="253">
        <f t="shared" si="2"/>
        <v>6.64</v>
      </c>
      <c r="H9" s="261">
        <f>ROUND((E9*'Base Data'!$G$59)+(F9*'Base Data'!$G$57)+(G9*'Base Data'!$G$58), 2)</f>
        <v>3630.32</v>
      </c>
      <c r="I9" s="120"/>
      <c r="J9" s="120"/>
      <c r="K9" s="121"/>
    </row>
    <row r="10" spans="1:11" ht="13.5" x14ac:dyDescent="0.2">
      <c r="A10" s="251" t="s">
        <v>270</v>
      </c>
      <c r="B10" s="248">
        <v>2</v>
      </c>
      <c r="C10" s="248">
        <f>ROUND(1*(SUM(LrgSolid!$H$14:$H$16) + LrgLiquid!$I$14), 2)</f>
        <v>83</v>
      </c>
      <c r="D10" s="248">
        <f t="shared" si="0"/>
        <v>166</v>
      </c>
      <c r="E10" s="248">
        <f>D10</f>
        <v>166</v>
      </c>
      <c r="F10" s="253">
        <f t="shared" si="1"/>
        <v>8.3000000000000007</v>
      </c>
      <c r="G10" s="253">
        <f t="shared" si="2"/>
        <v>16.600000000000001</v>
      </c>
      <c r="H10" s="261">
        <f>ROUND((E10*'Base Data'!$G$59)+(F10*'Base Data'!$G$57)+(G10*'Base Data'!$G$58), 2)</f>
        <v>9075.7999999999993</v>
      </c>
      <c r="I10" s="119"/>
      <c r="J10" s="119"/>
      <c r="K10" s="119"/>
    </row>
    <row r="11" spans="1:11" ht="13.5" x14ac:dyDescent="0.2">
      <c r="A11" s="252" t="s">
        <v>271</v>
      </c>
      <c r="B11" s="248">
        <v>2</v>
      </c>
      <c r="C11" s="248">
        <f>ROUND(LrgSolid!H45 + LrgLiquid!$I$39, 2)</f>
        <v>5559.5</v>
      </c>
      <c r="D11" s="248">
        <f t="shared" si="0"/>
        <v>11119</v>
      </c>
      <c r="E11" s="248">
        <f>D11</f>
        <v>11119</v>
      </c>
      <c r="F11" s="253">
        <f t="shared" si="1"/>
        <v>555.95000000000005</v>
      </c>
      <c r="G11" s="253">
        <f t="shared" si="2"/>
        <v>1111.9000000000001</v>
      </c>
      <c r="H11" s="261">
        <f>ROUND((E11*'Base Data'!$G$59)+(F11*'Base Data'!$G$57)+(G11*'Base Data'!$G$58), 2)</f>
        <v>607914.65</v>
      </c>
      <c r="I11" s="118"/>
      <c r="J11" s="118"/>
      <c r="K11" s="118"/>
    </row>
    <row r="12" spans="1:11" ht="13.5" x14ac:dyDescent="0.2">
      <c r="A12" s="251" t="s">
        <v>272</v>
      </c>
      <c r="B12" s="248">
        <v>24</v>
      </c>
      <c r="C12" s="253">
        <f>ROUND(0.1*C10, 2)</f>
        <v>8.3000000000000007</v>
      </c>
      <c r="D12" s="253">
        <f t="shared" si="0"/>
        <v>199.2</v>
      </c>
      <c r="E12" s="253">
        <f>D12</f>
        <v>199.2</v>
      </c>
      <c r="F12" s="250">
        <f t="shared" si="1"/>
        <v>9.9600000000000009</v>
      </c>
      <c r="G12" s="250">
        <f t="shared" si="2"/>
        <v>19.920000000000002</v>
      </c>
      <c r="H12" s="261">
        <f>ROUND((E12*'Base Data'!$G$59)+(F12*'Base Data'!$G$57)+(G12*'Base Data'!$G$58), 2)</f>
        <v>10890.96</v>
      </c>
      <c r="I12" s="118"/>
      <c r="J12" s="118"/>
      <c r="K12" s="118"/>
    </row>
    <row r="13" spans="1:11" ht="12" x14ac:dyDescent="0.2">
      <c r="A13" s="251" t="s">
        <v>219</v>
      </c>
      <c r="B13" s="248"/>
      <c r="C13" s="248"/>
      <c r="D13" s="248"/>
      <c r="E13" s="248"/>
      <c r="F13" s="248"/>
      <c r="G13" s="248"/>
      <c r="H13" s="260"/>
      <c r="I13" s="118"/>
      <c r="J13" s="118"/>
      <c r="K13" s="118"/>
    </row>
    <row r="14" spans="1:11" ht="11.25" customHeight="1" x14ac:dyDescent="0.2">
      <c r="A14" s="254" t="s">
        <v>273</v>
      </c>
      <c r="B14" s="248">
        <v>2</v>
      </c>
      <c r="C14" s="250">
        <f>C6</f>
        <v>1129.8399999999999</v>
      </c>
      <c r="D14" s="250">
        <f t="shared" ref="D14:D16" si="3">ROUND(B14*C14, 2)</f>
        <v>2259.6799999999998</v>
      </c>
      <c r="E14" s="250">
        <f t="shared" ref="E14:E20" si="4">D14</f>
        <v>2259.6799999999998</v>
      </c>
      <c r="F14" s="250">
        <f t="shared" ref="F14:F16" si="5">ROUND(E14*0.05, 2)</f>
        <v>112.98</v>
      </c>
      <c r="G14" s="250">
        <f t="shared" ref="G14:G19" si="6">ROUND(E14*0.1, 2)</f>
        <v>225.97</v>
      </c>
      <c r="H14" s="261">
        <f>ROUND((E14*'Base Data'!$G$59)+(F14*'Base Data'!$G$57)+(G14*'Base Data'!$G$58), 2)</f>
        <v>123544.4</v>
      </c>
      <c r="I14" s="118"/>
      <c r="J14" s="118"/>
      <c r="K14" s="118"/>
    </row>
    <row r="15" spans="1:11" ht="11.25" customHeight="1" x14ac:dyDescent="0.2">
      <c r="A15" s="255" t="s">
        <v>274</v>
      </c>
      <c r="B15" s="248">
        <v>20</v>
      </c>
      <c r="C15" s="248">
        <f>C10</f>
        <v>83</v>
      </c>
      <c r="D15" s="248">
        <f t="shared" si="3"/>
        <v>1660</v>
      </c>
      <c r="E15" s="248">
        <f t="shared" si="4"/>
        <v>1660</v>
      </c>
      <c r="F15" s="248">
        <f t="shared" si="5"/>
        <v>83</v>
      </c>
      <c r="G15" s="248">
        <f t="shared" si="6"/>
        <v>166</v>
      </c>
      <c r="H15" s="261">
        <f>ROUND((E15*'Base Data'!$G$59)+(F15*'Base Data'!$G$57)+(G15*'Base Data'!$G$58), 2)</f>
        <v>90758.01</v>
      </c>
      <c r="I15" s="118"/>
      <c r="J15" s="118"/>
      <c r="K15" s="118"/>
    </row>
    <row r="16" spans="1:11" ht="13.5" x14ac:dyDescent="0.2">
      <c r="A16" s="252" t="s">
        <v>275</v>
      </c>
      <c r="B16" s="248">
        <v>2</v>
      </c>
      <c r="C16" s="250">
        <f>LrgSolid!$H$35 + LrgLiquid!$I$29 + SmlSolid!$G$16 + SmlLiquid!$G$16</f>
        <v>1129.8399999999999</v>
      </c>
      <c r="D16" s="250">
        <f t="shared" si="3"/>
        <v>2259.6799999999998</v>
      </c>
      <c r="E16" s="250">
        <f t="shared" si="4"/>
        <v>2259.6799999999998</v>
      </c>
      <c r="F16" s="250">
        <f t="shared" si="5"/>
        <v>112.98</v>
      </c>
      <c r="G16" s="250">
        <f t="shared" si="6"/>
        <v>225.97</v>
      </c>
      <c r="H16" s="261">
        <f>ROUND((E16*'Base Data'!$G$59)+(F16*'Base Data'!$G$57)+(G16*'Base Data'!$G$58), 2)</f>
        <v>123544.4</v>
      </c>
      <c r="I16" s="122"/>
      <c r="J16" s="118"/>
      <c r="K16" s="118"/>
    </row>
    <row r="17" spans="1:11" ht="12" x14ac:dyDescent="0.2">
      <c r="A17" s="251" t="s">
        <v>220</v>
      </c>
      <c r="B17" s="248"/>
      <c r="C17" s="248"/>
      <c r="D17" s="248"/>
      <c r="E17" s="248"/>
      <c r="F17" s="248"/>
      <c r="G17" s="248">
        <f t="shared" si="6"/>
        <v>0</v>
      </c>
      <c r="H17" s="260"/>
      <c r="I17" s="118"/>
      <c r="J17" s="118"/>
      <c r="K17" s="118"/>
    </row>
    <row r="18" spans="1:11" ht="12" x14ac:dyDescent="0.2">
      <c r="A18" s="251" t="s">
        <v>221</v>
      </c>
      <c r="B18" s="248">
        <v>4</v>
      </c>
      <c r="C18" s="250">
        <f>LrgSolid!$H$37 + LrgLiquid!$I$31</f>
        <v>2424.1733333333332</v>
      </c>
      <c r="D18" s="250">
        <f t="shared" ref="D18:D19" si="7">ROUND(B18*C18, 2)</f>
        <v>9696.69</v>
      </c>
      <c r="E18" s="250">
        <f t="shared" si="4"/>
        <v>9696.69</v>
      </c>
      <c r="F18" s="250">
        <f t="shared" ref="F18:F19" si="8">ROUND(E18*0.05, 2)</f>
        <v>484.83</v>
      </c>
      <c r="G18" s="250">
        <f t="shared" si="6"/>
        <v>969.67</v>
      </c>
      <c r="H18" s="261">
        <f>ROUND((E18*'Base Data'!$G$59)+(F18*'Base Data'!$G$57)+(G18*'Base Data'!$G$58), 2)</f>
        <v>530151.71</v>
      </c>
    </row>
    <row r="19" spans="1:11" ht="12" x14ac:dyDescent="0.2">
      <c r="A19" s="256" t="s">
        <v>222</v>
      </c>
      <c r="B19" s="248">
        <v>2</v>
      </c>
      <c r="C19" s="250">
        <f>ROUND(0.5*(LrgSolid!H38 + LrgLiquid!I32 + SmlSolid!G17 + SmlLiquid!G17), 2)</f>
        <v>50043.83</v>
      </c>
      <c r="D19" s="250">
        <f t="shared" si="7"/>
        <v>100087.66</v>
      </c>
      <c r="E19" s="250">
        <f t="shared" si="4"/>
        <v>100087.66</v>
      </c>
      <c r="F19" s="250">
        <f t="shared" si="8"/>
        <v>5004.38</v>
      </c>
      <c r="G19" s="250">
        <f t="shared" si="6"/>
        <v>10008.77</v>
      </c>
      <c r="H19" s="261">
        <f>ROUND((E19*'Base Data'!$G$59)+(F19*'Base Data'!$G$57)+(G19*'Base Data'!$G$58), 2)</f>
        <v>5472142.5899999999</v>
      </c>
    </row>
    <row r="20" spans="1:11" ht="13.5" x14ac:dyDescent="0.2">
      <c r="A20" s="251" t="s">
        <v>276</v>
      </c>
      <c r="B20" s="248">
        <v>2</v>
      </c>
      <c r="C20" s="248">
        <f>SUM(LrgSolid!$H$12:$H$13)</f>
        <v>0</v>
      </c>
      <c r="D20" s="248">
        <f t="shared" ref="D20" si="9">ROUND(B20*C20, 2)</f>
        <v>0</v>
      </c>
      <c r="E20" s="248">
        <f t="shared" si="4"/>
        <v>0</v>
      </c>
      <c r="F20" s="248">
        <f t="shared" ref="F20" si="10">E20*0.05</f>
        <v>0</v>
      </c>
      <c r="G20" s="248">
        <f t="shared" ref="G20" si="11">E20*0.1</f>
        <v>0</v>
      </c>
      <c r="H20" s="260">
        <f>(E20*'Base Data'!$G$59)+(F20*'Base Data'!$G$57)+(G20*'Base Data'!$G$58)</f>
        <v>0</v>
      </c>
    </row>
    <row r="21" spans="1:11" ht="13.5" x14ac:dyDescent="0.2">
      <c r="A21" s="257" t="s">
        <v>277</v>
      </c>
      <c r="B21" s="204"/>
      <c r="C21" s="204"/>
      <c r="D21" s="204"/>
      <c r="E21" s="204"/>
      <c r="F21" s="258"/>
      <c r="G21" s="206"/>
      <c r="H21" s="262">
        <f>('Base Data'!$G$63*('Base Data'!$G$60+'Base Data'!$G$61)+'Base Data'!$G$62)*SUM(C8:C9)</f>
        <v>20159.04</v>
      </c>
    </row>
    <row r="22" spans="1:11" ht="13.5" customHeight="1" x14ac:dyDescent="0.2">
      <c r="A22" s="259" t="s">
        <v>278</v>
      </c>
      <c r="B22" s="204"/>
      <c r="C22" s="204"/>
      <c r="D22" s="204"/>
      <c r="E22" s="303">
        <f>ROUND(SUM(E5:G20),-3)</f>
        <v>150000</v>
      </c>
      <c r="F22" s="303"/>
      <c r="G22" s="303"/>
      <c r="H22" s="263">
        <f>ROUND((SUM(H5:H21)),-4)</f>
        <v>7150000</v>
      </c>
    </row>
    <row r="23" spans="1:11" x14ac:dyDescent="0.2">
      <c r="A23" s="123"/>
      <c r="B23" s="124"/>
      <c r="C23" s="125"/>
      <c r="D23" s="126"/>
      <c r="E23" s="126"/>
      <c r="F23" s="126"/>
      <c r="G23" s="126"/>
      <c r="H23" s="126"/>
    </row>
    <row r="24" spans="1:11" s="127" customFormat="1" ht="23.25" customHeight="1" x14ac:dyDescent="0.2">
      <c r="A24" s="304" t="s">
        <v>231</v>
      </c>
      <c r="B24" s="304"/>
      <c r="C24" s="304"/>
      <c r="D24" s="304"/>
      <c r="E24" s="304"/>
      <c r="F24" s="304"/>
      <c r="G24" s="304"/>
      <c r="H24" s="304"/>
      <c r="I24" s="169"/>
    </row>
    <row r="25" spans="1:11" x14ac:dyDescent="0.2">
      <c r="A25" s="101" t="s">
        <v>158</v>
      </c>
      <c r="B25" s="101"/>
      <c r="C25" s="101"/>
      <c r="D25" s="101"/>
    </row>
    <row r="26" spans="1:11" x14ac:dyDescent="0.2">
      <c r="A26" s="304" t="s">
        <v>159</v>
      </c>
      <c r="B26" s="304"/>
      <c r="C26" s="304"/>
      <c r="D26" s="304"/>
      <c r="E26" s="304"/>
      <c r="F26" s="304"/>
      <c r="G26" s="304"/>
      <c r="H26" s="304"/>
    </row>
    <row r="27" spans="1:11" x14ac:dyDescent="0.2">
      <c r="A27" s="304" t="s">
        <v>160</v>
      </c>
      <c r="B27" s="304"/>
      <c r="C27" s="304"/>
      <c r="D27" s="304"/>
      <c r="E27" s="304"/>
      <c r="F27" s="304"/>
      <c r="G27" s="304"/>
      <c r="H27" s="304"/>
    </row>
    <row r="28" spans="1:11" x14ac:dyDescent="0.2">
      <c r="A28" s="101" t="s">
        <v>161</v>
      </c>
      <c r="B28" s="101"/>
      <c r="C28" s="101"/>
      <c r="D28" s="101"/>
    </row>
    <row r="29" spans="1:11" x14ac:dyDescent="0.2">
      <c r="A29" s="101" t="s">
        <v>162</v>
      </c>
      <c r="B29" s="101"/>
      <c r="C29" s="101"/>
      <c r="D29" s="101"/>
    </row>
    <row r="30" spans="1:11" x14ac:dyDescent="0.2">
      <c r="A30" s="101" t="s">
        <v>163</v>
      </c>
      <c r="B30" s="101"/>
      <c r="C30" s="101"/>
      <c r="D30" s="101"/>
    </row>
    <row r="31" spans="1:11" x14ac:dyDescent="0.2">
      <c r="A31" s="101" t="s">
        <v>164</v>
      </c>
      <c r="B31" s="101"/>
      <c r="C31" s="101"/>
      <c r="D31" s="101"/>
    </row>
    <row r="32" spans="1:11" ht="21.75" customHeight="1" x14ac:dyDescent="0.2">
      <c r="A32" s="304" t="s">
        <v>165</v>
      </c>
      <c r="B32" s="304"/>
      <c r="C32" s="304"/>
      <c r="D32" s="304"/>
      <c r="E32" s="304"/>
      <c r="F32" s="304"/>
      <c r="G32" s="304"/>
      <c r="H32" s="304"/>
    </row>
    <row r="33" spans="1:8" ht="23.25" customHeight="1" x14ac:dyDescent="0.2">
      <c r="A33" s="304" t="s">
        <v>166</v>
      </c>
      <c r="B33" s="304"/>
      <c r="C33" s="304"/>
      <c r="D33" s="304"/>
      <c r="E33" s="304"/>
      <c r="F33" s="304"/>
      <c r="G33" s="304"/>
      <c r="H33" s="304"/>
    </row>
    <row r="34" spans="1:8" x14ac:dyDescent="0.2">
      <c r="A34" s="101" t="s">
        <v>264</v>
      </c>
    </row>
  </sheetData>
  <mergeCells count="7">
    <mergeCell ref="A3:A4"/>
    <mergeCell ref="E22:G22"/>
    <mergeCell ref="A26:H26"/>
    <mergeCell ref="A33:H33"/>
    <mergeCell ref="A27:H27"/>
    <mergeCell ref="A32:H32"/>
    <mergeCell ref="A24:H24"/>
  </mergeCells>
  <phoneticPr fontId="4" type="noConversion"/>
  <printOptions horizontalCentered="1"/>
  <pageMargins left="0.5" right="0.5" top="0.75" bottom="0.75"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Q74"/>
  <sheetViews>
    <sheetView zoomScale="80" zoomScaleNormal="80" workbookViewId="0">
      <selection activeCell="B10" sqref="B10:B12"/>
    </sheetView>
  </sheetViews>
  <sheetFormatPr defaultColWidth="9.140625" defaultRowHeight="12.75" x14ac:dyDescent="0.2"/>
  <cols>
    <col min="1" max="1" width="2.140625" style="10" customWidth="1"/>
    <col min="2" max="2" width="18.140625" style="10" customWidth="1"/>
    <col min="3" max="3" width="13.85546875" style="10" customWidth="1"/>
    <col min="4" max="4" width="10.140625" style="10" customWidth="1"/>
    <col min="5" max="5" width="19.140625" style="10" bestFit="1" customWidth="1"/>
    <col min="6" max="6" width="17.85546875" style="10" customWidth="1"/>
    <col min="7" max="7" width="12" style="10" customWidth="1"/>
    <col min="8" max="8" width="14" style="10" customWidth="1"/>
    <col min="9" max="9" width="11.42578125" style="10" customWidth="1"/>
    <col min="10" max="10" width="11.85546875" style="10" customWidth="1"/>
    <col min="11" max="11" width="19.140625" style="10" bestFit="1" customWidth="1"/>
    <col min="12" max="12" width="14.42578125" style="10" bestFit="1" customWidth="1"/>
    <col min="13" max="13" width="18.85546875" style="10" customWidth="1"/>
    <col min="14" max="16384" width="9.140625" style="10"/>
  </cols>
  <sheetData>
    <row r="1" spans="2:17" x14ac:dyDescent="0.2">
      <c r="B1" s="29" t="s">
        <v>71</v>
      </c>
      <c r="C1" s="30">
        <v>2</v>
      </c>
    </row>
    <row r="3" spans="2:17" x14ac:dyDescent="0.2">
      <c r="B3" s="2" t="s">
        <v>51</v>
      </c>
    </row>
    <row r="5" spans="2:17" x14ac:dyDescent="0.2">
      <c r="B5" s="15" t="s">
        <v>75</v>
      </c>
      <c r="C5" s="31"/>
      <c r="D5" s="31"/>
      <c r="E5" s="31"/>
      <c r="F5" s="32"/>
      <c r="G5" s="161"/>
      <c r="I5" s="15" t="s">
        <v>77</v>
      </c>
      <c r="J5" s="31"/>
      <c r="K5" s="31"/>
      <c r="L5" s="31"/>
      <c r="M5" s="32"/>
      <c r="Q5" s="33"/>
    </row>
    <row r="6" spans="2:17" ht="25.5" x14ac:dyDescent="0.2">
      <c r="B6" s="1" t="s">
        <v>39</v>
      </c>
      <c r="C6" s="1" t="s">
        <v>40</v>
      </c>
      <c r="D6" s="1" t="s">
        <v>41</v>
      </c>
      <c r="E6" s="162"/>
      <c r="F6" s="19" t="s">
        <v>78</v>
      </c>
      <c r="G6" s="1" t="s">
        <v>41</v>
      </c>
      <c r="I6" s="1" t="s">
        <v>39</v>
      </c>
      <c r="J6" s="1" t="s">
        <v>40</v>
      </c>
      <c r="K6" s="1" t="s">
        <v>41</v>
      </c>
      <c r="L6" s="162"/>
      <c r="M6" s="19" t="s">
        <v>78</v>
      </c>
      <c r="N6" s="13" t="s">
        <v>41</v>
      </c>
    </row>
    <row r="7" spans="2:17" x14ac:dyDescent="0.2">
      <c r="B7" s="306" t="s">
        <v>42</v>
      </c>
      <c r="C7" s="34" t="s">
        <v>64</v>
      </c>
      <c r="D7" s="35">
        <f>7632+D32</f>
        <v>7772</v>
      </c>
      <c r="E7" s="287">
        <v>7632</v>
      </c>
      <c r="F7" s="36" t="s">
        <v>61</v>
      </c>
      <c r="G7" s="37">
        <f>D7+D10</f>
        <v>11219</v>
      </c>
      <c r="H7" s="33"/>
      <c r="I7" s="306" t="s">
        <v>42</v>
      </c>
      <c r="J7" s="34" t="s">
        <v>64</v>
      </c>
      <c r="K7" s="286">
        <f>D7/$C$1</f>
        <v>3886</v>
      </c>
      <c r="L7" s="290">
        <v>3816</v>
      </c>
      <c r="M7" s="36" t="s">
        <v>61</v>
      </c>
      <c r="N7" s="37">
        <f>K7+K10</f>
        <v>5609.5</v>
      </c>
      <c r="O7" s="166"/>
    </row>
    <row r="8" spans="2:17" x14ac:dyDescent="0.2">
      <c r="B8" s="306"/>
      <c r="C8" s="34" t="s">
        <v>44</v>
      </c>
      <c r="D8" s="35">
        <f>3429+D33</f>
        <v>3440</v>
      </c>
      <c r="E8" s="287">
        <v>3429</v>
      </c>
      <c r="F8" s="36" t="s">
        <v>60</v>
      </c>
      <c r="G8" s="37">
        <f>D8+D9+D11+D12</f>
        <v>4159</v>
      </c>
      <c r="I8" s="306"/>
      <c r="J8" s="34" t="s">
        <v>44</v>
      </c>
      <c r="K8" s="286">
        <f t="shared" ref="K8:K14" si="0">D8/$C$1</f>
        <v>1720</v>
      </c>
      <c r="L8" s="290">
        <v>1714.5</v>
      </c>
      <c r="M8" s="36" t="s">
        <v>60</v>
      </c>
      <c r="N8" s="37">
        <f>K8+K9+K11+K12</f>
        <v>2079.5</v>
      </c>
      <c r="O8" s="166"/>
    </row>
    <row r="9" spans="2:17" x14ac:dyDescent="0.2">
      <c r="B9" s="306"/>
      <c r="C9" s="34" t="s">
        <v>45</v>
      </c>
      <c r="D9" s="35">
        <f>97+D34</f>
        <v>146</v>
      </c>
      <c r="E9" s="287">
        <v>97</v>
      </c>
      <c r="F9" s="36" t="s">
        <v>63</v>
      </c>
      <c r="G9" s="37">
        <f>D13</f>
        <v>170648</v>
      </c>
      <c r="I9" s="306"/>
      <c r="J9" s="34" t="s">
        <v>45</v>
      </c>
      <c r="K9" s="286">
        <f t="shared" si="0"/>
        <v>73</v>
      </c>
      <c r="L9" s="290">
        <v>48.5</v>
      </c>
      <c r="M9" s="36" t="s">
        <v>63</v>
      </c>
      <c r="N9" s="37">
        <f>K13</f>
        <v>85324</v>
      </c>
      <c r="O9" s="33"/>
      <c r="Q9" s="164"/>
    </row>
    <row r="10" spans="2:17" x14ac:dyDescent="0.2">
      <c r="B10" s="306" t="s">
        <v>46</v>
      </c>
      <c r="C10" s="39" t="s">
        <v>64</v>
      </c>
      <c r="D10" s="35">
        <f>3292+D35</f>
        <v>3447</v>
      </c>
      <c r="E10" s="287">
        <v>3292</v>
      </c>
      <c r="F10" s="36" t="s">
        <v>62</v>
      </c>
      <c r="G10" s="37">
        <f>D14+D15</f>
        <v>10203</v>
      </c>
      <c r="I10" s="306" t="s">
        <v>46</v>
      </c>
      <c r="J10" s="39" t="s">
        <v>64</v>
      </c>
      <c r="K10" s="286">
        <f t="shared" si="0"/>
        <v>1723.5</v>
      </c>
      <c r="L10" s="290">
        <v>1646</v>
      </c>
      <c r="M10" s="36" t="s">
        <v>62</v>
      </c>
      <c r="N10" s="37">
        <f>K14+K15</f>
        <v>5101.5</v>
      </c>
    </row>
    <row r="11" spans="2:17" x14ac:dyDescent="0.2">
      <c r="B11" s="306"/>
      <c r="C11" s="39" t="s">
        <v>44</v>
      </c>
      <c r="D11" s="35">
        <f>573+D36</f>
        <v>573</v>
      </c>
      <c r="E11" s="287">
        <v>573</v>
      </c>
      <c r="F11" s="34" t="s">
        <v>48</v>
      </c>
      <c r="G11" s="37">
        <f>SUM(G7:G10)</f>
        <v>196229</v>
      </c>
      <c r="I11" s="306"/>
      <c r="J11" s="39" t="s">
        <v>44</v>
      </c>
      <c r="K11" s="286">
        <f>D11/$C$1</f>
        <v>286.5</v>
      </c>
      <c r="L11" s="290">
        <v>286.5</v>
      </c>
      <c r="M11" s="34" t="s">
        <v>79</v>
      </c>
      <c r="N11" s="37">
        <f>SUM(N7:N10)</f>
        <v>98114.5</v>
      </c>
      <c r="P11" s="165"/>
    </row>
    <row r="12" spans="2:17" ht="12.75" customHeight="1" x14ac:dyDescent="0.2">
      <c r="B12" s="306"/>
      <c r="C12" s="39" t="s">
        <v>45</v>
      </c>
      <c r="D12" s="35">
        <f>0+D37</f>
        <v>0</v>
      </c>
      <c r="E12" s="288">
        <v>0</v>
      </c>
      <c r="I12" s="306"/>
      <c r="J12" s="39" t="s">
        <v>45</v>
      </c>
      <c r="K12" s="35">
        <f t="shared" si="0"/>
        <v>0</v>
      </c>
      <c r="L12" s="291">
        <v>0</v>
      </c>
      <c r="M12" s="310" t="s">
        <v>310</v>
      </c>
      <c r="N12" s="311"/>
    </row>
    <row r="13" spans="2:17" x14ac:dyDescent="0.2">
      <c r="B13" s="307" t="s">
        <v>47</v>
      </c>
      <c r="C13" s="34" t="s">
        <v>64</v>
      </c>
      <c r="D13" s="35">
        <f>164711+D38</f>
        <v>170648</v>
      </c>
      <c r="E13" s="288">
        <v>164711</v>
      </c>
      <c r="F13" s="24"/>
      <c r="G13" s="24"/>
      <c r="I13" s="307" t="s">
        <v>47</v>
      </c>
      <c r="J13" s="34" t="s">
        <v>64</v>
      </c>
      <c r="K13" s="286">
        <f t="shared" si="0"/>
        <v>85324</v>
      </c>
      <c r="L13" s="292">
        <v>82355.5</v>
      </c>
      <c r="M13" s="312"/>
      <c r="N13" s="313"/>
    </row>
    <row r="14" spans="2:17" x14ac:dyDescent="0.2">
      <c r="B14" s="308"/>
      <c r="C14" s="34" t="s">
        <v>44</v>
      </c>
      <c r="D14" s="35">
        <f>9577+D39</f>
        <v>10064</v>
      </c>
      <c r="E14" s="288">
        <v>9577</v>
      </c>
      <c r="F14" s="173"/>
      <c r="G14" s="163"/>
      <c r="I14" s="308"/>
      <c r="J14" s="34" t="s">
        <v>44</v>
      </c>
      <c r="K14" s="286">
        <f t="shared" si="0"/>
        <v>5032</v>
      </c>
      <c r="L14" s="292">
        <v>4788.5</v>
      </c>
      <c r="M14" s="312"/>
      <c r="N14" s="313"/>
    </row>
    <row r="15" spans="2:17" x14ac:dyDescent="0.2">
      <c r="B15" s="309"/>
      <c r="C15" s="34" t="s">
        <v>45</v>
      </c>
      <c r="D15" s="35">
        <f>139+D40</f>
        <v>139</v>
      </c>
      <c r="E15" s="288">
        <v>139</v>
      </c>
      <c r="F15" s="24"/>
      <c r="G15" s="24"/>
      <c r="I15" s="309"/>
      <c r="J15" s="34" t="s">
        <v>45</v>
      </c>
      <c r="K15" s="286">
        <f>D15/$C$1</f>
        <v>69.5</v>
      </c>
      <c r="L15" s="292">
        <v>69.5</v>
      </c>
      <c r="M15" s="312"/>
      <c r="N15" s="313"/>
      <c r="O15" s="33"/>
    </row>
    <row r="16" spans="2:17" x14ac:dyDescent="0.2">
      <c r="B16" s="305" t="s">
        <v>48</v>
      </c>
      <c r="C16" s="305"/>
      <c r="D16" s="35">
        <f>ROUNDUP(SUM(D7:D15),1)</f>
        <v>196229</v>
      </c>
      <c r="E16" s="289">
        <v>189450</v>
      </c>
      <c r="F16" s="174"/>
      <c r="G16" s="40"/>
      <c r="I16" s="305" t="s">
        <v>48</v>
      </c>
      <c r="J16" s="305"/>
      <c r="K16" s="35">
        <f>SUM(K7:K15)</f>
        <v>98114.5</v>
      </c>
      <c r="L16" s="293">
        <v>94725</v>
      </c>
      <c r="M16" s="312"/>
      <c r="N16" s="313"/>
    </row>
    <row r="17" spans="2:15" x14ac:dyDescent="0.2">
      <c r="D17" s="164"/>
      <c r="E17" s="277">
        <f>D16-E16</f>
        <v>6779</v>
      </c>
      <c r="F17" s="160"/>
      <c r="L17" s="294">
        <f>K16-L16</f>
        <v>3389.5</v>
      </c>
      <c r="M17" s="160"/>
    </row>
    <row r="18" spans="2:15" ht="27" customHeight="1" x14ac:dyDescent="0.2">
      <c r="B18" s="314" t="s">
        <v>49</v>
      </c>
      <c r="C18" s="314"/>
      <c r="D18" s="314"/>
      <c r="E18" s="314"/>
      <c r="F18" s="314" t="s">
        <v>50</v>
      </c>
      <c r="G18" s="314"/>
      <c r="H18" s="314"/>
      <c r="I18" s="314"/>
      <c r="J18" s="314"/>
      <c r="K18" s="10" t="s">
        <v>228</v>
      </c>
      <c r="L18" s="10" t="s">
        <v>229</v>
      </c>
      <c r="M18" s="10" t="s">
        <v>227</v>
      </c>
      <c r="N18" s="10" t="s">
        <v>229</v>
      </c>
      <c r="O18" s="20"/>
    </row>
    <row r="19" spans="2:15" x14ac:dyDescent="0.2">
      <c r="K19" s="10">
        <f>191710-2260</f>
        <v>189450</v>
      </c>
      <c r="L19" s="10">
        <f>K19+2260</f>
        <v>191710</v>
      </c>
      <c r="M19" s="10">
        <f>95855-1130</f>
        <v>94725</v>
      </c>
      <c r="N19" s="20">
        <f>M19+1130</f>
        <v>95855</v>
      </c>
      <c r="O19" s="20"/>
    </row>
    <row r="20" spans="2:15" x14ac:dyDescent="0.2">
      <c r="B20" s="10" t="s">
        <v>55</v>
      </c>
      <c r="F20" s="10" t="s">
        <v>57</v>
      </c>
      <c r="H20" s="24"/>
      <c r="I20" s="24"/>
      <c r="L20" s="10">
        <f>L19+2260</f>
        <v>193970</v>
      </c>
      <c r="N20" s="20">
        <f>N19+1130</f>
        <v>96985</v>
      </c>
      <c r="O20" s="20"/>
    </row>
    <row r="21" spans="2:15" x14ac:dyDescent="0.2">
      <c r="B21" s="1" t="s">
        <v>40</v>
      </c>
      <c r="C21" s="1" t="s">
        <v>41</v>
      </c>
      <c r="F21" s="1" t="s">
        <v>40</v>
      </c>
      <c r="G21" s="1" t="s">
        <v>41</v>
      </c>
      <c r="H21" s="3"/>
      <c r="L21" s="10">
        <f>L20+2260</f>
        <v>196230</v>
      </c>
      <c r="N21" s="20">
        <f>N20+1130</f>
        <v>98115</v>
      </c>
      <c r="O21" s="6"/>
    </row>
    <row r="22" spans="2:15" x14ac:dyDescent="0.2">
      <c r="B22" s="11" t="s">
        <v>56</v>
      </c>
      <c r="C22" s="11">
        <v>80</v>
      </c>
      <c r="D22" s="20"/>
      <c r="E22" s="20"/>
      <c r="F22" s="11" t="s">
        <v>43</v>
      </c>
      <c r="G22" s="11">
        <v>0</v>
      </c>
      <c r="H22" s="24"/>
      <c r="J22" s="165"/>
      <c r="N22" s="20"/>
      <c r="O22" s="20"/>
    </row>
    <row r="23" spans="2:15" x14ac:dyDescent="0.2">
      <c r="B23" s="20"/>
      <c r="C23" s="20"/>
      <c r="D23" s="20"/>
      <c r="E23" s="20"/>
      <c r="F23" s="11" t="s">
        <v>44</v>
      </c>
      <c r="G23" s="11">
        <v>0</v>
      </c>
      <c r="H23" s="24"/>
      <c r="N23" s="20"/>
      <c r="O23" s="20"/>
    </row>
    <row r="24" spans="2:15" x14ac:dyDescent="0.2">
      <c r="B24" s="20"/>
      <c r="C24" s="20"/>
      <c r="D24" s="20"/>
      <c r="E24" s="20"/>
      <c r="F24" s="11" t="s">
        <v>45</v>
      </c>
      <c r="G24" s="11">
        <v>0</v>
      </c>
      <c r="H24" s="24"/>
      <c r="L24" s="33"/>
      <c r="N24" s="20"/>
      <c r="O24" s="20"/>
    </row>
    <row r="25" spans="2:15" x14ac:dyDescent="0.2">
      <c r="B25" s="20"/>
      <c r="C25" s="20"/>
      <c r="D25" s="20"/>
      <c r="E25" s="20"/>
      <c r="F25" s="11" t="s">
        <v>48</v>
      </c>
      <c r="G25" s="11">
        <v>0</v>
      </c>
      <c r="H25" s="24"/>
      <c r="N25" s="20"/>
      <c r="O25" s="20"/>
    </row>
    <row r="26" spans="2:15" x14ac:dyDescent="0.2">
      <c r="B26" s="20"/>
      <c r="C26" s="20"/>
      <c r="D26" s="20"/>
      <c r="E26" s="20"/>
      <c r="F26" s="20"/>
      <c r="G26" s="20"/>
      <c r="H26" s="20"/>
      <c r="N26" s="20"/>
      <c r="O26" s="20"/>
    </row>
    <row r="27" spans="2:15" x14ac:dyDescent="0.2">
      <c r="G27" s="20"/>
      <c r="H27" s="20"/>
      <c r="I27" s="20"/>
      <c r="J27" s="20"/>
      <c r="K27" s="20"/>
      <c r="L27" s="20"/>
      <c r="N27" s="20"/>
      <c r="O27" s="20"/>
    </row>
    <row r="28" spans="2:15" s="40" customFormat="1" x14ac:dyDescent="0.2">
      <c r="B28" s="25" t="s">
        <v>52</v>
      </c>
      <c r="C28" s="160"/>
    </row>
    <row r="30" spans="2:15" x14ac:dyDescent="0.2">
      <c r="B30" s="16" t="s">
        <v>75</v>
      </c>
      <c r="C30" s="17"/>
      <c r="D30" s="17"/>
      <c r="E30" s="17"/>
      <c r="F30" s="17"/>
      <c r="G30" s="18"/>
      <c r="H30" s="16" t="s">
        <v>76</v>
      </c>
      <c r="I30" s="17"/>
      <c r="J30" s="17"/>
      <c r="K30" s="17"/>
      <c r="L30" s="17"/>
      <c r="M30" s="18"/>
    </row>
    <row r="31" spans="2:15" ht="89.25" x14ac:dyDescent="0.2">
      <c r="B31" s="14" t="s">
        <v>39</v>
      </c>
      <c r="C31" s="14" t="s">
        <v>40</v>
      </c>
      <c r="D31" s="1" t="s">
        <v>72</v>
      </c>
      <c r="E31" s="283" t="s">
        <v>80</v>
      </c>
      <c r="F31" s="19" t="s">
        <v>78</v>
      </c>
      <c r="G31" s="1" t="s">
        <v>72</v>
      </c>
      <c r="H31" s="1" t="s">
        <v>39</v>
      </c>
      <c r="I31" s="1" t="s">
        <v>40</v>
      </c>
      <c r="J31" s="1" t="s">
        <v>72</v>
      </c>
      <c r="K31" s="19" t="s">
        <v>78</v>
      </c>
      <c r="L31" s="13" t="s">
        <v>74</v>
      </c>
      <c r="M31" s="13" t="s">
        <v>73</v>
      </c>
    </row>
    <row r="32" spans="2:15" x14ac:dyDescent="0.2">
      <c r="B32" s="315" t="s">
        <v>42</v>
      </c>
      <c r="C32" s="39" t="s">
        <v>64</v>
      </c>
      <c r="D32" s="35">
        <v>140</v>
      </c>
      <c r="E32" s="41">
        <v>0</v>
      </c>
      <c r="F32" s="36" t="s">
        <v>65</v>
      </c>
      <c r="G32" s="37">
        <f>D32+D35</f>
        <v>295</v>
      </c>
      <c r="H32" s="315" t="s">
        <v>42</v>
      </c>
      <c r="I32" s="34" t="s">
        <v>64</v>
      </c>
      <c r="J32" s="38">
        <f>D32/$C$1</f>
        <v>70</v>
      </c>
      <c r="K32" s="36" t="s">
        <v>65</v>
      </c>
      <c r="L32" s="38">
        <f>J32+J35</f>
        <v>147.5</v>
      </c>
      <c r="M32" s="42">
        <f>L32/3</f>
        <v>49.166666666666664</v>
      </c>
    </row>
    <row r="33" spans="2:13" x14ac:dyDescent="0.2">
      <c r="B33" s="315"/>
      <c r="C33" s="39" t="s">
        <v>44</v>
      </c>
      <c r="D33" s="35">
        <v>11</v>
      </c>
      <c r="E33" s="41">
        <v>0</v>
      </c>
      <c r="F33" s="36" t="s">
        <v>66</v>
      </c>
      <c r="G33" s="37">
        <f>D33+D34+D36+D37</f>
        <v>60</v>
      </c>
      <c r="H33" s="315"/>
      <c r="I33" s="34" t="s">
        <v>44</v>
      </c>
      <c r="J33" s="38">
        <f>D33/$C$1</f>
        <v>5.5</v>
      </c>
      <c r="K33" s="36" t="s">
        <v>66</v>
      </c>
      <c r="L33" s="38">
        <f>J33+J34+J36+J37</f>
        <v>30</v>
      </c>
      <c r="M33" s="42">
        <f>L33/3</f>
        <v>10</v>
      </c>
    </row>
    <row r="34" spans="2:13" x14ac:dyDescent="0.2">
      <c r="B34" s="315"/>
      <c r="C34" s="39" t="s">
        <v>45</v>
      </c>
      <c r="D34" s="35">
        <v>49</v>
      </c>
      <c r="E34" s="43">
        <f>D34</f>
        <v>49</v>
      </c>
      <c r="F34" s="36" t="s">
        <v>67</v>
      </c>
      <c r="G34" s="37">
        <f>D38</f>
        <v>5937</v>
      </c>
      <c r="H34" s="315"/>
      <c r="I34" s="34" t="s">
        <v>45</v>
      </c>
      <c r="J34" s="38">
        <f>D34/$C$1</f>
        <v>24.5</v>
      </c>
      <c r="K34" s="36" t="s">
        <v>67</v>
      </c>
      <c r="L34" s="38">
        <f>J38</f>
        <v>2968.5</v>
      </c>
      <c r="M34" s="42">
        <f>L34/3</f>
        <v>989.5</v>
      </c>
    </row>
    <row r="35" spans="2:13" x14ac:dyDescent="0.2">
      <c r="B35" s="316" t="s">
        <v>46</v>
      </c>
      <c r="C35" s="39" t="s">
        <v>64</v>
      </c>
      <c r="D35" s="35">
        <v>155</v>
      </c>
      <c r="E35" s="44">
        <v>0</v>
      </c>
      <c r="F35" s="36" t="s">
        <v>68</v>
      </c>
      <c r="G35" s="45">
        <f>D39+D40</f>
        <v>487</v>
      </c>
      <c r="H35" s="316" t="s">
        <v>46</v>
      </c>
      <c r="I35" s="34" t="s">
        <v>64</v>
      </c>
      <c r="J35" s="38">
        <f t="shared" ref="J35:J40" si="1">D35/$C$1</f>
        <v>77.5</v>
      </c>
      <c r="K35" s="36" t="s">
        <v>68</v>
      </c>
      <c r="L35" s="38">
        <f>J39+J40</f>
        <v>243.5</v>
      </c>
      <c r="M35" s="42">
        <f>L35/3</f>
        <v>81.166666666666671</v>
      </c>
    </row>
    <row r="36" spans="2:13" x14ac:dyDescent="0.2">
      <c r="B36" s="316"/>
      <c r="C36" s="39" t="s">
        <v>44</v>
      </c>
      <c r="D36" s="46">
        <v>0</v>
      </c>
      <c r="E36" s="41">
        <v>0</v>
      </c>
      <c r="F36" s="34" t="s">
        <v>48</v>
      </c>
      <c r="G36" s="45">
        <f>SUM(G32:G35)</f>
        <v>6779</v>
      </c>
      <c r="H36" s="316"/>
      <c r="I36" s="34" t="s">
        <v>44</v>
      </c>
      <c r="J36" s="37">
        <f t="shared" si="1"/>
        <v>0</v>
      </c>
      <c r="K36" s="34" t="s">
        <v>48</v>
      </c>
      <c r="L36" s="37">
        <f>SUM(L32:L35)</f>
        <v>3389.5</v>
      </c>
      <c r="M36" s="35">
        <f>L36/3</f>
        <v>1129.8333333333333</v>
      </c>
    </row>
    <row r="37" spans="2:13" x14ac:dyDescent="0.2">
      <c r="B37" s="316"/>
      <c r="C37" s="39" t="s">
        <v>45</v>
      </c>
      <c r="D37" s="46">
        <v>0</v>
      </c>
      <c r="E37" s="41">
        <v>0</v>
      </c>
      <c r="F37" s="284" t="s">
        <v>226</v>
      </c>
      <c r="G37" s="285">
        <f>G36/3</f>
        <v>2259.6666666666665</v>
      </c>
      <c r="H37" s="316"/>
      <c r="I37" s="34" t="s">
        <v>45</v>
      </c>
      <c r="J37" s="37">
        <f t="shared" si="1"/>
        <v>0</v>
      </c>
    </row>
    <row r="38" spans="2:13" x14ac:dyDescent="0.2">
      <c r="B38" s="315" t="s">
        <v>47</v>
      </c>
      <c r="C38" s="39" t="s">
        <v>64</v>
      </c>
      <c r="D38" s="46">
        <v>5937</v>
      </c>
      <c r="E38" s="41">
        <v>0</v>
      </c>
      <c r="F38" s="40"/>
      <c r="G38" s="40"/>
      <c r="H38" s="315" t="s">
        <v>47</v>
      </c>
      <c r="I38" s="34" t="s">
        <v>64</v>
      </c>
      <c r="J38" s="38">
        <f t="shared" si="1"/>
        <v>2968.5</v>
      </c>
    </row>
    <row r="39" spans="2:13" x14ac:dyDescent="0.2">
      <c r="B39" s="315"/>
      <c r="C39" s="39" t="s">
        <v>44</v>
      </c>
      <c r="D39" s="46">
        <v>487</v>
      </c>
      <c r="E39" s="41">
        <v>0</v>
      </c>
      <c r="F39" s="47"/>
      <c r="G39" s="48"/>
      <c r="H39" s="315"/>
      <c r="I39" s="34" t="s">
        <v>44</v>
      </c>
      <c r="J39" s="38">
        <f t="shared" si="1"/>
        <v>243.5</v>
      </c>
      <c r="K39" s="49"/>
      <c r="L39" s="12"/>
    </row>
    <row r="40" spans="2:13" x14ac:dyDescent="0.2">
      <c r="B40" s="315"/>
      <c r="C40" s="39" t="s">
        <v>45</v>
      </c>
      <c r="D40" s="46">
        <v>0</v>
      </c>
      <c r="E40" s="41">
        <v>0</v>
      </c>
      <c r="F40" s="47"/>
      <c r="G40" s="48"/>
      <c r="H40" s="315"/>
      <c r="I40" s="34" t="s">
        <v>45</v>
      </c>
      <c r="J40" s="37">
        <f t="shared" si="1"/>
        <v>0</v>
      </c>
      <c r="K40" s="49"/>
      <c r="L40" s="12"/>
    </row>
    <row r="41" spans="2:13" x14ac:dyDescent="0.2">
      <c r="B41" s="305" t="s">
        <v>48</v>
      </c>
      <c r="C41" s="305"/>
      <c r="D41" s="45">
        <f>SUM(D32:D40)</f>
        <v>6779</v>
      </c>
      <c r="E41" s="34">
        <f>SUM(E32:E40)</f>
        <v>49</v>
      </c>
      <c r="F41" s="47"/>
      <c r="G41" s="48"/>
      <c r="H41" s="305" t="s">
        <v>48</v>
      </c>
      <c r="I41" s="305"/>
      <c r="J41" s="37">
        <f>SUM(J32:J40)</f>
        <v>3389.5</v>
      </c>
    </row>
    <row r="42" spans="2:13" x14ac:dyDescent="0.2">
      <c r="F42" s="40"/>
      <c r="G42" s="40"/>
    </row>
    <row r="43" spans="2:13" x14ac:dyDescent="0.2">
      <c r="B43" s="10" t="s">
        <v>55</v>
      </c>
      <c r="F43" s="10" t="s">
        <v>57</v>
      </c>
    </row>
    <row r="44" spans="2:13" x14ac:dyDescent="0.2">
      <c r="B44" s="1" t="s">
        <v>40</v>
      </c>
      <c r="C44" s="1" t="s">
        <v>41</v>
      </c>
      <c r="F44" s="1" t="s">
        <v>40</v>
      </c>
      <c r="G44" s="1" t="s">
        <v>41</v>
      </c>
    </row>
    <row r="45" spans="2:13" x14ac:dyDescent="0.2">
      <c r="B45" s="11" t="s">
        <v>54</v>
      </c>
      <c r="C45" s="11">
        <v>45</v>
      </c>
      <c r="F45" s="11" t="s">
        <v>53</v>
      </c>
      <c r="G45" s="11">
        <v>60</v>
      </c>
    </row>
    <row r="46" spans="2:13" x14ac:dyDescent="0.2">
      <c r="F46" s="11" t="s">
        <v>54</v>
      </c>
      <c r="G46" s="11">
        <f>352+90</f>
        <v>442</v>
      </c>
    </row>
    <row r="47" spans="2:13" x14ac:dyDescent="0.2">
      <c r="B47" s="40"/>
      <c r="C47" s="40"/>
    </row>
    <row r="48" spans="2:13" x14ac:dyDescent="0.2">
      <c r="B48" s="20" t="s">
        <v>20</v>
      </c>
    </row>
    <row r="49" spans="2:10" x14ac:dyDescent="0.2">
      <c r="B49" s="20" t="s">
        <v>0</v>
      </c>
    </row>
    <row r="50" spans="2:10" x14ac:dyDescent="0.2">
      <c r="B50" s="24" t="s">
        <v>6</v>
      </c>
    </row>
    <row r="51" spans="2:10" x14ac:dyDescent="0.2">
      <c r="B51" s="24"/>
    </row>
    <row r="54" spans="2:10" x14ac:dyDescent="0.2">
      <c r="B54" s="2" t="s">
        <v>110</v>
      </c>
      <c r="F54" s="2" t="s">
        <v>111</v>
      </c>
      <c r="I54" s="5"/>
    </row>
    <row r="55" spans="2:10" x14ac:dyDescent="0.2">
      <c r="F55" s="2"/>
    </row>
    <row r="56" spans="2:10" x14ac:dyDescent="0.2">
      <c r="B56" s="1" t="s">
        <v>38</v>
      </c>
      <c r="C56" s="1" t="s">
        <v>37</v>
      </c>
      <c r="F56" s="1" t="s">
        <v>38</v>
      </c>
      <c r="G56" s="1" t="s">
        <v>37</v>
      </c>
    </row>
    <row r="57" spans="2:10" x14ac:dyDescent="0.2">
      <c r="B57" s="11" t="s">
        <v>35</v>
      </c>
      <c r="C57" s="281">
        <v>117.92</v>
      </c>
      <c r="D57" s="282"/>
      <c r="E57" s="20"/>
      <c r="F57" s="11" t="s">
        <v>34</v>
      </c>
      <c r="G57" s="281">
        <v>65.709999999999994</v>
      </c>
      <c r="H57" s="160"/>
    </row>
    <row r="58" spans="2:10" x14ac:dyDescent="0.2">
      <c r="B58" s="11" t="s">
        <v>36</v>
      </c>
      <c r="C58" s="281">
        <v>57.02</v>
      </c>
      <c r="D58" s="20"/>
      <c r="E58" s="20"/>
      <c r="F58" s="11" t="s">
        <v>36</v>
      </c>
      <c r="G58" s="281">
        <v>26.38</v>
      </c>
    </row>
    <row r="59" spans="2:10" x14ac:dyDescent="0.2">
      <c r="B59" s="11" t="s">
        <v>34</v>
      </c>
      <c r="C59" s="281">
        <v>147.4</v>
      </c>
      <c r="D59" s="20"/>
      <c r="E59" s="20"/>
      <c r="F59" s="11" t="s">
        <v>35</v>
      </c>
      <c r="G59" s="281">
        <v>48.75</v>
      </c>
      <c r="I59" s="62"/>
      <c r="J59" s="63"/>
    </row>
    <row r="60" spans="2:10" x14ac:dyDescent="0.2">
      <c r="B60" s="34" t="s">
        <v>1</v>
      </c>
      <c r="C60" s="50">
        <v>80</v>
      </c>
      <c r="D60" s="160"/>
      <c r="F60" s="34" t="s">
        <v>12</v>
      </c>
      <c r="G60" s="51">
        <v>110</v>
      </c>
      <c r="H60" s="160"/>
    </row>
    <row r="61" spans="2:10" ht="25.5" x14ac:dyDescent="0.2">
      <c r="B61" s="52" t="s">
        <v>2</v>
      </c>
      <c r="C61" s="53">
        <v>56.78</v>
      </c>
      <c r="F61" s="34" t="s">
        <v>13</v>
      </c>
      <c r="G61" s="51">
        <v>58</v>
      </c>
    </row>
    <row r="62" spans="2:10" x14ac:dyDescent="0.2">
      <c r="F62" s="34" t="s">
        <v>14</v>
      </c>
      <c r="G62" s="51">
        <v>600</v>
      </c>
    </row>
    <row r="63" spans="2:10" x14ac:dyDescent="0.2">
      <c r="F63" s="34" t="s">
        <v>15</v>
      </c>
      <c r="G63" s="34">
        <v>3</v>
      </c>
    </row>
    <row r="64" spans="2:10" x14ac:dyDescent="0.2">
      <c r="B64" s="2" t="s">
        <v>16</v>
      </c>
    </row>
    <row r="66" spans="2:11" x14ac:dyDescent="0.2">
      <c r="B66" s="305" t="s">
        <v>17</v>
      </c>
      <c r="C66" s="305"/>
      <c r="D66" s="305"/>
      <c r="E66" s="54">
        <v>0.2</v>
      </c>
    </row>
    <row r="67" spans="2:11" x14ac:dyDescent="0.2">
      <c r="B67" s="305" t="s">
        <v>18</v>
      </c>
      <c r="C67" s="305"/>
      <c r="D67" s="305"/>
      <c r="E67" s="54">
        <v>0.1</v>
      </c>
    </row>
    <row r="68" spans="2:11" x14ac:dyDescent="0.2">
      <c r="B68" s="305" t="s">
        <v>19</v>
      </c>
      <c r="C68" s="305"/>
      <c r="D68" s="305"/>
      <c r="E68" s="54">
        <v>0.1</v>
      </c>
    </row>
    <row r="70" spans="2:11" ht="13.5" thickBot="1" x14ac:dyDescent="0.25"/>
    <row r="71" spans="2:11" x14ac:dyDescent="0.2">
      <c r="B71" s="7" t="s">
        <v>58</v>
      </c>
      <c r="C71" s="55"/>
      <c r="D71" s="56"/>
    </row>
    <row r="72" spans="2:11" x14ac:dyDescent="0.2">
      <c r="B72" s="8" t="s">
        <v>69</v>
      </c>
      <c r="C72" s="40"/>
      <c r="D72" s="57">
        <v>0</v>
      </c>
      <c r="J72" s="58"/>
      <c r="K72" s="59"/>
    </row>
    <row r="73" spans="2:11" x14ac:dyDescent="0.2">
      <c r="B73" s="8" t="s">
        <v>70</v>
      </c>
      <c r="C73" s="40"/>
      <c r="D73" s="57">
        <v>30</v>
      </c>
    </row>
    <row r="74" spans="2:11" ht="13.5" thickBot="1" x14ac:dyDescent="0.25">
      <c r="B74" s="9" t="s">
        <v>59</v>
      </c>
      <c r="C74" s="60"/>
      <c r="D74" s="61">
        <v>0</v>
      </c>
    </row>
  </sheetData>
  <mergeCells count="22">
    <mergeCell ref="M12:N16"/>
    <mergeCell ref="B18:E18"/>
    <mergeCell ref="F18:J18"/>
    <mergeCell ref="B38:B40"/>
    <mergeCell ref="B32:B34"/>
    <mergeCell ref="H32:H34"/>
    <mergeCell ref="H38:H40"/>
    <mergeCell ref="B35:B37"/>
    <mergeCell ref="H35:H37"/>
    <mergeCell ref="I7:I9"/>
    <mergeCell ref="I10:I12"/>
    <mergeCell ref="I13:I15"/>
    <mergeCell ref="I16:J16"/>
    <mergeCell ref="B10:B12"/>
    <mergeCell ref="B7:B9"/>
    <mergeCell ref="B16:C16"/>
    <mergeCell ref="B13:B15"/>
    <mergeCell ref="B66:D66"/>
    <mergeCell ref="B67:D67"/>
    <mergeCell ref="B68:D68"/>
    <mergeCell ref="B41:C41"/>
    <mergeCell ref="H41:I41"/>
  </mergeCells>
  <phoneticPr fontId="4" type="noConversion"/>
  <pageMargins left="0.75" right="0.75" top="1" bottom="1" header="0.5" footer="0.5"/>
  <pageSetup scale="8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73"/>
  <sheetViews>
    <sheetView zoomScaleNormal="100" zoomScaleSheetLayoutView="100" workbookViewId="0">
      <pane ySplit="4" topLeftCell="A29" activePane="bottomLeft" state="frozen"/>
      <selection activeCell="F51" sqref="F51"/>
      <selection pane="bottomLeft" activeCell="F26" sqref="F26:F27"/>
    </sheetView>
  </sheetViews>
  <sheetFormatPr defaultColWidth="9.140625" defaultRowHeight="11.25" x14ac:dyDescent="0.2"/>
  <cols>
    <col min="1" max="1" width="34.140625" style="101" customWidth="1"/>
    <col min="2" max="2" width="13.140625" style="103" bestFit="1" customWidth="1"/>
    <col min="3" max="3" width="11.7109375" style="103" bestFit="1" customWidth="1"/>
    <col min="4" max="4" width="12.28515625" style="103" bestFit="1" customWidth="1"/>
    <col min="5" max="6" width="12.42578125" style="103" customWidth="1"/>
    <col min="7" max="7" width="13.7109375" style="103" customWidth="1"/>
    <col min="8" max="8" width="12" style="114" bestFit="1" customWidth="1"/>
    <col min="9" max="9" width="11.85546875" style="103" bestFit="1" customWidth="1"/>
    <col min="10" max="10" width="12.42578125" style="103" customWidth="1"/>
    <col min="11" max="11" width="11.7109375" style="103" bestFit="1" customWidth="1"/>
    <col min="12" max="12" width="12" style="103" bestFit="1" customWidth="1"/>
    <col min="13" max="13" width="12.140625" style="104" bestFit="1" customWidth="1"/>
    <col min="14" max="14" width="12" style="104" bestFit="1" customWidth="1"/>
    <col min="15" max="16384" width="9.140625" style="101"/>
  </cols>
  <sheetData>
    <row r="1" spans="1:14" s="65" customFormat="1" ht="12.75" x14ac:dyDescent="0.2">
      <c r="A1" s="106" t="s">
        <v>81</v>
      </c>
      <c r="B1" s="106"/>
      <c r="C1" s="106"/>
      <c r="D1" s="106"/>
      <c r="E1" s="106"/>
      <c r="F1" s="106"/>
      <c r="G1" s="106"/>
      <c r="H1" s="106"/>
      <c r="I1" s="106"/>
      <c r="J1" s="106"/>
      <c r="K1" s="106"/>
      <c r="L1" s="106"/>
      <c r="M1" s="106"/>
      <c r="N1" s="106"/>
    </row>
    <row r="2" spans="1:14" x14ac:dyDescent="0.2">
      <c r="A2" s="110"/>
      <c r="B2" s="110"/>
      <c r="C2" s="110"/>
      <c r="D2" s="110"/>
      <c r="E2" s="110"/>
      <c r="F2" s="110"/>
      <c r="G2" s="110"/>
      <c r="H2" s="110"/>
      <c r="I2" s="110"/>
      <c r="J2" s="110"/>
      <c r="K2" s="110"/>
      <c r="L2" s="110"/>
      <c r="M2" s="110"/>
      <c r="N2" s="110"/>
    </row>
    <row r="3" spans="1:14" s="111" customFormat="1" ht="12" x14ac:dyDescent="0.2">
      <c r="A3" s="301" t="s">
        <v>21</v>
      </c>
      <c r="B3" s="187" t="s">
        <v>131</v>
      </c>
      <c r="C3" s="194"/>
      <c r="D3" s="194"/>
      <c r="E3" s="194"/>
      <c r="F3" s="190" t="s">
        <v>132</v>
      </c>
      <c r="G3" s="191" t="s">
        <v>133</v>
      </c>
      <c r="H3" s="191" t="s">
        <v>134</v>
      </c>
      <c r="I3" s="191" t="s">
        <v>135</v>
      </c>
      <c r="J3" s="191" t="s">
        <v>136</v>
      </c>
      <c r="K3" s="191" t="s">
        <v>137</v>
      </c>
      <c r="L3" s="192" t="s">
        <v>138</v>
      </c>
      <c r="M3" s="193"/>
      <c r="N3" s="194"/>
    </row>
    <row r="4" spans="1:14" s="112" customFormat="1" ht="60" x14ac:dyDescent="0.2">
      <c r="A4" s="317"/>
      <c r="B4" s="233" t="s">
        <v>139</v>
      </c>
      <c r="C4" s="234" t="s">
        <v>145</v>
      </c>
      <c r="D4" s="234" t="s">
        <v>184</v>
      </c>
      <c r="E4" s="235" t="s">
        <v>185</v>
      </c>
      <c r="F4" s="236" t="s">
        <v>148</v>
      </c>
      <c r="G4" s="200" t="s">
        <v>141</v>
      </c>
      <c r="H4" s="200" t="s">
        <v>232</v>
      </c>
      <c r="I4" s="200" t="s">
        <v>186</v>
      </c>
      <c r="J4" s="200" t="s">
        <v>187</v>
      </c>
      <c r="K4" s="200" t="s">
        <v>188</v>
      </c>
      <c r="L4" s="237" t="s">
        <v>233</v>
      </c>
      <c r="M4" s="238" t="s">
        <v>146</v>
      </c>
      <c r="N4" s="238" t="s">
        <v>147</v>
      </c>
    </row>
    <row r="5" spans="1:14" ht="12" x14ac:dyDescent="0.2">
      <c r="A5" s="222" t="s">
        <v>22</v>
      </c>
      <c r="B5" s="204" t="s">
        <v>179</v>
      </c>
      <c r="C5" s="205"/>
      <c r="D5" s="205"/>
      <c r="E5" s="205"/>
      <c r="F5" s="204"/>
      <c r="G5" s="204"/>
      <c r="H5" s="206"/>
      <c r="I5" s="206"/>
      <c r="J5" s="206"/>
      <c r="K5" s="206"/>
      <c r="L5" s="205"/>
      <c r="M5" s="205"/>
      <c r="N5" s="205"/>
    </row>
    <row r="6" spans="1:14" ht="12" x14ac:dyDescent="0.2">
      <c r="A6" s="222" t="s">
        <v>23</v>
      </c>
      <c r="B6" s="204" t="s">
        <v>179</v>
      </c>
      <c r="C6" s="205"/>
      <c r="D6" s="205"/>
      <c r="E6" s="205"/>
      <c r="F6" s="204"/>
      <c r="G6" s="204"/>
      <c r="H6" s="206"/>
      <c r="I6" s="206"/>
      <c r="J6" s="206"/>
      <c r="K6" s="206"/>
      <c r="L6" s="205"/>
      <c r="M6" s="205"/>
      <c r="N6" s="205"/>
    </row>
    <row r="7" spans="1:14" ht="12" x14ac:dyDescent="0.2">
      <c r="A7" s="222" t="s">
        <v>24</v>
      </c>
      <c r="B7" s="204"/>
      <c r="C7" s="205"/>
      <c r="D7" s="205"/>
      <c r="E7" s="205"/>
      <c r="F7" s="204"/>
      <c r="G7" s="204"/>
      <c r="H7" s="206"/>
      <c r="I7" s="206"/>
      <c r="J7" s="206"/>
      <c r="K7" s="206"/>
      <c r="L7" s="205"/>
      <c r="M7" s="205"/>
      <c r="N7" s="205"/>
    </row>
    <row r="8" spans="1:14" ht="25.5" x14ac:dyDescent="0.2">
      <c r="A8" s="203" t="s">
        <v>296</v>
      </c>
      <c r="B8" s="204">
        <v>40</v>
      </c>
      <c r="C8" s="205">
        <v>0</v>
      </c>
      <c r="D8" s="205">
        <v>0</v>
      </c>
      <c r="E8" s="205">
        <v>0</v>
      </c>
      <c r="F8" s="204">
        <v>1</v>
      </c>
      <c r="G8" s="204">
        <f>B8*F8</f>
        <v>40</v>
      </c>
      <c r="H8" s="208">
        <f>ROUND('Base Data'!$M$33, 2)</f>
        <v>10</v>
      </c>
      <c r="I8" s="206">
        <f>ROUND(G8*H8, 2)</f>
        <v>400</v>
      </c>
      <c r="J8" s="206">
        <f>ROUND(I8*0.1, 2)</f>
        <v>40</v>
      </c>
      <c r="K8" s="208">
        <f>ROUND(I8*0.05, 2)</f>
        <v>20</v>
      </c>
      <c r="L8" s="205">
        <f>ROUND((I8*'Base Data'!$C$57)+(J8*'Base Data'!$C$58)+(K8*'Base Data'!$C$59), 2)</f>
        <v>52396.800000000003</v>
      </c>
      <c r="M8" s="205">
        <f>ROUND(E8*F8*H8, 2)</f>
        <v>0</v>
      </c>
      <c r="N8" s="206">
        <v>0</v>
      </c>
    </row>
    <row r="9" spans="1:14" ht="24" x14ac:dyDescent="0.2">
      <c r="A9" s="203" t="s">
        <v>297</v>
      </c>
      <c r="B9" s="204">
        <v>1</v>
      </c>
      <c r="C9" s="205">
        <v>0</v>
      </c>
      <c r="D9" s="205">
        <v>0</v>
      </c>
      <c r="E9" s="205">
        <v>0</v>
      </c>
      <c r="F9" s="204">
        <v>1</v>
      </c>
      <c r="G9" s="204">
        <f>B9*F9</f>
        <v>1</v>
      </c>
      <c r="H9" s="207">
        <f>'Respondents&amp;Responses'!C7</f>
        <v>2089.5</v>
      </c>
      <c r="I9" s="206">
        <f>ROUND(G9*H9, 2)</f>
        <v>2089.5</v>
      </c>
      <c r="J9" s="206">
        <f>ROUND(I9*0.1, 2)</f>
        <v>208.95</v>
      </c>
      <c r="K9" s="208">
        <f>ROUND(I9*0.05, 2)</f>
        <v>104.48</v>
      </c>
      <c r="L9" s="205">
        <f>ROUND((I9*'Base Data'!$C$57)+(J9*'Base Data'!$C$58)+(K9*'Base Data'!$C$59), 2)</f>
        <v>273708.52</v>
      </c>
      <c r="M9" s="205">
        <f>ROUND(E9*F9*H9, 2)</f>
        <v>0</v>
      </c>
      <c r="N9" s="206">
        <v>0</v>
      </c>
    </row>
    <row r="10" spans="1:14" ht="12" x14ac:dyDescent="0.2">
      <c r="A10" s="222" t="s">
        <v>25</v>
      </c>
      <c r="B10" s="204"/>
      <c r="C10" s="205"/>
      <c r="D10" s="205"/>
      <c r="E10" s="205"/>
      <c r="F10" s="204"/>
      <c r="G10" s="204"/>
      <c r="H10" s="206"/>
      <c r="I10" s="206"/>
      <c r="J10" s="206"/>
      <c r="K10" s="206"/>
      <c r="L10" s="205"/>
      <c r="M10" s="205"/>
      <c r="N10" s="205"/>
    </row>
    <row r="11" spans="1:14" ht="12" x14ac:dyDescent="0.2">
      <c r="A11" s="203" t="s">
        <v>189</v>
      </c>
      <c r="B11" s="204"/>
      <c r="C11" s="215"/>
      <c r="D11" s="205"/>
      <c r="E11" s="205"/>
      <c r="F11" s="204"/>
      <c r="G11" s="204"/>
      <c r="H11" s="208"/>
      <c r="I11" s="206"/>
      <c r="J11" s="206"/>
      <c r="K11" s="206"/>
      <c r="L11" s="205"/>
      <c r="M11" s="205"/>
      <c r="N11" s="205"/>
    </row>
    <row r="12" spans="1:14" ht="13.5" x14ac:dyDescent="0.2">
      <c r="A12" s="222" t="s">
        <v>242</v>
      </c>
      <c r="B12" s="204">
        <v>20</v>
      </c>
      <c r="C12" s="205">
        <v>18292</v>
      </c>
      <c r="D12" s="205">
        <v>0</v>
      </c>
      <c r="E12" s="205">
        <v>0</v>
      </c>
      <c r="F12" s="204">
        <v>1</v>
      </c>
      <c r="G12" s="204">
        <f t="shared" ref="G12:G21" si="0">B12*F12</f>
        <v>20</v>
      </c>
      <c r="H12" s="208">
        <v>0</v>
      </c>
      <c r="I12" s="206">
        <f t="shared" ref="I12:I15" si="1">ROUND(G12*H12, 2)</f>
        <v>0</v>
      </c>
      <c r="J12" s="206">
        <f t="shared" ref="J12:J15" si="2">ROUND(I12*0.1, 2)</f>
        <v>0</v>
      </c>
      <c r="K12" s="208">
        <f t="shared" ref="K12:K21" si="3">ROUND(I12*0.05, 2)</f>
        <v>0</v>
      </c>
      <c r="L12" s="205">
        <f>ROUND((I12*'Base Data'!$C$57)+(J12*'Base Data'!$C$58)+(K12*'Base Data'!$C$59), 2)</f>
        <v>0</v>
      </c>
      <c r="M12" s="205">
        <f>ROUND(C12*F12*H12, 2)</f>
        <v>0</v>
      </c>
      <c r="N12" s="206">
        <v>0</v>
      </c>
    </row>
    <row r="13" spans="1:14" ht="13.5" x14ac:dyDescent="0.2">
      <c r="A13" s="222" t="s">
        <v>243</v>
      </c>
      <c r="B13" s="204">
        <v>20</v>
      </c>
      <c r="C13" s="205">
        <v>854</v>
      </c>
      <c r="D13" s="205">
        <v>0</v>
      </c>
      <c r="E13" s="205">
        <v>0</v>
      </c>
      <c r="F13" s="204">
        <v>1</v>
      </c>
      <c r="G13" s="204">
        <f t="shared" si="0"/>
        <v>20</v>
      </c>
      <c r="H13" s="208">
        <v>0</v>
      </c>
      <c r="I13" s="206">
        <f t="shared" si="1"/>
        <v>0</v>
      </c>
      <c r="J13" s="206">
        <f t="shared" si="2"/>
        <v>0</v>
      </c>
      <c r="K13" s="208">
        <f t="shared" si="3"/>
        <v>0</v>
      </c>
      <c r="L13" s="205">
        <f>ROUND((I13*'Base Data'!$C$57)+(J13*'Base Data'!$C$58)+(K13*'Base Data'!$C$59), 2)</f>
        <v>0</v>
      </c>
      <c r="M13" s="205">
        <f>ROUND(C13*F13*H13, 2)</f>
        <v>0</v>
      </c>
      <c r="N13" s="206">
        <v>0</v>
      </c>
    </row>
    <row r="14" spans="1:14" s="113" customFormat="1" ht="13.5" x14ac:dyDescent="0.2">
      <c r="A14" s="203" t="s">
        <v>244</v>
      </c>
      <c r="B14" s="204">
        <v>12</v>
      </c>
      <c r="C14" s="205">
        <v>0</v>
      </c>
      <c r="D14" s="205">
        <v>5000</v>
      </c>
      <c r="E14" s="205">
        <v>0</v>
      </c>
      <c r="F14" s="204">
        <v>1</v>
      </c>
      <c r="G14" s="204">
        <f t="shared" si="0"/>
        <v>12</v>
      </c>
      <c r="H14" s="208">
        <f>ROUND(1/3*('Base Data'!J36+'Base Data'!J37), 2)</f>
        <v>0</v>
      </c>
      <c r="I14" s="206">
        <f t="shared" si="1"/>
        <v>0</v>
      </c>
      <c r="J14" s="206">
        <f t="shared" si="2"/>
        <v>0</v>
      </c>
      <c r="K14" s="208">
        <f t="shared" si="3"/>
        <v>0</v>
      </c>
      <c r="L14" s="205">
        <f>ROUND((I14*'Base Data'!$C$57)+(J14*'Base Data'!$C$58)+(K14*'Base Data'!$C$59), 2)</f>
        <v>0</v>
      </c>
      <c r="M14" s="205">
        <f t="shared" ref="M14:M21" si="4">ROUND(D14*F14*H14, 2)</f>
        <v>0</v>
      </c>
      <c r="N14" s="206">
        <v>0</v>
      </c>
    </row>
    <row r="15" spans="1:14" s="113" customFormat="1" ht="13.5" x14ac:dyDescent="0.2">
      <c r="A15" s="203" t="s">
        <v>245</v>
      </c>
      <c r="B15" s="204">
        <v>12</v>
      </c>
      <c r="C15" s="205">
        <v>0</v>
      </c>
      <c r="D15" s="205">
        <v>6000</v>
      </c>
      <c r="E15" s="205">
        <v>0</v>
      </c>
      <c r="F15" s="204">
        <v>1</v>
      </c>
      <c r="G15" s="204">
        <f t="shared" si="0"/>
        <v>12</v>
      </c>
      <c r="H15" s="208">
        <f>ROUND(1/3*('Base Data'!J36+'Base Data'!J37), 2)</f>
        <v>0</v>
      </c>
      <c r="I15" s="206">
        <f t="shared" si="1"/>
        <v>0</v>
      </c>
      <c r="J15" s="206">
        <f t="shared" si="2"/>
        <v>0</v>
      </c>
      <c r="K15" s="208">
        <f t="shared" si="3"/>
        <v>0</v>
      </c>
      <c r="L15" s="205">
        <f>ROUND((I15*'Base Data'!$C$57)+(J15*'Base Data'!$C$58)+(K15*'Base Data'!$C$59), 2)</f>
        <v>0</v>
      </c>
      <c r="M15" s="205">
        <f t="shared" si="4"/>
        <v>0</v>
      </c>
      <c r="N15" s="206">
        <v>0</v>
      </c>
    </row>
    <row r="16" spans="1:14" ht="13.5" x14ac:dyDescent="0.2">
      <c r="A16" s="203" t="s">
        <v>246</v>
      </c>
      <c r="B16" s="204">
        <v>12</v>
      </c>
      <c r="C16" s="205">
        <v>0</v>
      </c>
      <c r="D16" s="205">
        <v>8000</v>
      </c>
      <c r="E16" s="205">
        <v>0</v>
      </c>
      <c r="F16" s="204">
        <v>1</v>
      </c>
      <c r="G16" s="230">
        <f t="shared" si="0"/>
        <v>12</v>
      </c>
      <c r="H16" s="211">
        <f>ROUND(1/3*((('Base Data'!D33 + 'Base Data'!D34 - 'Base Data'!E33 - 'Base Data'!E34) + ('Base Data'!D36 + 'Base Data'!D37 - 'Base Data'!E36 - 'Base Data'!E37))/'Base Data'!C1), 2)</f>
        <v>1.83</v>
      </c>
      <c r="I16" s="212">
        <f>ROUND(G16*H16, 2)</f>
        <v>21.96</v>
      </c>
      <c r="J16" s="210">
        <f>ROUND(I16*0.1, 2)</f>
        <v>2.2000000000000002</v>
      </c>
      <c r="K16" s="207">
        <f t="shared" si="3"/>
        <v>1.1000000000000001</v>
      </c>
      <c r="L16" s="240">
        <f>ROUND((I16*'Base Data'!$C$57)+(J16*'Base Data'!$C$58)+(K16*'Base Data'!$C$59), 2)</f>
        <v>2877.11</v>
      </c>
      <c r="M16" s="205">
        <f t="shared" si="4"/>
        <v>14640</v>
      </c>
      <c r="N16" s="206">
        <v>0</v>
      </c>
    </row>
    <row r="17" spans="1:14" ht="13.5" x14ac:dyDescent="0.2">
      <c r="A17" s="203" t="s">
        <v>305</v>
      </c>
      <c r="B17" s="204">
        <v>12</v>
      </c>
      <c r="C17" s="205">
        <v>0</v>
      </c>
      <c r="D17" s="205">
        <v>5000</v>
      </c>
      <c r="E17" s="205">
        <v>0</v>
      </c>
      <c r="F17" s="204">
        <v>0.33</v>
      </c>
      <c r="G17" s="243">
        <f t="shared" si="0"/>
        <v>3.96</v>
      </c>
      <c r="H17" s="207">
        <f>ROUND((1/3*('Base Data'!D11 + 'Base Data'!D12))/'Base Data'!C1, 2)</f>
        <v>95.5</v>
      </c>
      <c r="I17" s="210">
        <f t="shared" ref="I17:I19" si="5">ROUND(G17*H17, 2)</f>
        <v>378.18</v>
      </c>
      <c r="J17" s="210">
        <f t="shared" ref="J17:J30" si="6">ROUND(I17*0.1, 2)</f>
        <v>37.82</v>
      </c>
      <c r="K17" s="207">
        <f t="shared" si="3"/>
        <v>18.91</v>
      </c>
      <c r="L17" s="240">
        <f>ROUND((I17*'Base Data'!$C$57)+(J17*'Base Data'!$C$58)+(K17*'Base Data'!$C$59), 2)</f>
        <v>49538.82</v>
      </c>
      <c r="M17" s="205">
        <f t="shared" si="4"/>
        <v>157575</v>
      </c>
      <c r="N17" s="206">
        <v>0</v>
      </c>
    </row>
    <row r="18" spans="1:14" ht="13.5" x14ac:dyDescent="0.2">
      <c r="A18" s="203" t="s">
        <v>247</v>
      </c>
      <c r="B18" s="204">
        <v>12</v>
      </c>
      <c r="C18" s="205">
        <v>0</v>
      </c>
      <c r="D18" s="205">
        <v>6000</v>
      </c>
      <c r="E18" s="205">
        <v>0</v>
      </c>
      <c r="F18" s="204">
        <v>0.33</v>
      </c>
      <c r="G18" s="243">
        <f t="shared" si="0"/>
        <v>3.96</v>
      </c>
      <c r="H18" s="207">
        <f>H17</f>
        <v>95.5</v>
      </c>
      <c r="I18" s="210">
        <f t="shared" si="5"/>
        <v>378.18</v>
      </c>
      <c r="J18" s="210">
        <f t="shared" si="6"/>
        <v>37.82</v>
      </c>
      <c r="K18" s="207">
        <f t="shared" si="3"/>
        <v>18.91</v>
      </c>
      <c r="L18" s="240">
        <f>ROUND((I18*'Base Data'!$C$57)+(J18*'Base Data'!$C$58)+(K18*'Base Data'!$C$59), 2)</f>
        <v>49538.82</v>
      </c>
      <c r="M18" s="205">
        <f t="shared" si="4"/>
        <v>189090</v>
      </c>
      <c r="N18" s="206">
        <v>0</v>
      </c>
    </row>
    <row r="19" spans="1:14" ht="13.5" x14ac:dyDescent="0.2">
      <c r="A19" s="203" t="s">
        <v>248</v>
      </c>
      <c r="B19" s="204">
        <v>12</v>
      </c>
      <c r="C19" s="205">
        <v>0</v>
      </c>
      <c r="D19" s="205">
        <v>8000</v>
      </c>
      <c r="E19" s="205">
        <v>0</v>
      </c>
      <c r="F19" s="204">
        <v>0.33</v>
      </c>
      <c r="G19" s="243">
        <f t="shared" si="0"/>
        <v>3.96</v>
      </c>
      <c r="H19" s="211">
        <f>H16*2 + 1/3*('Base Data'!J33*2)</f>
        <v>7.3266666666666662</v>
      </c>
      <c r="I19" s="212">
        <f t="shared" si="5"/>
        <v>29.01</v>
      </c>
      <c r="J19" s="212">
        <f t="shared" si="6"/>
        <v>2.9</v>
      </c>
      <c r="K19" s="211">
        <f t="shared" si="3"/>
        <v>1.45</v>
      </c>
      <c r="L19" s="240">
        <f>ROUND((I19*'Base Data'!$C$57)+(J19*'Base Data'!$C$58)+(K19*'Base Data'!$C$59), 2)</f>
        <v>3799.95</v>
      </c>
      <c r="M19" s="205">
        <f t="shared" si="4"/>
        <v>19342.400000000001</v>
      </c>
      <c r="N19" s="206">
        <v>0</v>
      </c>
    </row>
    <row r="20" spans="1:14" s="113" customFormat="1" ht="13.5" x14ac:dyDescent="0.2">
      <c r="A20" s="203" t="s">
        <v>249</v>
      </c>
      <c r="B20" s="204">
        <v>5</v>
      </c>
      <c r="C20" s="205">
        <v>0</v>
      </c>
      <c r="D20" s="205">
        <v>200</v>
      </c>
      <c r="E20" s="205">
        <v>0</v>
      </c>
      <c r="F20" s="204">
        <v>1</v>
      </c>
      <c r="G20" s="204">
        <f t="shared" si="0"/>
        <v>5</v>
      </c>
      <c r="H20" s="208">
        <v>0</v>
      </c>
      <c r="I20" s="206">
        <f t="shared" ref="I20:I21" si="7">ROUND(G20*H20, 2)</f>
        <v>0</v>
      </c>
      <c r="J20" s="206">
        <f t="shared" si="6"/>
        <v>0</v>
      </c>
      <c r="K20" s="211">
        <f t="shared" si="3"/>
        <v>0</v>
      </c>
      <c r="L20" s="205">
        <f>ROUND((I20*'Base Data'!$C$57)+(J20*'Base Data'!$C$58)+(K20*'Base Data'!$C$59), 2)</f>
        <v>0</v>
      </c>
      <c r="M20" s="205">
        <f t="shared" si="4"/>
        <v>0</v>
      </c>
      <c r="N20" s="206">
        <v>0</v>
      </c>
    </row>
    <row r="21" spans="1:14" s="113" customFormat="1" ht="14.25" customHeight="1" x14ac:dyDescent="0.2">
      <c r="A21" s="203" t="s">
        <v>250</v>
      </c>
      <c r="B21" s="204">
        <v>5</v>
      </c>
      <c r="C21" s="205">
        <v>0</v>
      </c>
      <c r="D21" s="205">
        <v>200</v>
      </c>
      <c r="E21" s="205">
        <v>0</v>
      </c>
      <c r="F21" s="204">
        <v>12</v>
      </c>
      <c r="G21" s="204">
        <f t="shared" si="0"/>
        <v>60</v>
      </c>
      <c r="H21" s="208">
        <v>0</v>
      </c>
      <c r="I21" s="206">
        <f t="shared" si="7"/>
        <v>0</v>
      </c>
      <c r="J21" s="206">
        <f t="shared" si="6"/>
        <v>0</v>
      </c>
      <c r="K21" s="208">
        <f t="shared" si="3"/>
        <v>0</v>
      </c>
      <c r="L21" s="205">
        <f>ROUND((I21*'Base Data'!$C$57)+(J21*'Base Data'!$C$58)+(K21*'Base Data'!$C$59), 2)</f>
        <v>0</v>
      </c>
      <c r="M21" s="205">
        <f t="shared" si="4"/>
        <v>0</v>
      </c>
      <c r="N21" s="206">
        <v>0</v>
      </c>
    </row>
    <row r="22" spans="1:14" ht="12" x14ac:dyDescent="0.2">
      <c r="A22" s="203" t="s">
        <v>190</v>
      </c>
      <c r="B22" s="204"/>
      <c r="C22" s="205"/>
      <c r="D22" s="205"/>
      <c r="E22" s="205"/>
      <c r="F22" s="204"/>
      <c r="G22" s="204"/>
      <c r="H22" s="206"/>
      <c r="I22" s="206"/>
      <c r="J22" s="206"/>
      <c r="K22" s="206"/>
      <c r="L22" s="205"/>
      <c r="M22" s="205"/>
      <c r="N22" s="205"/>
    </row>
    <row r="23" spans="1:14" ht="25.5" x14ac:dyDescent="0.2">
      <c r="A23" s="203" t="s">
        <v>251</v>
      </c>
      <c r="B23" s="204">
        <v>40</v>
      </c>
      <c r="C23" s="205">
        <v>0</v>
      </c>
      <c r="D23" s="205">
        <v>0</v>
      </c>
      <c r="E23" s="205">
        <v>0</v>
      </c>
      <c r="F23" s="204">
        <v>1</v>
      </c>
      <c r="G23" s="204">
        <f>B23*F23</f>
        <v>40</v>
      </c>
      <c r="H23" s="208">
        <f>ROUND('Base Data'!M33, 2)</f>
        <v>10</v>
      </c>
      <c r="I23" s="206">
        <f t="shared" ref="I23" si="8">ROUND(G23*H23, 2)</f>
        <v>400</v>
      </c>
      <c r="J23" s="206">
        <f t="shared" si="6"/>
        <v>40</v>
      </c>
      <c r="K23" s="208">
        <f>ROUND(I23*0.05, 2)</f>
        <v>20</v>
      </c>
      <c r="L23" s="240">
        <f>ROUND((I23*'Base Data'!$C$57)+(J23*'Base Data'!$C$58)+(K23*'Base Data'!$C$59), 2)</f>
        <v>52396.800000000003</v>
      </c>
      <c r="M23" s="205">
        <f>ROUND(E23*F23*H23, 2)</f>
        <v>0</v>
      </c>
      <c r="N23" s="206">
        <v>0</v>
      </c>
    </row>
    <row r="24" spans="1:14" ht="12" x14ac:dyDescent="0.2">
      <c r="A24" s="203" t="s">
        <v>191</v>
      </c>
      <c r="B24" s="204"/>
      <c r="C24" s="205"/>
      <c r="D24" s="205"/>
      <c r="E24" s="205"/>
      <c r="F24" s="204"/>
      <c r="G24" s="204"/>
      <c r="H24" s="208"/>
      <c r="I24" s="206"/>
      <c r="J24" s="206"/>
      <c r="K24" s="206"/>
      <c r="L24" s="205"/>
      <c r="M24" s="205"/>
      <c r="N24" s="205"/>
    </row>
    <row r="25" spans="1:14" ht="13.5" x14ac:dyDescent="0.2">
      <c r="A25" s="222" t="s">
        <v>252</v>
      </c>
      <c r="B25" s="204">
        <v>10</v>
      </c>
      <c r="C25" s="205">
        <v>0</v>
      </c>
      <c r="D25" s="205">
        <v>0</v>
      </c>
      <c r="E25" s="205">
        <v>43100</v>
      </c>
      <c r="F25" s="204">
        <v>1</v>
      </c>
      <c r="G25" s="204">
        <f>B25*F25</f>
        <v>10</v>
      </c>
      <c r="H25" s="211">
        <f>ROUND(1/3*(('Base Data'!D33 + 'Base Data'!D34 - 'Base Data'!E33 - 'Base Data'!E34)/'Base Data'!C1), 2)</f>
        <v>1.83</v>
      </c>
      <c r="I25" s="241">
        <f t="shared" ref="I25:I26" si="9">ROUND(G25*H25, 2)</f>
        <v>18.3</v>
      </c>
      <c r="J25" s="240">
        <f t="shared" si="6"/>
        <v>1.83</v>
      </c>
      <c r="K25" s="244">
        <f>ROUND(I25*0.05, 2)</f>
        <v>0.92</v>
      </c>
      <c r="L25" s="205">
        <f>ROUND((I25*'Base Data'!$C$57)+(J25*'Base Data'!$C$58)+(K25*'Base Data'!$C$59), 2)</f>
        <v>2397.89</v>
      </c>
      <c r="M25" s="205">
        <f>ROUND(E25*F25*H25, 2)</f>
        <v>78873</v>
      </c>
      <c r="N25" s="206">
        <v>0</v>
      </c>
    </row>
    <row r="26" spans="1:14" ht="13.5" x14ac:dyDescent="0.2">
      <c r="A26" s="222" t="s">
        <v>253</v>
      </c>
      <c r="B26" s="204">
        <v>10</v>
      </c>
      <c r="C26" s="205">
        <v>0</v>
      </c>
      <c r="D26" s="205">
        <v>0</v>
      </c>
      <c r="E26" s="205">
        <v>14700</v>
      </c>
      <c r="F26" s="204">
        <v>1</v>
      </c>
      <c r="G26" s="204">
        <f>B26*F26</f>
        <v>10</v>
      </c>
      <c r="H26" s="211">
        <f>H16*2 + 'Base Data'!J33*2</f>
        <v>14.66</v>
      </c>
      <c r="I26" s="241">
        <f t="shared" si="9"/>
        <v>146.6</v>
      </c>
      <c r="J26" s="240">
        <f t="shared" si="6"/>
        <v>14.66</v>
      </c>
      <c r="K26" s="244">
        <f>ROUND(I26*0.05, 2)</f>
        <v>7.33</v>
      </c>
      <c r="L26" s="240">
        <f>ROUND((I26*'Base Data'!$C$57)+(J26*'Base Data'!$C$58)+(K26*'Base Data'!$C$59), 2)</f>
        <v>19203.43</v>
      </c>
      <c r="M26" s="205">
        <f>ROUND(E26*F26*H26, 2)</f>
        <v>215502</v>
      </c>
      <c r="N26" s="206">
        <v>0</v>
      </c>
    </row>
    <row r="27" spans="1:14" ht="24" x14ac:dyDescent="0.2">
      <c r="A27" s="203" t="s">
        <v>192</v>
      </c>
      <c r="B27" s="204"/>
      <c r="C27" s="205"/>
      <c r="D27" s="205"/>
      <c r="E27" s="205"/>
      <c r="F27" s="204"/>
      <c r="G27" s="204"/>
      <c r="H27" s="208"/>
      <c r="I27" s="206"/>
      <c r="J27" s="206"/>
      <c r="K27" s="206"/>
      <c r="L27" s="205"/>
      <c r="M27" s="205"/>
      <c r="N27" s="205"/>
    </row>
    <row r="28" spans="1:14" ht="13.5" x14ac:dyDescent="0.2">
      <c r="A28" s="222" t="s">
        <v>254</v>
      </c>
      <c r="B28" s="204">
        <v>10</v>
      </c>
      <c r="C28" s="205">
        <v>0</v>
      </c>
      <c r="D28" s="205">
        <v>0</v>
      </c>
      <c r="E28" s="205">
        <v>25500</v>
      </c>
      <c r="F28" s="204">
        <v>1</v>
      </c>
      <c r="G28" s="204">
        <f>B28*F28</f>
        <v>10</v>
      </c>
      <c r="H28" s="208">
        <f>ROUND(1/3*(('Base Data'!J36+'Base Data'!J37)/'Base Data'!C1), 2)</f>
        <v>0</v>
      </c>
      <c r="I28" s="206">
        <f t="shared" ref="I28:I29" si="10">ROUND(G28*H28, 2)</f>
        <v>0</v>
      </c>
      <c r="J28" s="206">
        <f t="shared" si="6"/>
        <v>0</v>
      </c>
      <c r="K28" s="208">
        <f>ROUND(I28*0.05, 2)</f>
        <v>0</v>
      </c>
      <c r="L28" s="205">
        <f>ROUND((I28*'Base Data'!$C$57)+(J28*'Base Data'!$C$58)+(K28*'Base Data'!$C$59), 2)</f>
        <v>0</v>
      </c>
      <c r="M28" s="205">
        <f t="shared" ref="M28:M29" si="11">ROUND(E28*F28*H28, 2)</f>
        <v>0</v>
      </c>
      <c r="N28" s="206">
        <v>0</v>
      </c>
    </row>
    <row r="29" spans="1:14" ht="13.5" x14ac:dyDescent="0.2">
      <c r="A29" s="222" t="s">
        <v>255</v>
      </c>
      <c r="B29" s="204">
        <v>10</v>
      </c>
      <c r="C29" s="205">
        <v>0</v>
      </c>
      <c r="D29" s="205">
        <v>0</v>
      </c>
      <c r="E29" s="205">
        <v>9700</v>
      </c>
      <c r="F29" s="204">
        <v>1</v>
      </c>
      <c r="G29" s="204">
        <f>B29*F29</f>
        <v>10</v>
      </c>
      <c r="H29" s="207">
        <f>ROUND(('Base Data'!D11 + 'Base Data'!D12 + 2/3*('Base Data'!D36 + 'Base Data'!D37))/'Base Data'!C1, 2)</f>
        <v>286.5</v>
      </c>
      <c r="I29" s="206">
        <f t="shared" si="10"/>
        <v>2865</v>
      </c>
      <c r="J29" s="206">
        <f t="shared" si="6"/>
        <v>286.5</v>
      </c>
      <c r="K29" s="208">
        <f>ROUND(I29*0.05, 2)</f>
        <v>143.25</v>
      </c>
      <c r="L29" s="240">
        <f>ROUND((I29*'Base Data'!$C$57)+(J29*'Base Data'!$C$58)+(K29*'Base Data'!$C$59), 2)</f>
        <v>375292.08</v>
      </c>
      <c r="M29" s="205">
        <f t="shared" si="11"/>
        <v>2779050</v>
      </c>
      <c r="N29" s="206">
        <v>0</v>
      </c>
    </row>
    <row r="30" spans="1:14" ht="13.5" x14ac:dyDescent="0.2">
      <c r="A30" s="203" t="s">
        <v>256</v>
      </c>
      <c r="B30" s="204">
        <v>12</v>
      </c>
      <c r="C30" s="205">
        <v>0</v>
      </c>
      <c r="D30" s="205">
        <v>2875</v>
      </c>
      <c r="E30" s="205">
        <v>0</v>
      </c>
      <c r="F30" s="204">
        <f>1/2</f>
        <v>0.5</v>
      </c>
      <c r="G30" s="204">
        <f>B30*F30</f>
        <v>6</v>
      </c>
      <c r="H30" s="208">
        <f>ROUND('Base Data'!K8 + 'Base Data'!K9 + 2/3*('Base Data'!J33 + 'Base Data'!J34), 2)</f>
        <v>1813</v>
      </c>
      <c r="I30" s="206">
        <f t="shared" ref="I30" si="12">ROUND(G30*H30, 2)</f>
        <v>10878</v>
      </c>
      <c r="J30" s="206">
        <f t="shared" si="6"/>
        <v>1087.8</v>
      </c>
      <c r="K30" s="208">
        <f>ROUND(I30*0.05, 2)</f>
        <v>543.9</v>
      </c>
      <c r="L30" s="240">
        <f>ROUND((I30*'Base Data'!$C$57)+(J30*'Base Data'!$C$58)+(K30*'Base Data'!$C$59), 2)</f>
        <v>1424930.98</v>
      </c>
      <c r="M30" s="241">
        <f>ROUND(D30*F30*H30, 2)</f>
        <v>2606187.5</v>
      </c>
      <c r="N30" s="206">
        <v>0</v>
      </c>
    </row>
    <row r="31" spans="1:14" ht="12" x14ac:dyDescent="0.2">
      <c r="A31" s="222" t="s">
        <v>26</v>
      </c>
      <c r="B31" s="204" t="s">
        <v>179</v>
      </c>
      <c r="C31" s="205"/>
      <c r="D31" s="205"/>
      <c r="E31" s="205"/>
      <c r="F31" s="204"/>
      <c r="G31" s="204"/>
      <c r="H31" s="206"/>
      <c r="I31" s="206"/>
      <c r="J31" s="206"/>
      <c r="K31" s="206"/>
      <c r="L31" s="205"/>
      <c r="M31" s="205"/>
      <c r="N31" s="205"/>
    </row>
    <row r="32" spans="1:14" ht="12" x14ac:dyDescent="0.2">
      <c r="A32" s="222" t="s">
        <v>27</v>
      </c>
      <c r="B32" s="204" t="s">
        <v>179</v>
      </c>
      <c r="C32" s="205"/>
      <c r="D32" s="205"/>
      <c r="E32" s="205"/>
      <c r="F32" s="204"/>
      <c r="G32" s="204"/>
      <c r="H32" s="206"/>
      <c r="I32" s="206"/>
      <c r="J32" s="206"/>
      <c r="K32" s="206"/>
      <c r="L32" s="205"/>
      <c r="M32" s="205"/>
      <c r="N32" s="205"/>
    </row>
    <row r="33" spans="1:14" ht="12" x14ac:dyDescent="0.2">
      <c r="A33" s="222" t="s">
        <v>28</v>
      </c>
      <c r="B33" s="204"/>
      <c r="C33" s="205"/>
      <c r="D33" s="205"/>
      <c r="E33" s="205"/>
      <c r="F33" s="204"/>
      <c r="G33" s="204"/>
      <c r="H33" s="206"/>
      <c r="I33" s="206"/>
      <c r="J33" s="206"/>
      <c r="K33" s="206"/>
      <c r="L33" s="205"/>
      <c r="M33" s="205"/>
      <c r="N33" s="205"/>
    </row>
    <row r="34" spans="1:14" ht="11.25" customHeight="1" x14ac:dyDescent="0.2">
      <c r="A34" s="209" t="s">
        <v>201</v>
      </c>
      <c r="B34" s="204">
        <v>2</v>
      </c>
      <c r="C34" s="205">
        <v>0</v>
      </c>
      <c r="D34" s="205">
        <v>0</v>
      </c>
      <c r="E34" s="205">
        <v>0</v>
      </c>
      <c r="F34" s="204">
        <v>1</v>
      </c>
      <c r="G34" s="230">
        <f t="shared" ref="G34:G38" si="13">B34*F34</f>
        <v>2</v>
      </c>
      <c r="H34" s="208">
        <f>H8</f>
        <v>10</v>
      </c>
      <c r="I34" s="206">
        <f t="shared" ref="I34:I38" si="14">ROUND(G34*H34, 2)</f>
        <v>20</v>
      </c>
      <c r="J34" s="206">
        <f t="shared" ref="J34:J38" si="15">ROUND(I34*0.1, 2)</f>
        <v>2</v>
      </c>
      <c r="K34" s="208">
        <f t="shared" ref="K34:K38" si="16">ROUND(I34*0.05, 2)</f>
        <v>1</v>
      </c>
      <c r="L34" s="240">
        <f>ROUND((I34*'Base Data'!$C$57)+(J34*'Base Data'!$C$58)+(K34*'Base Data'!$C$59), 2)</f>
        <v>2619.84</v>
      </c>
      <c r="M34" s="205">
        <v>0</v>
      </c>
      <c r="N34" s="206">
        <f t="shared" ref="N34:N38" si="17">F34*H34</f>
        <v>10</v>
      </c>
    </row>
    <row r="35" spans="1:14" ht="12" x14ac:dyDescent="0.2">
      <c r="A35" s="209" t="s">
        <v>202</v>
      </c>
      <c r="B35" s="204">
        <v>8</v>
      </c>
      <c r="C35" s="205">
        <v>0</v>
      </c>
      <c r="D35" s="205">
        <v>0</v>
      </c>
      <c r="E35" s="205">
        <v>0</v>
      </c>
      <c r="F35" s="204">
        <v>1</v>
      </c>
      <c r="G35" s="230">
        <f t="shared" si="13"/>
        <v>8</v>
      </c>
      <c r="H35" s="208">
        <f>H8</f>
        <v>10</v>
      </c>
      <c r="I35" s="206">
        <f t="shared" si="14"/>
        <v>80</v>
      </c>
      <c r="J35" s="206">
        <f t="shared" si="15"/>
        <v>8</v>
      </c>
      <c r="K35" s="208">
        <f t="shared" si="16"/>
        <v>4</v>
      </c>
      <c r="L35" s="240">
        <f>ROUND((I35*'Base Data'!$C$57)+(J35*'Base Data'!$C$58)+(K35*'Base Data'!$C$59), 2)</f>
        <v>10479.36</v>
      </c>
      <c r="M35" s="205">
        <v>0</v>
      </c>
      <c r="N35" s="206">
        <f t="shared" si="17"/>
        <v>10</v>
      </c>
    </row>
    <row r="36" spans="1:14" ht="11.25" customHeight="1" x14ac:dyDescent="0.2">
      <c r="A36" s="209" t="s">
        <v>241</v>
      </c>
      <c r="B36" s="204">
        <v>5</v>
      </c>
      <c r="C36" s="205">
        <v>0</v>
      </c>
      <c r="D36" s="205">
        <v>0</v>
      </c>
      <c r="E36" s="205">
        <v>0</v>
      </c>
      <c r="F36" s="204">
        <v>1</v>
      </c>
      <c r="G36" s="230">
        <f t="shared" si="13"/>
        <v>5</v>
      </c>
      <c r="H36" s="208">
        <v>0</v>
      </c>
      <c r="I36" s="206">
        <f t="shared" si="14"/>
        <v>0</v>
      </c>
      <c r="J36" s="206">
        <f t="shared" si="15"/>
        <v>0</v>
      </c>
      <c r="K36" s="208">
        <f t="shared" si="16"/>
        <v>0</v>
      </c>
      <c r="L36" s="205">
        <f>ROUND((I36*'Base Data'!$C$57)+(J36*'Base Data'!$C$58)+(K36*'Base Data'!$C$59), 2)</f>
        <v>0</v>
      </c>
      <c r="M36" s="205">
        <v>0</v>
      </c>
      <c r="N36" s="206">
        <f t="shared" si="17"/>
        <v>0</v>
      </c>
    </row>
    <row r="37" spans="1:14" ht="12" x14ac:dyDescent="0.2">
      <c r="A37" s="242" t="s">
        <v>203</v>
      </c>
      <c r="B37" s="204">
        <v>30</v>
      </c>
      <c r="C37" s="205">
        <v>0</v>
      </c>
      <c r="D37" s="205">
        <v>0</v>
      </c>
      <c r="E37" s="205">
        <v>0</v>
      </c>
      <c r="F37" s="204">
        <v>1</v>
      </c>
      <c r="G37" s="230">
        <f t="shared" si="13"/>
        <v>30</v>
      </c>
      <c r="H37" s="207">
        <f>ROUND(('Base Data'!D8 + 'Base Data'!D9 + 'Base Data'!D11 + 'Base Data'!D12 + 2/3*('Base Data'!D33 + 'Base Data'!D34 + 'Base Data'!D36 + 'Base Data'!D37))/'Base Data'!C1, 2)</f>
        <v>2099.5</v>
      </c>
      <c r="I37" s="206">
        <f t="shared" si="14"/>
        <v>62985</v>
      </c>
      <c r="J37" s="206">
        <f t="shared" si="15"/>
        <v>6298.5</v>
      </c>
      <c r="K37" s="208">
        <f t="shared" si="16"/>
        <v>3149.25</v>
      </c>
      <c r="L37" s="240">
        <f>ROUND((I37*'Base Data'!$C$57)+(J37*'Base Data'!$C$58)+(K37*'Base Data'!$C$59), 2)</f>
        <v>8250531.1200000001</v>
      </c>
      <c r="M37" s="205">
        <v>0</v>
      </c>
      <c r="N37" s="206">
        <f t="shared" si="17"/>
        <v>2099.5</v>
      </c>
    </row>
    <row r="38" spans="1:14" ht="13.5" x14ac:dyDescent="0.2">
      <c r="A38" s="242" t="s">
        <v>287</v>
      </c>
      <c r="B38" s="204">
        <v>5</v>
      </c>
      <c r="C38" s="205">
        <v>0</v>
      </c>
      <c r="D38" s="205">
        <v>0</v>
      </c>
      <c r="E38" s="205">
        <v>0</v>
      </c>
      <c r="F38" s="204">
        <v>0.5</v>
      </c>
      <c r="G38" s="245">
        <f t="shared" si="13"/>
        <v>2.5</v>
      </c>
      <c r="H38" s="208">
        <f>H30</f>
        <v>1813</v>
      </c>
      <c r="I38" s="210">
        <f t="shared" si="14"/>
        <v>4532.5</v>
      </c>
      <c r="J38" s="210">
        <f t="shared" si="15"/>
        <v>453.25</v>
      </c>
      <c r="K38" s="207">
        <f t="shared" si="16"/>
        <v>226.63</v>
      </c>
      <c r="L38" s="240">
        <f>ROUND((I38*'Base Data'!$C$57)+(J38*'Base Data'!$C$58)+(K38*'Base Data'!$C$59), 2)</f>
        <v>593721.98</v>
      </c>
      <c r="M38" s="205">
        <v>0</v>
      </c>
      <c r="N38" s="206">
        <f t="shared" si="17"/>
        <v>906.5</v>
      </c>
    </row>
    <row r="39" spans="1:14" s="105" customFormat="1" ht="12" x14ac:dyDescent="0.2">
      <c r="A39" s="213" t="s">
        <v>183</v>
      </c>
      <c r="B39" s="214"/>
      <c r="C39" s="215"/>
      <c r="D39" s="215"/>
      <c r="E39" s="215"/>
      <c r="F39" s="214"/>
      <c r="G39" s="214"/>
      <c r="H39" s="217"/>
      <c r="I39" s="318">
        <f>SUM(I8:K38)</f>
        <v>98005.59</v>
      </c>
      <c r="J39" s="319"/>
      <c r="K39" s="320"/>
      <c r="L39" s="215">
        <f>SUM(L8:L38)</f>
        <v>11163433.5</v>
      </c>
      <c r="M39" s="215">
        <f>SUM(M8:M38)</f>
        <v>6060259.9000000004</v>
      </c>
      <c r="N39" s="216">
        <f>SUM(N8:N38)</f>
        <v>3026</v>
      </c>
    </row>
    <row r="40" spans="1:14" ht="12" x14ac:dyDescent="0.2">
      <c r="A40" s="222" t="s">
        <v>33</v>
      </c>
      <c r="B40" s="204"/>
      <c r="C40" s="205"/>
      <c r="D40" s="205"/>
      <c r="E40" s="205"/>
      <c r="F40" s="204"/>
      <c r="G40" s="204"/>
      <c r="H40" s="206"/>
      <c r="I40" s="206"/>
      <c r="J40" s="206"/>
      <c r="K40" s="206"/>
      <c r="L40" s="205"/>
      <c r="M40" s="205"/>
      <c r="N40" s="205"/>
    </row>
    <row r="41" spans="1:14" ht="12" x14ac:dyDescent="0.2">
      <c r="A41" s="222" t="s">
        <v>298</v>
      </c>
      <c r="B41" s="204" t="s">
        <v>180</v>
      </c>
      <c r="C41" s="205"/>
      <c r="D41" s="205"/>
      <c r="E41" s="205"/>
      <c r="F41" s="204"/>
      <c r="G41" s="204"/>
      <c r="H41" s="206"/>
      <c r="I41" s="206"/>
      <c r="J41" s="206"/>
      <c r="K41" s="206"/>
      <c r="L41" s="205"/>
      <c r="M41" s="205"/>
      <c r="N41" s="205"/>
    </row>
    <row r="42" spans="1:14" ht="12" x14ac:dyDescent="0.2">
      <c r="A42" s="222" t="s">
        <v>197</v>
      </c>
      <c r="B42" s="204" t="s">
        <v>179</v>
      </c>
      <c r="C42" s="205"/>
      <c r="D42" s="205"/>
      <c r="E42" s="205"/>
      <c r="F42" s="204"/>
      <c r="G42" s="204"/>
      <c r="H42" s="206"/>
      <c r="I42" s="206"/>
      <c r="J42" s="206"/>
      <c r="K42" s="206"/>
      <c r="L42" s="205"/>
      <c r="M42" s="205"/>
      <c r="N42" s="205"/>
    </row>
    <row r="43" spans="1:14" ht="13.5" x14ac:dyDescent="0.2">
      <c r="A43" s="222" t="s">
        <v>288</v>
      </c>
      <c r="B43" s="204" t="s">
        <v>179</v>
      </c>
      <c r="C43" s="205"/>
      <c r="D43" s="205"/>
      <c r="E43" s="205"/>
      <c r="F43" s="204"/>
      <c r="G43" s="204"/>
      <c r="H43" s="206"/>
      <c r="I43" s="206"/>
      <c r="J43" s="206"/>
      <c r="K43" s="206"/>
      <c r="L43" s="205"/>
      <c r="M43" s="205"/>
      <c r="N43" s="205"/>
    </row>
    <row r="44" spans="1:14" ht="12" x14ac:dyDescent="0.2">
      <c r="A44" s="222" t="s">
        <v>198</v>
      </c>
      <c r="B44" s="204"/>
      <c r="C44" s="205"/>
      <c r="D44" s="205"/>
      <c r="E44" s="205"/>
      <c r="F44" s="204"/>
      <c r="G44" s="204"/>
      <c r="H44" s="206"/>
      <c r="I44" s="206"/>
      <c r="J44" s="206"/>
      <c r="K44" s="206"/>
      <c r="L44" s="205"/>
      <c r="M44" s="205"/>
      <c r="N44" s="205"/>
    </row>
    <row r="45" spans="1:14" ht="13.5" x14ac:dyDescent="0.2">
      <c r="A45" s="222" t="s">
        <v>257</v>
      </c>
      <c r="B45" s="204">
        <v>20</v>
      </c>
      <c r="C45" s="205">
        <v>0</v>
      </c>
      <c r="D45" s="205">
        <v>0</v>
      </c>
      <c r="E45" s="205">
        <v>0</v>
      </c>
      <c r="F45" s="204">
        <v>1</v>
      </c>
      <c r="G45" s="230">
        <f t="shared" ref="G45:G51" si="18">B45*F45</f>
        <v>20</v>
      </c>
      <c r="H45" s="207">
        <f>ROUND((('Base Data'!D11 + 'Base Data'!D12 + 2/3*('Base Data'!D33 + 'Base Data'!D34 + 'Base Data'!D36 + 'Base Data'!D37 - 'Base Data'!E34))/'Base Data'!C1) + 'Base Data'!J33, 2)</f>
        <v>295.67</v>
      </c>
      <c r="I45" s="206">
        <f t="shared" ref="I45:I50" si="19">ROUND(G45*H45, 2)</f>
        <v>5913.4</v>
      </c>
      <c r="J45" s="206">
        <f t="shared" ref="J45:J51" si="20">ROUND(I45*0.1, 2)</f>
        <v>591.34</v>
      </c>
      <c r="K45" s="207">
        <f t="shared" ref="K45:K51" si="21">ROUND(I45*0.05, 2)</f>
        <v>295.67</v>
      </c>
      <c r="L45" s="240">
        <f>ROUND((I45*'Base Data'!$C$57)+(J45*'Base Data'!$C$58)+(K45*'Base Data'!$C$59), 2)</f>
        <v>774608.09</v>
      </c>
      <c r="M45" s="205">
        <v>0</v>
      </c>
      <c r="N45" s="206">
        <v>0</v>
      </c>
    </row>
    <row r="46" spans="1:14" ht="13.5" x14ac:dyDescent="0.2">
      <c r="A46" s="203" t="s">
        <v>258</v>
      </c>
      <c r="B46" s="204">
        <v>15</v>
      </c>
      <c r="C46" s="205">
        <v>0</v>
      </c>
      <c r="D46" s="205">
        <v>0</v>
      </c>
      <c r="E46" s="205">
        <v>0</v>
      </c>
      <c r="F46" s="204">
        <v>1</v>
      </c>
      <c r="G46" s="230">
        <f t="shared" si="18"/>
        <v>15</v>
      </c>
      <c r="H46" s="207">
        <f>H45</f>
        <v>295.67</v>
      </c>
      <c r="I46" s="210">
        <f t="shared" si="19"/>
        <v>4435.05</v>
      </c>
      <c r="J46" s="210">
        <f t="shared" si="20"/>
        <v>443.51</v>
      </c>
      <c r="K46" s="207">
        <f t="shared" si="21"/>
        <v>221.75</v>
      </c>
      <c r="L46" s="240">
        <f>ROUND((I46*'Base Data'!$C$57)+(J46*'Base Data'!$C$58)+(K46*'Base Data'!$C$59), 2)</f>
        <v>580955.99</v>
      </c>
      <c r="M46" s="205">
        <v>0</v>
      </c>
      <c r="N46" s="206">
        <v>0</v>
      </c>
    </row>
    <row r="47" spans="1:14" ht="13.5" x14ac:dyDescent="0.2">
      <c r="A47" s="222" t="s">
        <v>259</v>
      </c>
      <c r="B47" s="204">
        <v>2</v>
      </c>
      <c r="C47" s="205">
        <v>0</v>
      </c>
      <c r="D47" s="205">
        <v>0</v>
      </c>
      <c r="E47" s="205">
        <v>0</v>
      </c>
      <c r="F47" s="204">
        <v>1</v>
      </c>
      <c r="G47" s="230">
        <f t="shared" si="18"/>
        <v>2</v>
      </c>
      <c r="H47" s="207">
        <f>H45</f>
        <v>295.67</v>
      </c>
      <c r="I47" s="206">
        <f t="shared" si="19"/>
        <v>591.34</v>
      </c>
      <c r="J47" s="210">
        <f t="shared" si="20"/>
        <v>59.13</v>
      </c>
      <c r="K47" s="207">
        <f t="shared" si="21"/>
        <v>29.57</v>
      </c>
      <c r="L47" s="240">
        <f>ROUND((I47*'Base Data'!$C$57)+(J47*'Base Data'!$C$58)+(K47*'Base Data'!$C$59), 2)</f>
        <v>77461.02</v>
      </c>
      <c r="M47" s="205">
        <v>0</v>
      </c>
      <c r="N47" s="206">
        <v>0</v>
      </c>
    </row>
    <row r="48" spans="1:14" ht="25.5" x14ac:dyDescent="0.2">
      <c r="A48" s="203" t="s">
        <v>260</v>
      </c>
      <c r="B48" s="204">
        <v>2</v>
      </c>
      <c r="C48" s="205">
        <v>0</v>
      </c>
      <c r="D48" s="205">
        <v>0</v>
      </c>
      <c r="E48" s="205">
        <v>0</v>
      </c>
      <c r="F48" s="204">
        <v>1</v>
      </c>
      <c r="G48" s="230">
        <f t="shared" si="18"/>
        <v>2</v>
      </c>
      <c r="H48" s="207">
        <f>H45</f>
        <v>295.67</v>
      </c>
      <c r="I48" s="206">
        <f t="shared" si="19"/>
        <v>591.34</v>
      </c>
      <c r="J48" s="210">
        <f t="shared" si="20"/>
        <v>59.13</v>
      </c>
      <c r="K48" s="207">
        <f t="shared" si="21"/>
        <v>29.57</v>
      </c>
      <c r="L48" s="240">
        <f>ROUND((I48*'Base Data'!$C$57)+(J48*'Base Data'!$C$58)+(K48*'Base Data'!$C$59), 2)</f>
        <v>77461.02</v>
      </c>
      <c r="M48" s="205">
        <v>0</v>
      </c>
      <c r="N48" s="206">
        <v>0</v>
      </c>
    </row>
    <row r="49" spans="1:18" ht="25.5" x14ac:dyDescent="0.2">
      <c r="A49" s="203" t="s">
        <v>261</v>
      </c>
      <c r="B49" s="204">
        <v>2</v>
      </c>
      <c r="C49" s="205">
        <v>0</v>
      </c>
      <c r="D49" s="205">
        <v>0</v>
      </c>
      <c r="E49" s="205">
        <v>0</v>
      </c>
      <c r="F49" s="204">
        <v>2</v>
      </c>
      <c r="G49" s="230">
        <f t="shared" si="18"/>
        <v>4</v>
      </c>
      <c r="H49" s="246">
        <f>H37</f>
        <v>2099.5</v>
      </c>
      <c r="I49" s="206">
        <f>ROUND(G49*H49, 2)</f>
        <v>8398</v>
      </c>
      <c r="J49" s="210">
        <f t="shared" si="20"/>
        <v>839.8</v>
      </c>
      <c r="K49" s="207">
        <f t="shared" si="21"/>
        <v>419.9</v>
      </c>
      <c r="L49" s="240">
        <f>ROUND((I49*'Base Data'!$C$57)+(J49*'Base Data'!$C$58)+(K49*'Base Data'!$C$59), 2)</f>
        <v>1100070.82</v>
      </c>
      <c r="M49" s="205">
        <v>0</v>
      </c>
      <c r="N49" s="206">
        <v>0</v>
      </c>
    </row>
    <row r="50" spans="1:18" ht="13.5" x14ac:dyDescent="0.2">
      <c r="A50" s="203" t="s">
        <v>262</v>
      </c>
      <c r="B50" s="204">
        <v>0.5</v>
      </c>
      <c r="C50" s="205">
        <v>0</v>
      </c>
      <c r="D50" s="205">
        <v>0</v>
      </c>
      <c r="E50" s="205">
        <v>0</v>
      </c>
      <c r="F50" s="204">
        <v>12</v>
      </c>
      <c r="G50" s="230">
        <f t="shared" si="18"/>
        <v>6</v>
      </c>
      <c r="H50" s="207">
        <f>H45</f>
        <v>295.67</v>
      </c>
      <c r="I50" s="206">
        <f t="shared" si="19"/>
        <v>1774.02</v>
      </c>
      <c r="J50" s="210">
        <f t="shared" si="20"/>
        <v>177.4</v>
      </c>
      <c r="K50" s="207">
        <f t="shared" si="21"/>
        <v>88.7</v>
      </c>
      <c r="L50" s="240">
        <f>ROUND((I50*'Base Data'!$C$57)+(J50*'Base Data'!$C$58)+(K50*'Base Data'!$C$59), 2)</f>
        <v>232382.17</v>
      </c>
      <c r="M50" s="205">
        <v>0</v>
      </c>
      <c r="N50" s="206">
        <v>0</v>
      </c>
    </row>
    <row r="51" spans="1:18" ht="12" x14ac:dyDescent="0.2">
      <c r="A51" s="203" t="s">
        <v>211</v>
      </c>
      <c r="B51" s="204">
        <v>0.5</v>
      </c>
      <c r="C51" s="205">
        <v>0</v>
      </c>
      <c r="D51" s="205">
        <v>0</v>
      </c>
      <c r="E51" s="205">
        <v>0</v>
      </c>
      <c r="F51" s="204">
        <v>0.5</v>
      </c>
      <c r="G51" s="243">
        <f t="shared" si="18"/>
        <v>0.25</v>
      </c>
      <c r="H51" s="208">
        <f>H30</f>
        <v>1813</v>
      </c>
      <c r="I51" s="210">
        <f t="shared" ref="I51" si="22">ROUND(G51*H51, 2)</f>
        <v>453.25</v>
      </c>
      <c r="J51" s="210">
        <f t="shared" si="20"/>
        <v>45.33</v>
      </c>
      <c r="K51" s="207">
        <f t="shared" si="21"/>
        <v>22.66</v>
      </c>
      <c r="L51" s="240">
        <f>ROUND((I51*'Base Data'!$C$57)+(J51*'Base Data'!$C$58)+(K51*'Base Data'!$C$59), 2)</f>
        <v>59372.04</v>
      </c>
      <c r="M51" s="205">
        <v>0</v>
      </c>
      <c r="N51" s="206">
        <v>0</v>
      </c>
    </row>
    <row r="52" spans="1:18" ht="12" x14ac:dyDescent="0.2">
      <c r="A52" s="222" t="s">
        <v>199</v>
      </c>
      <c r="B52" s="204" t="s">
        <v>179</v>
      </c>
      <c r="C52" s="205"/>
      <c r="D52" s="205"/>
      <c r="E52" s="205"/>
      <c r="F52" s="204"/>
      <c r="G52" s="204"/>
      <c r="H52" s="208"/>
      <c r="I52" s="206"/>
      <c r="J52" s="206"/>
      <c r="K52" s="206"/>
      <c r="L52" s="205"/>
      <c r="M52" s="205"/>
      <c r="N52" s="205"/>
    </row>
    <row r="53" spans="1:18" ht="12" x14ac:dyDescent="0.2">
      <c r="A53" s="222" t="s">
        <v>200</v>
      </c>
      <c r="B53" s="204" t="s">
        <v>179</v>
      </c>
      <c r="C53" s="205"/>
      <c r="D53" s="205"/>
      <c r="E53" s="205"/>
      <c r="F53" s="204"/>
      <c r="G53" s="204"/>
      <c r="H53" s="206"/>
      <c r="I53" s="206"/>
      <c r="J53" s="206"/>
      <c r="K53" s="206"/>
      <c r="L53" s="205"/>
      <c r="M53" s="205"/>
      <c r="N53" s="205"/>
    </row>
    <row r="54" spans="1:18" s="105" customFormat="1" ht="12" x14ac:dyDescent="0.2">
      <c r="A54" s="218" t="s">
        <v>182</v>
      </c>
      <c r="B54" s="214"/>
      <c r="C54" s="215"/>
      <c r="D54" s="215"/>
      <c r="E54" s="215"/>
      <c r="F54" s="214"/>
      <c r="G54" s="214"/>
      <c r="H54" s="216"/>
      <c r="I54" s="318">
        <f>SUM(I45:K51)</f>
        <v>25479.86</v>
      </c>
      <c r="J54" s="319"/>
      <c r="K54" s="320"/>
      <c r="L54" s="215">
        <f t="shared" ref="L54:N54" si="23">SUM(L45:L51)</f>
        <v>2902311.1500000004</v>
      </c>
      <c r="M54" s="215">
        <f t="shared" si="23"/>
        <v>0</v>
      </c>
      <c r="N54" s="216">
        <f t="shared" si="23"/>
        <v>0</v>
      </c>
    </row>
    <row r="55" spans="1:18" s="105" customFormat="1" ht="12" x14ac:dyDescent="0.2">
      <c r="A55" s="220" t="s">
        <v>290</v>
      </c>
      <c r="B55" s="214"/>
      <c r="C55" s="215"/>
      <c r="D55" s="215"/>
      <c r="E55" s="215"/>
      <c r="F55" s="214"/>
      <c r="G55" s="214"/>
      <c r="H55" s="216"/>
      <c r="I55" s="268"/>
      <c r="J55" s="269"/>
      <c r="K55" s="270"/>
      <c r="L55" s="215">
        <f>(L54+L39)</f>
        <v>14065744.65</v>
      </c>
      <c r="M55" s="215"/>
      <c r="N55" s="216"/>
    </row>
    <row r="56" spans="1:18" s="105" customFormat="1" ht="12" x14ac:dyDescent="0.2">
      <c r="A56" s="220" t="s">
        <v>291</v>
      </c>
      <c r="B56" s="214"/>
      <c r="C56" s="215"/>
      <c r="D56" s="215"/>
      <c r="E56" s="215"/>
      <c r="F56" s="214"/>
      <c r="G56" s="214"/>
      <c r="H56" s="216"/>
      <c r="I56" s="268"/>
      <c r="J56" s="269"/>
      <c r="K56" s="270"/>
      <c r="L56" s="215"/>
      <c r="M56" s="215">
        <f>M39+M54</f>
        <v>6060259.9000000004</v>
      </c>
      <c r="N56" s="216"/>
    </row>
    <row r="57" spans="1:18" s="105" customFormat="1" ht="12" x14ac:dyDescent="0.2">
      <c r="A57" s="220" t="s">
        <v>292</v>
      </c>
      <c r="B57" s="214"/>
      <c r="C57" s="214"/>
      <c r="D57" s="214"/>
      <c r="E57" s="215"/>
      <c r="F57" s="214"/>
      <c r="G57" s="214"/>
      <c r="H57" s="221"/>
      <c r="I57" s="318">
        <f>I39+I54</f>
        <v>123485.45</v>
      </c>
      <c r="J57" s="319"/>
      <c r="K57" s="320"/>
      <c r="L57" s="215">
        <f>(L39+L54+M56)</f>
        <v>20126004.550000001</v>
      </c>
      <c r="M57" s="231"/>
      <c r="N57" s="216">
        <f>N39+N54</f>
        <v>3026</v>
      </c>
    </row>
    <row r="58" spans="1:18" x14ac:dyDescent="0.2">
      <c r="A58" s="101" t="s">
        <v>181</v>
      </c>
      <c r="O58" s="272" t="str">
        <f>'Respondents&amp;Responses'!H6</f>
        <v>Notes (Units vs. Respondents):</v>
      </c>
      <c r="P58" s="272"/>
      <c r="Q58" s="272"/>
      <c r="R58" s="272"/>
    </row>
    <row r="59" spans="1:18" ht="21" customHeight="1" x14ac:dyDescent="0.2">
      <c r="A59" s="304" t="s">
        <v>306</v>
      </c>
      <c r="B59" s="304"/>
      <c r="C59" s="304"/>
      <c r="D59" s="304"/>
      <c r="E59" s="304"/>
      <c r="F59" s="304"/>
      <c r="G59" s="304"/>
      <c r="H59" s="304"/>
      <c r="I59" s="304"/>
      <c r="J59" s="304"/>
      <c r="K59" s="304"/>
      <c r="L59" s="304"/>
      <c r="M59" s="304"/>
      <c r="N59" s="304"/>
      <c r="O59" s="272">
        <f>'Respondents&amp;Responses'!H7</f>
        <v>4179</v>
      </c>
      <c r="P59" s="272">
        <f>'Respondents&amp;Responses'!I7</f>
        <v>2089.5</v>
      </c>
      <c r="Q59" s="272">
        <f>'Respondents&amp;Responses'!J7</f>
        <v>4199</v>
      </c>
      <c r="R59" s="272">
        <f>'Respondents&amp;Responses'!K7</f>
        <v>2099.5</v>
      </c>
    </row>
    <row r="60" spans="1:18" ht="22.5" customHeight="1" x14ac:dyDescent="0.2">
      <c r="A60" s="304" t="s">
        <v>230</v>
      </c>
      <c r="B60" s="304"/>
      <c r="C60" s="304"/>
      <c r="D60" s="304"/>
      <c r="E60" s="304"/>
      <c r="F60" s="304"/>
      <c r="G60" s="304"/>
      <c r="H60" s="304"/>
      <c r="I60" s="304"/>
      <c r="J60" s="304"/>
      <c r="K60" s="304"/>
      <c r="L60" s="304"/>
      <c r="M60" s="304"/>
      <c r="N60" s="304"/>
      <c r="O60" s="167"/>
    </row>
    <row r="61" spans="1:18" x14ac:dyDescent="0.2">
      <c r="A61" s="102" t="s">
        <v>300</v>
      </c>
      <c r="B61" s="115"/>
      <c r="C61" s="115"/>
      <c r="D61" s="115"/>
      <c r="E61" s="115"/>
      <c r="F61" s="115"/>
      <c r="G61" s="115"/>
      <c r="H61" s="115"/>
      <c r="I61" s="115"/>
      <c r="J61" s="115"/>
      <c r="K61" s="115"/>
      <c r="L61" s="115"/>
      <c r="M61" s="115"/>
      <c r="N61" s="115"/>
    </row>
    <row r="62" spans="1:18" x14ac:dyDescent="0.2">
      <c r="A62" s="304" t="s">
        <v>151</v>
      </c>
      <c r="B62" s="304"/>
      <c r="C62" s="304"/>
      <c r="D62" s="304"/>
      <c r="E62" s="304"/>
      <c r="F62" s="304"/>
      <c r="G62" s="304"/>
      <c r="H62" s="304"/>
      <c r="I62" s="304"/>
      <c r="J62" s="304"/>
      <c r="K62" s="304"/>
      <c r="L62" s="304"/>
      <c r="M62" s="304"/>
      <c r="N62" s="304"/>
    </row>
    <row r="63" spans="1:18" ht="21.75" customHeight="1" x14ac:dyDescent="0.2">
      <c r="A63" s="304" t="s">
        <v>153</v>
      </c>
      <c r="B63" s="304"/>
      <c r="C63" s="304"/>
      <c r="D63" s="304"/>
      <c r="E63" s="304"/>
      <c r="F63" s="304"/>
      <c r="G63" s="304"/>
      <c r="H63" s="304"/>
      <c r="I63" s="304"/>
      <c r="J63" s="304"/>
      <c r="K63" s="304"/>
      <c r="L63" s="304"/>
      <c r="M63" s="304"/>
      <c r="N63" s="304"/>
    </row>
    <row r="64" spans="1:18" x14ac:dyDescent="0.2">
      <c r="A64" s="304" t="s">
        <v>154</v>
      </c>
      <c r="B64" s="304"/>
      <c r="C64" s="304"/>
      <c r="D64" s="304"/>
      <c r="E64" s="304"/>
      <c r="F64" s="304"/>
      <c r="G64" s="304"/>
      <c r="H64" s="304"/>
      <c r="I64" s="304"/>
      <c r="J64" s="304"/>
      <c r="K64" s="304"/>
      <c r="L64" s="304"/>
      <c r="M64" s="304"/>
      <c r="N64" s="304"/>
    </row>
    <row r="65" spans="1:14" x14ac:dyDescent="0.2">
      <c r="A65" s="304" t="s">
        <v>155</v>
      </c>
      <c r="B65" s="304"/>
      <c r="C65" s="304"/>
      <c r="D65" s="304"/>
      <c r="E65" s="304"/>
      <c r="F65" s="304"/>
      <c r="G65" s="304"/>
      <c r="H65" s="304"/>
      <c r="I65" s="304"/>
      <c r="J65" s="304"/>
      <c r="K65" s="304"/>
      <c r="L65" s="304"/>
      <c r="M65" s="304"/>
      <c r="N65" s="304"/>
    </row>
    <row r="66" spans="1:14" ht="21.75" customHeight="1" x14ac:dyDescent="0.2">
      <c r="A66" s="304" t="s">
        <v>307</v>
      </c>
      <c r="B66" s="304"/>
      <c r="C66" s="304"/>
      <c r="D66" s="304"/>
      <c r="E66" s="304"/>
      <c r="F66" s="304"/>
      <c r="G66" s="304"/>
      <c r="H66" s="304"/>
      <c r="I66" s="304"/>
      <c r="J66" s="304"/>
      <c r="K66" s="304"/>
      <c r="L66" s="304"/>
      <c r="M66" s="304"/>
      <c r="N66" s="304"/>
    </row>
    <row r="67" spans="1:14" x14ac:dyDescent="0.2">
      <c r="A67" s="304" t="s">
        <v>223</v>
      </c>
      <c r="B67" s="304"/>
      <c r="C67" s="304"/>
      <c r="D67" s="304"/>
      <c r="E67" s="304"/>
      <c r="F67" s="304"/>
      <c r="G67" s="304"/>
      <c r="H67" s="304"/>
      <c r="I67" s="304"/>
      <c r="J67" s="304"/>
      <c r="K67" s="304"/>
      <c r="L67" s="304"/>
      <c r="M67" s="304"/>
      <c r="N67" s="304"/>
    </row>
    <row r="68" spans="1:14" x14ac:dyDescent="0.2">
      <c r="A68" s="304" t="s">
        <v>156</v>
      </c>
      <c r="B68" s="304"/>
      <c r="C68" s="304"/>
      <c r="D68" s="304"/>
      <c r="E68" s="304"/>
      <c r="F68" s="304"/>
      <c r="G68" s="304"/>
      <c r="H68" s="304"/>
      <c r="I68" s="304"/>
      <c r="J68" s="304"/>
      <c r="K68" s="304"/>
      <c r="L68" s="304"/>
      <c r="M68" s="304"/>
      <c r="N68" s="304"/>
    </row>
    <row r="69" spans="1:14" x14ac:dyDescent="0.2">
      <c r="A69" s="304" t="s">
        <v>224</v>
      </c>
      <c r="B69" s="304"/>
      <c r="C69" s="304"/>
      <c r="D69" s="304"/>
      <c r="E69" s="304"/>
      <c r="F69" s="304"/>
      <c r="G69" s="304"/>
      <c r="H69" s="304"/>
      <c r="I69" s="304"/>
      <c r="J69" s="304"/>
      <c r="K69" s="304"/>
      <c r="L69" s="304"/>
      <c r="M69" s="304"/>
      <c r="N69" s="304"/>
    </row>
    <row r="70" spans="1:14" x14ac:dyDescent="0.2">
      <c r="A70" s="304" t="s">
        <v>157</v>
      </c>
      <c r="B70" s="304"/>
      <c r="C70" s="304"/>
      <c r="D70" s="304"/>
      <c r="E70" s="304"/>
      <c r="F70" s="304"/>
      <c r="G70" s="304"/>
      <c r="H70" s="304"/>
      <c r="I70" s="304"/>
      <c r="J70" s="304"/>
      <c r="K70" s="304"/>
      <c r="L70" s="304"/>
      <c r="M70" s="304"/>
      <c r="N70" s="304"/>
    </row>
    <row r="71" spans="1:14" x14ac:dyDescent="0.2">
      <c r="A71" s="101" t="s">
        <v>289</v>
      </c>
      <c r="G71" s="114"/>
      <c r="H71" s="103"/>
    </row>
    <row r="73" spans="1:14" x14ac:dyDescent="0.2">
      <c r="B73" s="101"/>
      <c r="C73" s="101"/>
      <c r="D73" s="101"/>
      <c r="E73" s="101"/>
      <c r="F73" s="101"/>
      <c r="G73" s="101"/>
      <c r="H73" s="101"/>
      <c r="I73" s="101"/>
      <c r="J73" s="101"/>
      <c r="K73" s="101"/>
      <c r="L73" s="101"/>
      <c r="M73" s="101"/>
      <c r="N73" s="101"/>
    </row>
  </sheetData>
  <mergeCells count="15">
    <mergeCell ref="A70:N70"/>
    <mergeCell ref="A60:N60"/>
    <mergeCell ref="A3:A4"/>
    <mergeCell ref="I39:K39"/>
    <mergeCell ref="I54:K54"/>
    <mergeCell ref="I57:K57"/>
    <mergeCell ref="A65:N65"/>
    <mergeCell ref="A66:N66"/>
    <mergeCell ref="A67:N67"/>
    <mergeCell ref="A68:N68"/>
    <mergeCell ref="A69:N69"/>
    <mergeCell ref="A63:N63"/>
    <mergeCell ref="A59:N59"/>
    <mergeCell ref="A62:N62"/>
    <mergeCell ref="A64:N64"/>
  </mergeCells>
  <phoneticPr fontId="4" type="noConversion"/>
  <pageMargins left="0.25" right="0.25" top="0.5" bottom="0.75" header="0.5" footer="0.5"/>
  <pageSetup scale="76"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U60"/>
  <sheetViews>
    <sheetView topLeftCell="B1" zoomScaleNormal="100" workbookViewId="0">
      <pane ySplit="4" topLeftCell="A41" activePane="bottomLeft" state="frozen"/>
      <selection activeCell="F51" sqref="F51"/>
      <selection pane="bottomLeft" activeCell="I20" sqref="I20"/>
    </sheetView>
  </sheetViews>
  <sheetFormatPr defaultColWidth="9.140625" defaultRowHeight="11.25" x14ac:dyDescent="0.2"/>
  <cols>
    <col min="1" max="1" width="35.42578125" style="101" customWidth="1"/>
    <col min="2" max="2" width="12.28515625" style="103" bestFit="1" customWidth="1"/>
    <col min="3" max="3" width="10.28515625" style="103" bestFit="1" customWidth="1"/>
    <col min="4" max="4" width="12.140625" style="103" customWidth="1"/>
    <col min="5" max="5" width="11.42578125" style="103" bestFit="1" customWidth="1"/>
    <col min="6" max="6" width="11" style="103" bestFit="1" customWidth="1"/>
    <col min="7" max="7" width="10.42578125" style="103" bestFit="1" customWidth="1"/>
    <col min="8" max="8" width="13" style="103" customWidth="1"/>
    <col min="9" max="9" width="10.85546875" style="103" bestFit="1" customWidth="1"/>
    <col min="10" max="10" width="11.5703125" style="104" bestFit="1" customWidth="1"/>
    <col min="11" max="11" width="11.42578125" style="104" bestFit="1" customWidth="1"/>
    <col min="12" max="12" width="11.5703125" style="104" bestFit="1" customWidth="1"/>
    <col min="13" max="13" width="11.85546875" style="104" bestFit="1" customWidth="1"/>
    <col min="14" max="14" width="10.85546875" style="104" bestFit="1" customWidth="1"/>
    <col min="15" max="15" width="10.7109375" style="104" bestFit="1" customWidth="1"/>
    <col min="16" max="17" width="0" style="101" hidden="1" customWidth="1"/>
    <col min="18" max="16384" width="9.140625" style="101"/>
  </cols>
  <sheetData>
    <row r="1" spans="1:17" s="65" customFormat="1" ht="12.75" x14ac:dyDescent="0.2">
      <c r="A1" s="107" t="s">
        <v>83</v>
      </c>
      <c r="B1" s="109"/>
      <c r="C1" s="109"/>
      <c r="D1" s="109"/>
      <c r="E1" s="109"/>
      <c r="F1" s="109"/>
      <c r="G1" s="109"/>
      <c r="H1" s="109"/>
      <c r="I1" s="109"/>
      <c r="J1" s="109"/>
      <c r="K1" s="109"/>
      <c r="L1" s="109"/>
      <c r="M1" s="109"/>
      <c r="N1" s="109"/>
      <c r="O1" s="109"/>
    </row>
    <row r="2" spans="1:17" x14ac:dyDescent="0.2">
      <c r="A2" s="110"/>
      <c r="B2" s="110"/>
      <c r="C2" s="110"/>
      <c r="D2" s="110"/>
      <c r="E2" s="110"/>
      <c r="F2" s="110"/>
      <c r="G2" s="110"/>
      <c r="H2" s="110"/>
      <c r="I2" s="110"/>
      <c r="J2" s="110"/>
      <c r="K2" s="110"/>
      <c r="L2" s="110"/>
      <c r="M2" s="110"/>
      <c r="N2" s="110"/>
      <c r="O2" s="110"/>
    </row>
    <row r="3" spans="1:17" ht="12" x14ac:dyDescent="0.2">
      <c r="A3" s="301" t="s">
        <v>21</v>
      </c>
      <c r="B3" s="187" t="s">
        <v>131</v>
      </c>
      <c r="C3" s="194"/>
      <c r="D3" s="232"/>
      <c r="E3" s="188"/>
      <c r="F3" s="189"/>
      <c r="G3" s="190" t="s">
        <v>132</v>
      </c>
      <c r="H3" s="191" t="s">
        <v>133</v>
      </c>
      <c r="I3" s="191" t="s">
        <v>134</v>
      </c>
      <c r="J3" s="191" t="s">
        <v>135</v>
      </c>
      <c r="K3" s="191" t="s">
        <v>136</v>
      </c>
      <c r="L3" s="191" t="s">
        <v>137</v>
      </c>
      <c r="M3" s="192" t="s">
        <v>138</v>
      </c>
      <c r="N3" s="193"/>
      <c r="O3" s="194"/>
    </row>
    <row r="4" spans="1:17" s="127" customFormat="1" ht="60" x14ac:dyDescent="0.2">
      <c r="A4" s="317"/>
      <c r="B4" s="233" t="s">
        <v>139</v>
      </c>
      <c r="C4" s="196" t="s">
        <v>145</v>
      </c>
      <c r="D4" s="234" t="s">
        <v>184</v>
      </c>
      <c r="E4" s="234" t="s">
        <v>149</v>
      </c>
      <c r="F4" s="235" t="s">
        <v>185</v>
      </c>
      <c r="G4" s="236" t="s">
        <v>148</v>
      </c>
      <c r="H4" s="200" t="s">
        <v>141</v>
      </c>
      <c r="I4" s="200" t="s">
        <v>232</v>
      </c>
      <c r="J4" s="200" t="s">
        <v>186</v>
      </c>
      <c r="K4" s="200" t="s">
        <v>187</v>
      </c>
      <c r="L4" s="200" t="s">
        <v>188</v>
      </c>
      <c r="M4" s="237" t="s">
        <v>233</v>
      </c>
      <c r="N4" s="238" t="s">
        <v>146</v>
      </c>
      <c r="O4" s="238" t="s">
        <v>147</v>
      </c>
      <c r="P4" s="127" t="s">
        <v>4</v>
      </c>
    </row>
    <row r="5" spans="1:17" ht="12" x14ac:dyDescent="0.2">
      <c r="A5" s="222" t="s">
        <v>22</v>
      </c>
      <c r="B5" s="204" t="s">
        <v>179</v>
      </c>
      <c r="C5" s="204"/>
      <c r="D5" s="205"/>
      <c r="E5" s="239"/>
      <c r="F5" s="205"/>
      <c r="G5" s="204"/>
      <c r="H5" s="204"/>
      <c r="I5" s="204"/>
      <c r="J5" s="206"/>
      <c r="K5" s="206"/>
      <c r="L5" s="206"/>
      <c r="M5" s="205"/>
      <c r="N5" s="205"/>
      <c r="O5" s="206"/>
      <c r="P5" s="130"/>
      <c r="Q5" s="131"/>
    </row>
    <row r="6" spans="1:17" ht="12" x14ac:dyDescent="0.2">
      <c r="A6" s="222" t="s">
        <v>23</v>
      </c>
      <c r="B6" s="204" t="s">
        <v>179</v>
      </c>
      <c r="C6" s="204"/>
      <c r="D6" s="205"/>
      <c r="E6" s="205"/>
      <c r="F6" s="205"/>
      <c r="G6" s="204"/>
      <c r="H6" s="204"/>
      <c r="I6" s="204"/>
      <c r="J6" s="206"/>
      <c r="K6" s="206"/>
      <c r="L6" s="206"/>
      <c r="M6" s="205"/>
      <c r="N6" s="205"/>
      <c r="O6" s="206"/>
      <c r="P6" s="130"/>
      <c r="Q6" s="131"/>
    </row>
    <row r="7" spans="1:17" ht="12" x14ac:dyDescent="0.2">
      <c r="A7" s="222" t="s">
        <v>24</v>
      </c>
      <c r="B7" s="204"/>
      <c r="C7" s="204"/>
      <c r="D7" s="205"/>
      <c r="E7" s="205"/>
      <c r="F7" s="205"/>
      <c r="G7" s="204"/>
      <c r="H7" s="204"/>
      <c r="I7" s="204"/>
      <c r="J7" s="206"/>
      <c r="K7" s="206"/>
      <c r="L7" s="206"/>
      <c r="M7" s="205"/>
      <c r="N7" s="205"/>
      <c r="O7" s="206"/>
      <c r="P7" s="130"/>
      <c r="Q7" s="131"/>
    </row>
    <row r="8" spans="1:17" ht="25.5" x14ac:dyDescent="0.2">
      <c r="A8" s="203" t="s">
        <v>296</v>
      </c>
      <c r="B8" s="204">
        <v>40</v>
      </c>
      <c r="C8" s="205">
        <v>0</v>
      </c>
      <c r="D8" s="205">
        <v>0</v>
      </c>
      <c r="E8" s="205">
        <v>0</v>
      </c>
      <c r="F8" s="205">
        <v>0</v>
      </c>
      <c r="G8" s="204">
        <v>1</v>
      </c>
      <c r="H8" s="204">
        <f>B8*G8</f>
        <v>40</v>
      </c>
      <c r="I8" s="212">
        <f>ROUND('Base Data'!M35, 2)</f>
        <v>81.17</v>
      </c>
      <c r="J8" s="206">
        <f>ROUND(H8*I8, 2)</f>
        <v>3246.8</v>
      </c>
      <c r="K8" s="206">
        <f>ROUND(J8*0.1, 2)</f>
        <v>324.68</v>
      </c>
      <c r="L8" s="206">
        <f>ROUND(J8*0.05, 2)</f>
        <v>162.34</v>
      </c>
      <c r="M8" s="240">
        <f>ROUND((J8*'Base Data'!$C$57)+(K8*'Base Data'!$C$58)+(L8*'Base Data'!$C$59), 2)</f>
        <v>425304.83</v>
      </c>
      <c r="N8" s="205">
        <f>ROUND(D8*G8*I8, 2)</f>
        <v>0</v>
      </c>
      <c r="O8" s="206">
        <v>0</v>
      </c>
      <c r="P8" s="130"/>
      <c r="Q8" s="131"/>
    </row>
    <row r="9" spans="1:17" ht="24" x14ac:dyDescent="0.2">
      <c r="A9" s="203" t="s">
        <v>297</v>
      </c>
      <c r="B9" s="204">
        <v>1</v>
      </c>
      <c r="C9" s="205">
        <v>0</v>
      </c>
      <c r="D9" s="205">
        <v>0</v>
      </c>
      <c r="E9" s="205">
        <v>0</v>
      </c>
      <c r="F9" s="205">
        <v>0</v>
      </c>
      <c r="G9" s="204">
        <v>1</v>
      </c>
      <c r="H9" s="204">
        <f>B9*G9</f>
        <v>1</v>
      </c>
      <c r="I9" s="206">
        <f>'Respondents&amp;Responses'!C12</f>
        <v>5182.67</v>
      </c>
      <c r="J9" s="206">
        <f>ROUND(H9*I9, 2)</f>
        <v>5182.67</v>
      </c>
      <c r="K9" s="206">
        <f>ROUND(J9*0.1, 2)</f>
        <v>518.27</v>
      </c>
      <c r="L9" s="206">
        <f>ROUND(J9*0.05, 2)</f>
        <v>259.13</v>
      </c>
      <c r="M9" s="240">
        <f>ROUND((J9*'Base Data'!$C$57)+(K9*'Base Data'!$C$58)+(L9*'Base Data'!$C$59), 2)</f>
        <v>678887.96</v>
      </c>
      <c r="N9" s="205">
        <f>ROUND(D9*G9*I9, 2)</f>
        <v>0</v>
      </c>
      <c r="O9" s="206">
        <v>0</v>
      </c>
      <c r="P9" s="130"/>
      <c r="Q9" s="131"/>
    </row>
    <row r="10" spans="1:17" ht="12" x14ac:dyDescent="0.2">
      <c r="A10" s="222" t="s">
        <v>25</v>
      </c>
      <c r="B10" s="204"/>
      <c r="C10" s="204"/>
      <c r="D10" s="205"/>
      <c r="E10" s="205"/>
      <c r="F10" s="205"/>
      <c r="G10" s="204"/>
      <c r="H10" s="204"/>
      <c r="I10" s="206"/>
      <c r="J10" s="206"/>
      <c r="K10" s="206"/>
      <c r="L10" s="206"/>
      <c r="M10" s="205"/>
      <c r="N10" s="205"/>
      <c r="O10" s="206"/>
      <c r="P10" s="130"/>
      <c r="Q10" s="131"/>
    </row>
    <row r="11" spans="1:17" ht="12" x14ac:dyDescent="0.2">
      <c r="A11" s="203" t="s">
        <v>189</v>
      </c>
      <c r="B11" s="204"/>
      <c r="C11" s="204"/>
      <c r="D11" s="215"/>
      <c r="E11" s="215"/>
      <c r="F11" s="205"/>
      <c r="G11" s="205"/>
      <c r="H11" s="205"/>
      <c r="I11" s="205"/>
      <c r="J11" s="205"/>
      <c r="K11" s="204"/>
      <c r="L11" s="222"/>
      <c r="M11" s="222"/>
      <c r="N11" s="222"/>
      <c r="O11" s="222"/>
    </row>
    <row r="12" spans="1:17" ht="13.5" x14ac:dyDescent="0.2">
      <c r="A12" s="222" t="s">
        <v>236</v>
      </c>
      <c r="B12" s="204">
        <v>20</v>
      </c>
      <c r="C12" s="205">
        <v>18292</v>
      </c>
      <c r="D12" s="222"/>
      <c r="E12" s="205">
        <v>0</v>
      </c>
      <c r="F12" s="205">
        <v>0</v>
      </c>
      <c r="G12" s="204">
        <v>1</v>
      </c>
      <c r="H12" s="204">
        <f>B12*G12</f>
        <v>20</v>
      </c>
      <c r="I12" s="206">
        <v>0</v>
      </c>
      <c r="J12" s="206">
        <f>ROUND(H12*I12, 2)</f>
        <v>0</v>
      </c>
      <c r="K12" s="206">
        <f>ROUND(J12*0.1, 2)</f>
        <v>0</v>
      </c>
      <c r="L12" s="206">
        <f>ROUND(J12*0.05, 2)</f>
        <v>0</v>
      </c>
      <c r="M12" s="205">
        <f>ROUND((J12*'Base Data'!$C$57)+(K12*'Base Data'!$C$58)+(L12*'Base Data'!$C$59), 2)</f>
        <v>0</v>
      </c>
      <c r="N12" s="205">
        <f>ROUND(C12*G12*I12, 2)</f>
        <v>0</v>
      </c>
      <c r="O12" s="206">
        <v>0</v>
      </c>
    </row>
    <row r="13" spans="1:17" ht="13.5" x14ac:dyDescent="0.2">
      <c r="A13" s="222" t="s">
        <v>237</v>
      </c>
      <c r="B13" s="204">
        <v>20</v>
      </c>
      <c r="C13" s="205">
        <v>854</v>
      </c>
      <c r="D13" s="222"/>
      <c r="E13" s="205">
        <v>0</v>
      </c>
      <c r="F13" s="205">
        <v>0</v>
      </c>
      <c r="G13" s="204">
        <v>1</v>
      </c>
      <c r="H13" s="204">
        <f t="shared" ref="H13" si="0">B13*G13</f>
        <v>20</v>
      </c>
      <c r="I13" s="206">
        <v>0</v>
      </c>
      <c r="J13" s="206">
        <f>ROUND(H13*I13, 2)</f>
        <v>0</v>
      </c>
      <c r="K13" s="206">
        <f>ROUND(J13*0.1, 2)</f>
        <v>0</v>
      </c>
      <c r="L13" s="206">
        <f>ROUND(J13*0.05, 2)</f>
        <v>0</v>
      </c>
      <c r="M13" s="205">
        <f>ROUND((J13*'Base Data'!$C$57)+(K13*'Base Data'!$C$58)+(L13*'Base Data'!$C$59), 2)</f>
        <v>0</v>
      </c>
      <c r="N13" s="205">
        <f>ROUND(C13*G13*I13, 2)</f>
        <v>0</v>
      </c>
      <c r="O13" s="206">
        <v>0</v>
      </c>
    </row>
    <row r="14" spans="1:17" ht="13.5" x14ac:dyDescent="0.2">
      <c r="A14" s="203" t="s">
        <v>238</v>
      </c>
      <c r="B14" s="204">
        <v>12</v>
      </c>
      <c r="C14" s="205">
        <v>0</v>
      </c>
      <c r="D14" s="205">
        <v>8000</v>
      </c>
      <c r="E14" s="205">
        <v>0</v>
      </c>
      <c r="F14" s="205">
        <v>0</v>
      </c>
      <c r="G14" s="204">
        <v>1</v>
      </c>
      <c r="H14" s="204">
        <f>B14*G14</f>
        <v>12</v>
      </c>
      <c r="I14" s="212">
        <f>ROUND(1/3*(('Base Data'!D39 + 'Base Data'!D40)/'Base Data'!C1), 2)</f>
        <v>81.17</v>
      </c>
      <c r="J14" s="212">
        <f>ROUND(H14*I14, 2)</f>
        <v>974.04</v>
      </c>
      <c r="K14" s="210">
        <f>ROUND(J14*0.1, 2)</f>
        <v>97.4</v>
      </c>
      <c r="L14" s="210">
        <f>ROUND(J14*0.05, 2)</f>
        <v>48.7</v>
      </c>
      <c r="M14" s="240">
        <f>ROUND((J14*'Base Data'!$C$57)+(K14*'Base Data'!$C$58)+(L14*'Base Data'!$C$59), 2)</f>
        <v>127590.92</v>
      </c>
      <c r="N14" s="205">
        <f>ROUND(D14*G14*I14, 2)</f>
        <v>649360</v>
      </c>
      <c r="O14" s="206">
        <v>0</v>
      </c>
      <c r="P14" s="130"/>
      <c r="Q14" s="131"/>
    </row>
    <row r="15" spans="1:17" ht="13.5" x14ac:dyDescent="0.2">
      <c r="A15" s="203" t="s">
        <v>239</v>
      </c>
      <c r="B15" s="204">
        <v>12</v>
      </c>
      <c r="C15" s="205">
        <v>0</v>
      </c>
      <c r="D15" s="205">
        <v>8000</v>
      </c>
      <c r="E15" s="205">
        <v>0</v>
      </c>
      <c r="F15" s="205">
        <v>0</v>
      </c>
      <c r="G15" s="204">
        <v>0.33</v>
      </c>
      <c r="H15" s="204">
        <f t="shared" ref="H15:H45" si="1">B15*G15</f>
        <v>3.96</v>
      </c>
      <c r="I15" s="210">
        <f>2*I14+1/3*('Base Data'!J39*2)</f>
        <v>324.67333333333329</v>
      </c>
      <c r="J15" s="212">
        <f>ROUND(H15*I15, 2)</f>
        <v>1285.71</v>
      </c>
      <c r="K15" s="212">
        <f>ROUND(J15*0.1, 2)</f>
        <v>128.57</v>
      </c>
      <c r="L15" s="210">
        <f>ROUND(J15*0.05, 2)</f>
        <v>64.290000000000006</v>
      </c>
      <c r="M15" s="240">
        <f>ROUND((J15*'Base Data'!$C$57)+(K15*'Base Data'!$C$58)+(L15*'Base Data'!$C$59), 2)</f>
        <v>168418.33</v>
      </c>
      <c r="N15" s="205">
        <f>ROUND(D15*G15*I15, 2)</f>
        <v>857137.6</v>
      </c>
      <c r="O15" s="206">
        <v>0</v>
      </c>
      <c r="P15" s="130"/>
      <c r="Q15" s="131"/>
    </row>
    <row r="16" spans="1:17" ht="12" x14ac:dyDescent="0.2">
      <c r="A16" s="203" t="s">
        <v>193</v>
      </c>
      <c r="B16" s="204"/>
      <c r="C16" s="204"/>
      <c r="D16" s="205"/>
      <c r="E16" s="205"/>
      <c r="F16" s="205"/>
      <c r="G16" s="204"/>
      <c r="H16" s="204"/>
      <c r="I16" s="206"/>
      <c r="J16" s="206"/>
      <c r="K16" s="206"/>
      <c r="L16" s="206"/>
      <c r="M16" s="205"/>
      <c r="N16" s="205"/>
      <c r="O16" s="206"/>
      <c r="P16" s="130"/>
      <c r="Q16" s="131"/>
    </row>
    <row r="17" spans="1:17" ht="11.25" customHeight="1" x14ac:dyDescent="0.2">
      <c r="A17" s="203" t="s">
        <v>240</v>
      </c>
      <c r="B17" s="204">
        <v>40</v>
      </c>
      <c r="C17" s="205">
        <v>0</v>
      </c>
      <c r="D17" s="205">
        <v>0</v>
      </c>
      <c r="E17" s="205">
        <v>0</v>
      </c>
      <c r="F17" s="205">
        <v>0</v>
      </c>
      <c r="G17" s="204">
        <v>1</v>
      </c>
      <c r="H17" s="204">
        <f t="shared" si="1"/>
        <v>40</v>
      </c>
      <c r="I17" s="212">
        <f>I8</f>
        <v>81.17</v>
      </c>
      <c r="J17" s="212">
        <f>ROUND(H17*I17, 2)</f>
        <v>3246.8</v>
      </c>
      <c r="K17" s="212">
        <f>ROUND(J17*0.1, 2)</f>
        <v>324.68</v>
      </c>
      <c r="L17" s="210">
        <f>ROUND(J17*0.05, 2)</f>
        <v>162.34</v>
      </c>
      <c r="M17" s="240">
        <f>ROUND((J17*'Base Data'!$C$57)+(K17*'Base Data'!$C$58)+(L17*'Base Data'!$C$59), 2)</f>
        <v>425304.83</v>
      </c>
      <c r="N17" s="205">
        <v>0</v>
      </c>
      <c r="O17" s="206">
        <v>0</v>
      </c>
      <c r="P17" s="130"/>
      <c r="Q17" s="131"/>
    </row>
    <row r="18" spans="1:17" ht="12" x14ac:dyDescent="0.2">
      <c r="A18" s="203" t="s">
        <v>191</v>
      </c>
      <c r="B18" s="204"/>
      <c r="C18" s="204"/>
      <c r="D18" s="205"/>
      <c r="E18" s="205"/>
      <c r="F18" s="205"/>
      <c r="G18" s="204"/>
      <c r="H18" s="204"/>
      <c r="I18" s="206"/>
      <c r="J18" s="206"/>
      <c r="K18" s="206"/>
      <c r="L18" s="206"/>
      <c r="M18" s="205"/>
      <c r="N18" s="205"/>
      <c r="O18" s="206"/>
      <c r="P18" s="130"/>
      <c r="Q18" s="131"/>
    </row>
    <row r="19" spans="1:17" ht="12" x14ac:dyDescent="0.2">
      <c r="A19" s="222" t="s">
        <v>194</v>
      </c>
      <c r="B19" s="204">
        <v>10</v>
      </c>
      <c r="C19" s="205">
        <v>0</v>
      </c>
      <c r="D19" s="205">
        <v>0</v>
      </c>
      <c r="E19" s="205">
        <v>0</v>
      </c>
      <c r="F19" s="205">
        <v>43100</v>
      </c>
      <c r="G19" s="204">
        <v>1</v>
      </c>
      <c r="H19" s="204">
        <f t="shared" si="1"/>
        <v>10</v>
      </c>
      <c r="I19" s="212">
        <f>I8</f>
        <v>81.17</v>
      </c>
      <c r="J19" s="212">
        <f t="shared" ref="J19:J20" si="2">ROUND(H19*I19, 2)</f>
        <v>811.7</v>
      </c>
      <c r="K19" s="212">
        <f t="shared" ref="K19:K24" si="3">ROUND(J19*0.1, 2)</f>
        <v>81.17</v>
      </c>
      <c r="L19" s="210">
        <f t="shared" ref="L19:L20" si="4">ROUND(J19*0.05, 2)</f>
        <v>40.590000000000003</v>
      </c>
      <c r="M19" s="240">
        <f>ROUND((J19*'Base Data'!$C$57)+(K19*'Base Data'!$C$58)+(L19*'Base Data'!$C$59), 2)</f>
        <v>106326.94</v>
      </c>
      <c r="N19" s="205">
        <f>ROUND(F19*G19*I19, 2)</f>
        <v>3498427</v>
      </c>
      <c r="O19" s="206">
        <v>0</v>
      </c>
      <c r="P19" s="130"/>
      <c r="Q19" s="131"/>
    </row>
    <row r="20" spans="1:17" ht="12" x14ac:dyDescent="0.2">
      <c r="A20" s="222" t="s">
        <v>195</v>
      </c>
      <c r="B20" s="204">
        <v>10</v>
      </c>
      <c r="C20" s="205">
        <v>0</v>
      </c>
      <c r="D20" s="205">
        <v>0</v>
      </c>
      <c r="E20" s="205">
        <v>0</v>
      </c>
      <c r="F20" s="205">
        <v>14700</v>
      </c>
      <c r="G20" s="204">
        <v>1</v>
      </c>
      <c r="H20" s="204">
        <f t="shared" si="1"/>
        <v>10</v>
      </c>
      <c r="I20" s="210">
        <f>2*I14 + ('Base Data'!J39*2)</f>
        <v>649.34</v>
      </c>
      <c r="J20" s="212">
        <f t="shared" si="2"/>
        <v>6493.4</v>
      </c>
      <c r="K20" s="212">
        <f t="shared" si="3"/>
        <v>649.34</v>
      </c>
      <c r="L20" s="210">
        <f t="shared" si="4"/>
        <v>324.67</v>
      </c>
      <c r="M20" s="240">
        <f>ROUND((J20*'Base Data'!$C$57)+(K20*'Base Data'!$C$58)+(L20*'Base Data'!$C$59), 2)</f>
        <v>850583.45</v>
      </c>
      <c r="N20" s="205">
        <f>ROUND(F20*G20*I20, 2)</f>
        <v>9545298</v>
      </c>
      <c r="O20" s="206">
        <v>0</v>
      </c>
      <c r="P20" s="130"/>
      <c r="Q20" s="131"/>
    </row>
    <row r="21" spans="1:17" ht="24" x14ac:dyDescent="0.2">
      <c r="A21" s="203" t="s">
        <v>192</v>
      </c>
      <c r="B21" s="204"/>
      <c r="C21" s="204"/>
      <c r="D21" s="205"/>
      <c r="E21" s="205"/>
      <c r="F21" s="205"/>
      <c r="G21" s="204"/>
      <c r="H21" s="204"/>
      <c r="I21" s="206"/>
      <c r="J21" s="206"/>
      <c r="K21" s="206"/>
      <c r="L21" s="206"/>
      <c r="M21" s="205"/>
      <c r="N21" s="205"/>
      <c r="O21" s="206"/>
      <c r="P21" s="130"/>
      <c r="Q21" s="131"/>
    </row>
    <row r="22" spans="1:17" ht="12" x14ac:dyDescent="0.2">
      <c r="A22" s="222" t="s">
        <v>194</v>
      </c>
      <c r="B22" s="204">
        <v>10</v>
      </c>
      <c r="C22" s="205">
        <v>0</v>
      </c>
      <c r="D22" s="205">
        <v>0</v>
      </c>
      <c r="E22" s="205">
        <v>0</v>
      </c>
      <c r="F22" s="205">
        <v>25500</v>
      </c>
      <c r="G22" s="204">
        <v>1</v>
      </c>
      <c r="H22" s="204">
        <f>B22*G22</f>
        <v>10</v>
      </c>
      <c r="I22" s="210">
        <f>ROUND(1/3*('Base Data'!C45/'Base Data'!C1), 2)</f>
        <v>7.5</v>
      </c>
      <c r="J22" s="206">
        <f t="shared" ref="J22:J23" si="5">ROUND(H22*I22, 2)</f>
        <v>75</v>
      </c>
      <c r="K22" s="210">
        <f t="shared" si="3"/>
        <v>7.5</v>
      </c>
      <c r="L22" s="212">
        <f t="shared" ref="L22:L23" si="6">ROUND(J22*0.05, 2)</f>
        <v>3.75</v>
      </c>
      <c r="M22" s="240">
        <f>ROUND((J22*'Base Data'!$C$57)+(K22*'Base Data'!$C$58)+(L22*'Base Data'!$C$59), 2)</f>
        <v>9824.4</v>
      </c>
      <c r="N22" s="205">
        <f>ROUND(F22*G22*I22, 2)</f>
        <v>191250</v>
      </c>
      <c r="O22" s="206">
        <v>0</v>
      </c>
      <c r="P22" s="130"/>
      <c r="Q22" s="131"/>
    </row>
    <row r="23" spans="1:17" ht="12" x14ac:dyDescent="0.2">
      <c r="A23" s="222" t="s">
        <v>195</v>
      </c>
      <c r="B23" s="204">
        <v>10</v>
      </c>
      <c r="C23" s="205">
        <v>0</v>
      </c>
      <c r="D23" s="205">
        <v>0</v>
      </c>
      <c r="E23" s="205">
        <v>0</v>
      </c>
      <c r="F23" s="205">
        <v>9700</v>
      </c>
      <c r="G23" s="204">
        <v>1</v>
      </c>
      <c r="H23" s="204">
        <f t="shared" ref="H23:H24" si="7">B23*G23</f>
        <v>10</v>
      </c>
      <c r="I23" s="206">
        <f>2*I22</f>
        <v>15</v>
      </c>
      <c r="J23" s="206">
        <f t="shared" si="5"/>
        <v>150</v>
      </c>
      <c r="K23" s="206">
        <f t="shared" si="3"/>
        <v>15</v>
      </c>
      <c r="L23" s="210">
        <f t="shared" si="6"/>
        <v>7.5</v>
      </c>
      <c r="M23" s="240">
        <f>ROUND((J23*'Base Data'!$C$57)+(K23*'Base Data'!$C$58)+(L23*'Base Data'!$C$59), 2)</f>
        <v>19648.8</v>
      </c>
      <c r="N23" s="205">
        <f>ROUND(F23*G23*I23, 2)</f>
        <v>145500</v>
      </c>
      <c r="O23" s="206">
        <v>0</v>
      </c>
      <c r="P23" s="130"/>
      <c r="Q23" s="131"/>
    </row>
    <row r="24" spans="1:17" ht="12" x14ac:dyDescent="0.2">
      <c r="A24" s="203" t="s">
        <v>196</v>
      </c>
      <c r="B24" s="204">
        <v>12</v>
      </c>
      <c r="C24" s="205">
        <v>0</v>
      </c>
      <c r="D24" s="205">
        <v>0</v>
      </c>
      <c r="E24" s="205">
        <v>2875</v>
      </c>
      <c r="F24" s="205">
        <v>0</v>
      </c>
      <c r="G24" s="204">
        <v>0.5</v>
      </c>
      <c r="H24" s="230">
        <f t="shared" si="7"/>
        <v>6</v>
      </c>
      <c r="I24" s="206">
        <f>ROUND(('Base Data'!D14 + 'Base Data'!D15 + 2/3*('Base Data'!D39 + 'Base Data'!D40))/'Base Data'!C1, 2)</f>
        <v>5263.83</v>
      </c>
      <c r="J24" s="206">
        <f t="shared" ref="J24" si="8">ROUND(H24*I24, 2)</f>
        <v>31582.98</v>
      </c>
      <c r="K24" s="210">
        <f t="shared" si="3"/>
        <v>3158.3</v>
      </c>
      <c r="L24" s="212">
        <f t="shared" ref="L24" si="9">ROUND(J24*0.05, 2)</f>
        <v>1579.15</v>
      </c>
      <c r="M24" s="241">
        <f>ROUND((J24*'Base Data'!$C$57)+(K24*'Base Data'!$C$58)+(L24*'Base Data'!$C$59), 2)</f>
        <v>4137117.98</v>
      </c>
      <c r="N24" s="240">
        <f>ROUND(E24*G24*I24, 2)</f>
        <v>7566755.6299999999</v>
      </c>
      <c r="O24" s="206">
        <v>0</v>
      </c>
    </row>
    <row r="25" spans="1:17" ht="12" x14ac:dyDescent="0.2">
      <c r="A25" s="222" t="s">
        <v>26</v>
      </c>
      <c r="B25" s="204" t="s">
        <v>179</v>
      </c>
      <c r="C25" s="204"/>
      <c r="D25" s="205"/>
      <c r="E25" s="205"/>
      <c r="F25" s="205"/>
      <c r="G25" s="204"/>
      <c r="H25" s="204"/>
      <c r="I25" s="206"/>
      <c r="J25" s="206"/>
      <c r="K25" s="206"/>
      <c r="L25" s="206"/>
      <c r="M25" s="205"/>
      <c r="N25" s="205"/>
      <c r="O25" s="206"/>
      <c r="P25" s="130"/>
      <c r="Q25" s="131"/>
    </row>
    <row r="26" spans="1:17" ht="12" x14ac:dyDescent="0.2">
      <c r="A26" s="222" t="s">
        <v>27</v>
      </c>
      <c r="B26" s="204" t="s">
        <v>179</v>
      </c>
      <c r="C26" s="204"/>
      <c r="D26" s="205"/>
      <c r="E26" s="205"/>
      <c r="F26" s="205"/>
      <c r="G26" s="204"/>
      <c r="H26" s="204"/>
      <c r="I26" s="206"/>
      <c r="J26" s="206"/>
      <c r="K26" s="206"/>
      <c r="L26" s="206"/>
      <c r="M26" s="205"/>
      <c r="N26" s="205"/>
      <c r="O26" s="206"/>
      <c r="P26" s="130"/>
      <c r="Q26" s="131"/>
    </row>
    <row r="27" spans="1:17" ht="12" x14ac:dyDescent="0.2">
      <c r="A27" s="222" t="s">
        <v>28</v>
      </c>
      <c r="B27" s="204"/>
      <c r="C27" s="204"/>
      <c r="D27" s="205"/>
      <c r="E27" s="205"/>
      <c r="F27" s="205"/>
      <c r="G27" s="204"/>
      <c r="H27" s="204"/>
      <c r="I27" s="206"/>
      <c r="J27" s="206"/>
      <c r="K27" s="206"/>
      <c r="L27" s="206"/>
      <c r="M27" s="205"/>
      <c r="N27" s="205"/>
      <c r="O27" s="206"/>
      <c r="P27" s="130"/>
      <c r="Q27" s="131"/>
    </row>
    <row r="28" spans="1:17" ht="12" x14ac:dyDescent="0.2">
      <c r="A28" s="242" t="s">
        <v>201</v>
      </c>
      <c r="B28" s="204">
        <v>2</v>
      </c>
      <c r="C28" s="205">
        <v>0</v>
      </c>
      <c r="D28" s="205">
        <v>0</v>
      </c>
      <c r="E28" s="205">
        <v>0</v>
      </c>
      <c r="F28" s="205">
        <v>0</v>
      </c>
      <c r="G28" s="204">
        <v>1</v>
      </c>
      <c r="H28" s="204">
        <f t="shared" si="1"/>
        <v>2</v>
      </c>
      <c r="I28" s="212">
        <f>I8</f>
        <v>81.17</v>
      </c>
      <c r="J28" s="212">
        <f t="shared" ref="J28" si="10">ROUND(H28*I28, 2)</f>
        <v>162.34</v>
      </c>
      <c r="K28" s="212">
        <f t="shared" ref="K28:K32" si="11">ROUND(J28*0.1, 2)</f>
        <v>16.23</v>
      </c>
      <c r="L28" s="212">
        <f t="shared" ref="L28" si="12">ROUND(J28*0.05, 2)</f>
        <v>8.1199999999999992</v>
      </c>
      <c r="M28" s="240">
        <f>ROUND((J28*'Base Data'!$C$57)+(K28*'Base Data'!$C$58)+(L28*'Base Data'!$C$59), 2)</f>
        <v>21265.46</v>
      </c>
      <c r="N28" s="205">
        <v>0</v>
      </c>
      <c r="O28" s="212">
        <f>G28*I28</f>
        <v>81.17</v>
      </c>
      <c r="P28" s="130"/>
      <c r="Q28" s="131"/>
    </row>
    <row r="29" spans="1:17" ht="12" x14ac:dyDescent="0.2">
      <c r="A29" s="209" t="s">
        <v>202</v>
      </c>
      <c r="B29" s="204">
        <v>8</v>
      </c>
      <c r="C29" s="205">
        <v>0</v>
      </c>
      <c r="D29" s="205">
        <v>0</v>
      </c>
      <c r="E29" s="205">
        <v>0</v>
      </c>
      <c r="F29" s="205">
        <v>0</v>
      </c>
      <c r="G29" s="204">
        <v>1</v>
      </c>
      <c r="H29" s="204">
        <f t="shared" si="1"/>
        <v>8</v>
      </c>
      <c r="I29" s="212">
        <f>I8</f>
        <v>81.17</v>
      </c>
      <c r="J29" s="212">
        <f t="shared" ref="J29:J30" si="13">ROUND(H29*I29, 2)</f>
        <v>649.36</v>
      </c>
      <c r="K29" s="212">
        <f t="shared" si="11"/>
        <v>64.94</v>
      </c>
      <c r="L29" s="212">
        <f t="shared" ref="L29:L30" si="14">ROUND(J29*0.05, 2)</f>
        <v>32.47</v>
      </c>
      <c r="M29" s="240">
        <f>ROUND((J29*'Base Data'!$C$57)+(K29*'Base Data'!$C$58)+(L29*'Base Data'!$C$59), 2)</f>
        <v>85061.49</v>
      </c>
      <c r="N29" s="205">
        <v>0</v>
      </c>
      <c r="O29" s="212">
        <f>G29*I29</f>
        <v>81.17</v>
      </c>
      <c r="P29" s="130"/>
      <c r="Q29" s="131"/>
    </row>
    <row r="30" spans="1:17" ht="25.5" x14ac:dyDescent="0.2">
      <c r="A30" s="209" t="s">
        <v>241</v>
      </c>
      <c r="B30" s="204">
        <v>5</v>
      </c>
      <c r="C30" s="205">
        <v>0</v>
      </c>
      <c r="D30" s="205">
        <v>0</v>
      </c>
      <c r="E30" s="205">
        <v>0</v>
      </c>
      <c r="F30" s="205">
        <v>0</v>
      </c>
      <c r="G30" s="204">
        <v>1</v>
      </c>
      <c r="H30" s="230">
        <f t="shared" si="1"/>
        <v>5</v>
      </c>
      <c r="I30" s="208">
        <v>0</v>
      </c>
      <c r="J30" s="206">
        <f t="shared" si="13"/>
        <v>0</v>
      </c>
      <c r="K30" s="206">
        <f t="shared" si="11"/>
        <v>0</v>
      </c>
      <c r="L30" s="208">
        <f t="shared" si="14"/>
        <v>0</v>
      </c>
      <c r="M30" s="205">
        <f>ROUND((J30*'Base Data'!$C$57)+(K30*'Base Data'!$C$58)+(L30*'Base Data'!$C$59), 2)</f>
        <v>0</v>
      </c>
      <c r="N30" s="205">
        <v>0</v>
      </c>
      <c r="O30" s="206">
        <f t="shared" ref="O30" si="15">G30*I30</f>
        <v>0</v>
      </c>
    </row>
    <row r="31" spans="1:17" ht="12" x14ac:dyDescent="0.2">
      <c r="A31" s="242" t="s">
        <v>203</v>
      </c>
      <c r="B31" s="204">
        <v>30</v>
      </c>
      <c r="C31" s="205">
        <v>0</v>
      </c>
      <c r="D31" s="205">
        <v>0</v>
      </c>
      <c r="E31" s="205">
        <v>0</v>
      </c>
      <c r="F31" s="205">
        <v>0</v>
      </c>
      <c r="G31" s="204">
        <v>1</v>
      </c>
      <c r="H31" s="204">
        <f t="shared" si="1"/>
        <v>30</v>
      </c>
      <c r="I31" s="210">
        <f>I15</f>
        <v>324.67333333333329</v>
      </c>
      <c r="J31" s="206">
        <f t="shared" ref="J31" si="16">ROUND(H31*I31, 2)</f>
        <v>9740.2000000000007</v>
      </c>
      <c r="K31" s="210">
        <f t="shared" si="11"/>
        <v>974.02</v>
      </c>
      <c r="L31" s="210">
        <f t="shared" ref="L31" si="17">ROUND(J31*0.05, 2)</f>
        <v>487.01</v>
      </c>
      <c r="M31" s="240">
        <f>ROUND((J31*'Base Data'!$C$57)+(K31*'Base Data'!$C$58)+(L31*'Base Data'!$C$59), 2)</f>
        <v>1275888.28</v>
      </c>
      <c r="N31" s="205">
        <v>0</v>
      </c>
      <c r="O31" s="212">
        <f>G31*I31</f>
        <v>324.67333333333329</v>
      </c>
      <c r="P31" s="130"/>
      <c r="Q31" s="131"/>
    </row>
    <row r="32" spans="1:17" ht="12" x14ac:dyDescent="0.2">
      <c r="A32" s="242" t="s">
        <v>204</v>
      </c>
      <c r="B32" s="204">
        <v>5</v>
      </c>
      <c r="C32" s="205">
        <v>0</v>
      </c>
      <c r="D32" s="205">
        <v>0</v>
      </c>
      <c r="E32" s="205">
        <v>0</v>
      </c>
      <c r="F32" s="205">
        <v>0</v>
      </c>
      <c r="G32" s="204">
        <v>0.5</v>
      </c>
      <c r="H32" s="204">
        <f t="shared" ref="H32" si="18">B32*G32</f>
        <v>2.5</v>
      </c>
      <c r="I32" s="206">
        <f>I24</f>
        <v>5263.83</v>
      </c>
      <c r="J32" s="206">
        <f t="shared" ref="J32" si="19">ROUND(H32*I32, 2)</f>
        <v>13159.58</v>
      </c>
      <c r="K32" s="210">
        <f t="shared" si="11"/>
        <v>1315.96</v>
      </c>
      <c r="L32" s="210">
        <f t="shared" ref="L32" si="20">ROUND(J32*0.05, 2)</f>
        <v>657.98</v>
      </c>
      <c r="M32" s="240">
        <f>ROUND((J32*'Base Data'!$C$57)+(K32*'Base Data'!$C$58)+(L32*'Base Data'!$C$59), 2)</f>
        <v>1723799.96</v>
      </c>
      <c r="N32" s="205">
        <v>0</v>
      </c>
      <c r="O32" s="212">
        <f>G32*I32</f>
        <v>2631.915</v>
      </c>
      <c r="P32" s="130"/>
      <c r="Q32" s="131"/>
    </row>
    <row r="33" spans="1:17" s="105" customFormat="1" ht="12" x14ac:dyDescent="0.2">
      <c r="A33" s="213" t="s">
        <v>183</v>
      </c>
      <c r="B33" s="214"/>
      <c r="C33" s="214"/>
      <c r="D33" s="215"/>
      <c r="E33" s="215"/>
      <c r="F33" s="215"/>
      <c r="G33" s="214"/>
      <c r="H33" s="214"/>
      <c r="I33" s="216"/>
      <c r="J33" s="318">
        <f>SUM(J8:L32)</f>
        <v>88274.680000000008</v>
      </c>
      <c r="K33" s="319"/>
      <c r="L33" s="320"/>
      <c r="M33" s="215">
        <f>SUM(M8:M32)</f>
        <v>10055023.629999999</v>
      </c>
      <c r="N33" s="215">
        <f>SUM(N8:N32)</f>
        <v>22453728.23</v>
      </c>
      <c r="O33" s="216">
        <f>SUM(O8:O32)</f>
        <v>3118.9283333333333</v>
      </c>
      <c r="P33" s="132" t="e">
        <f>SUM(N14:N15,N20,#REF!,N23)</f>
        <v>#REF!</v>
      </c>
      <c r="Q33" s="133" t="e">
        <f>SUM(#REF!,N22,N19)</f>
        <v>#REF!</v>
      </c>
    </row>
    <row r="34" spans="1:17" ht="12" x14ac:dyDescent="0.2">
      <c r="A34" s="222" t="s">
        <v>33</v>
      </c>
      <c r="B34" s="204"/>
      <c r="C34" s="204"/>
      <c r="D34" s="205"/>
      <c r="E34" s="205"/>
      <c r="F34" s="205"/>
      <c r="G34" s="204"/>
      <c r="H34" s="204"/>
      <c r="I34" s="206"/>
      <c r="J34" s="206"/>
      <c r="K34" s="206"/>
      <c r="L34" s="206"/>
      <c r="M34" s="205"/>
      <c r="N34" s="205"/>
      <c r="O34" s="206"/>
      <c r="P34" s="130"/>
      <c r="Q34" s="131"/>
    </row>
    <row r="35" spans="1:17" ht="12" x14ac:dyDescent="0.2">
      <c r="A35" s="222" t="s">
        <v>298</v>
      </c>
      <c r="B35" s="204" t="s">
        <v>180</v>
      </c>
      <c r="C35" s="204"/>
      <c r="D35" s="205"/>
      <c r="E35" s="205"/>
      <c r="F35" s="205"/>
      <c r="G35" s="204"/>
      <c r="H35" s="204"/>
      <c r="I35" s="206"/>
      <c r="J35" s="206"/>
      <c r="K35" s="206"/>
      <c r="L35" s="206"/>
      <c r="M35" s="205"/>
      <c r="N35" s="205"/>
      <c r="O35" s="206"/>
      <c r="P35" s="130"/>
      <c r="Q35" s="131"/>
    </row>
    <row r="36" spans="1:17" ht="12" x14ac:dyDescent="0.2">
      <c r="A36" s="222" t="s">
        <v>197</v>
      </c>
      <c r="B36" s="204" t="s">
        <v>179</v>
      </c>
      <c r="C36" s="204"/>
      <c r="D36" s="205"/>
      <c r="E36" s="205"/>
      <c r="F36" s="205"/>
      <c r="G36" s="204"/>
      <c r="H36" s="204"/>
      <c r="I36" s="206"/>
      <c r="J36" s="206"/>
      <c r="K36" s="206"/>
      <c r="L36" s="206"/>
      <c r="M36" s="205"/>
      <c r="N36" s="205"/>
      <c r="O36" s="206"/>
      <c r="P36" s="130"/>
      <c r="Q36" s="131"/>
    </row>
    <row r="37" spans="1:17" ht="13.5" x14ac:dyDescent="0.2">
      <c r="A37" s="222" t="s">
        <v>293</v>
      </c>
      <c r="B37" s="204" t="s">
        <v>179</v>
      </c>
      <c r="C37" s="204"/>
      <c r="D37" s="205"/>
      <c r="E37" s="205"/>
      <c r="F37" s="205"/>
      <c r="G37" s="204"/>
      <c r="H37" s="204"/>
      <c r="I37" s="206"/>
      <c r="J37" s="206"/>
      <c r="K37" s="206"/>
      <c r="L37" s="206"/>
      <c r="M37" s="205"/>
      <c r="N37" s="205"/>
      <c r="O37" s="206"/>
      <c r="P37" s="130"/>
      <c r="Q37" s="131"/>
    </row>
    <row r="38" spans="1:17" ht="12" x14ac:dyDescent="0.2">
      <c r="A38" s="222" t="s">
        <v>198</v>
      </c>
      <c r="B38" s="204"/>
      <c r="C38" s="204"/>
      <c r="D38" s="205"/>
      <c r="E38" s="205"/>
      <c r="F38" s="205"/>
      <c r="G38" s="204"/>
      <c r="H38" s="204"/>
      <c r="I38" s="206"/>
      <c r="J38" s="206"/>
      <c r="K38" s="206"/>
      <c r="L38" s="206"/>
      <c r="M38" s="205"/>
      <c r="N38" s="205"/>
      <c r="O38" s="206"/>
      <c r="P38" s="130"/>
      <c r="Q38" s="131"/>
    </row>
    <row r="39" spans="1:17" ht="12" x14ac:dyDescent="0.2">
      <c r="A39" s="222" t="s">
        <v>205</v>
      </c>
      <c r="B39" s="204">
        <v>20</v>
      </c>
      <c r="C39" s="205">
        <v>0</v>
      </c>
      <c r="D39" s="205">
        <v>0</v>
      </c>
      <c r="E39" s="205">
        <v>0</v>
      </c>
      <c r="F39" s="205">
        <v>0</v>
      </c>
      <c r="G39" s="204">
        <v>1</v>
      </c>
      <c r="H39" s="230">
        <f t="shared" si="1"/>
        <v>20</v>
      </c>
      <c r="I39" s="206">
        <f>I24</f>
        <v>5263.83</v>
      </c>
      <c r="J39" s="206">
        <f t="shared" ref="J39:J44" si="21">ROUND(H39*I39, 2)</f>
        <v>105276.6</v>
      </c>
      <c r="K39" s="210">
        <f t="shared" ref="K39:K44" si="22">ROUND(J39*0.1, 2)</f>
        <v>10527.66</v>
      </c>
      <c r="L39" s="210">
        <f t="shared" ref="L39:L44" si="23">ROUND(J39*0.05, 2)</f>
        <v>5263.83</v>
      </c>
      <c r="M39" s="240">
        <f>ROUND((J39*'Base Data'!$C$57)+(K39*'Base Data'!$C$58)+(L39*'Base Data'!$C$59), 2)</f>
        <v>13790392.390000001</v>
      </c>
      <c r="N39" s="205">
        <v>0</v>
      </c>
      <c r="O39" s="206">
        <v>0</v>
      </c>
      <c r="P39" s="130"/>
      <c r="Q39" s="131"/>
    </row>
    <row r="40" spans="1:17" ht="12" x14ac:dyDescent="0.2">
      <c r="A40" s="203" t="s">
        <v>206</v>
      </c>
      <c r="B40" s="204">
        <v>15</v>
      </c>
      <c r="C40" s="205">
        <v>0</v>
      </c>
      <c r="D40" s="205">
        <v>0</v>
      </c>
      <c r="E40" s="205">
        <v>0</v>
      </c>
      <c r="F40" s="205">
        <v>0</v>
      </c>
      <c r="G40" s="204">
        <v>1</v>
      </c>
      <c r="H40" s="230">
        <f t="shared" si="1"/>
        <v>15</v>
      </c>
      <c r="I40" s="206">
        <f>I24</f>
        <v>5263.83</v>
      </c>
      <c r="J40" s="206">
        <f t="shared" si="21"/>
        <v>78957.45</v>
      </c>
      <c r="K40" s="210">
        <f t="shared" si="22"/>
        <v>7895.75</v>
      </c>
      <c r="L40" s="210">
        <f t="shared" si="23"/>
        <v>3947.87</v>
      </c>
      <c r="M40" s="240">
        <f>ROUND((J40*'Base Data'!$C$57)+(K40*'Base Data'!$C$58)+(L40*'Base Data'!$C$59), 2)</f>
        <v>10342794.210000001</v>
      </c>
      <c r="N40" s="205">
        <v>0</v>
      </c>
      <c r="O40" s="206">
        <v>0</v>
      </c>
      <c r="P40" s="130"/>
      <c r="Q40" s="131"/>
    </row>
    <row r="41" spans="1:17" ht="12" x14ac:dyDescent="0.2">
      <c r="A41" s="222" t="s">
        <v>207</v>
      </c>
      <c r="B41" s="204">
        <v>2</v>
      </c>
      <c r="C41" s="205">
        <v>0</v>
      </c>
      <c r="D41" s="205">
        <v>0</v>
      </c>
      <c r="E41" s="205">
        <v>0</v>
      </c>
      <c r="F41" s="205">
        <v>0</v>
      </c>
      <c r="G41" s="204">
        <v>1</v>
      </c>
      <c r="H41" s="230">
        <f t="shared" si="1"/>
        <v>2</v>
      </c>
      <c r="I41" s="206">
        <f>I24</f>
        <v>5263.83</v>
      </c>
      <c r="J41" s="206">
        <f t="shared" si="21"/>
        <v>10527.66</v>
      </c>
      <c r="K41" s="210">
        <f t="shared" si="22"/>
        <v>1052.77</v>
      </c>
      <c r="L41" s="210">
        <f t="shared" si="23"/>
        <v>526.38</v>
      </c>
      <c r="M41" s="240">
        <f>ROUND((J41*'Base Data'!$C$57)+(K41*'Base Data'!$C$58)+(L41*'Base Data'!$C$59), 2)</f>
        <v>1379039.02</v>
      </c>
      <c r="N41" s="205">
        <v>0</v>
      </c>
      <c r="O41" s="206">
        <v>0</v>
      </c>
      <c r="P41" s="130"/>
      <c r="Q41" s="131"/>
    </row>
    <row r="42" spans="1:17" ht="24" x14ac:dyDescent="0.2">
      <c r="A42" s="203" t="s">
        <v>208</v>
      </c>
      <c r="B42" s="204">
        <v>2</v>
      </c>
      <c r="C42" s="205">
        <v>0</v>
      </c>
      <c r="D42" s="205">
        <v>0</v>
      </c>
      <c r="E42" s="205">
        <v>0</v>
      </c>
      <c r="F42" s="205">
        <v>0</v>
      </c>
      <c r="G42" s="204">
        <v>1</v>
      </c>
      <c r="H42" s="230">
        <f t="shared" si="1"/>
        <v>2</v>
      </c>
      <c r="I42" s="206">
        <f>I24</f>
        <v>5263.83</v>
      </c>
      <c r="J42" s="206">
        <f t="shared" si="21"/>
        <v>10527.66</v>
      </c>
      <c r="K42" s="210">
        <f t="shared" si="22"/>
        <v>1052.77</v>
      </c>
      <c r="L42" s="210">
        <f t="shared" si="23"/>
        <v>526.38</v>
      </c>
      <c r="M42" s="240">
        <f>ROUND((J42*'Base Data'!$C$57)+(K42*'Base Data'!$C$58)+(L42*'Base Data'!$C$59), 2)</f>
        <v>1379039.02</v>
      </c>
      <c r="N42" s="205">
        <v>0</v>
      </c>
      <c r="O42" s="206">
        <v>0</v>
      </c>
      <c r="P42" s="130"/>
      <c r="Q42" s="131"/>
    </row>
    <row r="43" spans="1:17" ht="24" x14ac:dyDescent="0.2">
      <c r="A43" s="203" t="s">
        <v>209</v>
      </c>
      <c r="B43" s="204">
        <v>2</v>
      </c>
      <c r="C43" s="205">
        <v>0</v>
      </c>
      <c r="D43" s="205">
        <v>0</v>
      </c>
      <c r="E43" s="205">
        <v>0</v>
      </c>
      <c r="F43" s="205">
        <v>0</v>
      </c>
      <c r="G43" s="204">
        <v>2</v>
      </c>
      <c r="H43" s="230">
        <f t="shared" si="1"/>
        <v>4</v>
      </c>
      <c r="I43" s="206">
        <f>I24</f>
        <v>5263.83</v>
      </c>
      <c r="J43" s="206">
        <f t="shared" si="21"/>
        <v>21055.32</v>
      </c>
      <c r="K43" s="210">
        <f t="shared" si="22"/>
        <v>2105.5300000000002</v>
      </c>
      <c r="L43" s="210">
        <f t="shared" si="23"/>
        <v>1052.77</v>
      </c>
      <c r="M43" s="240">
        <f>ROUND((J43*'Base Data'!$C$57)+(K43*'Base Data'!$C$58)+(L43*'Base Data'!$C$59), 2)</f>
        <v>2758078.95</v>
      </c>
      <c r="N43" s="205">
        <v>0</v>
      </c>
      <c r="O43" s="206">
        <v>0</v>
      </c>
      <c r="P43" s="130"/>
      <c r="Q43" s="131"/>
    </row>
    <row r="44" spans="1:17" ht="12" x14ac:dyDescent="0.2">
      <c r="A44" s="203" t="s">
        <v>210</v>
      </c>
      <c r="B44" s="204">
        <v>0.5</v>
      </c>
      <c r="C44" s="205">
        <v>0</v>
      </c>
      <c r="D44" s="205">
        <v>0</v>
      </c>
      <c r="E44" s="205">
        <v>0</v>
      </c>
      <c r="F44" s="205">
        <v>0</v>
      </c>
      <c r="G44" s="204">
        <v>12</v>
      </c>
      <c r="H44" s="230">
        <f t="shared" si="1"/>
        <v>6</v>
      </c>
      <c r="I44" s="206">
        <f>I24</f>
        <v>5263.83</v>
      </c>
      <c r="J44" s="206">
        <f t="shared" si="21"/>
        <v>31582.98</v>
      </c>
      <c r="K44" s="210">
        <f t="shared" si="22"/>
        <v>3158.3</v>
      </c>
      <c r="L44" s="210">
        <f t="shared" si="23"/>
        <v>1579.15</v>
      </c>
      <c r="M44" s="240">
        <f>ROUND((J44*'Base Data'!$C$57)+(K44*'Base Data'!$C$58)+(L44*'Base Data'!$C$59), 2)</f>
        <v>4137117.98</v>
      </c>
      <c r="N44" s="205">
        <v>0</v>
      </c>
      <c r="O44" s="206">
        <v>0</v>
      </c>
      <c r="P44" s="130"/>
      <c r="Q44" s="131"/>
    </row>
    <row r="45" spans="1:17" ht="12" x14ac:dyDescent="0.2">
      <c r="A45" s="203" t="s">
        <v>211</v>
      </c>
      <c r="B45" s="204">
        <v>0.5</v>
      </c>
      <c r="C45" s="205">
        <v>0</v>
      </c>
      <c r="D45" s="205">
        <v>0</v>
      </c>
      <c r="E45" s="205">
        <v>0</v>
      </c>
      <c r="F45" s="205">
        <v>0</v>
      </c>
      <c r="G45" s="204">
        <v>0.5</v>
      </c>
      <c r="H45" s="243">
        <f t="shared" si="1"/>
        <v>0.25</v>
      </c>
      <c r="I45" s="206">
        <f>I24</f>
        <v>5263.83</v>
      </c>
      <c r="J45" s="206">
        <f t="shared" ref="J45" si="24">ROUND(H45*I45, 2)</f>
        <v>1315.96</v>
      </c>
      <c r="K45" s="210">
        <f t="shared" ref="K45" si="25">ROUND(J45*0.1, 2)</f>
        <v>131.6</v>
      </c>
      <c r="L45" s="210">
        <f t="shared" ref="L45" si="26">ROUND(J45*0.05, 2)</f>
        <v>65.8</v>
      </c>
      <c r="M45" s="240">
        <f>ROUND((J45*'Base Data'!$C$57)+(K45*'Base Data'!$C$58)+(L45*'Base Data'!$C$59), 2)</f>
        <v>172380.76</v>
      </c>
      <c r="N45" s="205">
        <v>0</v>
      </c>
      <c r="O45" s="206">
        <v>0</v>
      </c>
      <c r="P45" s="130"/>
      <c r="Q45" s="131"/>
    </row>
    <row r="46" spans="1:17" ht="12" x14ac:dyDescent="0.2">
      <c r="A46" s="222" t="s">
        <v>199</v>
      </c>
      <c r="B46" s="204" t="s">
        <v>179</v>
      </c>
      <c r="C46" s="204"/>
      <c r="D46" s="205"/>
      <c r="E46" s="205"/>
      <c r="F46" s="205"/>
      <c r="G46" s="204"/>
      <c r="H46" s="204"/>
      <c r="I46" s="206" t="s">
        <v>3</v>
      </c>
      <c r="J46" s="206"/>
      <c r="K46" s="210"/>
      <c r="L46" s="206"/>
      <c r="M46" s="205"/>
      <c r="N46" s="205"/>
      <c r="O46" s="206"/>
      <c r="P46" s="130"/>
      <c r="Q46" s="131"/>
    </row>
    <row r="47" spans="1:17" ht="12" x14ac:dyDescent="0.2">
      <c r="A47" s="222" t="s">
        <v>200</v>
      </c>
      <c r="B47" s="204" t="s">
        <v>179</v>
      </c>
      <c r="C47" s="204"/>
      <c r="D47" s="205"/>
      <c r="E47" s="205"/>
      <c r="F47" s="205"/>
      <c r="G47" s="204"/>
      <c r="H47" s="204"/>
      <c r="I47" s="204"/>
      <c r="J47" s="206"/>
      <c r="K47" s="206"/>
      <c r="L47" s="206"/>
      <c r="M47" s="205"/>
      <c r="N47" s="205"/>
      <c r="O47" s="206"/>
      <c r="P47" s="130"/>
      <c r="Q47" s="131"/>
    </row>
    <row r="48" spans="1:17" s="105" customFormat="1" ht="12" x14ac:dyDescent="0.2">
      <c r="A48" s="218" t="s">
        <v>182</v>
      </c>
      <c r="B48" s="214"/>
      <c r="C48" s="214"/>
      <c r="D48" s="215"/>
      <c r="E48" s="215"/>
      <c r="F48" s="215"/>
      <c r="G48" s="214"/>
      <c r="H48" s="214"/>
      <c r="I48" s="214"/>
      <c r="J48" s="318">
        <f>SUM(J35:L47)</f>
        <v>298130.19</v>
      </c>
      <c r="K48" s="319"/>
      <c r="L48" s="320"/>
      <c r="M48" s="215">
        <f>SUM(M35:M47)</f>
        <v>33958842.329999998</v>
      </c>
      <c r="N48" s="215">
        <f>SUM(N35:N47)</f>
        <v>0</v>
      </c>
      <c r="O48" s="216">
        <f>SUM(O35:O47)</f>
        <v>0</v>
      </c>
      <c r="P48" s="134"/>
      <c r="Q48" s="135"/>
    </row>
    <row r="49" spans="1:21" s="105" customFormat="1" ht="12" x14ac:dyDescent="0.2">
      <c r="A49" s="220" t="s">
        <v>290</v>
      </c>
      <c r="B49" s="214"/>
      <c r="C49" s="214"/>
      <c r="D49" s="215"/>
      <c r="E49" s="215"/>
      <c r="F49" s="215"/>
      <c r="G49" s="214"/>
      <c r="H49" s="214"/>
      <c r="I49" s="214"/>
      <c r="J49" s="268"/>
      <c r="K49" s="269"/>
      <c r="L49" s="270"/>
      <c r="M49" s="215">
        <f>(M48+M33)</f>
        <v>44013865.959999993</v>
      </c>
      <c r="N49" s="215"/>
      <c r="O49" s="216"/>
      <c r="P49" s="186"/>
      <c r="Q49" s="186"/>
    </row>
    <row r="50" spans="1:21" s="105" customFormat="1" ht="12" x14ac:dyDescent="0.2">
      <c r="A50" s="220" t="s">
        <v>291</v>
      </c>
      <c r="B50" s="214"/>
      <c r="C50" s="214"/>
      <c r="D50" s="215"/>
      <c r="E50" s="215"/>
      <c r="F50" s="215"/>
      <c r="G50" s="214"/>
      <c r="H50" s="214"/>
      <c r="I50" s="214"/>
      <c r="J50" s="268"/>
      <c r="K50" s="269"/>
      <c r="L50" s="270"/>
      <c r="M50" s="215"/>
      <c r="N50" s="215">
        <f>SUM(N33,N48)</f>
        <v>22453728.23</v>
      </c>
      <c r="O50" s="216"/>
      <c r="P50" s="186"/>
      <c r="Q50" s="186"/>
    </row>
    <row r="51" spans="1:21" s="105" customFormat="1" ht="12" x14ac:dyDescent="0.2">
      <c r="A51" s="220" t="s">
        <v>292</v>
      </c>
      <c r="B51" s="214"/>
      <c r="C51" s="214"/>
      <c r="D51" s="214"/>
      <c r="E51" s="214"/>
      <c r="F51" s="214"/>
      <c r="G51" s="214"/>
      <c r="H51" s="214"/>
      <c r="I51" s="214"/>
      <c r="J51" s="318">
        <f>SUM(J33,J48)</f>
        <v>386404.87</v>
      </c>
      <c r="K51" s="319"/>
      <c r="L51" s="320"/>
      <c r="M51" s="215">
        <f>(SUM(M33,M48,N50))</f>
        <v>66467594.189999998</v>
      </c>
      <c r="N51" s="231"/>
      <c r="O51" s="216">
        <f>SUM(O33,O48)</f>
        <v>3118.9283333333333</v>
      </c>
    </row>
    <row r="52" spans="1:21" x14ac:dyDescent="0.2">
      <c r="A52" s="101" t="s">
        <v>181</v>
      </c>
      <c r="H52" s="114"/>
      <c r="J52" s="103"/>
      <c r="K52" s="103"/>
      <c r="L52" s="103"/>
      <c r="O52" s="103"/>
      <c r="R52" s="271" t="s">
        <v>263</v>
      </c>
      <c r="S52" s="272"/>
      <c r="T52" s="272"/>
      <c r="U52" s="272"/>
    </row>
    <row r="53" spans="1:21" x14ac:dyDescent="0.2">
      <c r="A53" s="321" t="s">
        <v>302</v>
      </c>
      <c r="B53" s="321"/>
      <c r="C53" s="321"/>
      <c r="D53" s="321"/>
      <c r="E53" s="321"/>
      <c r="F53" s="321"/>
      <c r="G53" s="321"/>
      <c r="H53" s="321"/>
      <c r="I53" s="321"/>
      <c r="J53" s="321"/>
      <c r="K53" s="321"/>
      <c r="L53" s="321"/>
      <c r="M53" s="321"/>
      <c r="N53" s="321"/>
      <c r="O53" s="321"/>
      <c r="R53" s="271">
        <f>'Respondents&amp;Responses'!H12</f>
        <v>10365.34</v>
      </c>
      <c r="S53" s="271">
        <f>'Respondents&amp;Responses'!I12</f>
        <v>5182.67</v>
      </c>
      <c r="T53" s="271">
        <f>'Respondents&amp;Responses'!J12</f>
        <v>10527.68</v>
      </c>
      <c r="U53" s="271">
        <f>'Respondents&amp;Responses'!K12</f>
        <v>5263.84</v>
      </c>
    </row>
    <row r="54" spans="1:21" ht="24" customHeight="1" x14ac:dyDescent="0.2">
      <c r="A54" s="304" t="s">
        <v>230</v>
      </c>
      <c r="B54" s="304"/>
      <c r="C54" s="304"/>
      <c r="D54" s="304"/>
      <c r="E54" s="304"/>
      <c r="F54" s="304"/>
      <c r="G54" s="304"/>
      <c r="H54" s="304"/>
      <c r="I54" s="304"/>
      <c r="J54" s="304"/>
      <c r="K54" s="304"/>
      <c r="L54" s="304"/>
      <c r="M54" s="304"/>
      <c r="N54" s="304"/>
      <c r="O54" s="304"/>
      <c r="R54" s="167"/>
    </row>
    <row r="55" spans="1:21" s="102" customFormat="1" x14ac:dyDescent="0.2">
      <c r="A55" s="102" t="s">
        <v>300</v>
      </c>
    </row>
    <row r="56" spans="1:21" x14ac:dyDescent="0.2">
      <c r="A56" s="304" t="s">
        <v>152</v>
      </c>
      <c r="B56" s="304"/>
      <c r="C56" s="304"/>
      <c r="D56" s="304"/>
      <c r="E56" s="304"/>
      <c r="F56" s="304"/>
      <c r="G56" s="304"/>
      <c r="H56" s="304"/>
      <c r="I56" s="304"/>
      <c r="J56" s="304"/>
      <c r="K56" s="304"/>
      <c r="L56" s="304"/>
      <c r="M56" s="304"/>
      <c r="N56" s="304"/>
      <c r="O56" s="304"/>
    </row>
    <row r="57" spans="1:21" ht="21.75" customHeight="1" x14ac:dyDescent="0.2">
      <c r="A57" s="304" t="s">
        <v>153</v>
      </c>
      <c r="B57" s="304"/>
      <c r="C57" s="304"/>
      <c r="D57" s="304"/>
      <c r="E57" s="304"/>
      <c r="F57" s="304"/>
      <c r="G57" s="304"/>
      <c r="H57" s="304"/>
      <c r="I57" s="304"/>
      <c r="J57" s="304"/>
      <c r="K57" s="304"/>
      <c r="L57" s="304"/>
      <c r="M57" s="304"/>
      <c r="N57" s="304"/>
      <c r="O57" s="304"/>
    </row>
    <row r="58" spans="1:21" s="102" customFormat="1" ht="23.25" customHeight="1" x14ac:dyDescent="0.2">
      <c r="A58" s="321" t="s">
        <v>303</v>
      </c>
      <c r="B58" s="321"/>
      <c r="C58" s="321"/>
      <c r="D58" s="321"/>
      <c r="E58" s="321"/>
      <c r="F58" s="321"/>
      <c r="G58" s="321"/>
      <c r="H58" s="321"/>
      <c r="I58" s="321"/>
      <c r="J58" s="321"/>
      <c r="K58" s="321"/>
      <c r="L58" s="321"/>
      <c r="M58" s="321"/>
      <c r="N58" s="321"/>
      <c r="O58" s="321"/>
    </row>
    <row r="59" spans="1:21" x14ac:dyDescent="0.2">
      <c r="A59" s="304" t="s">
        <v>225</v>
      </c>
      <c r="B59" s="304"/>
      <c r="C59" s="304"/>
      <c r="D59" s="304"/>
      <c r="E59" s="304"/>
      <c r="F59" s="304"/>
      <c r="G59" s="304"/>
      <c r="H59" s="304"/>
      <c r="I59" s="304"/>
      <c r="J59" s="304"/>
      <c r="K59" s="304"/>
      <c r="L59" s="304"/>
      <c r="M59" s="304"/>
      <c r="N59" s="304"/>
      <c r="O59" s="304"/>
    </row>
    <row r="60" spans="1:21" x14ac:dyDescent="0.2">
      <c r="A60" s="101" t="s">
        <v>304</v>
      </c>
    </row>
  </sheetData>
  <mergeCells count="10">
    <mergeCell ref="A3:A4"/>
    <mergeCell ref="A58:O58"/>
    <mergeCell ref="A59:O59"/>
    <mergeCell ref="A56:O56"/>
    <mergeCell ref="A57:O57"/>
    <mergeCell ref="J33:L33"/>
    <mergeCell ref="J48:L48"/>
    <mergeCell ref="J51:L51"/>
    <mergeCell ref="A53:O53"/>
    <mergeCell ref="A54:O54"/>
  </mergeCells>
  <phoneticPr fontId="4" type="noConversion"/>
  <printOptions horizontalCentered="1"/>
  <pageMargins left="0" right="0" top="0.2" bottom="0.2" header="0.2" footer="0.2"/>
  <pageSetup scale="97"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Q45"/>
  <sheetViews>
    <sheetView zoomScaleNormal="100" workbookViewId="0">
      <selection activeCell="P18" sqref="P18"/>
    </sheetView>
  </sheetViews>
  <sheetFormatPr defaultColWidth="9.140625" defaultRowHeight="11.25" x14ac:dyDescent="0.2"/>
  <cols>
    <col min="1" max="1" width="37.42578125" style="101" customWidth="1"/>
    <col min="2" max="2" width="9.7109375" style="103" bestFit="1" customWidth="1"/>
    <col min="3" max="3" width="9.28515625" style="103" bestFit="1" customWidth="1"/>
    <col min="4" max="4" width="8.42578125" style="103" bestFit="1" customWidth="1"/>
    <col min="5" max="5" width="10.42578125" style="103" bestFit="1" customWidth="1"/>
    <col min="6" max="6" width="10" style="103" bestFit="1" customWidth="1"/>
    <col min="7" max="7" width="11.28515625" style="103" customWidth="1"/>
    <col min="8" max="8" width="8.28515625" style="104" bestFit="1" customWidth="1"/>
    <col min="9" max="9" width="11.5703125" style="104" customWidth="1"/>
    <col min="10" max="10" width="10.7109375" style="104" bestFit="1" customWidth="1"/>
    <col min="11" max="12" width="10.85546875" style="104" bestFit="1" customWidth="1"/>
    <col min="13" max="13" width="9.42578125" style="103" bestFit="1" customWidth="1"/>
    <col min="14" max="16384" width="9.140625" style="101"/>
  </cols>
  <sheetData>
    <row r="1" spans="1:14" s="65" customFormat="1" ht="11.25" customHeight="1" x14ac:dyDescent="0.2">
      <c r="A1" s="107" t="s">
        <v>85</v>
      </c>
      <c r="B1" s="107"/>
      <c r="C1" s="107"/>
      <c r="D1" s="107"/>
      <c r="E1" s="107"/>
      <c r="F1" s="107"/>
      <c r="G1" s="107"/>
      <c r="H1" s="107"/>
      <c r="I1" s="107"/>
      <c r="J1" s="107"/>
      <c r="K1" s="107"/>
      <c r="L1" s="107"/>
      <c r="M1" s="107"/>
    </row>
    <row r="2" spans="1:14" x14ac:dyDescent="0.2">
      <c r="A2" s="110"/>
      <c r="B2" s="110"/>
      <c r="C2" s="110"/>
      <c r="D2" s="110"/>
      <c r="E2" s="110"/>
      <c r="F2" s="110"/>
      <c r="G2" s="110"/>
      <c r="H2" s="110"/>
      <c r="I2" s="110"/>
      <c r="J2" s="110"/>
      <c r="K2" s="110"/>
      <c r="L2" s="110"/>
      <c r="M2" s="110"/>
      <c r="N2" s="110"/>
    </row>
    <row r="3" spans="1:14" ht="13.5" customHeight="1" x14ac:dyDescent="0.2">
      <c r="A3" s="301" t="s">
        <v>21</v>
      </c>
      <c r="B3" s="187" t="s">
        <v>131</v>
      </c>
      <c r="C3" s="188"/>
      <c r="D3" s="189"/>
      <c r="E3" s="190" t="s">
        <v>132</v>
      </c>
      <c r="F3" s="191" t="s">
        <v>133</v>
      </c>
      <c r="G3" s="191" t="s">
        <v>134</v>
      </c>
      <c r="H3" s="191" t="s">
        <v>135</v>
      </c>
      <c r="I3" s="191" t="s">
        <v>136</v>
      </c>
      <c r="J3" s="191" t="s">
        <v>137</v>
      </c>
      <c r="K3" s="192" t="s">
        <v>138</v>
      </c>
      <c r="L3" s="193"/>
      <c r="M3" s="194"/>
    </row>
    <row r="4" spans="1:14" s="127" customFormat="1" ht="72" x14ac:dyDescent="0.2">
      <c r="A4" s="302"/>
      <c r="B4" s="195" t="s">
        <v>139</v>
      </c>
      <c r="C4" s="196" t="s">
        <v>149</v>
      </c>
      <c r="D4" s="197" t="s">
        <v>185</v>
      </c>
      <c r="E4" s="198" t="s">
        <v>148</v>
      </c>
      <c r="F4" s="199" t="s">
        <v>141</v>
      </c>
      <c r="G4" s="200" t="s">
        <v>232</v>
      </c>
      <c r="H4" s="200" t="s">
        <v>186</v>
      </c>
      <c r="I4" s="200" t="s">
        <v>187</v>
      </c>
      <c r="J4" s="200" t="s">
        <v>188</v>
      </c>
      <c r="K4" s="201" t="s">
        <v>233</v>
      </c>
      <c r="L4" s="202" t="s">
        <v>146</v>
      </c>
      <c r="M4" s="202" t="s">
        <v>147</v>
      </c>
    </row>
    <row r="5" spans="1:14" ht="12" x14ac:dyDescent="0.2">
      <c r="A5" s="222" t="s">
        <v>22</v>
      </c>
      <c r="B5" s="204" t="s">
        <v>179</v>
      </c>
      <c r="C5" s="205"/>
      <c r="D5" s="205"/>
      <c r="E5" s="204"/>
      <c r="F5" s="204"/>
      <c r="G5" s="206"/>
      <c r="H5" s="206"/>
      <c r="I5" s="206"/>
      <c r="J5" s="206"/>
      <c r="K5" s="205"/>
      <c r="L5" s="205"/>
      <c r="M5" s="205"/>
    </row>
    <row r="6" spans="1:14" ht="12" x14ac:dyDescent="0.2">
      <c r="A6" s="222" t="s">
        <v>23</v>
      </c>
      <c r="B6" s="204" t="s">
        <v>179</v>
      </c>
      <c r="C6" s="205"/>
      <c r="D6" s="205"/>
      <c r="E6" s="204"/>
      <c r="F6" s="204"/>
      <c r="G6" s="206"/>
      <c r="H6" s="206"/>
      <c r="I6" s="206"/>
      <c r="J6" s="206"/>
      <c r="K6" s="205"/>
      <c r="L6" s="205"/>
      <c r="M6" s="205"/>
    </row>
    <row r="7" spans="1:14" ht="12" x14ac:dyDescent="0.2">
      <c r="A7" s="222" t="s">
        <v>24</v>
      </c>
      <c r="B7" s="204"/>
      <c r="C7" s="205"/>
      <c r="D7" s="205"/>
      <c r="E7" s="204"/>
      <c r="F7" s="204"/>
      <c r="G7" s="206"/>
      <c r="H7" s="206"/>
      <c r="I7" s="206"/>
      <c r="J7" s="206"/>
      <c r="K7" s="205"/>
      <c r="L7" s="205"/>
      <c r="M7" s="205"/>
    </row>
    <row r="8" spans="1:14" ht="11.25" customHeight="1" x14ac:dyDescent="0.2">
      <c r="A8" s="203" t="s">
        <v>296</v>
      </c>
      <c r="B8" s="204">
        <v>40</v>
      </c>
      <c r="C8" s="205">
        <v>0</v>
      </c>
      <c r="D8" s="205">
        <v>0</v>
      </c>
      <c r="E8" s="204">
        <v>1</v>
      </c>
      <c r="F8" s="204">
        <f>B8*E8</f>
        <v>40</v>
      </c>
      <c r="G8" s="211">
        <f>ROUND('Base Data'!M32, 2)</f>
        <v>49.17</v>
      </c>
      <c r="H8" s="223">
        <f>ROUND(F8*G8, 2)</f>
        <v>1966.8</v>
      </c>
      <c r="I8" s="224">
        <f>ROUND(H8*0.1, 2)</f>
        <v>196.68</v>
      </c>
      <c r="J8" s="224">
        <f>ROUND(H8*0.05, 2)</f>
        <v>98.34</v>
      </c>
      <c r="K8" s="225">
        <f>ROUND((H8*'Base Data'!$C$57)+(I8*'Base Data'!$C$58)+(J8*'Base Data'!$C$59), 2)</f>
        <v>257635.07</v>
      </c>
      <c r="L8" s="226">
        <v>0</v>
      </c>
      <c r="M8" s="206">
        <v>0</v>
      </c>
    </row>
    <row r="9" spans="1:14" ht="11.25" customHeight="1" x14ac:dyDescent="0.2">
      <c r="A9" s="203" t="s">
        <v>297</v>
      </c>
      <c r="B9" s="204">
        <v>1</v>
      </c>
      <c r="C9" s="205">
        <v>0</v>
      </c>
      <c r="D9" s="205">
        <v>0</v>
      </c>
      <c r="E9" s="204">
        <v>1</v>
      </c>
      <c r="F9" s="204">
        <f>B9*E9</f>
        <v>1</v>
      </c>
      <c r="G9" s="208">
        <f>'Respondents&amp;Responses'!C17</f>
        <v>5658.67</v>
      </c>
      <c r="H9" s="223">
        <f>ROUND(F9*G9, 2)</f>
        <v>5658.67</v>
      </c>
      <c r="I9" s="224">
        <f>ROUND(H9*0.1, 2)</f>
        <v>565.87</v>
      </c>
      <c r="J9" s="224">
        <f>ROUND(H9*0.05, 2)</f>
        <v>282.93</v>
      </c>
      <c r="K9" s="225">
        <f>ROUND((H9*'Base Data'!$C$57)+(I9*'Base Data'!$C$58)+(J9*'Base Data'!$C$59), 2)</f>
        <v>741240.16</v>
      </c>
      <c r="L9" s="226">
        <v>0</v>
      </c>
      <c r="M9" s="273">
        <v>0</v>
      </c>
      <c r="N9" s="266"/>
    </row>
    <row r="10" spans="1:14" ht="12" x14ac:dyDescent="0.2">
      <c r="A10" s="203" t="s">
        <v>25</v>
      </c>
      <c r="B10" s="204"/>
      <c r="C10" s="205"/>
      <c r="D10" s="205"/>
      <c r="E10" s="204"/>
      <c r="F10" s="204"/>
      <c r="G10" s="206"/>
      <c r="H10" s="227"/>
      <c r="I10" s="227"/>
      <c r="J10" s="227"/>
      <c r="K10" s="226"/>
      <c r="L10" s="226"/>
      <c r="M10" s="205"/>
    </row>
    <row r="11" spans="1:14" ht="12" x14ac:dyDescent="0.2">
      <c r="A11" s="209" t="s">
        <v>213</v>
      </c>
      <c r="B11" s="204">
        <v>12</v>
      </c>
      <c r="C11" s="205">
        <v>2228</v>
      </c>
      <c r="D11" s="205">
        <v>0</v>
      </c>
      <c r="E11" s="204">
        <v>0.5</v>
      </c>
      <c r="F11" s="204">
        <f>B11*E11</f>
        <v>6</v>
      </c>
      <c r="G11" s="208">
        <f>ROUND('Base Data'!N7 + 2/3*('Base Data'!L32), 2)</f>
        <v>5707.83</v>
      </c>
      <c r="H11" s="224">
        <f>ROUND(F11*G11, 2)</f>
        <v>34246.980000000003</v>
      </c>
      <c r="I11" s="224">
        <f>ROUND(H11*0.1, 2)</f>
        <v>3424.7</v>
      </c>
      <c r="J11" s="223">
        <f>ROUND(H11*0.05, 2)</f>
        <v>1712.35</v>
      </c>
      <c r="K11" s="225">
        <f>ROUND((H11*'Base Data'!$C$57)+(I11*'Base Data'!$C$58)+(J11*'Base Data'!$C$59), 2)</f>
        <v>4486080.67</v>
      </c>
      <c r="L11" s="225">
        <f>C11*E11*G11</f>
        <v>6358522.6200000001</v>
      </c>
      <c r="M11" s="206">
        <v>0</v>
      </c>
    </row>
    <row r="12" spans="1:14" ht="12" x14ac:dyDescent="0.2">
      <c r="A12" s="203" t="s">
        <v>26</v>
      </c>
      <c r="B12" s="204" t="s">
        <v>179</v>
      </c>
      <c r="C12" s="205"/>
      <c r="D12" s="205"/>
      <c r="E12" s="204"/>
      <c r="F12" s="204"/>
      <c r="G12" s="206"/>
      <c r="H12" s="227"/>
      <c r="I12" s="227"/>
      <c r="J12" s="227"/>
      <c r="K12" s="226"/>
      <c r="L12" s="226"/>
      <c r="M12" s="205"/>
    </row>
    <row r="13" spans="1:14" ht="12" x14ac:dyDescent="0.2">
      <c r="A13" s="203" t="s">
        <v>27</v>
      </c>
      <c r="B13" s="204" t="s">
        <v>179</v>
      </c>
      <c r="C13" s="205"/>
      <c r="D13" s="205"/>
      <c r="E13" s="204"/>
      <c r="F13" s="204"/>
      <c r="G13" s="206"/>
      <c r="H13" s="227"/>
      <c r="I13" s="227"/>
      <c r="J13" s="227"/>
      <c r="K13" s="226"/>
      <c r="L13" s="226"/>
      <c r="M13" s="205"/>
    </row>
    <row r="14" spans="1:14" ht="12" x14ac:dyDescent="0.2">
      <c r="A14" s="203" t="s">
        <v>28</v>
      </c>
      <c r="B14" s="204"/>
      <c r="C14" s="205"/>
      <c r="D14" s="205"/>
      <c r="E14" s="204"/>
      <c r="F14" s="204"/>
      <c r="G14" s="208"/>
      <c r="H14" s="227"/>
      <c r="I14" s="227"/>
      <c r="J14" s="227"/>
      <c r="K14" s="226"/>
      <c r="L14" s="226"/>
      <c r="M14" s="206"/>
    </row>
    <row r="15" spans="1:14" ht="12" x14ac:dyDescent="0.2">
      <c r="A15" s="209" t="s">
        <v>201</v>
      </c>
      <c r="B15" s="204">
        <v>2</v>
      </c>
      <c r="C15" s="205">
        <v>0</v>
      </c>
      <c r="D15" s="205">
        <v>0</v>
      </c>
      <c r="E15" s="204">
        <v>1</v>
      </c>
      <c r="F15" s="204">
        <f>B15*E15</f>
        <v>2</v>
      </c>
      <c r="G15" s="211">
        <f>G8</f>
        <v>49.17</v>
      </c>
      <c r="H15" s="224">
        <f t="shared" ref="H15:H17" si="0">ROUND(F15*G15, 2)</f>
        <v>98.34</v>
      </c>
      <c r="I15" s="224">
        <f t="shared" ref="I15:I17" si="1">ROUND(H15*0.1, 2)</f>
        <v>9.83</v>
      </c>
      <c r="J15" s="224">
        <f t="shared" ref="J15:J17" si="2">ROUND(H15*0.05, 2)</f>
        <v>4.92</v>
      </c>
      <c r="K15" s="225">
        <f>ROUND((H15*'Base Data'!$C$57)+(I15*'Base Data'!$C$58)+(J15*'Base Data'!$C$59), 2)</f>
        <v>12881.97</v>
      </c>
      <c r="L15" s="226">
        <v>0</v>
      </c>
      <c r="M15" s="212">
        <f>E15*G15</f>
        <v>49.17</v>
      </c>
    </row>
    <row r="16" spans="1:14" ht="12" x14ac:dyDescent="0.2">
      <c r="A16" s="209" t="s">
        <v>202</v>
      </c>
      <c r="B16" s="204">
        <v>8</v>
      </c>
      <c r="C16" s="205">
        <v>0</v>
      </c>
      <c r="D16" s="205">
        <v>0</v>
      </c>
      <c r="E16" s="204">
        <v>1</v>
      </c>
      <c r="F16" s="204">
        <f>B16*E16</f>
        <v>8</v>
      </c>
      <c r="G16" s="211">
        <f>G8</f>
        <v>49.17</v>
      </c>
      <c r="H16" s="224">
        <f t="shared" si="0"/>
        <v>393.36</v>
      </c>
      <c r="I16" s="224">
        <f t="shared" si="1"/>
        <v>39.340000000000003</v>
      </c>
      <c r="J16" s="224">
        <f t="shared" si="2"/>
        <v>19.670000000000002</v>
      </c>
      <c r="K16" s="225">
        <f>ROUND((H16*'Base Data'!$C$57)+(I16*'Base Data'!$C$58)+(J16*'Base Data'!$C$59), 2)</f>
        <v>51527.54</v>
      </c>
      <c r="L16" s="226">
        <v>0</v>
      </c>
      <c r="M16" s="212">
        <f>E16*G16</f>
        <v>49.17</v>
      </c>
    </row>
    <row r="17" spans="1:17" ht="12" x14ac:dyDescent="0.2">
      <c r="A17" s="209" t="s">
        <v>212</v>
      </c>
      <c r="B17" s="204">
        <v>5</v>
      </c>
      <c r="C17" s="205">
        <v>0</v>
      </c>
      <c r="D17" s="205">
        <v>0</v>
      </c>
      <c r="E17" s="204">
        <v>0.5</v>
      </c>
      <c r="F17" s="204">
        <f>B17*E17</f>
        <v>2.5</v>
      </c>
      <c r="G17" s="208">
        <f>G11</f>
        <v>5707.83</v>
      </c>
      <c r="H17" s="224">
        <f t="shared" si="0"/>
        <v>14269.58</v>
      </c>
      <c r="I17" s="224">
        <f t="shared" si="1"/>
        <v>1426.96</v>
      </c>
      <c r="J17" s="224">
        <f t="shared" si="2"/>
        <v>713.48</v>
      </c>
      <c r="K17" s="225">
        <f>ROUND((H17*'Base Data'!$C$57)+(I17*'Base Data'!$C$58)+(J17*'Base Data'!$C$59), 2)</f>
        <v>1869201.08</v>
      </c>
      <c r="L17" s="226">
        <v>0</v>
      </c>
      <c r="M17" s="228">
        <f>E17*G17</f>
        <v>2853.915</v>
      </c>
    </row>
    <row r="18" spans="1:17" s="105" customFormat="1" ht="12" x14ac:dyDescent="0.2">
      <c r="A18" s="213" t="s">
        <v>183</v>
      </c>
      <c r="B18" s="214"/>
      <c r="C18" s="215"/>
      <c r="D18" s="215"/>
      <c r="E18" s="214"/>
      <c r="F18" s="214"/>
      <c r="G18" s="217"/>
      <c r="H18" s="322">
        <f>SUM(H8:J17)</f>
        <v>65128.799999999996</v>
      </c>
      <c r="I18" s="323"/>
      <c r="J18" s="324"/>
      <c r="K18" s="229">
        <f t="shared" ref="K18" si="3">SUM(K8:K17)</f>
        <v>7418566.4900000002</v>
      </c>
      <c r="L18" s="229">
        <f>SUM(L8:L17)</f>
        <v>6358522.6200000001</v>
      </c>
      <c r="M18" s="216">
        <f>SUM(M14:M17)</f>
        <v>2952.2550000000001</v>
      </c>
    </row>
    <row r="19" spans="1:17" ht="12" x14ac:dyDescent="0.2">
      <c r="A19" s="222" t="s">
        <v>33</v>
      </c>
      <c r="B19" s="204"/>
      <c r="C19" s="205"/>
      <c r="D19" s="205"/>
      <c r="E19" s="204"/>
      <c r="F19" s="204"/>
      <c r="G19" s="206"/>
      <c r="H19" s="230"/>
      <c r="I19" s="230"/>
      <c r="J19" s="230"/>
      <c r="K19" s="205"/>
      <c r="L19" s="205"/>
      <c r="M19" s="205"/>
    </row>
    <row r="20" spans="1:17" ht="12" x14ac:dyDescent="0.2">
      <c r="A20" s="222" t="s">
        <v>298</v>
      </c>
      <c r="B20" s="204" t="s">
        <v>180</v>
      </c>
      <c r="C20" s="205"/>
      <c r="D20" s="205"/>
      <c r="E20" s="204"/>
      <c r="F20" s="204"/>
      <c r="G20" s="206"/>
      <c r="H20" s="230"/>
      <c r="I20" s="230"/>
      <c r="J20" s="230"/>
      <c r="K20" s="205"/>
      <c r="L20" s="205"/>
      <c r="M20" s="205"/>
    </row>
    <row r="21" spans="1:17" ht="12" x14ac:dyDescent="0.2">
      <c r="A21" s="222" t="s">
        <v>197</v>
      </c>
      <c r="B21" s="204" t="s">
        <v>179</v>
      </c>
      <c r="C21" s="205"/>
      <c r="D21" s="205"/>
      <c r="E21" s="204"/>
      <c r="F21" s="204"/>
      <c r="G21" s="206"/>
      <c r="H21" s="230"/>
      <c r="I21" s="230"/>
      <c r="J21" s="230"/>
      <c r="K21" s="205"/>
      <c r="L21" s="205"/>
      <c r="M21" s="205"/>
    </row>
    <row r="22" spans="1:17" ht="13.5" x14ac:dyDescent="0.2">
      <c r="A22" s="203" t="s">
        <v>235</v>
      </c>
      <c r="B22" s="204" t="s">
        <v>179</v>
      </c>
      <c r="C22" s="205"/>
      <c r="D22" s="205"/>
      <c r="E22" s="204"/>
      <c r="F22" s="204"/>
      <c r="G22" s="206"/>
      <c r="H22" s="230"/>
      <c r="I22" s="230"/>
      <c r="J22" s="230"/>
      <c r="K22" s="205"/>
      <c r="L22" s="205"/>
      <c r="M22" s="205"/>
    </row>
    <row r="23" spans="1:17" ht="12" x14ac:dyDescent="0.2">
      <c r="A23" s="222" t="s">
        <v>198</v>
      </c>
      <c r="B23" s="204"/>
      <c r="C23" s="205"/>
      <c r="D23" s="205"/>
      <c r="E23" s="204"/>
      <c r="F23" s="204"/>
      <c r="G23" s="206"/>
      <c r="H23" s="230"/>
      <c r="I23" s="230"/>
      <c r="J23" s="230"/>
      <c r="K23" s="205"/>
      <c r="L23" s="205"/>
      <c r="M23" s="205"/>
    </row>
    <row r="24" spans="1:17" ht="24" x14ac:dyDescent="0.2">
      <c r="A24" s="209" t="s">
        <v>214</v>
      </c>
      <c r="B24" s="204">
        <v>2</v>
      </c>
      <c r="C24" s="205">
        <v>0</v>
      </c>
      <c r="D24" s="205">
        <v>0</v>
      </c>
      <c r="E24" s="204">
        <v>1</v>
      </c>
      <c r="F24" s="204">
        <f>B24*E24</f>
        <v>2</v>
      </c>
      <c r="G24" s="206">
        <f>G11</f>
        <v>5707.83</v>
      </c>
      <c r="H24" s="224">
        <f t="shared" ref="H24:H25" si="4">ROUND(F24*G24, 2)</f>
        <v>11415.66</v>
      </c>
      <c r="I24" s="224">
        <f t="shared" ref="I24:I25" si="5">ROUND(H24*0.1, 2)</f>
        <v>1141.57</v>
      </c>
      <c r="J24" s="224">
        <f t="shared" ref="J24:J25" si="6">ROUND(H24*0.05, 2)</f>
        <v>570.78</v>
      </c>
      <c r="K24" s="225">
        <f>ROUND((H24*'Base Data'!$C$57)+(I24*'Base Data'!$C$58)+(J24*'Base Data'!$C$59), 2)</f>
        <v>1495359.92</v>
      </c>
      <c r="L24" s="205">
        <v>0</v>
      </c>
      <c r="M24" s="206">
        <v>0</v>
      </c>
    </row>
    <row r="25" spans="1:17" ht="12" x14ac:dyDescent="0.2">
      <c r="A25" s="209" t="s">
        <v>215</v>
      </c>
      <c r="B25" s="204">
        <v>0.5</v>
      </c>
      <c r="C25" s="205">
        <v>0</v>
      </c>
      <c r="D25" s="205">
        <v>0</v>
      </c>
      <c r="E25" s="204">
        <v>0.5</v>
      </c>
      <c r="F25" s="204">
        <f>B25*E25</f>
        <v>0.25</v>
      </c>
      <c r="G25" s="206">
        <f>G11</f>
        <v>5707.83</v>
      </c>
      <c r="H25" s="224">
        <f t="shared" si="4"/>
        <v>1426.96</v>
      </c>
      <c r="I25" s="224">
        <f t="shared" si="5"/>
        <v>142.69999999999999</v>
      </c>
      <c r="J25" s="223">
        <f t="shared" si="6"/>
        <v>71.349999999999994</v>
      </c>
      <c r="K25" s="225">
        <f>ROUND((H25*'Base Data'!$C$57)+(I25*'Base Data'!$C$58)+(J25*'Base Data'!$C$59), 2)</f>
        <v>186920.87</v>
      </c>
      <c r="L25" s="205">
        <v>0</v>
      </c>
      <c r="M25" s="206">
        <v>0</v>
      </c>
    </row>
    <row r="26" spans="1:17" ht="12" x14ac:dyDescent="0.2">
      <c r="A26" s="222" t="s">
        <v>199</v>
      </c>
      <c r="B26" s="204" t="s">
        <v>179</v>
      </c>
      <c r="C26" s="205"/>
      <c r="D26" s="205"/>
      <c r="E26" s="204"/>
      <c r="F26" s="204"/>
      <c r="G26" s="208"/>
      <c r="H26" s="230"/>
      <c r="I26" s="230"/>
      <c r="J26" s="230"/>
      <c r="K26" s="205"/>
      <c r="L26" s="205"/>
      <c r="M26" s="205"/>
    </row>
    <row r="27" spans="1:17" ht="12" x14ac:dyDescent="0.2">
      <c r="A27" s="222" t="s">
        <v>200</v>
      </c>
      <c r="B27" s="204" t="s">
        <v>179</v>
      </c>
      <c r="C27" s="205"/>
      <c r="D27" s="205"/>
      <c r="E27" s="204"/>
      <c r="F27" s="204"/>
      <c r="G27" s="206"/>
      <c r="H27" s="230"/>
      <c r="I27" s="230"/>
      <c r="J27" s="230"/>
      <c r="K27" s="205"/>
      <c r="L27" s="205"/>
      <c r="M27" s="205"/>
    </row>
    <row r="28" spans="1:17" s="105" customFormat="1" ht="12" x14ac:dyDescent="0.2">
      <c r="A28" s="218" t="s">
        <v>182</v>
      </c>
      <c r="B28" s="214"/>
      <c r="C28" s="215"/>
      <c r="D28" s="215"/>
      <c r="E28" s="214"/>
      <c r="F28" s="214"/>
      <c r="G28" s="216"/>
      <c r="H28" s="318">
        <f>SUM(H21:J27)</f>
        <v>14769.020000000002</v>
      </c>
      <c r="I28" s="319"/>
      <c r="J28" s="320"/>
      <c r="K28" s="215">
        <f t="shared" ref="K28:M28" si="7">SUM(K21:K27)</f>
        <v>1682280.79</v>
      </c>
      <c r="L28" s="215">
        <f t="shared" si="7"/>
        <v>0</v>
      </c>
      <c r="M28" s="216">
        <f t="shared" si="7"/>
        <v>0</v>
      </c>
    </row>
    <row r="29" spans="1:17" s="105" customFormat="1" ht="12" x14ac:dyDescent="0.2">
      <c r="A29" s="220" t="s">
        <v>290</v>
      </c>
      <c r="B29" s="214"/>
      <c r="C29" s="215"/>
      <c r="D29" s="215"/>
      <c r="E29" s="214"/>
      <c r="F29" s="214"/>
      <c r="G29" s="216"/>
      <c r="H29" s="318"/>
      <c r="I29" s="319"/>
      <c r="J29" s="320"/>
      <c r="K29" s="215">
        <f>(K18+K28)</f>
        <v>9100847.2800000012</v>
      </c>
      <c r="L29" s="215"/>
      <c r="M29" s="216"/>
    </row>
    <row r="30" spans="1:17" s="105" customFormat="1" ht="12" x14ac:dyDescent="0.2">
      <c r="A30" s="220" t="s">
        <v>291</v>
      </c>
      <c r="B30" s="214"/>
      <c r="C30" s="215"/>
      <c r="D30" s="215"/>
      <c r="E30" s="214"/>
      <c r="F30" s="214"/>
      <c r="G30" s="216"/>
      <c r="H30" s="318"/>
      <c r="I30" s="319"/>
      <c r="J30" s="320"/>
      <c r="K30" s="215"/>
      <c r="L30" s="215">
        <f>L18+L28</f>
        <v>6358522.6200000001</v>
      </c>
      <c r="M30" s="216"/>
    </row>
    <row r="31" spans="1:17" s="105" customFormat="1" ht="12" x14ac:dyDescent="0.2">
      <c r="A31" s="220" t="s">
        <v>292</v>
      </c>
      <c r="B31" s="214"/>
      <c r="C31" s="214"/>
      <c r="D31" s="215"/>
      <c r="E31" s="214"/>
      <c r="F31" s="214"/>
      <c r="G31" s="221"/>
      <c r="H31" s="318">
        <f>H18+H28</f>
        <v>79897.819999999992</v>
      </c>
      <c r="I31" s="319"/>
      <c r="J31" s="320"/>
      <c r="K31" s="215">
        <f>(K18+K28+L30)</f>
        <v>15459369.900000002</v>
      </c>
      <c r="L31" s="231"/>
      <c r="M31" s="216">
        <f>M18+M28</f>
        <v>2952.2550000000001</v>
      </c>
    </row>
    <row r="32" spans="1:17" x14ac:dyDescent="0.2">
      <c r="A32" s="101" t="s">
        <v>181</v>
      </c>
      <c r="H32" s="114"/>
      <c r="I32" s="103"/>
      <c r="J32" s="103"/>
      <c r="K32" s="103"/>
      <c r="L32" s="103"/>
      <c r="M32" s="104"/>
      <c r="N32" s="271" t="s">
        <v>263</v>
      </c>
      <c r="O32" s="272"/>
      <c r="P32" s="272"/>
      <c r="Q32" s="272"/>
    </row>
    <row r="33" spans="1:17" ht="21.75" customHeight="1" x14ac:dyDescent="0.2">
      <c r="A33" s="321" t="s">
        <v>308</v>
      </c>
      <c r="B33" s="321"/>
      <c r="C33" s="321"/>
      <c r="D33" s="321"/>
      <c r="E33" s="321"/>
      <c r="F33" s="321"/>
      <c r="G33" s="321"/>
      <c r="H33" s="321"/>
      <c r="I33" s="321"/>
      <c r="J33" s="321"/>
      <c r="K33" s="321"/>
      <c r="L33" s="321"/>
      <c r="M33" s="321"/>
      <c r="N33" s="271">
        <f>'Respondents&amp;Responses'!H17</f>
        <v>11317.34</v>
      </c>
      <c r="O33" s="271">
        <f>'Respondents&amp;Responses'!I17</f>
        <v>5658.67</v>
      </c>
      <c r="P33" s="271">
        <f>'Respondents&amp;Responses'!J17</f>
        <v>11415.68</v>
      </c>
      <c r="Q33" s="271">
        <f>'Respondents&amp;Responses'!K17</f>
        <v>5707.84</v>
      </c>
    </row>
    <row r="34" spans="1:17" ht="33.75" customHeight="1" x14ac:dyDescent="0.2">
      <c r="A34" s="304" t="s">
        <v>230</v>
      </c>
      <c r="B34" s="304"/>
      <c r="C34" s="304"/>
      <c r="D34" s="304"/>
      <c r="E34" s="304"/>
      <c r="F34" s="304"/>
      <c r="G34" s="304"/>
      <c r="H34" s="304"/>
      <c r="I34" s="304"/>
      <c r="J34" s="304"/>
      <c r="K34" s="304"/>
      <c r="L34" s="304"/>
      <c r="M34" s="304"/>
      <c r="N34" s="168"/>
    </row>
    <row r="35" spans="1:17" s="102" customFormat="1" x14ac:dyDescent="0.2">
      <c r="A35" s="102" t="s">
        <v>300</v>
      </c>
      <c r="O35" s="117"/>
    </row>
    <row r="36" spans="1:17" s="102" customFormat="1" x14ac:dyDescent="0.2">
      <c r="A36" s="102" t="s">
        <v>150</v>
      </c>
      <c r="O36" s="117"/>
    </row>
    <row r="37" spans="1:17" x14ac:dyDescent="0.2">
      <c r="G37" s="114"/>
      <c r="H37" s="103"/>
      <c r="I37" s="103"/>
      <c r="J37" s="103"/>
      <c r="K37" s="103"/>
      <c r="M37" s="104"/>
    </row>
    <row r="38" spans="1:17" x14ac:dyDescent="0.2">
      <c r="G38" s="114"/>
      <c r="H38" s="103"/>
      <c r="I38" s="103"/>
      <c r="J38" s="103"/>
      <c r="K38" s="103"/>
      <c r="M38" s="104"/>
    </row>
    <row r="39" spans="1:17" x14ac:dyDescent="0.2">
      <c r="G39" s="114"/>
      <c r="H39" s="103"/>
      <c r="I39" s="103"/>
      <c r="J39" s="103"/>
      <c r="K39" s="103"/>
      <c r="M39" s="104"/>
    </row>
    <row r="40" spans="1:17" x14ac:dyDescent="0.2">
      <c r="G40" s="114"/>
      <c r="H40" s="103"/>
      <c r="I40" s="103"/>
      <c r="J40" s="103"/>
      <c r="K40" s="103"/>
      <c r="M40" s="104"/>
    </row>
    <row r="41" spans="1:17" x14ac:dyDescent="0.2">
      <c r="G41" s="114"/>
      <c r="H41" s="103"/>
      <c r="I41" s="103"/>
      <c r="J41" s="103"/>
      <c r="K41" s="103"/>
      <c r="M41" s="104"/>
    </row>
    <row r="42" spans="1:17" x14ac:dyDescent="0.2">
      <c r="G42" s="114"/>
      <c r="H42" s="103"/>
      <c r="I42" s="103"/>
      <c r="J42" s="103"/>
      <c r="K42" s="103"/>
      <c r="M42" s="104"/>
    </row>
    <row r="43" spans="1:17" x14ac:dyDescent="0.2">
      <c r="G43" s="114"/>
      <c r="H43" s="103"/>
      <c r="I43" s="103"/>
      <c r="J43" s="103"/>
      <c r="K43" s="103"/>
      <c r="M43" s="104"/>
    </row>
    <row r="44" spans="1:17" x14ac:dyDescent="0.2">
      <c r="G44" s="114"/>
      <c r="H44" s="103"/>
      <c r="I44" s="103"/>
      <c r="J44" s="103"/>
      <c r="K44" s="103"/>
      <c r="M44" s="104"/>
    </row>
    <row r="45" spans="1:17" x14ac:dyDescent="0.2">
      <c r="G45" s="114"/>
      <c r="H45" s="103"/>
      <c r="I45" s="103"/>
      <c r="J45" s="103"/>
      <c r="K45" s="103"/>
      <c r="M45" s="104"/>
    </row>
  </sheetData>
  <mergeCells count="8">
    <mergeCell ref="A33:M33"/>
    <mergeCell ref="A3:A4"/>
    <mergeCell ref="A34:M34"/>
    <mergeCell ref="H18:J18"/>
    <mergeCell ref="H28:J28"/>
    <mergeCell ref="H31:J31"/>
    <mergeCell ref="H29:J29"/>
    <mergeCell ref="H30:J30"/>
  </mergeCells>
  <phoneticPr fontId="4" type="noConversion"/>
  <printOptions horizontalCentered="1"/>
  <pageMargins left="0.25" right="0.25" top="0.5" bottom="0.5" header="0.5" footer="0.5"/>
  <pageSetup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Q37"/>
  <sheetViews>
    <sheetView topLeftCell="A10" zoomScaleNormal="100" workbookViewId="0">
      <selection activeCell="E41" sqref="E41:E43"/>
    </sheetView>
  </sheetViews>
  <sheetFormatPr defaultColWidth="9.140625" defaultRowHeight="11.25" x14ac:dyDescent="0.2"/>
  <cols>
    <col min="1" max="1" width="37.85546875" style="101" customWidth="1"/>
    <col min="2" max="2" width="9.7109375" style="103" bestFit="1" customWidth="1"/>
    <col min="3" max="3" width="8.28515625" style="103" bestFit="1" customWidth="1"/>
    <col min="4" max="4" width="8.42578125" style="103" bestFit="1" customWidth="1"/>
    <col min="5" max="5" width="10.42578125" style="103" bestFit="1" customWidth="1"/>
    <col min="6" max="6" width="9.7109375" style="103" bestFit="1" customWidth="1"/>
    <col min="7" max="7" width="10.42578125" style="104" customWidth="1"/>
    <col min="8" max="8" width="8.7109375" style="104" bestFit="1" customWidth="1"/>
    <col min="9" max="9" width="8.5703125" style="104" bestFit="1" customWidth="1"/>
    <col min="10" max="10" width="11.42578125" style="104" customWidth="1"/>
    <col min="11" max="11" width="12.7109375" style="103" bestFit="1" customWidth="1"/>
    <col min="12" max="12" width="10" style="101" bestFit="1" customWidth="1"/>
    <col min="13" max="13" width="8.5703125" style="101" customWidth="1"/>
    <col min="14" max="16384" width="9.140625" style="101"/>
  </cols>
  <sheetData>
    <row r="1" spans="1:14" s="65" customFormat="1" ht="12.75" x14ac:dyDescent="0.2">
      <c r="A1" s="108" t="s">
        <v>84</v>
      </c>
      <c r="B1" s="108"/>
      <c r="C1" s="108"/>
      <c r="D1" s="108"/>
      <c r="E1" s="108"/>
      <c r="F1" s="108"/>
      <c r="G1" s="108"/>
      <c r="H1" s="108"/>
      <c r="I1" s="108"/>
      <c r="J1" s="108"/>
      <c r="K1" s="108"/>
      <c r="L1" s="108"/>
      <c r="M1" s="108"/>
    </row>
    <row r="2" spans="1:14" x14ac:dyDescent="0.2">
      <c r="A2" s="110"/>
      <c r="B2" s="110"/>
      <c r="C2" s="110"/>
      <c r="D2" s="110"/>
      <c r="E2" s="110"/>
      <c r="F2" s="110"/>
      <c r="G2" s="110"/>
      <c r="H2" s="110"/>
      <c r="I2" s="110"/>
      <c r="J2" s="110"/>
      <c r="K2" s="110"/>
      <c r="L2" s="110"/>
      <c r="M2" s="110"/>
      <c r="N2" s="110"/>
    </row>
    <row r="3" spans="1:14" ht="12" x14ac:dyDescent="0.2">
      <c r="A3" s="301" t="s">
        <v>21</v>
      </c>
      <c r="B3" s="187" t="s">
        <v>131</v>
      </c>
      <c r="C3" s="188"/>
      <c r="D3" s="189"/>
      <c r="E3" s="190" t="s">
        <v>132</v>
      </c>
      <c r="F3" s="191" t="s">
        <v>133</v>
      </c>
      <c r="G3" s="191" t="s">
        <v>134</v>
      </c>
      <c r="H3" s="191" t="s">
        <v>135</v>
      </c>
      <c r="I3" s="191" t="s">
        <v>136</v>
      </c>
      <c r="J3" s="191" t="s">
        <v>137</v>
      </c>
      <c r="K3" s="192" t="s">
        <v>138</v>
      </c>
      <c r="L3" s="193"/>
      <c r="M3" s="194"/>
    </row>
    <row r="4" spans="1:14" s="127" customFormat="1" ht="72" x14ac:dyDescent="0.2">
      <c r="A4" s="302"/>
      <c r="B4" s="195" t="s">
        <v>139</v>
      </c>
      <c r="C4" s="196" t="s">
        <v>149</v>
      </c>
      <c r="D4" s="197" t="s">
        <v>185</v>
      </c>
      <c r="E4" s="198" t="s">
        <v>148</v>
      </c>
      <c r="F4" s="199" t="s">
        <v>141</v>
      </c>
      <c r="G4" s="200" t="s">
        <v>232</v>
      </c>
      <c r="H4" s="200" t="s">
        <v>186</v>
      </c>
      <c r="I4" s="200" t="s">
        <v>187</v>
      </c>
      <c r="J4" s="200" t="s">
        <v>188</v>
      </c>
      <c r="K4" s="201" t="s">
        <v>233</v>
      </c>
      <c r="L4" s="202" t="s">
        <v>146</v>
      </c>
      <c r="M4" s="202" t="s">
        <v>147</v>
      </c>
    </row>
    <row r="5" spans="1:14" ht="12" x14ac:dyDescent="0.2">
      <c r="A5" s="203" t="s">
        <v>22</v>
      </c>
      <c r="B5" s="204" t="s">
        <v>179</v>
      </c>
      <c r="C5" s="205"/>
      <c r="D5" s="205"/>
      <c r="E5" s="204"/>
      <c r="F5" s="204"/>
      <c r="G5" s="206"/>
      <c r="H5" s="204"/>
      <c r="I5" s="204"/>
      <c r="J5" s="204"/>
      <c r="K5" s="205"/>
      <c r="L5" s="205"/>
      <c r="M5" s="206"/>
    </row>
    <row r="6" spans="1:14" ht="12" x14ac:dyDescent="0.2">
      <c r="A6" s="203" t="s">
        <v>23</v>
      </c>
      <c r="B6" s="204" t="s">
        <v>179</v>
      </c>
      <c r="C6" s="205"/>
      <c r="D6" s="205"/>
      <c r="E6" s="204"/>
      <c r="F6" s="204"/>
      <c r="G6" s="206"/>
      <c r="H6" s="204"/>
      <c r="I6" s="204"/>
      <c r="J6" s="204"/>
      <c r="K6" s="205"/>
      <c r="L6" s="205"/>
      <c r="M6" s="206"/>
    </row>
    <row r="7" spans="1:14" ht="12" x14ac:dyDescent="0.2">
      <c r="A7" s="203" t="s">
        <v>24</v>
      </c>
      <c r="B7" s="204"/>
      <c r="C7" s="205"/>
      <c r="D7" s="205"/>
      <c r="E7" s="204"/>
      <c r="F7" s="204"/>
      <c r="G7" s="206"/>
      <c r="H7" s="204"/>
      <c r="I7" s="204"/>
      <c r="J7" s="204"/>
      <c r="K7" s="205"/>
      <c r="L7" s="205"/>
      <c r="M7" s="206"/>
    </row>
    <row r="8" spans="1:14" ht="25.5" x14ac:dyDescent="0.2">
      <c r="A8" s="203" t="s">
        <v>296</v>
      </c>
      <c r="B8" s="204">
        <v>40</v>
      </c>
      <c r="C8" s="205">
        <v>0</v>
      </c>
      <c r="D8" s="205">
        <v>0</v>
      </c>
      <c r="E8" s="204">
        <v>1</v>
      </c>
      <c r="F8" s="204">
        <f>B8*E8</f>
        <v>40</v>
      </c>
      <c r="G8" s="207">
        <f>ROUND('Base Data'!M34, 2)</f>
        <v>989.5</v>
      </c>
      <c r="H8" s="208">
        <f>ROUND(F8*G8, 2)</f>
        <v>39580</v>
      </c>
      <c r="I8" s="208">
        <f>ROUND(H8*0.1, 2)</f>
        <v>3958</v>
      </c>
      <c r="J8" s="208">
        <f>ROUND(H8*0.05, 2)</f>
        <v>1979</v>
      </c>
      <c r="K8" s="205">
        <f>(H8*'Base Data'!$C$57)+(I8*'Base Data'!$C$58)+(J8*'Base Data'!$C$59)</f>
        <v>5184663.3599999994</v>
      </c>
      <c r="L8" s="205">
        <v>0</v>
      </c>
      <c r="M8" s="206">
        <v>0</v>
      </c>
    </row>
    <row r="9" spans="1:14" ht="24" x14ac:dyDescent="0.2">
      <c r="A9" s="203" t="s">
        <v>297</v>
      </c>
      <c r="B9" s="204">
        <v>1</v>
      </c>
      <c r="C9" s="205">
        <v>0</v>
      </c>
      <c r="D9" s="205">
        <v>0</v>
      </c>
      <c r="E9" s="204">
        <v>1</v>
      </c>
      <c r="F9" s="204">
        <f>B9*E9</f>
        <v>1</v>
      </c>
      <c r="G9" s="208">
        <f>'Respondents&amp;Responses'!C22</f>
        <v>86313.5</v>
      </c>
      <c r="H9" s="208">
        <f>ROUND(F9*G9, 2)</f>
        <v>86313.5</v>
      </c>
      <c r="I9" s="208">
        <f>ROUND(H9*0.1, 2)</f>
        <v>8631.35</v>
      </c>
      <c r="J9" s="208">
        <f>ROUND(H9*0.05, 2)</f>
        <v>4315.68</v>
      </c>
      <c r="K9" s="205">
        <f>(H9*'Base Data'!$C$57)+(I9*'Base Data'!$C$58)+(J9*'Base Data'!$C$59)</f>
        <v>11306378.729</v>
      </c>
      <c r="L9" s="205">
        <v>0</v>
      </c>
      <c r="M9" s="206">
        <v>0</v>
      </c>
    </row>
    <row r="10" spans="1:14" ht="12" x14ac:dyDescent="0.2">
      <c r="A10" s="203" t="s">
        <v>25</v>
      </c>
      <c r="B10" s="204"/>
      <c r="C10" s="205"/>
      <c r="D10" s="205"/>
      <c r="E10" s="204"/>
      <c r="F10" s="204"/>
      <c r="G10" s="206"/>
      <c r="H10" s="204"/>
      <c r="I10" s="204"/>
      <c r="J10" s="204"/>
      <c r="K10" s="205"/>
      <c r="L10" s="205"/>
      <c r="M10" s="206"/>
    </row>
    <row r="11" spans="1:14" ht="12" x14ac:dyDescent="0.2">
      <c r="A11" s="209" t="s">
        <v>213</v>
      </c>
      <c r="B11" s="204">
        <v>12</v>
      </c>
      <c r="C11" s="205">
        <v>2228</v>
      </c>
      <c r="D11" s="205">
        <v>0</v>
      </c>
      <c r="E11" s="204">
        <v>0.5</v>
      </c>
      <c r="F11" s="204">
        <f>B11*E11</f>
        <v>6</v>
      </c>
      <c r="G11" s="206">
        <f>ROUND('Base Data'!N9 + 2/3*('Base Data'!L34), 2)</f>
        <v>87303</v>
      </c>
      <c r="H11" s="208">
        <f>ROUND(F11*G11, 2)</f>
        <v>523818</v>
      </c>
      <c r="I11" s="207">
        <f>ROUND(H11*0.1, 2)</f>
        <v>52381.8</v>
      </c>
      <c r="J11" s="211">
        <f>ROUND(H11*0.05, 2)</f>
        <v>26190.9</v>
      </c>
      <c r="K11" s="205">
        <f>(H11*'Base Data'!$C$57)+(I11*'Base Data'!$C$58)+(J11*'Base Data'!$C$59)</f>
        <v>68615967.456</v>
      </c>
      <c r="L11" s="205">
        <f>C11*E11*G11</f>
        <v>97255542</v>
      </c>
      <c r="M11" s="206">
        <v>0</v>
      </c>
    </row>
    <row r="12" spans="1:14" ht="12" x14ac:dyDescent="0.2">
      <c r="A12" s="203" t="s">
        <v>26</v>
      </c>
      <c r="B12" s="204" t="s">
        <v>179</v>
      </c>
      <c r="C12" s="205"/>
      <c r="D12" s="205"/>
      <c r="E12" s="204"/>
      <c r="F12" s="204"/>
      <c r="G12" s="206"/>
      <c r="H12" s="204"/>
      <c r="I12" s="204"/>
      <c r="J12" s="204"/>
      <c r="K12" s="205"/>
      <c r="L12" s="205"/>
      <c r="M12" s="206"/>
    </row>
    <row r="13" spans="1:14" ht="12" x14ac:dyDescent="0.2">
      <c r="A13" s="203" t="s">
        <v>27</v>
      </c>
      <c r="B13" s="204" t="s">
        <v>179</v>
      </c>
      <c r="C13" s="205"/>
      <c r="D13" s="205"/>
      <c r="E13" s="204"/>
      <c r="F13" s="204"/>
      <c r="G13" s="206"/>
      <c r="H13" s="204"/>
      <c r="I13" s="204"/>
      <c r="J13" s="204"/>
      <c r="K13" s="205"/>
      <c r="L13" s="205"/>
      <c r="M13" s="206"/>
    </row>
    <row r="14" spans="1:14" ht="12" x14ac:dyDescent="0.2">
      <c r="A14" s="203" t="s">
        <v>28</v>
      </c>
      <c r="B14" s="204"/>
      <c r="C14" s="205"/>
      <c r="D14" s="205"/>
      <c r="E14" s="204"/>
      <c r="F14" s="204"/>
      <c r="G14" s="206"/>
      <c r="H14" s="204"/>
      <c r="I14" s="204"/>
      <c r="J14" s="204"/>
      <c r="K14" s="205"/>
      <c r="L14" s="205"/>
      <c r="M14" s="206"/>
    </row>
    <row r="15" spans="1:14" ht="12" x14ac:dyDescent="0.2">
      <c r="A15" s="209" t="s">
        <v>201</v>
      </c>
      <c r="B15" s="204">
        <v>2</v>
      </c>
      <c r="C15" s="205">
        <v>0</v>
      </c>
      <c r="D15" s="205">
        <v>0</v>
      </c>
      <c r="E15" s="204">
        <v>1</v>
      </c>
      <c r="F15" s="204">
        <f>B15*E15</f>
        <v>2</v>
      </c>
      <c r="G15" s="207">
        <f>G8</f>
        <v>989.5</v>
      </c>
      <c r="H15" s="208">
        <f t="shared" ref="H15:H17" si="0">ROUND(F15*G15, 2)</f>
        <v>1979</v>
      </c>
      <c r="I15" s="207">
        <f t="shared" ref="I15:I17" si="1">ROUND(H15*0.1, 2)</f>
        <v>197.9</v>
      </c>
      <c r="J15" s="211">
        <f t="shared" ref="J15:J17" si="2">ROUND(H15*0.05, 2)</f>
        <v>98.95</v>
      </c>
      <c r="K15" s="205">
        <f>(H15*'Base Data'!$C$57)+(I15*'Base Data'!$C$58)+(J15*'Base Data'!$C$59)</f>
        <v>259233.16800000001</v>
      </c>
      <c r="L15" s="205">
        <v>0</v>
      </c>
      <c r="M15" s="210">
        <f>E15*G15</f>
        <v>989.5</v>
      </c>
    </row>
    <row r="16" spans="1:14" ht="12" x14ac:dyDescent="0.2">
      <c r="A16" s="209" t="s">
        <v>202</v>
      </c>
      <c r="B16" s="204">
        <v>8</v>
      </c>
      <c r="C16" s="205">
        <v>0</v>
      </c>
      <c r="D16" s="205">
        <v>0</v>
      </c>
      <c r="E16" s="204">
        <v>1</v>
      </c>
      <c r="F16" s="204">
        <f>B16*E16</f>
        <v>8</v>
      </c>
      <c r="G16" s="210">
        <f>G8</f>
        <v>989.5</v>
      </c>
      <c r="H16" s="208">
        <f t="shared" si="0"/>
        <v>7916</v>
      </c>
      <c r="I16" s="207">
        <f t="shared" si="1"/>
        <v>791.6</v>
      </c>
      <c r="J16" s="207">
        <f t="shared" si="2"/>
        <v>395.8</v>
      </c>
      <c r="K16" s="205">
        <f>(H16*'Base Data'!$C$57)+(I16*'Base Data'!$C$58)+(J16*'Base Data'!$C$59)</f>
        <v>1036932.672</v>
      </c>
      <c r="L16" s="205">
        <v>0</v>
      </c>
      <c r="M16" s="210">
        <f>E16*G16</f>
        <v>989.5</v>
      </c>
    </row>
    <row r="17" spans="1:17" ht="12" x14ac:dyDescent="0.2">
      <c r="A17" s="209" t="s">
        <v>212</v>
      </c>
      <c r="B17" s="204">
        <v>5</v>
      </c>
      <c r="C17" s="205">
        <v>0</v>
      </c>
      <c r="D17" s="205">
        <v>0</v>
      </c>
      <c r="E17" s="204">
        <v>0.5</v>
      </c>
      <c r="F17" s="204">
        <f>B17*E17</f>
        <v>2.5</v>
      </c>
      <c r="G17" s="206">
        <f>G11</f>
        <v>87303</v>
      </c>
      <c r="H17" s="211">
        <f t="shared" si="0"/>
        <v>218257.5</v>
      </c>
      <c r="I17" s="211">
        <f t="shared" si="1"/>
        <v>21825.75</v>
      </c>
      <c r="J17" s="211">
        <f t="shared" si="2"/>
        <v>10912.88</v>
      </c>
      <c r="K17" s="205">
        <f>(H17*'Base Data'!$C$57)+(I17*'Base Data'!$C$58)+(J17*'Base Data'!$C$59)</f>
        <v>28589987.176999997</v>
      </c>
      <c r="L17" s="205">
        <v>0</v>
      </c>
      <c r="M17" s="212">
        <f>E17*G17</f>
        <v>43651.5</v>
      </c>
    </row>
    <row r="18" spans="1:17" s="105" customFormat="1" ht="12" x14ac:dyDescent="0.2">
      <c r="A18" s="213" t="s">
        <v>183</v>
      </c>
      <c r="B18" s="214"/>
      <c r="C18" s="215"/>
      <c r="D18" s="215"/>
      <c r="E18" s="214"/>
      <c r="F18" s="214"/>
      <c r="G18" s="216"/>
      <c r="H18" s="325">
        <f>SUM(H5:J17)</f>
        <v>1009543.6100000001</v>
      </c>
      <c r="I18" s="326"/>
      <c r="J18" s="327"/>
      <c r="K18" s="215">
        <f>SUM(K5:K17)</f>
        <v>114993162.56200001</v>
      </c>
      <c r="L18" s="215">
        <f>SUM(L5:L17)</f>
        <v>97255542</v>
      </c>
      <c r="M18" s="217">
        <f t="shared" ref="M18" si="3">SUM(M5:M17)</f>
        <v>45630.5</v>
      </c>
    </row>
    <row r="19" spans="1:17" ht="12" x14ac:dyDescent="0.2">
      <c r="A19" s="203" t="s">
        <v>33</v>
      </c>
      <c r="B19" s="204"/>
      <c r="C19" s="205"/>
      <c r="D19" s="205"/>
      <c r="E19" s="204"/>
      <c r="F19" s="204"/>
      <c r="G19" s="206"/>
      <c r="H19" s="204"/>
      <c r="I19" s="204"/>
      <c r="J19" s="204"/>
      <c r="K19" s="205"/>
      <c r="L19" s="205"/>
      <c r="M19" s="206"/>
    </row>
    <row r="20" spans="1:17" ht="12" x14ac:dyDescent="0.2">
      <c r="A20" s="222" t="s">
        <v>299</v>
      </c>
      <c r="B20" s="204" t="s">
        <v>180</v>
      </c>
      <c r="C20" s="205"/>
      <c r="D20" s="205"/>
      <c r="E20" s="204"/>
      <c r="F20" s="204"/>
      <c r="G20" s="206"/>
      <c r="H20" s="204"/>
      <c r="I20" s="204"/>
      <c r="J20" s="204"/>
      <c r="K20" s="205"/>
      <c r="L20" s="205"/>
      <c r="M20" s="206"/>
    </row>
    <row r="21" spans="1:17" ht="12" x14ac:dyDescent="0.2">
      <c r="A21" s="203" t="s">
        <v>29</v>
      </c>
      <c r="B21" s="204" t="s">
        <v>179</v>
      </c>
      <c r="C21" s="205"/>
      <c r="D21" s="205"/>
      <c r="E21" s="204"/>
      <c r="F21" s="204"/>
      <c r="G21" s="206"/>
      <c r="H21" s="204"/>
      <c r="I21" s="204"/>
      <c r="J21" s="204"/>
      <c r="K21" s="205"/>
      <c r="L21" s="205"/>
      <c r="M21" s="206"/>
    </row>
    <row r="22" spans="1:17" ht="13.5" x14ac:dyDescent="0.2">
      <c r="A22" s="203" t="s">
        <v>234</v>
      </c>
      <c r="B22" s="204" t="s">
        <v>179</v>
      </c>
      <c r="C22" s="205"/>
      <c r="D22" s="205"/>
      <c r="E22" s="204"/>
      <c r="F22" s="204"/>
      <c r="G22" s="206"/>
      <c r="H22" s="204"/>
      <c r="I22" s="204"/>
      <c r="J22" s="204"/>
      <c r="K22" s="205"/>
      <c r="L22" s="205"/>
      <c r="M22" s="206"/>
    </row>
    <row r="23" spans="1:17" ht="12" x14ac:dyDescent="0.2">
      <c r="A23" s="203" t="s">
        <v>30</v>
      </c>
      <c r="B23" s="204"/>
      <c r="C23" s="205"/>
      <c r="D23" s="205"/>
      <c r="E23" s="204"/>
      <c r="F23" s="204"/>
      <c r="G23" s="206"/>
      <c r="H23" s="204"/>
      <c r="I23" s="204"/>
      <c r="J23" s="204"/>
      <c r="K23" s="205"/>
      <c r="L23" s="205"/>
      <c r="M23" s="206"/>
    </row>
    <row r="24" spans="1:17" ht="24" x14ac:dyDescent="0.2">
      <c r="A24" s="209" t="s">
        <v>216</v>
      </c>
      <c r="B24" s="204">
        <v>2</v>
      </c>
      <c r="C24" s="205">
        <v>0</v>
      </c>
      <c r="D24" s="205">
        <v>0</v>
      </c>
      <c r="E24" s="204">
        <v>1</v>
      </c>
      <c r="F24" s="204">
        <f>B24*E24</f>
        <v>2</v>
      </c>
      <c r="G24" s="206">
        <f>G11</f>
        <v>87303</v>
      </c>
      <c r="H24" s="208">
        <f t="shared" ref="H24:H25" si="4">ROUND(F24*G24, 2)</f>
        <v>174606</v>
      </c>
      <c r="I24" s="207">
        <f t="shared" ref="I24:I25" si="5">ROUND(H24*0.1, 2)</f>
        <v>17460.599999999999</v>
      </c>
      <c r="J24" s="211">
        <f t="shared" ref="J24:J25" si="6">ROUND(H24*0.05, 2)</f>
        <v>8730.2999999999993</v>
      </c>
      <c r="K24" s="205">
        <f>(H24*'Base Data'!$C$57)+(I24*'Base Data'!$C$58)+(J24*'Base Data'!$C$59)</f>
        <v>22871989.151999999</v>
      </c>
      <c r="L24" s="205">
        <v>0</v>
      </c>
      <c r="M24" s="206">
        <v>0</v>
      </c>
    </row>
    <row r="25" spans="1:17" ht="12" x14ac:dyDescent="0.2">
      <c r="A25" s="209" t="s">
        <v>217</v>
      </c>
      <c r="B25" s="204">
        <v>0.5</v>
      </c>
      <c r="C25" s="205">
        <v>0</v>
      </c>
      <c r="D25" s="205">
        <v>0</v>
      </c>
      <c r="E25" s="204">
        <v>0.5</v>
      </c>
      <c r="F25" s="204">
        <f>B25*E25</f>
        <v>0.25</v>
      </c>
      <c r="G25" s="206">
        <f>G11</f>
        <v>87303</v>
      </c>
      <c r="H25" s="211">
        <f t="shared" si="4"/>
        <v>21825.75</v>
      </c>
      <c r="I25" s="211">
        <f t="shared" si="5"/>
        <v>2182.58</v>
      </c>
      <c r="J25" s="211">
        <f t="shared" si="6"/>
        <v>1091.29</v>
      </c>
      <c r="K25" s="205">
        <f>(H25*'Base Data'!$C$57)+(I25*'Base Data'!$C$58)+(J25*'Base Data'!$C$59)</f>
        <v>2858999.2976000002</v>
      </c>
      <c r="L25" s="205">
        <v>0</v>
      </c>
      <c r="M25" s="206">
        <v>0</v>
      </c>
    </row>
    <row r="26" spans="1:17" ht="12" x14ac:dyDescent="0.2">
      <c r="A26" s="203" t="s">
        <v>31</v>
      </c>
      <c r="B26" s="204" t="s">
        <v>179</v>
      </c>
      <c r="C26" s="205"/>
      <c r="D26" s="205"/>
      <c r="E26" s="204"/>
      <c r="F26" s="204"/>
      <c r="G26" s="206"/>
      <c r="H26" s="204"/>
      <c r="I26" s="204"/>
      <c r="J26" s="204"/>
      <c r="K26" s="205"/>
      <c r="L26" s="205"/>
      <c r="M26" s="206"/>
    </row>
    <row r="27" spans="1:17" ht="12" x14ac:dyDescent="0.2">
      <c r="A27" s="203" t="s">
        <v>32</v>
      </c>
      <c r="B27" s="204" t="s">
        <v>179</v>
      </c>
      <c r="C27" s="205"/>
      <c r="D27" s="205"/>
      <c r="E27" s="204"/>
      <c r="F27" s="204"/>
      <c r="G27" s="206"/>
      <c r="H27" s="204"/>
      <c r="I27" s="204"/>
      <c r="J27" s="204"/>
      <c r="K27" s="205"/>
      <c r="L27" s="205"/>
      <c r="M27" s="206"/>
    </row>
    <row r="28" spans="1:17" s="105" customFormat="1" ht="12" x14ac:dyDescent="0.2">
      <c r="A28" s="218" t="s">
        <v>182</v>
      </c>
      <c r="B28" s="214"/>
      <c r="C28" s="215"/>
      <c r="D28" s="215"/>
      <c r="E28" s="214"/>
      <c r="F28" s="214"/>
      <c r="G28" s="216"/>
      <c r="H28" s="318">
        <f>SUM(H20:J27)</f>
        <v>225896.52</v>
      </c>
      <c r="I28" s="319"/>
      <c r="J28" s="320"/>
      <c r="K28" s="215">
        <f>SUM(K20:K27)</f>
        <v>25730988.4496</v>
      </c>
      <c r="L28" s="215">
        <f>SUM(L20:L27)</f>
        <v>0</v>
      </c>
      <c r="M28" s="216">
        <f>SUM(M20:M27)</f>
        <v>0</v>
      </c>
    </row>
    <row r="29" spans="1:17" s="105" customFormat="1" ht="12" x14ac:dyDescent="0.2">
      <c r="A29" s="219" t="s">
        <v>290</v>
      </c>
      <c r="B29" s="214"/>
      <c r="C29" s="215"/>
      <c r="D29" s="215"/>
      <c r="E29" s="214"/>
      <c r="F29" s="214"/>
      <c r="G29" s="216"/>
      <c r="H29" s="318"/>
      <c r="I29" s="319"/>
      <c r="J29" s="320"/>
      <c r="K29" s="215">
        <f>K18+K28</f>
        <v>140724151.01160002</v>
      </c>
      <c r="L29" s="215"/>
      <c r="M29" s="216"/>
    </row>
    <row r="30" spans="1:17" s="105" customFormat="1" ht="12" x14ac:dyDescent="0.2">
      <c r="A30" s="220" t="s">
        <v>294</v>
      </c>
      <c r="B30" s="214"/>
      <c r="C30" s="215"/>
      <c r="D30" s="215"/>
      <c r="E30" s="214"/>
      <c r="F30" s="214"/>
      <c r="G30" s="216"/>
      <c r="H30" s="318"/>
      <c r="I30" s="319"/>
      <c r="J30" s="320"/>
      <c r="K30" s="215"/>
      <c r="L30" s="215">
        <f>SUM(L18,L28)</f>
        <v>97255542</v>
      </c>
      <c r="M30" s="216"/>
    </row>
    <row r="31" spans="1:17" ht="12" x14ac:dyDescent="0.2">
      <c r="A31" s="220" t="s">
        <v>292</v>
      </c>
      <c r="B31" s="214"/>
      <c r="C31" s="214"/>
      <c r="D31" s="214"/>
      <c r="E31" s="214"/>
      <c r="F31" s="214"/>
      <c r="G31" s="221"/>
      <c r="H31" s="318">
        <f>SUM(H18,H28)</f>
        <v>1235440.1300000001</v>
      </c>
      <c r="I31" s="319"/>
      <c r="J31" s="320"/>
      <c r="K31" s="215">
        <f>(SUM(K18,K28,L30))</f>
        <v>237979693.01160002</v>
      </c>
      <c r="L31" s="222"/>
      <c r="M31" s="216">
        <f t="shared" ref="M31" si="7">SUM(M18,M28)</f>
        <v>45630.5</v>
      </c>
    </row>
    <row r="32" spans="1:17" x14ac:dyDescent="0.2">
      <c r="A32" s="101" t="s">
        <v>181</v>
      </c>
      <c r="G32" s="103"/>
      <c r="H32" s="114"/>
      <c r="I32" s="103"/>
      <c r="J32" s="103"/>
      <c r="L32" s="103"/>
      <c r="M32" s="104"/>
      <c r="N32" s="272" t="s">
        <v>263</v>
      </c>
      <c r="O32" s="272"/>
      <c r="P32" s="272"/>
      <c r="Q32" s="272"/>
    </row>
    <row r="33" spans="1:17" ht="22.5" customHeight="1" x14ac:dyDescent="0.2">
      <c r="A33" s="321" t="s">
        <v>309</v>
      </c>
      <c r="B33" s="321"/>
      <c r="C33" s="321"/>
      <c r="D33" s="321"/>
      <c r="E33" s="321"/>
      <c r="F33" s="321"/>
      <c r="G33" s="321"/>
      <c r="H33" s="321"/>
      <c r="I33" s="321"/>
      <c r="J33" s="321"/>
      <c r="K33" s="321"/>
      <c r="L33" s="321"/>
      <c r="M33" s="321"/>
      <c r="N33" s="272">
        <f>'Respondents&amp;Responses'!H22</f>
        <v>172627</v>
      </c>
      <c r="O33" s="272">
        <f>'Respondents&amp;Responses'!I22</f>
        <v>86313.5</v>
      </c>
      <c r="P33" s="272">
        <f>'Respondents&amp;Responses'!J22</f>
        <v>174606</v>
      </c>
      <c r="Q33" s="272">
        <f>'Respondents&amp;Responses'!K22</f>
        <v>87303</v>
      </c>
    </row>
    <row r="34" spans="1:17" ht="37.5" customHeight="1" x14ac:dyDescent="0.2">
      <c r="A34" s="304" t="s">
        <v>230</v>
      </c>
      <c r="B34" s="304"/>
      <c r="C34" s="304"/>
      <c r="D34" s="304"/>
      <c r="E34" s="304"/>
      <c r="F34" s="304"/>
      <c r="G34" s="304"/>
      <c r="H34" s="304"/>
      <c r="I34" s="304"/>
      <c r="J34" s="304"/>
      <c r="K34" s="304"/>
      <c r="L34" s="304"/>
      <c r="M34" s="304"/>
      <c r="N34" s="127"/>
      <c r="O34" s="167"/>
    </row>
    <row r="35" spans="1:17" s="102" customFormat="1" x14ac:dyDescent="0.2">
      <c r="A35" s="102" t="s">
        <v>300</v>
      </c>
      <c r="O35" s="117"/>
    </row>
    <row r="36" spans="1:17" s="102" customFormat="1" x14ac:dyDescent="0.2">
      <c r="A36" s="102" t="s">
        <v>150</v>
      </c>
      <c r="O36" s="117"/>
    </row>
    <row r="37" spans="1:17" ht="11.25" customHeight="1" x14ac:dyDescent="0.2">
      <c r="B37" s="101"/>
      <c r="C37" s="101"/>
      <c r="D37" s="101"/>
      <c r="E37" s="101"/>
      <c r="F37" s="101"/>
      <c r="G37" s="101"/>
      <c r="H37" s="101"/>
      <c r="I37" s="101"/>
      <c r="J37" s="101"/>
      <c r="K37" s="101"/>
    </row>
  </sheetData>
  <mergeCells count="8">
    <mergeCell ref="A34:M34"/>
    <mergeCell ref="A33:M33"/>
    <mergeCell ref="A3:A4"/>
    <mergeCell ref="H18:J18"/>
    <mergeCell ref="H28:J28"/>
    <mergeCell ref="H31:J31"/>
    <mergeCell ref="H29:J29"/>
    <mergeCell ref="H30:J30"/>
  </mergeCells>
  <phoneticPr fontId="4" type="noConversion"/>
  <printOptions horizontalCentered="1"/>
  <pageMargins left="0.25" right="0.25" top="0.5" bottom="0.5" header="0.5" footer="0.5"/>
  <pageSetup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3"/>
  <sheetViews>
    <sheetView topLeftCell="A34" workbookViewId="0">
      <selection activeCell="K30" sqref="K30"/>
    </sheetView>
  </sheetViews>
  <sheetFormatPr defaultColWidth="9.140625" defaultRowHeight="12.75" x14ac:dyDescent="0.2"/>
  <cols>
    <col min="1" max="1" width="20.7109375" style="10" customWidth="1"/>
    <col min="2" max="2" width="16.5703125" style="10" customWidth="1"/>
    <col min="3" max="3" width="12" style="10" customWidth="1"/>
    <col min="4" max="4" width="13.85546875" style="10" bestFit="1" customWidth="1"/>
    <col min="5" max="5" width="12" style="10" bestFit="1" customWidth="1"/>
    <col min="6" max="6" width="11.7109375" style="10" bestFit="1" customWidth="1"/>
    <col min="7" max="9" width="9.140625" style="10"/>
    <col min="10" max="10" width="10.5703125" style="10" bestFit="1" customWidth="1"/>
    <col min="11" max="16384" width="9.140625" style="10"/>
  </cols>
  <sheetData>
    <row r="1" spans="1:12" ht="18.75" customHeight="1" x14ac:dyDescent="0.2">
      <c r="A1" s="328" t="s">
        <v>119</v>
      </c>
      <c r="B1" s="329"/>
      <c r="C1" s="329"/>
      <c r="D1" s="329"/>
      <c r="E1" s="329"/>
      <c r="F1" s="330"/>
    </row>
    <row r="2" spans="1:12" ht="51" x14ac:dyDescent="0.2">
      <c r="A2" s="137"/>
      <c r="B2" s="339" t="s">
        <v>112</v>
      </c>
      <c r="C2" s="340"/>
      <c r="D2" s="138" t="s">
        <v>113</v>
      </c>
      <c r="E2" s="339"/>
      <c r="F2" s="340"/>
    </row>
    <row r="3" spans="1:12" x14ac:dyDescent="0.2">
      <c r="A3" s="26" t="s">
        <v>114</v>
      </c>
      <c r="B3" s="26" t="s">
        <v>7</v>
      </c>
      <c r="C3" s="26" t="s">
        <v>8</v>
      </c>
      <c r="D3" s="26" t="s">
        <v>9</v>
      </c>
      <c r="E3" s="26" t="s">
        <v>10</v>
      </c>
      <c r="F3" s="26" t="s">
        <v>11</v>
      </c>
    </row>
    <row r="4" spans="1:12" ht="89.25" x14ac:dyDescent="0.2">
      <c r="A4" s="27"/>
      <c r="B4" s="28" t="s">
        <v>115</v>
      </c>
      <c r="C4" s="28" t="s">
        <v>116</v>
      </c>
      <c r="D4" s="28" t="s">
        <v>117</v>
      </c>
      <c r="E4" s="28" t="s">
        <v>118</v>
      </c>
      <c r="F4" s="28" t="s">
        <v>121</v>
      </c>
    </row>
    <row r="5" spans="1:12" ht="13.5" customHeight="1" x14ac:dyDescent="0.2">
      <c r="A5" s="336" t="s">
        <v>95</v>
      </c>
      <c r="B5" s="337"/>
      <c r="C5" s="337"/>
      <c r="D5" s="337"/>
      <c r="E5" s="337"/>
      <c r="F5" s="338"/>
    </row>
    <row r="6" spans="1:12" x14ac:dyDescent="0.2">
      <c r="A6" s="139">
        <v>1</v>
      </c>
      <c r="B6" s="140">
        <f>'Base Data'!M33</f>
        <v>10</v>
      </c>
      <c r="C6" s="141">
        <f>'Base Data'!N8</f>
        <v>2079.5</v>
      </c>
      <c r="D6" s="139">
        <v>0</v>
      </c>
      <c r="E6" s="139">
        <v>0</v>
      </c>
      <c r="F6" s="141">
        <f>B6+C6+D6-E6</f>
        <v>2089.5</v>
      </c>
      <c r="G6" s="274"/>
      <c r="H6" s="274" t="s">
        <v>301</v>
      </c>
      <c r="I6" s="274"/>
      <c r="J6" s="274"/>
      <c r="K6" s="274"/>
      <c r="L6" s="274"/>
    </row>
    <row r="7" spans="1:12" x14ac:dyDescent="0.2">
      <c r="A7" s="139">
        <v>2</v>
      </c>
      <c r="B7" s="140">
        <f>B6</f>
        <v>10</v>
      </c>
      <c r="C7" s="141">
        <f>F6</f>
        <v>2089.5</v>
      </c>
      <c r="D7" s="139">
        <v>0</v>
      </c>
      <c r="E7" s="139">
        <v>0</v>
      </c>
      <c r="F7" s="141">
        <f t="shared" ref="F7:F8" si="0">B7+C7+D7-E7</f>
        <v>2099.5</v>
      </c>
      <c r="G7" s="274"/>
      <c r="H7" s="274">
        <f>C7*2</f>
        <v>4179</v>
      </c>
      <c r="I7" s="275">
        <f>C7</f>
        <v>2089.5</v>
      </c>
      <c r="J7" s="274">
        <f>F7*2</f>
        <v>4199</v>
      </c>
      <c r="K7" s="275">
        <f>F7</f>
        <v>2099.5</v>
      </c>
      <c r="L7" s="274"/>
    </row>
    <row r="8" spans="1:12" x14ac:dyDescent="0.2">
      <c r="A8" s="139">
        <v>3</v>
      </c>
      <c r="B8" s="140">
        <f>B7</f>
        <v>10</v>
      </c>
      <c r="C8" s="141">
        <f>F7</f>
        <v>2099.5</v>
      </c>
      <c r="D8" s="139">
        <v>0</v>
      </c>
      <c r="E8" s="139">
        <v>0</v>
      </c>
      <c r="F8" s="141">
        <f t="shared" si="0"/>
        <v>2109.5</v>
      </c>
      <c r="G8" s="274"/>
      <c r="H8" s="274"/>
      <c r="I8" s="274"/>
      <c r="J8" s="274"/>
      <c r="K8" s="274"/>
      <c r="L8" s="274"/>
    </row>
    <row r="9" spans="1:12" x14ac:dyDescent="0.2">
      <c r="A9" s="142" t="s">
        <v>120</v>
      </c>
      <c r="B9" s="143">
        <f>AVERAGE(B6:B8)</f>
        <v>10</v>
      </c>
      <c r="C9" s="143">
        <f t="shared" ref="C9:F9" si="1">AVERAGE(C6:C8)</f>
        <v>2089.5</v>
      </c>
      <c r="D9" s="143">
        <f t="shared" si="1"/>
        <v>0</v>
      </c>
      <c r="E9" s="143">
        <f t="shared" si="1"/>
        <v>0</v>
      </c>
      <c r="F9" s="143">
        <f t="shared" si="1"/>
        <v>2099.5</v>
      </c>
      <c r="G9" s="274"/>
      <c r="H9" s="274"/>
      <c r="I9" s="274"/>
      <c r="J9" s="274"/>
      <c r="K9" s="274"/>
      <c r="L9" s="274"/>
    </row>
    <row r="10" spans="1:12" x14ac:dyDescent="0.2">
      <c r="A10" s="336" t="s">
        <v>96</v>
      </c>
      <c r="B10" s="337"/>
      <c r="C10" s="337"/>
      <c r="D10" s="337"/>
      <c r="E10" s="337"/>
      <c r="F10" s="338"/>
      <c r="G10" s="274"/>
      <c r="H10" s="274"/>
      <c r="I10" s="274"/>
      <c r="J10" s="274"/>
      <c r="K10" s="274"/>
      <c r="L10" s="274"/>
    </row>
    <row r="11" spans="1:12" x14ac:dyDescent="0.2">
      <c r="A11" s="139">
        <v>1</v>
      </c>
      <c r="B11" s="144">
        <f>ROUND('Base Data'!M35, 2)</f>
        <v>81.17</v>
      </c>
      <c r="C11" s="144">
        <f>'Base Data'!N10</f>
        <v>5101.5</v>
      </c>
      <c r="D11" s="139">
        <v>0</v>
      </c>
      <c r="E11" s="139">
        <v>0</v>
      </c>
      <c r="F11" s="144">
        <f>B11+C11+D11-E11</f>
        <v>5182.67</v>
      </c>
      <c r="G11" s="274"/>
      <c r="H11" s="274"/>
      <c r="I11" s="274"/>
      <c r="J11" s="274"/>
      <c r="K11" s="274"/>
      <c r="L11" s="274"/>
    </row>
    <row r="12" spans="1:12" x14ac:dyDescent="0.2">
      <c r="A12" s="139">
        <v>2</v>
      </c>
      <c r="B12" s="144">
        <f>B11</f>
        <v>81.17</v>
      </c>
      <c r="C12" s="144">
        <f>F11</f>
        <v>5182.67</v>
      </c>
      <c r="D12" s="139">
        <v>0</v>
      </c>
      <c r="E12" s="139">
        <v>0</v>
      </c>
      <c r="F12" s="144">
        <f t="shared" ref="F12:F13" si="2">B12+C12+D12-E12</f>
        <v>5263.84</v>
      </c>
      <c r="G12" s="274"/>
      <c r="H12" s="276">
        <f>C12*2</f>
        <v>10365.34</v>
      </c>
      <c r="I12" s="277">
        <f>C12</f>
        <v>5182.67</v>
      </c>
      <c r="J12" s="276">
        <f>F12*2</f>
        <v>10527.68</v>
      </c>
      <c r="K12" s="276">
        <f>F12</f>
        <v>5263.84</v>
      </c>
      <c r="L12" s="274"/>
    </row>
    <row r="13" spans="1:12" x14ac:dyDescent="0.2">
      <c r="A13" s="139">
        <v>3</v>
      </c>
      <c r="B13" s="144">
        <f>B11</f>
        <v>81.17</v>
      </c>
      <c r="C13" s="144">
        <f>F12</f>
        <v>5263.84</v>
      </c>
      <c r="D13" s="139">
        <v>0</v>
      </c>
      <c r="E13" s="139">
        <v>0</v>
      </c>
      <c r="F13" s="144">
        <f t="shared" si="2"/>
        <v>5345.01</v>
      </c>
      <c r="G13" s="274"/>
      <c r="H13" s="274"/>
      <c r="I13" s="277"/>
      <c r="J13" s="276"/>
      <c r="K13" s="276"/>
      <c r="L13" s="274"/>
    </row>
    <row r="14" spans="1:12" x14ac:dyDescent="0.2">
      <c r="A14" s="142" t="s">
        <v>120</v>
      </c>
      <c r="B14" s="143">
        <f>AVERAGE(B11:B13)</f>
        <v>81.17</v>
      </c>
      <c r="C14" s="143">
        <f t="shared" ref="C14" si="3">AVERAGE(C11:C13)</f>
        <v>5182.67</v>
      </c>
      <c r="D14" s="143">
        <f t="shared" ref="D14" si="4">AVERAGE(D11:D13)</f>
        <v>0</v>
      </c>
      <c r="E14" s="143">
        <f t="shared" ref="E14" si="5">AVERAGE(E11:E13)</f>
        <v>0</v>
      </c>
      <c r="F14" s="143">
        <f t="shared" ref="F14" si="6">AVERAGE(F11:F13)</f>
        <v>5263.84</v>
      </c>
      <c r="G14" s="274"/>
      <c r="H14" s="274"/>
      <c r="I14" s="277"/>
      <c r="J14" s="276"/>
      <c r="K14" s="276"/>
      <c r="L14" s="274"/>
    </row>
    <row r="15" spans="1:12" x14ac:dyDescent="0.2">
      <c r="A15" s="336" t="s">
        <v>97</v>
      </c>
      <c r="B15" s="337"/>
      <c r="C15" s="337"/>
      <c r="D15" s="337"/>
      <c r="E15" s="337"/>
      <c r="F15" s="338"/>
      <c r="G15" s="274"/>
      <c r="H15" s="274"/>
      <c r="I15" s="277"/>
      <c r="J15" s="276"/>
      <c r="K15" s="276"/>
      <c r="L15" s="274"/>
    </row>
    <row r="16" spans="1:12" x14ac:dyDescent="0.2">
      <c r="A16" s="139">
        <v>1</v>
      </c>
      <c r="B16" s="144">
        <f>ROUND('Base Data'!M32, 2)</f>
        <v>49.17</v>
      </c>
      <c r="C16" s="140">
        <f>'Base Data'!N7</f>
        <v>5609.5</v>
      </c>
      <c r="D16" s="139">
        <v>0</v>
      </c>
      <c r="E16" s="139">
        <v>0</v>
      </c>
      <c r="F16" s="144">
        <f>B16+C16+D16-E16</f>
        <v>5658.67</v>
      </c>
      <c r="G16" s="274"/>
      <c r="H16" s="274"/>
      <c r="I16" s="277"/>
      <c r="J16" s="276"/>
      <c r="K16" s="276"/>
      <c r="L16" s="274"/>
    </row>
    <row r="17" spans="1:12" x14ac:dyDescent="0.2">
      <c r="A17" s="139">
        <v>2</v>
      </c>
      <c r="B17" s="144">
        <f>B16</f>
        <v>49.17</v>
      </c>
      <c r="C17" s="144">
        <f>F16</f>
        <v>5658.67</v>
      </c>
      <c r="D17" s="139">
        <v>0</v>
      </c>
      <c r="E17" s="139">
        <v>0</v>
      </c>
      <c r="F17" s="144">
        <f t="shared" ref="F17:F18" si="7">B17+C17+D17-E17</f>
        <v>5707.84</v>
      </c>
      <c r="G17" s="274"/>
      <c r="H17" s="276">
        <f>C17*2</f>
        <v>11317.34</v>
      </c>
      <c r="I17" s="277">
        <f>C17</f>
        <v>5658.67</v>
      </c>
      <c r="J17" s="276">
        <f>F17*2</f>
        <v>11415.68</v>
      </c>
      <c r="K17" s="276">
        <f>F17</f>
        <v>5707.84</v>
      </c>
      <c r="L17" s="274"/>
    </row>
    <row r="18" spans="1:12" x14ac:dyDescent="0.2">
      <c r="A18" s="139">
        <v>3</v>
      </c>
      <c r="B18" s="144">
        <f>B16</f>
        <v>49.17</v>
      </c>
      <c r="C18" s="144">
        <f>F17</f>
        <v>5707.84</v>
      </c>
      <c r="D18" s="139">
        <v>0</v>
      </c>
      <c r="E18" s="139">
        <v>0</v>
      </c>
      <c r="F18" s="144">
        <f t="shared" si="7"/>
        <v>5757.01</v>
      </c>
      <c r="G18" s="274"/>
      <c r="H18" s="274"/>
      <c r="I18" s="274"/>
      <c r="J18" s="274"/>
      <c r="K18" s="274"/>
      <c r="L18" s="274"/>
    </row>
    <row r="19" spans="1:12" x14ac:dyDescent="0.2">
      <c r="A19" s="142" t="s">
        <v>120</v>
      </c>
      <c r="B19" s="143">
        <f>AVERAGE(B16:B18)</f>
        <v>49.169999999999995</v>
      </c>
      <c r="C19" s="143">
        <f t="shared" ref="C19" si="8">AVERAGE(C16:C18)</f>
        <v>5658.670000000001</v>
      </c>
      <c r="D19" s="143">
        <f t="shared" ref="D19" si="9">AVERAGE(D16:D18)</f>
        <v>0</v>
      </c>
      <c r="E19" s="143">
        <f t="shared" ref="E19" si="10">AVERAGE(E16:E18)</f>
        <v>0</v>
      </c>
      <c r="F19" s="143">
        <f t="shared" ref="F19" si="11">AVERAGE(F16:F18)</f>
        <v>5707.84</v>
      </c>
      <c r="G19" s="274"/>
      <c r="H19" s="274"/>
      <c r="I19" s="274"/>
      <c r="J19" s="274"/>
      <c r="K19" s="274"/>
      <c r="L19" s="274"/>
    </row>
    <row r="20" spans="1:12" x14ac:dyDescent="0.2">
      <c r="A20" s="336" t="s">
        <v>98</v>
      </c>
      <c r="B20" s="337"/>
      <c r="C20" s="337"/>
      <c r="D20" s="337"/>
      <c r="E20" s="337"/>
      <c r="F20" s="338"/>
      <c r="G20" s="274"/>
      <c r="H20" s="274"/>
      <c r="I20" s="274"/>
      <c r="J20" s="274"/>
      <c r="K20" s="274"/>
      <c r="L20" s="274"/>
    </row>
    <row r="21" spans="1:12" x14ac:dyDescent="0.2">
      <c r="A21" s="139">
        <v>1</v>
      </c>
      <c r="B21" s="141">
        <f>'Base Data'!M34</f>
        <v>989.5</v>
      </c>
      <c r="C21" s="141">
        <f>'Base Data'!N9</f>
        <v>85324</v>
      </c>
      <c r="D21" s="140">
        <v>0</v>
      </c>
      <c r="E21" s="139">
        <v>0</v>
      </c>
      <c r="F21" s="140">
        <f>B21+C21+D21-E21</f>
        <v>86313.5</v>
      </c>
      <c r="G21" s="274"/>
      <c r="H21" s="274"/>
      <c r="I21" s="274"/>
      <c r="J21" s="274"/>
      <c r="K21" s="274"/>
      <c r="L21" s="274"/>
    </row>
    <row r="22" spans="1:12" x14ac:dyDescent="0.2">
      <c r="A22" s="139">
        <v>2</v>
      </c>
      <c r="B22" s="141">
        <f>B21</f>
        <v>989.5</v>
      </c>
      <c r="C22" s="140">
        <f>F21</f>
        <v>86313.5</v>
      </c>
      <c r="D22" s="140">
        <v>0</v>
      </c>
      <c r="E22" s="139">
        <v>0</v>
      </c>
      <c r="F22" s="141">
        <f>B22+C22+D22-E22</f>
        <v>87303</v>
      </c>
      <c r="G22" s="274"/>
      <c r="H22" s="274">
        <f>C22*2</f>
        <v>172627</v>
      </c>
      <c r="I22" s="275">
        <f>C22</f>
        <v>86313.5</v>
      </c>
      <c r="J22" s="276">
        <f>F22*2</f>
        <v>174606</v>
      </c>
      <c r="K22" s="277">
        <f>F22</f>
        <v>87303</v>
      </c>
      <c r="L22" s="274"/>
    </row>
    <row r="23" spans="1:12" x14ac:dyDescent="0.2">
      <c r="A23" s="139">
        <v>3</v>
      </c>
      <c r="B23" s="141">
        <f>B21</f>
        <v>989.5</v>
      </c>
      <c r="C23" s="141">
        <f>F22</f>
        <v>87303</v>
      </c>
      <c r="D23" s="140">
        <v>0</v>
      </c>
      <c r="E23" s="139">
        <v>0</v>
      </c>
      <c r="F23" s="140">
        <f>B23+C23+D23-E23</f>
        <v>88292.5</v>
      </c>
      <c r="G23" s="274"/>
      <c r="H23" s="274"/>
      <c r="I23" s="274"/>
      <c r="J23" s="274"/>
      <c r="K23" s="274"/>
      <c r="L23" s="274"/>
    </row>
    <row r="24" spans="1:12" x14ac:dyDescent="0.2">
      <c r="A24" s="142" t="s">
        <v>120</v>
      </c>
      <c r="B24" s="143">
        <f>AVERAGE(B21:B23)</f>
        <v>989.5</v>
      </c>
      <c r="C24" s="143">
        <f t="shared" ref="C24:F24" si="12">AVERAGE(C21:C23)</f>
        <v>86313.5</v>
      </c>
      <c r="D24" s="143">
        <f t="shared" si="12"/>
        <v>0</v>
      </c>
      <c r="E24" s="143">
        <f t="shared" si="12"/>
        <v>0</v>
      </c>
      <c r="F24" s="143">
        <f t="shared" si="12"/>
        <v>87303</v>
      </c>
      <c r="G24" s="274"/>
      <c r="H24" s="274"/>
      <c r="I24" s="274"/>
      <c r="J24" s="274"/>
      <c r="K24" s="274"/>
      <c r="L24" s="274"/>
    </row>
    <row r="25" spans="1:12" x14ac:dyDescent="0.2">
      <c r="A25" s="145" t="s">
        <v>41</v>
      </c>
      <c r="B25" s="143">
        <f>B9+B14+B19+B24</f>
        <v>1129.8399999999999</v>
      </c>
      <c r="C25" s="143">
        <f t="shared" ref="C25:E25" si="13">C9+C14+C19+C24</f>
        <v>99244.34</v>
      </c>
      <c r="D25" s="143">
        <f t="shared" si="13"/>
        <v>0</v>
      </c>
      <c r="E25" s="143">
        <f t="shared" si="13"/>
        <v>0</v>
      </c>
      <c r="F25" s="143">
        <f>F9+F14+F19+F24</f>
        <v>100374.18</v>
      </c>
      <c r="G25" s="274"/>
      <c r="H25" s="278">
        <f>C25*2</f>
        <v>198488.68</v>
      </c>
      <c r="I25" s="274"/>
      <c r="J25" s="274"/>
      <c r="K25" s="274"/>
      <c r="L25" s="274"/>
    </row>
    <row r="28" spans="1:12" ht="15.75" x14ac:dyDescent="0.2">
      <c r="A28" s="328" t="s">
        <v>122</v>
      </c>
      <c r="B28" s="329"/>
      <c r="C28" s="329"/>
      <c r="D28" s="329"/>
      <c r="E28" s="330"/>
    </row>
    <row r="29" spans="1:12" x14ac:dyDescent="0.2">
      <c r="A29" s="26" t="s">
        <v>7</v>
      </c>
      <c r="B29" s="26" t="s">
        <v>8</v>
      </c>
      <c r="C29" s="26" t="s">
        <v>9</v>
      </c>
      <c r="D29" s="26" t="s">
        <v>10</v>
      </c>
      <c r="E29" s="26" t="s">
        <v>11</v>
      </c>
    </row>
    <row r="30" spans="1:12" ht="89.25" x14ac:dyDescent="0.2">
      <c r="A30" s="27" t="s">
        <v>123</v>
      </c>
      <c r="B30" s="27" t="s">
        <v>124</v>
      </c>
      <c r="C30" s="27" t="s">
        <v>5</v>
      </c>
      <c r="D30" s="28" t="s">
        <v>125</v>
      </c>
      <c r="E30" s="27" t="s">
        <v>127</v>
      </c>
    </row>
    <row r="31" spans="1:12" ht="12.75" customHeight="1" x14ac:dyDescent="0.2">
      <c r="A31" s="333" t="s">
        <v>95</v>
      </c>
      <c r="B31" s="334"/>
      <c r="C31" s="334"/>
      <c r="D31" s="334"/>
      <c r="E31" s="335"/>
    </row>
    <row r="32" spans="1:12" x14ac:dyDescent="0.2">
      <c r="A32" s="138" t="s">
        <v>128</v>
      </c>
      <c r="B32" s="146">
        <f>LrgSolid!H34</f>
        <v>10</v>
      </c>
      <c r="C32" s="139">
        <f>LrgSolid!F34</f>
        <v>1</v>
      </c>
      <c r="D32" s="139">
        <v>0</v>
      </c>
      <c r="E32" s="140">
        <f t="shared" ref="E32:E35" si="14">B32*C32+D32</f>
        <v>10</v>
      </c>
    </row>
    <row r="33" spans="1:5" ht="25.5" x14ac:dyDescent="0.2">
      <c r="A33" s="138" t="s">
        <v>126</v>
      </c>
      <c r="B33" s="146">
        <f>LrgSolid!H35</f>
        <v>10</v>
      </c>
      <c r="C33" s="139">
        <f>LrgSolid!F35</f>
        <v>1</v>
      </c>
      <c r="D33" s="139">
        <v>0</v>
      </c>
      <c r="E33" s="140">
        <f t="shared" si="14"/>
        <v>10</v>
      </c>
    </row>
    <row r="34" spans="1:5" ht="25.5" x14ac:dyDescent="0.2">
      <c r="A34" s="138" t="s">
        <v>130</v>
      </c>
      <c r="B34" s="147">
        <f>LrgSolid!H37</f>
        <v>2099.5</v>
      </c>
      <c r="C34" s="139">
        <f>LrgSolid!F37</f>
        <v>1</v>
      </c>
      <c r="D34" s="139">
        <v>0</v>
      </c>
      <c r="E34" s="141">
        <f t="shared" si="14"/>
        <v>2099.5</v>
      </c>
    </row>
    <row r="35" spans="1:5" ht="25.5" x14ac:dyDescent="0.2">
      <c r="A35" s="138" t="s">
        <v>129</v>
      </c>
      <c r="B35" s="146">
        <f>LrgSolid!H38</f>
        <v>1813</v>
      </c>
      <c r="C35" s="139">
        <f>LrgSolid!F38</f>
        <v>0.5</v>
      </c>
      <c r="D35" s="139">
        <v>0</v>
      </c>
      <c r="E35" s="141">
        <f t="shared" si="14"/>
        <v>906.5</v>
      </c>
    </row>
    <row r="36" spans="1:5" x14ac:dyDescent="0.2">
      <c r="A36" s="148" t="s">
        <v>104</v>
      </c>
      <c r="B36" s="149"/>
      <c r="C36" s="149"/>
      <c r="D36" s="149"/>
      <c r="E36" s="150">
        <f>SUM(E32:E35)</f>
        <v>3026</v>
      </c>
    </row>
    <row r="37" spans="1:5" x14ac:dyDescent="0.2">
      <c r="A37" s="333" t="s">
        <v>96</v>
      </c>
      <c r="B37" s="334"/>
      <c r="C37" s="334"/>
      <c r="D37" s="334"/>
      <c r="E37" s="335"/>
    </row>
    <row r="38" spans="1:5" x14ac:dyDescent="0.2">
      <c r="A38" s="138" t="s">
        <v>128</v>
      </c>
      <c r="B38" s="151">
        <f>LrgLiquid!I28</f>
        <v>81.17</v>
      </c>
      <c r="C38" s="139">
        <f>LrgLiquid!G28</f>
        <v>1</v>
      </c>
      <c r="D38" s="139">
        <v>0</v>
      </c>
      <c r="E38" s="144">
        <f t="shared" ref="E38:E41" si="15">B38*C38+D38</f>
        <v>81.17</v>
      </c>
    </row>
    <row r="39" spans="1:5" ht="25.5" x14ac:dyDescent="0.2">
      <c r="A39" s="138" t="s">
        <v>126</v>
      </c>
      <c r="B39" s="151">
        <f>LrgLiquid!I29</f>
        <v>81.17</v>
      </c>
      <c r="C39" s="139">
        <f>LrgLiquid!G29</f>
        <v>1</v>
      </c>
      <c r="D39" s="139">
        <v>0</v>
      </c>
      <c r="E39" s="144">
        <f t="shared" si="15"/>
        <v>81.17</v>
      </c>
    </row>
    <row r="40" spans="1:5" ht="25.5" x14ac:dyDescent="0.2">
      <c r="A40" s="138" t="s">
        <v>130</v>
      </c>
      <c r="B40" s="147">
        <f>LrgLiquid!I31</f>
        <v>324.67333333333329</v>
      </c>
      <c r="C40" s="139">
        <f>LrgLiquid!G31</f>
        <v>1</v>
      </c>
      <c r="D40" s="139">
        <v>0</v>
      </c>
      <c r="E40" s="144">
        <f t="shared" si="15"/>
        <v>324.67333333333329</v>
      </c>
    </row>
    <row r="41" spans="1:5" ht="25.5" x14ac:dyDescent="0.2">
      <c r="A41" s="138" t="s">
        <v>129</v>
      </c>
      <c r="B41" s="151">
        <f>LrgLiquid!I32</f>
        <v>5263.83</v>
      </c>
      <c r="C41" s="139">
        <f>LrgLiquid!G32</f>
        <v>0.5</v>
      </c>
      <c r="D41" s="139">
        <v>0</v>
      </c>
      <c r="E41" s="144">
        <f t="shared" si="15"/>
        <v>2631.915</v>
      </c>
    </row>
    <row r="42" spans="1:5" x14ac:dyDescent="0.2">
      <c r="A42" s="148" t="s">
        <v>104</v>
      </c>
      <c r="B42" s="149"/>
      <c r="C42" s="149"/>
      <c r="D42" s="149"/>
      <c r="E42" s="152">
        <f>SUM(E38:E41)</f>
        <v>3118.9283333333333</v>
      </c>
    </row>
    <row r="43" spans="1:5" ht="12.75" customHeight="1" x14ac:dyDescent="0.2">
      <c r="A43" s="170" t="s">
        <v>97</v>
      </c>
      <c r="B43" s="171"/>
      <c r="C43" s="171"/>
      <c r="D43" s="171"/>
      <c r="E43" s="172"/>
    </row>
    <row r="44" spans="1:5" ht="12.75" customHeight="1" x14ac:dyDescent="0.2">
      <c r="A44" s="153" t="s">
        <v>128</v>
      </c>
      <c r="B44" s="144">
        <f>SmlSolid!G15</f>
        <v>49.17</v>
      </c>
      <c r="C44" s="139">
        <f>SmlSolid!E15</f>
        <v>1</v>
      </c>
      <c r="D44" s="139">
        <v>0</v>
      </c>
      <c r="E44" s="144">
        <f>B44*C44+D44</f>
        <v>49.17</v>
      </c>
    </row>
    <row r="45" spans="1:5" ht="25.5" x14ac:dyDescent="0.2">
      <c r="A45" s="153" t="s">
        <v>126</v>
      </c>
      <c r="B45" s="144">
        <f>SmlSolid!G16</f>
        <v>49.17</v>
      </c>
      <c r="C45" s="139">
        <f>SmlSolid!E16</f>
        <v>1</v>
      </c>
      <c r="D45" s="139">
        <v>0</v>
      </c>
      <c r="E45" s="144">
        <f>B45*C45+D45</f>
        <v>49.17</v>
      </c>
    </row>
    <row r="46" spans="1:5" ht="12.75" customHeight="1" x14ac:dyDescent="0.2">
      <c r="A46" s="154" t="s">
        <v>129</v>
      </c>
      <c r="B46" s="144">
        <f>SmlSolid!G17</f>
        <v>5707.83</v>
      </c>
      <c r="C46" s="139">
        <f>SmlSolid!E17</f>
        <v>0.5</v>
      </c>
      <c r="D46" s="26">
        <v>0</v>
      </c>
      <c r="E46" s="155">
        <f>B46*C46+D46</f>
        <v>2853.915</v>
      </c>
    </row>
    <row r="47" spans="1:5" x14ac:dyDescent="0.2">
      <c r="A47" s="148" t="s">
        <v>104</v>
      </c>
      <c r="B47" s="149"/>
      <c r="C47" s="149"/>
      <c r="D47" s="149"/>
      <c r="E47" s="152">
        <f>SUM(E44:E46)</f>
        <v>2952.2550000000001</v>
      </c>
    </row>
    <row r="48" spans="1:5" ht="12.75" customHeight="1" x14ac:dyDescent="0.2">
      <c r="A48" s="333" t="s">
        <v>98</v>
      </c>
      <c r="B48" s="334"/>
      <c r="C48" s="334"/>
      <c r="D48" s="334"/>
      <c r="E48" s="335"/>
    </row>
    <row r="49" spans="1:5" ht="12.75" customHeight="1" x14ac:dyDescent="0.2">
      <c r="A49" s="153" t="s">
        <v>128</v>
      </c>
      <c r="B49" s="141">
        <f>SmlLiquid!G15</f>
        <v>989.5</v>
      </c>
      <c r="C49" s="139">
        <f>SmlLiquid!E15</f>
        <v>1</v>
      </c>
      <c r="D49" s="139">
        <v>0</v>
      </c>
      <c r="E49" s="141">
        <f>B49*C49+D49</f>
        <v>989.5</v>
      </c>
    </row>
    <row r="50" spans="1:5" ht="25.5" x14ac:dyDescent="0.2">
      <c r="A50" s="153" t="s">
        <v>126</v>
      </c>
      <c r="B50" s="141">
        <f>SmlLiquid!G16</f>
        <v>989.5</v>
      </c>
      <c r="C50" s="139">
        <f>SmlLiquid!E16</f>
        <v>1</v>
      </c>
      <c r="D50" s="139">
        <v>0</v>
      </c>
      <c r="E50" s="141">
        <f>B50*C50+D50</f>
        <v>989.5</v>
      </c>
    </row>
    <row r="51" spans="1:5" ht="12.75" customHeight="1" x14ac:dyDescent="0.2">
      <c r="A51" s="154" t="s">
        <v>129</v>
      </c>
      <c r="B51" s="156">
        <f>SmlLiquid!G17</f>
        <v>87303</v>
      </c>
      <c r="C51" s="26">
        <f>SmlLiquid!E17</f>
        <v>0.5</v>
      </c>
      <c r="D51" s="26">
        <v>0</v>
      </c>
      <c r="E51" s="155">
        <f>B51*C51+D51</f>
        <v>43651.5</v>
      </c>
    </row>
    <row r="52" spans="1:5" x14ac:dyDescent="0.2">
      <c r="A52" s="148" t="s">
        <v>104</v>
      </c>
      <c r="B52" s="149"/>
      <c r="C52" s="149"/>
      <c r="D52" s="149"/>
      <c r="E52" s="152">
        <f>SUM(E49:E51)</f>
        <v>45630.5</v>
      </c>
    </row>
    <row r="53" spans="1:5" x14ac:dyDescent="0.2">
      <c r="A53" s="331" t="s">
        <v>295</v>
      </c>
      <c r="B53" s="332"/>
      <c r="C53" s="332"/>
      <c r="D53" s="157"/>
      <c r="E53" s="158">
        <f>ROUND(E36+E42+E47+E52,-2)</f>
        <v>54700</v>
      </c>
    </row>
  </sheetData>
  <mergeCells count="12">
    <mergeCell ref="A20:F20"/>
    <mergeCell ref="A5:F5"/>
    <mergeCell ref="A10:F10"/>
    <mergeCell ref="A15:F15"/>
    <mergeCell ref="A1:F1"/>
    <mergeCell ref="B2:C2"/>
    <mergeCell ref="E2:F2"/>
    <mergeCell ref="A28:E28"/>
    <mergeCell ref="A53:C53"/>
    <mergeCell ref="A31:E31"/>
    <mergeCell ref="A48:E48"/>
    <mergeCell ref="A37:E37"/>
  </mergeCells>
  <phoneticPr fontId="4"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2"/>
  <sheetViews>
    <sheetView workbookViewId="0">
      <selection activeCell="F27" sqref="F27"/>
    </sheetView>
  </sheetViews>
  <sheetFormatPr defaultColWidth="8.85546875" defaultRowHeight="12.75" x14ac:dyDescent="0.2"/>
  <cols>
    <col min="1" max="1" width="31.7109375" style="62" customWidth="1"/>
    <col min="2" max="3" width="16.5703125" style="62" customWidth="1"/>
    <col min="4" max="4" width="14.140625" style="62" customWidth="1"/>
    <col min="5" max="5" width="17" style="62" customWidth="1"/>
    <col min="6" max="6" width="11.140625" style="62" bestFit="1" customWidth="1"/>
    <col min="7" max="7" width="13.7109375" style="62" customWidth="1"/>
    <col min="8" max="8" width="8.85546875" style="62"/>
    <col min="9" max="9" width="10.42578125" style="62" bestFit="1" customWidth="1"/>
    <col min="10" max="16384" width="8.85546875" style="62"/>
  </cols>
  <sheetData>
    <row r="1" spans="1:8" s="65" customFormat="1" ht="15.75" customHeight="1" x14ac:dyDescent="0.2">
      <c r="A1" s="341" t="s">
        <v>86</v>
      </c>
      <c r="B1" s="341"/>
      <c r="C1" s="341"/>
      <c r="D1" s="341"/>
      <c r="E1" s="341"/>
      <c r="F1" s="341"/>
      <c r="G1" s="341"/>
      <c r="H1" s="64"/>
    </row>
    <row r="2" spans="1:8" s="65" customFormat="1" x14ac:dyDescent="0.2">
      <c r="A2" s="159"/>
      <c r="B2" s="23"/>
      <c r="C2" s="23"/>
      <c r="D2" s="23"/>
      <c r="E2" s="23"/>
      <c r="F2" s="23"/>
      <c r="G2" s="23"/>
    </row>
    <row r="3" spans="1:8" x14ac:dyDescent="0.2">
      <c r="A3" s="21" t="s">
        <v>7</v>
      </c>
      <c r="B3" s="21" t="s">
        <v>8</v>
      </c>
      <c r="C3" s="21" t="s">
        <v>9</v>
      </c>
      <c r="D3" s="21" t="s">
        <v>10</v>
      </c>
      <c r="E3" s="21" t="s">
        <v>11</v>
      </c>
      <c r="F3" s="21" t="s">
        <v>91</v>
      </c>
      <c r="G3" s="21" t="s">
        <v>92</v>
      </c>
    </row>
    <row r="4" spans="1:8" ht="38.25" x14ac:dyDescent="0.2">
      <c r="A4" s="22" t="s">
        <v>87</v>
      </c>
      <c r="B4" s="22" t="s">
        <v>88</v>
      </c>
      <c r="C4" s="22" t="s">
        <v>89</v>
      </c>
      <c r="D4" s="22" t="s">
        <v>94</v>
      </c>
      <c r="E4" s="22" t="s">
        <v>90</v>
      </c>
      <c r="F4" s="22" t="s">
        <v>93</v>
      </c>
      <c r="G4" s="22" t="s">
        <v>103</v>
      </c>
    </row>
    <row r="5" spans="1:8" x14ac:dyDescent="0.2">
      <c r="A5" s="66" t="s">
        <v>95</v>
      </c>
      <c r="B5" s="67"/>
      <c r="C5" s="67"/>
      <c r="D5" s="67"/>
      <c r="E5" s="67"/>
      <c r="F5" s="67"/>
      <c r="G5" s="68"/>
    </row>
    <row r="6" spans="1:8" x14ac:dyDescent="0.2">
      <c r="A6" s="83" t="s">
        <v>106</v>
      </c>
      <c r="B6" s="84">
        <f>LrgSolid!D14</f>
        <v>5000</v>
      </c>
      <c r="C6" s="85">
        <f>LrgSolid!H14</f>
        <v>0</v>
      </c>
      <c r="D6" s="86">
        <f t="shared" ref="D6:D14" si="0">B6*C6</f>
        <v>0</v>
      </c>
      <c r="E6" s="86">
        <v>0</v>
      </c>
      <c r="F6" s="87">
        <f>C6</f>
        <v>0</v>
      </c>
      <c r="G6" s="86">
        <f t="shared" ref="G6:G13" si="1">E6*F6</f>
        <v>0</v>
      </c>
    </row>
    <row r="7" spans="1:8" x14ac:dyDescent="0.2">
      <c r="A7" s="83" t="s">
        <v>107</v>
      </c>
      <c r="B7" s="84">
        <v>0</v>
      </c>
      <c r="C7" s="279">
        <v>0</v>
      </c>
      <c r="D7" s="86">
        <f t="shared" si="0"/>
        <v>0</v>
      </c>
      <c r="E7" s="86">
        <f>0.33*LrgSolid!D17</f>
        <v>1650</v>
      </c>
      <c r="F7" s="280">
        <f>LrgSolid!H17</f>
        <v>95.5</v>
      </c>
      <c r="G7" s="175">
        <f t="shared" si="1"/>
        <v>157575</v>
      </c>
    </row>
    <row r="8" spans="1:8" x14ac:dyDescent="0.2">
      <c r="A8" s="83" t="s">
        <v>108</v>
      </c>
      <c r="B8" s="84">
        <f>LrgSolid!D15</f>
        <v>6000</v>
      </c>
      <c r="C8" s="85">
        <f>LrgSolid!H15</f>
        <v>0</v>
      </c>
      <c r="D8" s="86">
        <f t="shared" si="0"/>
        <v>0</v>
      </c>
      <c r="E8" s="86">
        <v>0</v>
      </c>
      <c r="F8" s="87">
        <f>C8</f>
        <v>0</v>
      </c>
      <c r="G8" s="86">
        <f t="shared" si="1"/>
        <v>0</v>
      </c>
    </row>
    <row r="9" spans="1:8" x14ac:dyDescent="0.2">
      <c r="A9" s="83" t="s">
        <v>109</v>
      </c>
      <c r="B9" s="84">
        <v>0</v>
      </c>
      <c r="C9" s="83">
        <v>0</v>
      </c>
      <c r="D9" s="86">
        <f t="shared" si="0"/>
        <v>0</v>
      </c>
      <c r="E9" s="86">
        <f>0.33*LrgSolid!D18</f>
        <v>1980</v>
      </c>
      <c r="F9" s="280">
        <f>LrgSolid!H18</f>
        <v>95.5</v>
      </c>
      <c r="G9" s="175">
        <f t="shared" si="1"/>
        <v>189090</v>
      </c>
    </row>
    <row r="10" spans="1:8" x14ac:dyDescent="0.2">
      <c r="A10" s="83" t="s">
        <v>102</v>
      </c>
      <c r="B10" s="84">
        <f>LrgSolid!D16</f>
        <v>8000</v>
      </c>
      <c r="C10" s="85">
        <f>LrgSolid!H16</f>
        <v>1.83</v>
      </c>
      <c r="D10" s="89">
        <f t="shared" si="0"/>
        <v>14640</v>
      </c>
      <c r="E10" s="86">
        <v>0</v>
      </c>
      <c r="F10" s="87">
        <f>C10</f>
        <v>1.83</v>
      </c>
      <c r="G10" s="86">
        <f t="shared" si="1"/>
        <v>0</v>
      </c>
    </row>
    <row r="11" spans="1:8" x14ac:dyDescent="0.2">
      <c r="A11" s="83" t="s">
        <v>105</v>
      </c>
      <c r="B11" s="84">
        <v>0</v>
      </c>
      <c r="C11" s="85">
        <v>0</v>
      </c>
      <c r="D11" s="86">
        <f t="shared" si="0"/>
        <v>0</v>
      </c>
      <c r="E11" s="86">
        <f>0.33*LrgSolid!D19</f>
        <v>2640</v>
      </c>
      <c r="F11" s="87">
        <f>LrgSolid!H19</f>
        <v>7.3266666666666662</v>
      </c>
      <c r="G11" s="175">
        <f t="shared" si="1"/>
        <v>19342.399999999998</v>
      </c>
    </row>
    <row r="12" spans="1:8" x14ac:dyDescent="0.2">
      <c r="A12" s="83" t="s">
        <v>100</v>
      </c>
      <c r="B12" s="84">
        <f>LrgSolid!E25</f>
        <v>43100</v>
      </c>
      <c r="C12" s="85">
        <f>LrgSolid!H25</f>
        <v>1.83</v>
      </c>
      <c r="D12" s="89">
        <f t="shared" si="0"/>
        <v>78873</v>
      </c>
      <c r="E12" s="86">
        <f>LrgSolid!E26</f>
        <v>14700</v>
      </c>
      <c r="F12" s="87">
        <f>LrgSolid!H26</f>
        <v>14.66</v>
      </c>
      <c r="G12" s="175">
        <f t="shared" si="1"/>
        <v>215502</v>
      </c>
    </row>
    <row r="13" spans="1:8" x14ac:dyDescent="0.2">
      <c r="A13" s="83" t="s">
        <v>99</v>
      </c>
      <c r="B13" s="84">
        <f>LrgSolid!E28</f>
        <v>25500</v>
      </c>
      <c r="C13" s="85">
        <f>LrgSolid!H28</f>
        <v>0</v>
      </c>
      <c r="D13" s="86">
        <f t="shared" si="0"/>
        <v>0</v>
      </c>
      <c r="E13" s="86">
        <f>LrgSolid!E29</f>
        <v>9700</v>
      </c>
      <c r="F13" s="88">
        <f>LrgSolid!H29</f>
        <v>286.5</v>
      </c>
      <c r="G13" s="175">
        <f t="shared" si="1"/>
        <v>2779050</v>
      </c>
    </row>
    <row r="14" spans="1:8" x14ac:dyDescent="0.2">
      <c r="A14" s="90" t="s">
        <v>101</v>
      </c>
      <c r="B14" s="84">
        <v>0</v>
      </c>
      <c r="C14" s="85">
        <v>0</v>
      </c>
      <c r="D14" s="86">
        <f t="shared" si="0"/>
        <v>0</v>
      </c>
      <c r="E14" s="92">
        <f>0.5*LrgSolid!D30</f>
        <v>1437.5</v>
      </c>
      <c r="F14" s="87">
        <f>LrgSolid!H30</f>
        <v>1813</v>
      </c>
      <c r="G14" s="175">
        <f>E14*F14</f>
        <v>2606187.5</v>
      </c>
    </row>
    <row r="15" spans="1:8" x14ac:dyDescent="0.2">
      <c r="A15" s="71" t="s">
        <v>104</v>
      </c>
      <c r="B15" s="69"/>
      <c r="C15" s="70"/>
      <c r="D15" s="176">
        <f>SUM(D6:D14)</f>
        <v>93513</v>
      </c>
      <c r="E15" s="176"/>
      <c r="F15" s="177"/>
      <c r="G15" s="178">
        <f>SUM(G6:G14)</f>
        <v>5966746.9000000004</v>
      </c>
    </row>
    <row r="16" spans="1:8" x14ac:dyDescent="0.2">
      <c r="A16" s="66" t="s">
        <v>96</v>
      </c>
      <c r="B16" s="67"/>
      <c r="C16" s="67"/>
      <c r="D16" s="67"/>
      <c r="E16" s="67"/>
      <c r="F16" s="67"/>
      <c r="G16" s="68"/>
    </row>
    <row r="17" spans="1:9" x14ac:dyDescent="0.2">
      <c r="A17" s="83" t="s">
        <v>102</v>
      </c>
      <c r="B17" s="84">
        <f>LrgLiquid!D14</f>
        <v>8000</v>
      </c>
      <c r="C17" s="91">
        <f>LrgLiquid!I14</f>
        <v>81.17</v>
      </c>
      <c r="D17" s="84">
        <f>B17*C17</f>
        <v>649360</v>
      </c>
      <c r="E17" s="84">
        <v>0</v>
      </c>
      <c r="F17" s="91">
        <f>C17</f>
        <v>81.17</v>
      </c>
      <c r="G17" s="84">
        <f>E17*F17</f>
        <v>0</v>
      </c>
    </row>
    <row r="18" spans="1:9" x14ac:dyDescent="0.2">
      <c r="A18" s="83" t="s">
        <v>105</v>
      </c>
      <c r="B18" s="84">
        <v>0</v>
      </c>
      <c r="C18" s="85">
        <v>0</v>
      </c>
      <c r="D18" s="84">
        <f>B18*C18</f>
        <v>0</v>
      </c>
      <c r="E18" s="84">
        <f>0.33*LrgLiquid!D15</f>
        <v>2640</v>
      </c>
      <c r="F18" s="85">
        <f>LrgLiquid!I15</f>
        <v>324.67333333333329</v>
      </c>
      <c r="G18" s="93">
        <f>E18*F18</f>
        <v>857137.59999999986</v>
      </c>
    </row>
    <row r="19" spans="1:9" x14ac:dyDescent="0.2">
      <c r="A19" s="83" t="s">
        <v>100</v>
      </c>
      <c r="B19" s="84">
        <f>LrgLiquid!F19</f>
        <v>43100</v>
      </c>
      <c r="C19" s="91">
        <f>LrgLiquid!I19</f>
        <v>81.17</v>
      </c>
      <c r="D19" s="84">
        <f>B19*C19</f>
        <v>3498427</v>
      </c>
      <c r="E19" s="84">
        <f>LrgLiquid!F20</f>
        <v>14700</v>
      </c>
      <c r="F19" s="85">
        <f>LrgLiquid!I20</f>
        <v>649.34</v>
      </c>
      <c r="G19" s="93">
        <f>E19*F19</f>
        <v>9545298</v>
      </c>
    </row>
    <row r="20" spans="1:9" x14ac:dyDescent="0.2">
      <c r="A20" s="83" t="s">
        <v>99</v>
      </c>
      <c r="B20" s="84">
        <f>LrgSolid!E28</f>
        <v>25500</v>
      </c>
      <c r="C20" s="91">
        <f>LrgLiquid!I22</f>
        <v>7.5</v>
      </c>
      <c r="D20" s="84">
        <f>B20*C20</f>
        <v>191250</v>
      </c>
      <c r="E20" s="84">
        <f>LrgLiquid!F23</f>
        <v>9700</v>
      </c>
      <c r="F20" s="85">
        <f>LrgLiquid!I23</f>
        <v>15</v>
      </c>
      <c r="G20" s="93">
        <f>E20*F20</f>
        <v>145500</v>
      </c>
    </row>
    <row r="21" spans="1:9" x14ac:dyDescent="0.2">
      <c r="A21" s="83" t="s">
        <v>101</v>
      </c>
      <c r="B21" s="84">
        <v>0</v>
      </c>
      <c r="C21" s="85">
        <v>0</v>
      </c>
      <c r="D21" s="84">
        <f>B21*C21</f>
        <v>0</v>
      </c>
      <c r="E21" s="84">
        <f>0.5*LrgLiquid!E24</f>
        <v>1437.5</v>
      </c>
      <c r="F21" s="85">
        <f>LrgLiquid!I24</f>
        <v>5263.83</v>
      </c>
      <c r="G21" s="93">
        <f>ROUND(E21*F21, 2)</f>
        <v>7566755.6299999999</v>
      </c>
    </row>
    <row r="22" spans="1:9" x14ac:dyDescent="0.2">
      <c r="A22" s="71" t="s">
        <v>104</v>
      </c>
      <c r="B22" s="69"/>
      <c r="C22" s="70"/>
      <c r="D22" s="179">
        <f>SUM(D17:D21)</f>
        <v>4339037</v>
      </c>
      <c r="E22" s="179"/>
      <c r="F22" s="180"/>
      <c r="G22" s="181">
        <f>SUM(G17:G21)</f>
        <v>18114691.23</v>
      </c>
    </row>
    <row r="23" spans="1:9" x14ac:dyDescent="0.2">
      <c r="A23" s="66" t="s">
        <v>97</v>
      </c>
      <c r="B23" s="67"/>
      <c r="C23" s="67"/>
      <c r="D23" s="67"/>
      <c r="E23" s="67"/>
      <c r="F23" s="67"/>
      <c r="G23" s="68"/>
    </row>
    <row r="24" spans="1:9" x14ac:dyDescent="0.2">
      <c r="A24" s="83" t="s">
        <v>101</v>
      </c>
      <c r="B24" s="84">
        <v>0</v>
      </c>
      <c r="C24" s="85">
        <v>0</v>
      </c>
      <c r="D24" s="84">
        <f>B24*C24</f>
        <v>0</v>
      </c>
      <c r="E24" s="84">
        <f>0.5*SmlSolid!C11</f>
        <v>1114</v>
      </c>
      <c r="F24" s="85">
        <f>SmlSolid!G11</f>
        <v>5707.83</v>
      </c>
      <c r="G24" s="93">
        <f>E24*F24</f>
        <v>6358522.6200000001</v>
      </c>
    </row>
    <row r="25" spans="1:9" x14ac:dyDescent="0.2">
      <c r="A25" s="71" t="s">
        <v>104</v>
      </c>
      <c r="B25" s="69"/>
      <c r="C25" s="70"/>
      <c r="D25" s="179">
        <f>D24</f>
        <v>0</v>
      </c>
      <c r="E25" s="179"/>
      <c r="F25" s="180"/>
      <c r="G25" s="181">
        <f>G24</f>
        <v>6358522.6200000001</v>
      </c>
    </row>
    <row r="26" spans="1:9" x14ac:dyDescent="0.2">
      <c r="A26" s="72" t="s">
        <v>98</v>
      </c>
      <c r="B26" s="67"/>
      <c r="C26" s="67"/>
      <c r="D26" s="67"/>
      <c r="E26" s="67"/>
      <c r="F26" s="67"/>
      <c r="G26" s="68"/>
    </row>
    <row r="27" spans="1:9" x14ac:dyDescent="0.2">
      <c r="A27" s="83" t="s">
        <v>101</v>
      </c>
      <c r="B27" s="84">
        <v>0</v>
      </c>
      <c r="C27" s="85">
        <v>0</v>
      </c>
      <c r="D27" s="84">
        <f>B27*C27</f>
        <v>0</v>
      </c>
      <c r="E27" s="84">
        <f>0.5*SmlLiquid!C11</f>
        <v>1114</v>
      </c>
      <c r="F27" s="85">
        <f>SmlLiquid!G11</f>
        <v>87303</v>
      </c>
      <c r="G27" s="84">
        <f>E27*F27</f>
        <v>97255542</v>
      </c>
    </row>
    <row r="28" spans="1:9" x14ac:dyDescent="0.2">
      <c r="A28" s="73" t="s">
        <v>104</v>
      </c>
      <c r="B28" s="74"/>
      <c r="C28" s="75"/>
      <c r="D28" s="182">
        <f>D27</f>
        <v>0</v>
      </c>
      <c r="E28" s="182"/>
      <c r="F28" s="183"/>
      <c r="G28" s="184">
        <f>G27</f>
        <v>97255542</v>
      </c>
    </row>
    <row r="29" spans="1:9" x14ac:dyDescent="0.2">
      <c r="A29" s="76" t="s">
        <v>41</v>
      </c>
      <c r="B29" s="77"/>
      <c r="C29" s="77"/>
      <c r="D29" s="78">
        <f>ROUND(D15+D22+D25+D28,-4)</f>
        <v>4430000</v>
      </c>
      <c r="E29" s="77"/>
      <c r="F29" s="77"/>
      <c r="G29" s="79">
        <f>ROUND(G15+G22+G25+G28,-6)</f>
        <v>128000000</v>
      </c>
      <c r="I29" s="185"/>
    </row>
    <row r="30" spans="1:9" x14ac:dyDescent="0.2">
      <c r="D30" s="185"/>
    </row>
    <row r="32" spans="1:9" x14ac:dyDescent="0.2">
      <c r="G32" s="185"/>
    </row>
  </sheetData>
  <mergeCells count="1">
    <mergeCell ref="A1:G1"/>
  </mergeCells>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 Table 1 (Respondent Summary)</vt:lpstr>
      <vt:lpstr>Table 2 (Agency)</vt:lpstr>
      <vt:lpstr>Base Data</vt:lpstr>
      <vt:lpstr>LrgSolid</vt:lpstr>
      <vt:lpstr>LrgLiquid</vt:lpstr>
      <vt:lpstr>SmlSolid</vt:lpstr>
      <vt:lpstr>SmlLiquid</vt:lpstr>
      <vt:lpstr>Respondents&amp;Responses</vt:lpstr>
      <vt:lpstr>Capital vs. O&amp;M</vt:lpstr>
      <vt:lpstr>LrgLiquid!Print_Area</vt:lpstr>
      <vt:lpstr>SmlSolid!Print_Area</vt:lpstr>
      <vt:lpstr>'Table 2 (Agency)'!Print_Area</vt:lpstr>
      <vt:lpstr>LrgLiquid!Print_Titles</vt:lpstr>
      <vt:lpstr>LrgSolid!Print_Titles</vt:lpstr>
      <vt:lpstr>SmlLiquid!Print_Titles</vt:lpstr>
      <vt:lpstr>SmlSolid!Print_Titles</vt:lpstr>
      <vt:lpstr>'Table 2 (Agency)'!retest</vt:lpstr>
      <vt:lpstr>'Table 2 (Agency)'!sperfac</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wwrigley</cp:lastModifiedBy>
  <cp:lastPrinted>2010-12-23T17:42:31Z</cp:lastPrinted>
  <dcterms:created xsi:type="dcterms:W3CDTF">2000-08-03T19:32:28Z</dcterms:created>
  <dcterms:modified xsi:type="dcterms:W3CDTF">2018-12-14T19:09:48Z</dcterms:modified>
</cp:coreProperties>
</file>