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trinca_laurie_epa_gov/Documents/LTRINCA/ICRs/"/>
    </mc:Choice>
  </mc:AlternateContent>
  <xr:revisionPtr revIDLastSave="0" documentId="10_ncr:100000_{3217CB35-C452-4BA1-9BCD-829E29ADA61D}" xr6:coauthVersionLast="31" xr6:coauthVersionMax="31" xr10:uidLastSave="{00000000-0000-0000-0000-000000000000}"/>
  <bookViews>
    <workbookView xWindow="0" yWindow="0" windowWidth="24960" windowHeight="12828" xr2:uid="{00000000-000D-0000-FFFF-FFFF00000000}"/>
  </bookViews>
  <sheets>
    <sheet name="Labor" sheetId="6" r:id="rId1"/>
    <sheet name="Inflation" sheetId="4" r:id="rId2"/>
    <sheet name="MonitorEquip" sheetId="8" r:id="rId3"/>
    <sheet name="SO2" sheetId="9" r:id="rId4"/>
    <sheet name="CO" sheetId="10" r:id="rId5"/>
    <sheet name="NO2" sheetId="1" r:id="rId6"/>
    <sheet name="O3" sheetId="7" r:id="rId7"/>
    <sheet name="PM10" sheetId="15" r:id="rId8"/>
    <sheet name="PM25" sheetId="24" r:id="rId9"/>
    <sheet name="Pb" sheetId="11" r:id="rId10"/>
    <sheet name="PAMSVOC" sheetId="25" r:id="rId11"/>
    <sheet name="PAMSNMOC" sheetId="12" r:id="rId12"/>
    <sheet name="PAMS NO2" sheetId="13" r:id="rId13"/>
    <sheet name="NF_PAMSSurfMet" sheetId="14" r:id="rId14"/>
    <sheet name="PAMS_Upper_Air" sheetId="16" r:id="rId15"/>
    <sheet name="PAMSCarbonyls" sheetId="17" r:id="rId16"/>
    <sheet name="PAMSCarbD" sheetId="18" r:id="rId17"/>
    <sheet name="PAMSHalfD" sheetId="19" r:id="rId18"/>
    <sheet name="NATTS" sheetId="22" r:id="rId19"/>
    <sheet name="Generic" sheetId="20" r:id="rId20"/>
    <sheet name="Summary" sheetId="21" r:id="rId21"/>
    <sheet name="Grand Total" sheetId="23" r:id="rId22"/>
  </sheets>
  <definedNames>
    <definedName name="InflationTable">Inflation!$C$2:$AA$5</definedName>
    <definedName name="Labor_rates_based_on_year">Labor!$B$11</definedName>
    <definedName name="Monitor_Costs">MonitorEquip!$B$5:$AZ$21</definedName>
    <definedName name="_xlnm.Print_Area" localSheetId="19">Generic!$A$1:$V$104</definedName>
    <definedName name="_xlnm.Print_Area" localSheetId="14">PAMS_Upper_Air!$A$1:$W$118</definedName>
    <definedName name="_xlnm.Print_Area" localSheetId="11">PAMSNMOC!$A$1:$V$120</definedName>
    <definedName name="_xlnm.Print_Area" localSheetId="20">Summary!$A$1:$R$64</definedName>
    <definedName name="_xlnm.Print_Titles" localSheetId="2">MonitorEquip!$A:$B</definedName>
    <definedName name="_xlnm.Print_Titles">#N/A</definedName>
    <definedName name="YearList">Inflation!$C$2:$AA$2</definedName>
  </definedNames>
  <calcPr calcId="179017"/>
</workbook>
</file>

<file path=xl/calcChain.xml><?xml version="1.0" encoding="utf-8"?>
<calcChain xmlns="http://schemas.openxmlformats.org/spreadsheetml/2006/main">
  <c r="T5" i="4" l="1"/>
  <c r="U5" i="4" s="1"/>
  <c r="V5" i="4" s="1"/>
  <c r="W5" i="4" s="1"/>
  <c r="X5" i="4" s="1"/>
  <c r="Y5" i="4" s="1"/>
  <c r="Z5" i="4" s="1"/>
  <c r="AA5" i="4" s="1"/>
  <c r="D23" i="25" l="1"/>
  <c r="C23" i="25" l="1"/>
  <c r="C22" i="25"/>
  <c r="D22" i="25"/>
  <c r="T117" i="25" l="1"/>
  <c r="P116" i="25"/>
  <c r="M116" i="25"/>
  <c r="J116" i="25"/>
  <c r="T115" i="25"/>
  <c r="Q115" i="25"/>
  <c r="N115" i="25"/>
  <c r="K115" i="25"/>
  <c r="Q114" i="25"/>
  <c r="P114" i="25"/>
  <c r="N114" i="25"/>
  <c r="M114" i="25"/>
  <c r="K114" i="25"/>
  <c r="J114" i="25"/>
  <c r="T113" i="25"/>
  <c r="U112" i="25"/>
  <c r="T112" i="25"/>
  <c r="P112" i="25"/>
  <c r="M112" i="25"/>
  <c r="J112" i="25"/>
  <c r="P110" i="25"/>
  <c r="M110" i="25"/>
  <c r="J110" i="25"/>
  <c r="T108" i="25"/>
  <c r="P108" i="25"/>
  <c r="M108" i="25"/>
  <c r="J108" i="25"/>
  <c r="T107" i="25"/>
  <c r="P106" i="25"/>
  <c r="M106" i="25"/>
  <c r="J106" i="25"/>
  <c r="T105" i="25"/>
  <c r="P104" i="25"/>
  <c r="M104" i="25"/>
  <c r="J104" i="25"/>
  <c r="P102" i="25"/>
  <c r="M102" i="25"/>
  <c r="K102" i="25"/>
  <c r="J102" i="25"/>
  <c r="C102" i="25"/>
  <c r="H99" i="25"/>
  <c r="H116" i="25" s="1"/>
  <c r="G99" i="25"/>
  <c r="G116" i="25" s="1"/>
  <c r="F99" i="25"/>
  <c r="F116" i="25" s="1"/>
  <c r="E99" i="25"/>
  <c r="E116" i="25" s="1"/>
  <c r="D99" i="25"/>
  <c r="D116" i="25" s="1"/>
  <c r="C99" i="25"/>
  <c r="C116" i="25" s="1"/>
  <c r="I97" i="25"/>
  <c r="Q97" i="25" s="1"/>
  <c r="R97" i="25" s="1"/>
  <c r="I95" i="25"/>
  <c r="H89" i="25"/>
  <c r="H114" i="25" s="1"/>
  <c r="G89" i="25"/>
  <c r="G114" i="25" s="1"/>
  <c r="F89" i="25"/>
  <c r="F114" i="25" s="1"/>
  <c r="E89" i="25"/>
  <c r="E114" i="25" s="1"/>
  <c r="D89" i="25"/>
  <c r="D114" i="25" s="1"/>
  <c r="C89" i="25"/>
  <c r="C114" i="25" s="1"/>
  <c r="I87" i="25"/>
  <c r="Q87" i="25" s="1"/>
  <c r="R87" i="25" s="1"/>
  <c r="I84" i="25"/>
  <c r="Q84" i="25" s="1"/>
  <c r="R84" i="25" s="1"/>
  <c r="I81" i="25"/>
  <c r="Q81" i="25" s="1"/>
  <c r="R81" i="25" s="1"/>
  <c r="I79" i="25"/>
  <c r="Q79" i="25" s="1"/>
  <c r="R79" i="25" s="1"/>
  <c r="I77" i="25"/>
  <c r="N77" i="25" s="1"/>
  <c r="O77" i="25" s="1"/>
  <c r="I74" i="25"/>
  <c r="Q74" i="25" s="1"/>
  <c r="R74" i="25" s="1"/>
  <c r="I72" i="25"/>
  <c r="H65" i="25"/>
  <c r="H112" i="25" s="1"/>
  <c r="G65" i="25"/>
  <c r="G112" i="25" s="1"/>
  <c r="F65" i="25"/>
  <c r="F112" i="25" s="1"/>
  <c r="E65" i="25"/>
  <c r="E112" i="25" s="1"/>
  <c r="D65" i="25"/>
  <c r="D112" i="25" s="1"/>
  <c r="C65" i="25"/>
  <c r="C112" i="25" s="1"/>
  <c r="I63" i="25"/>
  <c r="N63" i="25" s="1"/>
  <c r="O63" i="25" s="1"/>
  <c r="I61" i="25"/>
  <c r="Q61" i="25" s="1"/>
  <c r="R61" i="25" s="1"/>
  <c r="I59" i="25"/>
  <c r="Q59" i="25" s="1"/>
  <c r="R59" i="25" s="1"/>
  <c r="I57" i="25"/>
  <c r="N57" i="25" s="1"/>
  <c r="O57" i="25" s="1"/>
  <c r="H51" i="25"/>
  <c r="H110" i="25" s="1"/>
  <c r="G51" i="25"/>
  <c r="G110" i="25" s="1"/>
  <c r="F51" i="25"/>
  <c r="F110" i="25" s="1"/>
  <c r="E51" i="25"/>
  <c r="E110" i="25" s="1"/>
  <c r="D51" i="25"/>
  <c r="D110" i="25" s="1"/>
  <c r="C51" i="25"/>
  <c r="C110" i="25" s="1"/>
  <c r="I49" i="25"/>
  <c r="Q49" i="25" s="1"/>
  <c r="R49" i="25" s="1"/>
  <c r="I47" i="25"/>
  <c r="D45" i="25"/>
  <c r="C45" i="25"/>
  <c r="H39" i="25"/>
  <c r="H108" i="25" s="1"/>
  <c r="G39" i="25"/>
  <c r="G108" i="25" s="1"/>
  <c r="F39" i="25"/>
  <c r="F108" i="25" s="1"/>
  <c r="E39" i="25"/>
  <c r="E108" i="25" s="1"/>
  <c r="D39" i="25"/>
  <c r="D108" i="25" s="1"/>
  <c r="C39" i="25"/>
  <c r="C108" i="25" s="1"/>
  <c r="I37" i="25"/>
  <c r="I39" i="25" s="1"/>
  <c r="I108" i="25" s="1"/>
  <c r="D35" i="25"/>
  <c r="C35" i="25"/>
  <c r="H29" i="25"/>
  <c r="H106" i="25" s="1"/>
  <c r="G29" i="25"/>
  <c r="G106" i="25" s="1"/>
  <c r="F29" i="25"/>
  <c r="F106" i="25" s="1"/>
  <c r="E29" i="25"/>
  <c r="E106" i="25" s="1"/>
  <c r="D29" i="25"/>
  <c r="D106" i="25" s="1"/>
  <c r="C29" i="25"/>
  <c r="C106" i="25" s="1"/>
  <c r="I27" i="25"/>
  <c r="N27" i="25" s="1"/>
  <c r="O27" i="25" s="1"/>
  <c r="I25" i="25"/>
  <c r="D21" i="25"/>
  <c r="C21" i="25"/>
  <c r="H15" i="25"/>
  <c r="H104" i="25" s="1"/>
  <c r="G15" i="25"/>
  <c r="G104" i="25" s="1"/>
  <c r="F15" i="25"/>
  <c r="F104" i="25" s="1"/>
  <c r="E15" i="25"/>
  <c r="E104" i="25" s="1"/>
  <c r="D15" i="25"/>
  <c r="D104" i="25" s="1"/>
  <c r="C15" i="25"/>
  <c r="C104" i="25" s="1"/>
  <c r="I13" i="25"/>
  <c r="Q13" i="25" s="1"/>
  <c r="R13" i="25" s="1"/>
  <c r="I10" i="25"/>
  <c r="Q10" i="25" s="1"/>
  <c r="R10" i="25" s="1"/>
  <c r="T4" i="25"/>
  <c r="T3" i="25"/>
  <c r="N2" i="25"/>
  <c r="N102" i="25" s="1"/>
  <c r="C119" i="25" l="1"/>
  <c r="G119" i="25"/>
  <c r="E119" i="25"/>
  <c r="P22" i="25"/>
  <c r="Q22" i="25" s="1"/>
  <c r="R22" i="25" s="1"/>
  <c r="P23" i="25"/>
  <c r="Q23" i="25" s="1"/>
  <c r="T5" i="25"/>
  <c r="I99" i="25"/>
  <c r="I116" i="25" s="1"/>
  <c r="K97" i="25"/>
  <c r="L97" i="25" s="1"/>
  <c r="N81" i="25"/>
  <c r="O81" i="25" s="1"/>
  <c r="K81" i="25"/>
  <c r="L81" i="25" s="1"/>
  <c r="H119" i="25"/>
  <c r="K63" i="25"/>
  <c r="L63" i="25" s="1"/>
  <c r="Q63" i="25"/>
  <c r="R63" i="25" s="1"/>
  <c r="K57" i="25"/>
  <c r="L57" i="25" s="1"/>
  <c r="Q57" i="25"/>
  <c r="R57" i="25" s="1"/>
  <c r="F119" i="25"/>
  <c r="I51" i="25"/>
  <c r="I110" i="25" s="1"/>
  <c r="K47" i="25"/>
  <c r="L47" i="25" s="1"/>
  <c r="Q47" i="25"/>
  <c r="Q51" i="25" s="1"/>
  <c r="Q110" i="25" s="1"/>
  <c r="N47" i="25"/>
  <c r="O47" i="25" s="1"/>
  <c r="D119" i="25"/>
  <c r="K13" i="25"/>
  <c r="L13" i="25" s="1"/>
  <c r="N13" i="25"/>
  <c r="O13" i="25" s="1"/>
  <c r="Q25" i="25"/>
  <c r="R25" i="25" s="1"/>
  <c r="N95" i="25"/>
  <c r="O95" i="25" s="1"/>
  <c r="K95" i="25"/>
  <c r="L95" i="25" s="1"/>
  <c r="Q95" i="25"/>
  <c r="R95" i="25" s="1"/>
  <c r="R99" i="25" s="1"/>
  <c r="R116" i="25" s="1"/>
  <c r="N87" i="25"/>
  <c r="O87" i="25" s="1"/>
  <c r="K87" i="25"/>
  <c r="L87" i="25" s="1"/>
  <c r="K77" i="25"/>
  <c r="L77" i="25" s="1"/>
  <c r="Q77" i="25"/>
  <c r="R77" i="25" s="1"/>
  <c r="I89" i="25"/>
  <c r="I114" i="25" s="1"/>
  <c r="K72" i="25"/>
  <c r="L72" i="25" s="1"/>
  <c r="Q72" i="25"/>
  <c r="R72" i="25" s="1"/>
  <c r="N72" i="25"/>
  <c r="O72" i="25" s="1"/>
  <c r="P21" i="25"/>
  <c r="Q21" i="25" s="1"/>
  <c r="K27" i="25"/>
  <c r="L27" i="25" s="1"/>
  <c r="Q27" i="25"/>
  <c r="R27" i="25" s="1"/>
  <c r="P35" i="25"/>
  <c r="Q35" i="25" s="1"/>
  <c r="R35" i="25" s="1"/>
  <c r="I15" i="25"/>
  <c r="I29" i="25"/>
  <c r="I106" i="25" s="1"/>
  <c r="K37" i="25"/>
  <c r="N37" i="25"/>
  <c r="Q37" i="25"/>
  <c r="C40" i="25"/>
  <c r="C109" i="25" s="1"/>
  <c r="P45" i="25"/>
  <c r="Q45" i="25" s="1"/>
  <c r="R45" i="25" s="1"/>
  <c r="K49" i="25"/>
  <c r="L49" i="25" s="1"/>
  <c r="N49" i="25"/>
  <c r="O49" i="25" s="1"/>
  <c r="I65" i="25"/>
  <c r="I112" i="25" s="1"/>
  <c r="K59" i="25"/>
  <c r="L59" i="25" s="1"/>
  <c r="N59" i="25"/>
  <c r="O59" i="25" s="1"/>
  <c r="Q2" i="25"/>
  <c r="Q102" i="25" s="1"/>
  <c r="K10" i="25"/>
  <c r="N10" i="25"/>
  <c r="O10" i="25" s="1"/>
  <c r="K25" i="25"/>
  <c r="N25" i="25"/>
  <c r="K61" i="25"/>
  <c r="L61" i="25" s="1"/>
  <c r="N61" i="25"/>
  <c r="O61" i="25" s="1"/>
  <c r="K74" i="25"/>
  <c r="L74" i="25" s="1"/>
  <c r="N74" i="25"/>
  <c r="O74" i="25" s="1"/>
  <c r="K79" i="25"/>
  <c r="L79" i="25" s="1"/>
  <c r="N79" i="25"/>
  <c r="O79" i="25" s="1"/>
  <c r="K84" i="25"/>
  <c r="L84" i="25" s="1"/>
  <c r="N84" i="25"/>
  <c r="O84" i="25" s="1"/>
  <c r="N97" i="25"/>
  <c r="O97" i="25" s="1"/>
  <c r="R65" i="25" l="1"/>
  <c r="R112" i="25" s="1"/>
  <c r="L99" i="25"/>
  <c r="L116" i="25" s="1"/>
  <c r="S84" i="25"/>
  <c r="S81" i="25"/>
  <c r="S13" i="25"/>
  <c r="R23" i="25"/>
  <c r="R21" i="25"/>
  <c r="R29" i="25"/>
  <c r="R106" i="25" s="1"/>
  <c r="Q99" i="25"/>
  <c r="Q116" i="25" s="1"/>
  <c r="S77" i="25"/>
  <c r="S63" i="25"/>
  <c r="L65" i="25"/>
  <c r="L112" i="25" s="1"/>
  <c r="Q65" i="25"/>
  <c r="Q112" i="25" s="1"/>
  <c r="S57" i="25"/>
  <c r="S49" i="25"/>
  <c r="N51" i="25"/>
  <c r="N110" i="25" s="1"/>
  <c r="R47" i="25"/>
  <c r="R51" i="25" s="1"/>
  <c r="R110" i="25" s="1"/>
  <c r="O65" i="25"/>
  <c r="O112" i="25" s="1"/>
  <c r="S87" i="25"/>
  <c r="K99" i="25"/>
  <c r="K116" i="25" s="1"/>
  <c r="S95" i="25"/>
  <c r="O99" i="25"/>
  <c r="O116" i="25" s="1"/>
  <c r="S79" i="25"/>
  <c r="S74" i="25"/>
  <c r="R89" i="25"/>
  <c r="R114" i="25" s="1"/>
  <c r="S72" i="25"/>
  <c r="O89" i="25"/>
  <c r="O114" i="25" s="1"/>
  <c r="S27" i="25"/>
  <c r="Q29" i="25"/>
  <c r="Q106" i="25" s="1"/>
  <c r="N29" i="25"/>
  <c r="N106" i="25" s="1"/>
  <c r="O25" i="25"/>
  <c r="O29" i="25" s="1"/>
  <c r="O106" i="25" s="1"/>
  <c r="K15" i="25"/>
  <c r="K104" i="25" s="1"/>
  <c r="L10" i="25"/>
  <c r="S47" i="25"/>
  <c r="L51" i="25"/>
  <c r="Q39" i="25"/>
  <c r="Q108" i="25" s="1"/>
  <c r="R37" i="25"/>
  <c r="R39" i="25" s="1"/>
  <c r="R108" i="25" s="1"/>
  <c r="K39" i="25"/>
  <c r="K108" i="25" s="1"/>
  <c r="L37" i="25"/>
  <c r="K29" i="25"/>
  <c r="K106" i="25" s="1"/>
  <c r="L25" i="25"/>
  <c r="N39" i="25"/>
  <c r="N108" i="25" s="1"/>
  <c r="O37" i="25"/>
  <c r="O39" i="25" s="1"/>
  <c r="O108" i="25" s="1"/>
  <c r="I104" i="25"/>
  <c r="I119" i="25" s="1"/>
  <c r="Q15" i="25"/>
  <c r="N15" i="25"/>
  <c r="N65" i="25"/>
  <c r="N112" i="25" s="1"/>
  <c r="K51" i="25"/>
  <c r="K110" i="25" s="1"/>
  <c r="S61" i="25"/>
  <c r="N99" i="25"/>
  <c r="N116" i="25" s="1"/>
  <c r="S97" i="25"/>
  <c r="K65" i="25"/>
  <c r="K112" i="25" s="1"/>
  <c r="L89" i="25"/>
  <c r="S59" i="25"/>
  <c r="O51" i="25"/>
  <c r="O110" i="25" s="1"/>
  <c r="S65" i="25" l="1"/>
  <c r="S112" i="25" s="1"/>
  <c r="S99" i="25"/>
  <c r="S116" i="25" s="1"/>
  <c r="Q104" i="25"/>
  <c r="Q119" i="25" s="1"/>
  <c r="R15" i="25"/>
  <c r="R104" i="25" s="1"/>
  <c r="R119" i="25" s="1"/>
  <c r="K119" i="25"/>
  <c r="L114" i="25"/>
  <c r="S89" i="25"/>
  <c r="S114" i="25" s="1"/>
  <c r="N104" i="25"/>
  <c r="N119" i="25" s="1"/>
  <c r="O15" i="25"/>
  <c r="O104" i="25" s="1"/>
  <c r="O119" i="25" s="1"/>
  <c r="S25" i="25"/>
  <c r="L29" i="25"/>
  <c r="L39" i="25"/>
  <c r="L108" i="25" s="1"/>
  <c r="S37" i="25"/>
  <c r="S39" i="25" s="1"/>
  <c r="S108" i="25" s="1"/>
  <c r="L110" i="25"/>
  <c r="S51" i="25"/>
  <c r="S110" i="25" s="1"/>
  <c r="S10" i="25"/>
  <c r="L15" i="25"/>
  <c r="L104" i="25" l="1"/>
  <c r="S15" i="25"/>
  <c r="S104" i="25" s="1"/>
  <c r="L106" i="25"/>
  <c r="S29" i="25"/>
  <c r="S106" i="25" s="1"/>
  <c r="L119" i="25" l="1"/>
  <c r="S119" i="25"/>
  <c r="I13" i="9" l="1"/>
  <c r="K13" i="9" s="1"/>
  <c r="L13" i="9" s="1"/>
  <c r="I13" i="10"/>
  <c r="K13" i="10" s="1"/>
  <c r="L13" i="10" s="1"/>
  <c r="I13" i="1"/>
  <c r="K13" i="1" s="1"/>
  <c r="L13" i="1" s="1"/>
  <c r="I13" i="11"/>
  <c r="H20" i="7"/>
  <c r="J20" i="7" s="1"/>
  <c r="K20" i="7" s="1"/>
  <c r="I22" i="15"/>
  <c r="K22" i="15" s="1"/>
  <c r="I17" i="24"/>
  <c r="E56" i="21"/>
  <c r="E5" i="23" s="1"/>
  <c r="I26" i="9"/>
  <c r="K26" i="9" s="1"/>
  <c r="I26" i="10"/>
  <c r="K26" i="10" s="1"/>
  <c r="I26" i="1"/>
  <c r="N26" i="1" s="1"/>
  <c r="O26" i="1" s="1"/>
  <c r="I27" i="11"/>
  <c r="K27" i="11" s="1"/>
  <c r="L27" i="11" s="1"/>
  <c r="H33" i="7"/>
  <c r="I39" i="15"/>
  <c r="I41" i="15"/>
  <c r="K41" i="15" s="1"/>
  <c r="L41" i="15" s="1"/>
  <c r="E57" i="21"/>
  <c r="E6" i="23" s="1"/>
  <c r="D21" i="9"/>
  <c r="C21" i="9"/>
  <c r="D21" i="10"/>
  <c r="C21" i="10"/>
  <c r="D21" i="1"/>
  <c r="C21" i="1"/>
  <c r="D21" i="11"/>
  <c r="D22" i="11" s="1"/>
  <c r="C21" i="11"/>
  <c r="C22" i="11" s="1"/>
  <c r="D23" i="11"/>
  <c r="C23" i="11"/>
  <c r="C28" i="7"/>
  <c r="B28" i="7"/>
  <c r="D30" i="15"/>
  <c r="C30" i="15"/>
  <c r="D32" i="15"/>
  <c r="D34" i="15"/>
  <c r="C34" i="15"/>
  <c r="D25" i="24"/>
  <c r="C25" i="24"/>
  <c r="C26" i="24" s="1"/>
  <c r="C27" i="24" s="1"/>
  <c r="D26" i="24"/>
  <c r="D27" i="24" s="1"/>
  <c r="D28" i="24" s="1"/>
  <c r="C28" i="24"/>
  <c r="D29" i="24"/>
  <c r="C29" i="24"/>
  <c r="C30" i="24" s="1"/>
  <c r="D30" i="24"/>
  <c r="D31" i="24"/>
  <c r="D32" i="24"/>
  <c r="D33" i="24"/>
  <c r="C33" i="24"/>
  <c r="D34" i="24"/>
  <c r="D35" i="24"/>
  <c r="C35" i="24"/>
  <c r="D27" i="20"/>
  <c r="C27" i="20"/>
  <c r="D28" i="20"/>
  <c r="C28" i="20"/>
  <c r="D29" i="20"/>
  <c r="C29" i="20"/>
  <c r="D31" i="20"/>
  <c r="C31" i="20"/>
  <c r="D32" i="20"/>
  <c r="C32" i="20"/>
  <c r="D33" i="20"/>
  <c r="C33" i="20"/>
  <c r="D34" i="20"/>
  <c r="C34" i="20"/>
  <c r="D36" i="20"/>
  <c r="C36" i="20"/>
  <c r="D37" i="20"/>
  <c r="C37" i="20"/>
  <c r="D38" i="20"/>
  <c r="C38" i="20"/>
  <c r="D39" i="20"/>
  <c r="K49" i="20"/>
  <c r="L49" i="20" s="1"/>
  <c r="D34" i="9"/>
  <c r="C34" i="9"/>
  <c r="D34" i="10"/>
  <c r="C34" i="10"/>
  <c r="D34" i="1"/>
  <c r="C34" i="1"/>
  <c r="K50" i="20"/>
  <c r="L50" i="20" s="1"/>
  <c r="N50" i="20"/>
  <c r="O50" i="20" s="1"/>
  <c r="Q50" i="20"/>
  <c r="R50" i="20" s="1"/>
  <c r="D35" i="11"/>
  <c r="C35" i="11"/>
  <c r="C36" i="11"/>
  <c r="C41" i="7"/>
  <c r="B41" i="7"/>
  <c r="D49" i="15"/>
  <c r="D50" i="15"/>
  <c r="D56" i="24"/>
  <c r="C56" i="24"/>
  <c r="D46" i="20"/>
  <c r="C46" i="20"/>
  <c r="D47" i="20"/>
  <c r="C47" i="20"/>
  <c r="C37" i="11"/>
  <c r="D20" i="22"/>
  <c r="C20" i="22"/>
  <c r="D51" i="15"/>
  <c r="D57" i="24"/>
  <c r="C57" i="24"/>
  <c r="D58" i="24"/>
  <c r="C58" i="24"/>
  <c r="D59" i="24"/>
  <c r="C59" i="24"/>
  <c r="I48" i="9"/>
  <c r="K48" i="9" s="1"/>
  <c r="L48" i="9" s="1"/>
  <c r="I48" i="10"/>
  <c r="K48" i="10" s="1"/>
  <c r="L48" i="10" s="1"/>
  <c r="I48" i="1"/>
  <c r="K48" i="1" s="1"/>
  <c r="L48" i="1" s="1"/>
  <c r="I51" i="11"/>
  <c r="K51" i="11" s="1"/>
  <c r="D44" i="9"/>
  <c r="C44" i="9"/>
  <c r="D44" i="10"/>
  <c r="C44" i="10"/>
  <c r="D44" i="1"/>
  <c r="C44" i="1"/>
  <c r="D47" i="11"/>
  <c r="C47" i="11"/>
  <c r="C51" i="7"/>
  <c r="B51" i="7"/>
  <c r="D67" i="15"/>
  <c r="C67" i="15"/>
  <c r="D68" i="15"/>
  <c r="C68" i="15"/>
  <c r="P78" i="24"/>
  <c r="Q78" i="24" s="1"/>
  <c r="P79" i="24"/>
  <c r="Q79" i="24" s="1"/>
  <c r="R79" i="24" s="1"/>
  <c r="P80" i="24"/>
  <c r="Q80" i="24" s="1"/>
  <c r="R80" i="24" s="1"/>
  <c r="P81" i="24"/>
  <c r="Q81" i="24" s="1"/>
  <c r="R81" i="24" s="1"/>
  <c r="P82" i="24"/>
  <c r="Q82" i="24" s="1"/>
  <c r="R82" i="24" s="1"/>
  <c r="E60" i="21"/>
  <c r="E9" i="23" s="1"/>
  <c r="F60" i="21"/>
  <c r="F9" i="23" s="1"/>
  <c r="I86" i="9"/>
  <c r="K86" i="9" s="1"/>
  <c r="L86" i="9" s="1"/>
  <c r="I83" i="9"/>
  <c r="I73" i="9"/>
  <c r="I86" i="10"/>
  <c r="I83" i="10"/>
  <c r="K83" i="10" s="1"/>
  <c r="L83" i="10" s="1"/>
  <c r="I73" i="10"/>
  <c r="I86" i="1"/>
  <c r="K86" i="1" s="1"/>
  <c r="L86" i="1" s="1"/>
  <c r="I83" i="1"/>
  <c r="K83" i="1" s="1"/>
  <c r="I73" i="1"/>
  <c r="I77" i="11"/>
  <c r="K77" i="11" s="1"/>
  <c r="I79" i="11"/>
  <c r="K79" i="11" s="1"/>
  <c r="L79" i="11" s="1"/>
  <c r="I82" i="11"/>
  <c r="K82" i="11" s="1"/>
  <c r="L82" i="11" s="1"/>
  <c r="I85" i="11"/>
  <c r="K85" i="11" s="1"/>
  <c r="L85" i="11" s="1"/>
  <c r="N77" i="11"/>
  <c r="O77" i="11" s="1"/>
  <c r="N79" i="11"/>
  <c r="O79" i="11" s="1"/>
  <c r="N82" i="11"/>
  <c r="O82" i="11" s="1"/>
  <c r="N85" i="11"/>
  <c r="O85" i="11" s="1"/>
  <c r="Q77" i="11"/>
  <c r="R77" i="11" s="1"/>
  <c r="Q79" i="11"/>
  <c r="R79" i="11" s="1"/>
  <c r="Q82" i="11"/>
  <c r="R82" i="11" s="1"/>
  <c r="I114" i="15"/>
  <c r="K114" i="15" s="1"/>
  <c r="L114" i="15" s="1"/>
  <c r="I118" i="15"/>
  <c r="K118" i="15" s="1"/>
  <c r="L118" i="15" s="1"/>
  <c r="I122" i="15"/>
  <c r="K122" i="15" s="1"/>
  <c r="L122" i="15" s="1"/>
  <c r="I125" i="15"/>
  <c r="I128" i="15"/>
  <c r="K128" i="15" s="1"/>
  <c r="L128" i="15" s="1"/>
  <c r="N118" i="15"/>
  <c r="O118" i="15" s="1"/>
  <c r="Q114" i="15"/>
  <c r="R114" i="15" s="1"/>
  <c r="Q118" i="15"/>
  <c r="R118" i="15" s="1"/>
  <c r="Q128" i="15"/>
  <c r="R128" i="15" s="1"/>
  <c r="I193" i="24"/>
  <c r="K193" i="24" s="1"/>
  <c r="L193" i="24" s="1"/>
  <c r="I196" i="24"/>
  <c r="K196" i="24" s="1"/>
  <c r="L196" i="24" s="1"/>
  <c r="D108" i="15"/>
  <c r="C108" i="15"/>
  <c r="D109" i="15"/>
  <c r="D153" i="24"/>
  <c r="D154" i="24"/>
  <c r="C154" i="24"/>
  <c r="C75" i="20"/>
  <c r="C76" i="20"/>
  <c r="I96" i="9"/>
  <c r="K96" i="9" s="1"/>
  <c r="I96" i="10"/>
  <c r="N96" i="10" s="1"/>
  <c r="I96" i="1"/>
  <c r="K96" i="1" s="1"/>
  <c r="I95" i="11"/>
  <c r="N95" i="11" s="1"/>
  <c r="I139" i="15"/>
  <c r="N139" i="15" s="1"/>
  <c r="O139" i="15" s="1"/>
  <c r="I142" i="15"/>
  <c r="I144" i="15"/>
  <c r="N144" i="15"/>
  <c r="O144" i="15" s="1"/>
  <c r="E62" i="21"/>
  <c r="E11" i="23" s="1"/>
  <c r="F62" i="21"/>
  <c r="F11" i="23" s="1"/>
  <c r="L32" i="21"/>
  <c r="L33" i="21"/>
  <c r="L35" i="21"/>
  <c r="L36" i="21"/>
  <c r="L37" i="21"/>
  <c r="L38" i="21"/>
  <c r="H39" i="21"/>
  <c r="I39" i="21"/>
  <c r="J39" i="21"/>
  <c r="G47" i="21"/>
  <c r="G50" i="21"/>
  <c r="N2" i="20"/>
  <c r="Q2" i="20" s="1"/>
  <c r="Q85" i="20" s="1"/>
  <c r="T3" i="20"/>
  <c r="T4" i="20"/>
  <c r="L6" i="20"/>
  <c r="O6" i="20"/>
  <c r="O8" i="20" s="1"/>
  <c r="R6" i="20"/>
  <c r="R8" i="20" s="1"/>
  <c r="L16" i="20"/>
  <c r="O16" i="20"/>
  <c r="R16" i="20"/>
  <c r="I17" i="20"/>
  <c r="L18" i="20"/>
  <c r="O18" i="20"/>
  <c r="R18" i="20"/>
  <c r="I19" i="20"/>
  <c r="I20" i="20"/>
  <c r="I22" i="20" s="1"/>
  <c r="I88" i="20" s="1"/>
  <c r="I21" i="20"/>
  <c r="L21" i="20" s="1"/>
  <c r="B27" i="20"/>
  <c r="B28" i="20"/>
  <c r="B29" i="20"/>
  <c r="B31" i="20"/>
  <c r="B32" i="20"/>
  <c r="B33" i="20"/>
  <c r="B34" i="20"/>
  <c r="B36" i="20"/>
  <c r="B37" i="20"/>
  <c r="B38" i="20"/>
  <c r="B39" i="20"/>
  <c r="B46" i="20"/>
  <c r="B47" i="20"/>
  <c r="U48" i="20"/>
  <c r="I52" i="20"/>
  <c r="J52" i="20" s="1"/>
  <c r="J54" i="20" s="1"/>
  <c r="J91" i="20" s="1"/>
  <c r="M52" i="20"/>
  <c r="M54" i="20" s="1"/>
  <c r="M91" i="20" s="1"/>
  <c r="C54" i="20"/>
  <c r="C55" i="20" s="1"/>
  <c r="C92" i="20" s="1"/>
  <c r="D54" i="20"/>
  <c r="D55" i="20" s="1"/>
  <c r="D92" i="20" s="1"/>
  <c r="E54" i="20"/>
  <c r="F54" i="20"/>
  <c r="G54" i="20"/>
  <c r="G55" i="20" s="1"/>
  <c r="G92" i="20" s="1"/>
  <c r="H54" i="20"/>
  <c r="H55" i="20"/>
  <c r="H92" i="20" s="1"/>
  <c r="I65" i="20"/>
  <c r="M65" i="20" s="1"/>
  <c r="M67" i="20" s="1"/>
  <c r="M95" i="20" s="1"/>
  <c r="C67" i="20"/>
  <c r="C95" i="20" s="1"/>
  <c r="D67" i="20"/>
  <c r="D95" i="20" s="1"/>
  <c r="E67" i="20"/>
  <c r="F67" i="20"/>
  <c r="G67" i="20"/>
  <c r="G95" i="20" s="1"/>
  <c r="H67" i="20"/>
  <c r="H95" i="20" s="1"/>
  <c r="B74" i="20"/>
  <c r="C74" i="20"/>
  <c r="D74" i="20"/>
  <c r="B75" i="20"/>
  <c r="D75" i="20"/>
  <c r="B76" i="20"/>
  <c r="D76" i="20"/>
  <c r="S77" i="20"/>
  <c r="S82" i="20"/>
  <c r="S83" i="20"/>
  <c r="S100" i="20" s="1"/>
  <c r="C85" i="20"/>
  <c r="J85" i="20"/>
  <c r="K85" i="20"/>
  <c r="M85" i="20"/>
  <c r="N85" i="20"/>
  <c r="P85" i="20"/>
  <c r="C87" i="20"/>
  <c r="D87" i="20"/>
  <c r="E87" i="20"/>
  <c r="F87" i="20"/>
  <c r="G87" i="20"/>
  <c r="H87" i="20"/>
  <c r="M87" i="20"/>
  <c r="N87" i="20"/>
  <c r="P87" i="20"/>
  <c r="Q87" i="20"/>
  <c r="C88" i="20"/>
  <c r="D88" i="20"/>
  <c r="E88" i="20"/>
  <c r="F88" i="20"/>
  <c r="G88" i="20"/>
  <c r="H88" i="20"/>
  <c r="M88" i="20"/>
  <c r="N88" i="20"/>
  <c r="P88" i="20"/>
  <c r="Q88" i="20"/>
  <c r="T88" i="20"/>
  <c r="C89" i="20"/>
  <c r="D89" i="20"/>
  <c r="E89" i="20"/>
  <c r="F89" i="20"/>
  <c r="G89" i="20"/>
  <c r="H89" i="20"/>
  <c r="I89" i="20"/>
  <c r="J89" i="20"/>
  <c r="K89" i="20"/>
  <c r="L89" i="20"/>
  <c r="M89" i="20"/>
  <c r="N89" i="20"/>
  <c r="O89" i="20"/>
  <c r="P89" i="20"/>
  <c r="Q89" i="20"/>
  <c r="R89" i="20"/>
  <c r="S89" i="20"/>
  <c r="C90" i="20"/>
  <c r="D90" i="20"/>
  <c r="E90" i="20"/>
  <c r="F90" i="20"/>
  <c r="G90" i="20"/>
  <c r="H90" i="20"/>
  <c r="I90" i="20"/>
  <c r="J90" i="20"/>
  <c r="M90" i="20"/>
  <c r="P90" i="20"/>
  <c r="S90" i="20"/>
  <c r="T90" i="20"/>
  <c r="C91" i="20"/>
  <c r="D91" i="20"/>
  <c r="G91" i="20"/>
  <c r="H91" i="20"/>
  <c r="T91" i="20"/>
  <c r="U91" i="20"/>
  <c r="C93" i="20"/>
  <c r="D93" i="20"/>
  <c r="E93" i="20"/>
  <c r="F93" i="20"/>
  <c r="G93" i="20"/>
  <c r="H93" i="20"/>
  <c r="I93" i="20"/>
  <c r="J93" i="20"/>
  <c r="K93" i="20"/>
  <c r="L93" i="20"/>
  <c r="M93" i="20"/>
  <c r="N93" i="20"/>
  <c r="O93" i="20"/>
  <c r="P93" i="20"/>
  <c r="Q93" i="20"/>
  <c r="R93" i="20"/>
  <c r="S93" i="20"/>
  <c r="C94" i="20"/>
  <c r="D94" i="20"/>
  <c r="E94" i="20"/>
  <c r="F94" i="20"/>
  <c r="G94" i="20"/>
  <c r="H94" i="20"/>
  <c r="I94" i="20"/>
  <c r="J94" i="20"/>
  <c r="K94" i="20"/>
  <c r="L94" i="20"/>
  <c r="M94" i="20"/>
  <c r="N94" i="20"/>
  <c r="O94" i="20"/>
  <c r="P94" i="20"/>
  <c r="Q94" i="20"/>
  <c r="R94" i="20"/>
  <c r="S94" i="20"/>
  <c r="T94" i="20"/>
  <c r="E95" i="20"/>
  <c r="F95" i="20"/>
  <c r="T95" i="20"/>
  <c r="U95" i="20"/>
  <c r="T96" i="20"/>
  <c r="C97" i="20"/>
  <c r="D97" i="20"/>
  <c r="E97" i="20"/>
  <c r="F97" i="20"/>
  <c r="G97" i="20"/>
  <c r="H97" i="20"/>
  <c r="I97" i="20"/>
  <c r="J97" i="20"/>
  <c r="K97" i="20"/>
  <c r="L97" i="20"/>
  <c r="M97" i="20"/>
  <c r="N97" i="20"/>
  <c r="O97" i="20"/>
  <c r="P97" i="20"/>
  <c r="Q97" i="20"/>
  <c r="R97" i="20"/>
  <c r="C98" i="20"/>
  <c r="D98" i="20"/>
  <c r="E98" i="20"/>
  <c r="F98" i="20"/>
  <c r="G98" i="20"/>
  <c r="H98" i="20"/>
  <c r="I98" i="20"/>
  <c r="T98" i="20"/>
  <c r="C99" i="20"/>
  <c r="D99" i="20"/>
  <c r="E99" i="20"/>
  <c r="F99" i="20"/>
  <c r="G99" i="20"/>
  <c r="H99" i="20"/>
  <c r="I99" i="20"/>
  <c r="J99" i="20"/>
  <c r="K99" i="20"/>
  <c r="L99" i="20"/>
  <c r="M99" i="20"/>
  <c r="N99" i="20"/>
  <c r="O99" i="20"/>
  <c r="P99" i="20"/>
  <c r="Q99" i="20"/>
  <c r="R99" i="20"/>
  <c r="S99" i="20"/>
  <c r="C100" i="20"/>
  <c r="D100" i="20"/>
  <c r="E100" i="20"/>
  <c r="F100" i="20"/>
  <c r="G100" i="20"/>
  <c r="H100" i="20"/>
  <c r="I100" i="20"/>
  <c r="J100" i="20"/>
  <c r="K100" i="20"/>
  <c r="L100" i="20"/>
  <c r="M100" i="20"/>
  <c r="N100" i="20"/>
  <c r="O100" i="20"/>
  <c r="P100" i="20"/>
  <c r="Q100" i="20"/>
  <c r="R100" i="20"/>
  <c r="T100" i="20"/>
  <c r="N2" i="22"/>
  <c r="Q2" i="22" s="1"/>
  <c r="Q45" i="22" s="1"/>
  <c r="T3" i="22"/>
  <c r="T4" i="22"/>
  <c r="L5" i="22"/>
  <c r="O5" i="22"/>
  <c r="R5" i="22"/>
  <c r="B20" i="22"/>
  <c r="S22" i="22"/>
  <c r="S52" i="22" s="1"/>
  <c r="S63" i="22" s="1"/>
  <c r="T22" i="22"/>
  <c r="T52" i="22" s="1"/>
  <c r="T63" i="22" s="1"/>
  <c r="C45" i="22"/>
  <c r="J45" i="22"/>
  <c r="K45" i="22"/>
  <c r="M45" i="22"/>
  <c r="P45" i="22"/>
  <c r="C47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C48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C49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C50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C51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C52" i="22"/>
  <c r="D52" i="22"/>
  <c r="E52" i="22"/>
  <c r="F52" i="22"/>
  <c r="G52" i="22"/>
  <c r="H52" i="22"/>
  <c r="I52" i="22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C54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C56" i="22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C57" i="22"/>
  <c r="D57" i="22"/>
  <c r="E57" i="22"/>
  <c r="F57" i="22"/>
  <c r="G57" i="22"/>
  <c r="H57" i="22"/>
  <c r="I57" i="22"/>
  <c r="J57" i="22"/>
  <c r="K57" i="22"/>
  <c r="L57" i="22"/>
  <c r="M57" i="22"/>
  <c r="N57" i="22"/>
  <c r="O57" i="22"/>
  <c r="P57" i="22"/>
  <c r="Q57" i="22"/>
  <c r="R57" i="22"/>
  <c r="S57" i="22"/>
  <c r="C58" i="22"/>
  <c r="D58" i="22"/>
  <c r="E58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C59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C60" i="22"/>
  <c r="D60" i="22"/>
  <c r="E60" i="22"/>
  <c r="F60" i="22"/>
  <c r="G60" i="22"/>
  <c r="H60" i="22"/>
  <c r="I60" i="22"/>
  <c r="J60" i="22"/>
  <c r="K60" i="22"/>
  <c r="L60" i="22"/>
  <c r="M60" i="22"/>
  <c r="N60" i="22"/>
  <c r="O60" i="22"/>
  <c r="P60" i="22"/>
  <c r="Q60" i="22"/>
  <c r="R60" i="22"/>
  <c r="S60" i="22"/>
  <c r="T60" i="22"/>
  <c r="G62" i="22"/>
  <c r="N2" i="19"/>
  <c r="T3" i="19"/>
  <c r="T4" i="19"/>
  <c r="L5" i="19"/>
  <c r="O5" i="19"/>
  <c r="R5" i="19"/>
  <c r="I10" i="19"/>
  <c r="K10" i="19" s="1"/>
  <c r="L10" i="19" s="1"/>
  <c r="I13" i="19"/>
  <c r="K13" i="19" s="1"/>
  <c r="L13" i="19" s="1"/>
  <c r="C15" i="19"/>
  <c r="D15" i="19"/>
  <c r="E15" i="19"/>
  <c r="E108" i="19" s="1"/>
  <c r="F15" i="19"/>
  <c r="F108" i="19" s="1"/>
  <c r="G15" i="19"/>
  <c r="H15" i="19"/>
  <c r="C21" i="19"/>
  <c r="D21" i="19"/>
  <c r="I24" i="19"/>
  <c r="I26" i="19"/>
  <c r="K26" i="19" s="1"/>
  <c r="L26" i="19" s="1"/>
  <c r="C28" i="19"/>
  <c r="D28" i="19"/>
  <c r="E28" i="19"/>
  <c r="F28" i="19"/>
  <c r="G28" i="19"/>
  <c r="H28" i="19"/>
  <c r="C34" i="19"/>
  <c r="D34" i="19"/>
  <c r="B35" i="19"/>
  <c r="C35" i="19"/>
  <c r="D35" i="19"/>
  <c r="B36" i="19"/>
  <c r="C36" i="19"/>
  <c r="D36" i="19"/>
  <c r="B37" i="19"/>
  <c r="D37" i="19"/>
  <c r="B39" i="19"/>
  <c r="C39" i="19"/>
  <c r="D39" i="19"/>
  <c r="B40" i="19"/>
  <c r="C40" i="19"/>
  <c r="D40" i="19"/>
  <c r="I42" i="19"/>
  <c r="K42" i="19" s="1"/>
  <c r="L42" i="19" s="1"/>
  <c r="L44" i="19" s="1"/>
  <c r="L112" i="19" s="1"/>
  <c r="C44" i="19"/>
  <c r="C45" i="19" s="1"/>
  <c r="C113" i="19" s="1"/>
  <c r="D44" i="19"/>
  <c r="E44" i="19"/>
  <c r="F44" i="19"/>
  <c r="F45" i="19" s="1"/>
  <c r="F113" i="19" s="1"/>
  <c r="G44" i="19"/>
  <c r="H44" i="19"/>
  <c r="E45" i="19"/>
  <c r="E113" i="19" s="1"/>
  <c r="G45" i="19"/>
  <c r="C50" i="19"/>
  <c r="D50" i="19"/>
  <c r="I52" i="19"/>
  <c r="K52" i="19" s="1"/>
  <c r="L52" i="19" s="1"/>
  <c r="I54" i="19"/>
  <c r="K54" i="19" s="1"/>
  <c r="L54" i="19" s="1"/>
  <c r="N54" i="19" s="1"/>
  <c r="O54" i="19" s="1"/>
  <c r="Q54" i="19" s="1"/>
  <c r="R54" i="19" s="1"/>
  <c r="I56" i="19"/>
  <c r="K56" i="19"/>
  <c r="L56" i="19" s="1"/>
  <c r="N56" i="19"/>
  <c r="O56" i="19" s="1"/>
  <c r="Q56" i="19"/>
  <c r="R56" i="19" s="1"/>
  <c r="C58" i="19"/>
  <c r="D58" i="19"/>
  <c r="D114" i="19" s="1"/>
  <c r="E58" i="19"/>
  <c r="E114" i="19" s="1"/>
  <c r="F58" i="19"/>
  <c r="G58" i="19"/>
  <c r="H58" i="19"/>
  <c r="H114" i="19" s="1"/>
  <c r="I58" i="19"/>
  <c r="I114" i="19" s="1"/>
  <c r="I64" i="19"/>
  <c r="K64" i="19" s="1"/>
  <c r="I66" i="19"/>
  <c r="K66" i="19"/>
  <c r="L66" i="19" s="1"/>
  <c r="I68" i="19"/>
  <c r="I70" i="19"/>
  <c r="K70" i="19" s="1"/>
  <c r="L70" i="19" s="1"/>
  <c r="C72" i="19"/>
  <c r="C116" i="19" s="1"/>
  <c r="D72" i="19"/>
  <c r="E72" i="19"/>
  <c r="E116" i="19" s="1"/>
  <c r="F72" i="19"/>
  <c r="G72" i="19"/>
  <c r="G116" i="19" s="1"/>
  <c r="H72" i="19"/>
  <c r="B79" i="19"/>
  <c r="C79" i="19"/>
  <c r="D79" i="19"/>
  <c r="I81" i="19"/>
  <c r="N81" i="19" s="1"/>
  <c r="O81" i="19" s="1"/>
  <c r="K81" i="19"/>
  <c r="L81" i="19" s="1"/>
  <c r="I83" i="19"/>
  <c r="K83" i="19" s="1"/>
  <c r="L83" i="19" s="1"/>
  <c r="I85" i="19"/>
  <c r="I88" i="19"/>
  <c r="K88" i="19" s="1"/>
  <c r="L88" i="19" s="1"/>
  <c r="I91" i="19"/>
  <c r="K91" i="19" s="1"/>
  <c r="L91" i="19" s="1"/>
  <c r="C93" i="19"/>
  <c r="C118" i="19" s="1"/>
  <c r="D93" i="19"/>
  <c r="E93" i="19"/>
  <c r="E118" i="19" s="1"/>
  <c r="F93" i="19"/>
  <c r="F118" i="19" s="1"/>
  <c r="G93" i="19"/>
  <c r="G118" i="19" s="1"/>
  <c r="H93" i="19"/>
  <c r="I99" i="19"/>
  <c r="K99" i="19" s="1"/>
  <c r="L99" i="19" s="1"/>
  <c r="I101" i="19"/>
  <c r="K101" i="19" s="1"/>
  <c r="L101" i="19" s="1"/>
  <c r="C103" i="19"/>
  <c r="C120" i="19" s="1"/>
  <c r="D103" i="19"/>
  <c r="E103" i="19"/>
  <c r="E120" i="19" s="1"/>
  <c r="F103" i="19"/>
  <c r="F120" i="19" s="1"/>
  <c r="G103" i="19"/>
  <c r="G120" i="19" s="1"/>
  <c r="H103" i="19"/>
  <c r="C106" i="19"/>
  <c r="J106" i="19"/>
  <c r="K106" i="19"/>
  <c r="M106" i="19"/>
  <c r="P106" i="19"/>
  <c r="C108" i="19"/>
  <c r="D108" i="19"/>
  <c r="G108" i="19"/>
  <c r="H108" i="19"/>
  <c r="J108" i="19"/>
  <c r="M108" i="19"/>
  <c r="P108" i="19"/>
  <c r="T109" i="19"/>
  <c r="C110" i="19"/>
  <c r="D110" i="19"/>
  <c r="E110" i="19"/>
  <c r="F110" i="19"/>
  <c r="G110" i="19"/>
  <c r="H110" i="19"/>
  <c r="J110" i="19"/>
  <c r="M110" i="19"/>
  <c r="P110" i="19"/>
  <c r="K111" i="19"/>
  <c r="N111" i="19"/>
  <c r="Q111" i="19"/>
  <c r="T111" i="19"/>
  <c r="C112" i="19"/>
  <c r="E112" i="19"/>
  <c r="F112" i="19"/>
  <c r="G112" i="19"/>
  <c r="J112" i="19"/>
  <c r="M112" i="19"/>
  <c r="P112" i="19"/>
  <c r="T112" i="19"/>
  <c r="G113" i="19"/>
  <c r="C114" i="19"/>
  <c r="F114" i="19"/>
  <c r="G114" i="19"/>
  <c r="J114" i="19"/>
  <c r="M114" i="19"/>
  <c r="P114" i="19"/>
  <c r="D116" i="19"/>
  <c r="F116" i="19"/>
  <c r="H116" i="19"/>
  <c r="J116" i="19"/>
  <c r="M116" i="19"/>
  <c r="P116" i="19"/>
  <c r="T116" i="19"/>
  <c r="U116" i="19"/>
  <c r="T117" i="19"/>
  <c r="D118" i="19"/>
  <c r="H118" i="19"/>
  <c r="J118" i="19"/>
  <c r="K118" i="19"/>
  <c r="M118" i="19"/>
  <c r="N118" i="19"/>
  <c r="P118" i="19"/>
  <c r="Q118" i="19"/>
  <c r="D120" i="19"/>
  <c r="H120" i="19"/>
  <c r="J120" i="19"/>
  <c r="M120" i="19"/>
  <c r="P120" i="19"/>
  <c r="T121" i="19"/>
  <c r="N2" i="18"/>
  <c r="T3" i="18"/>
  <c r="T4" i="18"/>
  <c r="L5" i="18"/>
  <c r="O5" i="18"/>
  <c r="R5" i="18"/>
  <c r="I10" i="18"/>
  <c r="K10" i="18" s="1"/>
  <c r="L10" i="18" s="1"/>
  <c r="I13" i="18"/>
  <c r="K13" i="18" s="1"/>
  <c r="L13" i="18" s="1"/>
  <c r="C15" i="18"/>
  <c r="C108" i="18" s="1"/>
  <c r="D15" i="18"/>
  <c r="D108" i="18" s="1"/>
  <c r="E15" i="18"/>
  <c r="F15" i="18"/>
  <c r="G15" i="18"/>
  <c r="G108" i="18" s="1"/>
  <c r="H15" i="18"/>
  <c r="H108" i="18" s="1"/>
  <c r="C21" i="18"/>
  <c r="D21" i="18"/>
  <c r="I24" i="18"/>
  <c r="I26" i="18"/>
  <c r="K26" i="18" s="1"/>
  <c r="L26" i="18" s="1"/>
  <c r="C28" i="18"/>
  <c r="D28" i="18"/>
  <c r="D110" i="18" s="1"/>
  <c r="E28" i="18"/>
  <c r="E110" i="18" s="1"/>
  <c r="F28" i="18"/>
  <c r="G28" i="18"/>
  <c r="H28" i="18"/>
  <c r="H110" i="18" s="1"/>
  <c r="C34" i="18"/>
  <c r="D34" i="18"/>
  <c r="B35" i="18"/>
  <c r="C35" i="18"/>
  <c r="D35" i="18"/>
  <c r="B36" i="18"/>
  <c r="C36" i="18"/>
  <c r="D36" i="18"/>
  <c r="B37" i="18"/>
  <c r="C37" i="18"/>
  <c r="D37" i="18"/>
  <c r="B39" i="18"/>
  <c r="C39" i="18"/>
  <c r="D39" i="18"/>
  <c r="B40" i="18"/>
  <c r="C40" i="18"/>
  <c r="D40" i="18"/>
  <c r="I42" i="18"/>
  <c r="K42" i="18" s="1"/>
  <c r="L42" i="18" s="1"/>
  <c r="L44" i="18" s="1"/>
  <c r="L112" i="18" s="1"/>
  <c r="C44" i="18"/>
  <c r="C45" i="18" s="1"/>
  <c r="C113" i="18" s="1"/>
  <c r="D44" i="18"/>
  <c r="E44" i="18"/>
  <c r="F44" i="18"/>
  <c r="G44" i="18"/>
  <c r="H44" i="18"/>
  <c r="E45" i="18"/>
  <c r="F45" i="18"/>
  <c r="F113" i="18" s="1"/>
  <c r="C50" i="18"/>
  <c r="D50" i="18"/>
  <c r="I52" i="18"/>
  <c r="K52" i="18" s="1"/>
  <c r="L52" i="18" s="1"/>
  <c r="L58" i="18" s="1"/>
  <c r="L114" i="18" s="1"/>
  <c r="I54" i="18"/>
  <c r="K54" i="18"/>
  <c r="L54" i="18" s="1"/>
  <c r="N54" i="18" s="1"/>
  <c r="O54" i="18" s="1"/>
  <c r="I56" i="18"/>
  <c r="K56" i="18" s="1"/>
  <c r="L56" i="18" s="1"/>
  <c r="C58" i="18"/>
  <c r="D58" i="18"/>
  <c r="D114" i="18" s="1"/>
  <c r="E58" i="18"/>
  <c r="E114" i="18" s="1"/>
  <c r="F58" i="18"/>
  <c r="F114" i="18" s="1"/>
  <c r="G58" i="18"/>
  <c r="H58" i="18"/>
  <c r="H114" i="18" s="1"/>
  <c r="I64" i="18"/>
  <c r="N64" i="18" s="1"/>
  <c r="O64" i="18" s="1"/>
  <c r="I66" i="18"/>
  <c r="I68" i="18"/>
  <c r="K68" i="18" s="1"/>
  <c r="L68" i="18" s="1"/>
  <c r="I70" i="18"/>
  <c r="C72" i="18"/>
  <c r="C116" i="18" s="1"/>
  <c r="D72" i="18"/>
  <c r="D116" i="18" s="1"/>
  <c r="E72" i="18"/>
  <c r="F72" i="18"/>
  <c r="G72" i="18"/>
  <c r="G116" i="18" s="1"/>
  <c r="H72" i="18"/>
  <c r="H116" i="18" s="1"/>
  <c r="B79" i="18"/>
  <c r="C79" i="18"/>
  <c r="D79" i="18"/>
  <c r="I81" i="18"/>
  <c r="I83" i="18"/>
  <c r="K83" i="18" s="1"/>
  <c r="L83" i="18" s="1"/>
  <c r="I85" i="18"/>
  <c r="I88" i="18"/>
  <c r="K88" i="18" s="1"/>
  <c r="L88" i="18" s="1"/>
  <c r="I91" i="18"/>
  <c r="K91" i="18" s="1"/>
  <c r="L91" i="18" s="1"/>
  <c r="C93" i="18"/>
  <c r="C118" i="18" s="1"/>
  <c r="D93" i="18"/>
  <c r="D118" i="18" s="1"/>
  <c r="E93" i="18"/>
  <c r="E118" i="18" s="1"/>
  <c r="F93" i="18"/>
  <c r="G93" i="18"/>
  <c r="G118" i="18" s="1"/>
  <c r="H93" i="18"/>
  <c r="H118" i="18" s="1"/>
  <c r="I99" i="18"/>
  <c r="I101" i="18"/>
  <c r="K101" i="18" s="1"/>
  <c r="L101" i="18" s="1"/>
  <c r="C103" i="18"/>
  <c r="C120" i="18" s="1"/>
  <c r="D103" i="18"/>
  <c r="D120" i="18" s="1"/>
  <c r="E103" i="18"/>
  <c r="E120" i="18" s="1"/>
  <c r="F103" i="18"/>
  <c r="F120" i="18" s="1"/>
  <c r="G103" i="18"/>
  <c r="G120" i="18" s="1"/>
  <c r="H103" i="18"/>
  <c r="H120" i="18" s="1"/>
  <c r="C106" i="18"/>
  <c r="J106" i="18"/>
  <c r="K106" i="18"/>
  <c r="M106" i="18"/>
  <c r="P106" i="18"/>
  <c r="E108" i="18"/>
  <c r="F108" i="18"/>
  <c r="J108" i="18"/>
  <c r="M108" i="18"/>
  <c r="P108" i="18"/>
  <c r="T109" i="18"/>
  <c r="C110" i="18"/>
  <c r="F110" i="18"/>
  <c r="G110" i="18"/>
  <c r="J110" i="18"/>
  <c r="M110" i="18"/>
  <c r="P110" i="18"/>
  <c r="K111" i="18"/>
  <c r="N111" i="18"/>
  <c r="Q111" i="18"/>
  <c r="T111" i="18"/>
  <c r="C112" i="18"/>
  <c r="E112" i="18"/>
  <c r="F112" i="18"/>
  <c r="J112" i="18"/>
  <c r="M112" i="18"/>
  <c r="P112" i="18"/>
  <c r="T112" i="18"/>
  <c r="E113" i="18"/>
  <c r="C114" i="18"/>
  <c r="G114" i="18"/>
  <c r="J114" i="18"/>
  <c r="M114" i="18"/>
  <c r="P114" i="18"/>
  <c r="E116" i="18"/>
  <c r="F116" i="18"/>
  <c r="J116" i="18"/>
  <c r="M116" i="18"/>
  <c r="P116" i="18"/>
  <c r="T116" i="18"/>
  <c r="U116" i="18"/>
  <c r="T117" i="18"/>
  <c r="F118" i="18"/>
  <c r="J118" i="18"/>
  <c r="K118" i="18"/>
  <c r="M118" i="18"/>
  <c r="N118" i="18"/>
  <c r="P118" i="18"/>
  <c r="Q118" i="18"/>
  <c r="J120" i="18"/>
  <c r="M120" i="18"/>
  <c r="P120" i="18"/>
  <c r="T121" i="18"/>
  <c r="N2" i="17"/>
  <c r="T3" i="17"/>
  <c r="T4" i="17"/>
  <c r="L5" i="17"/>
  <c r="O5" i="17"/>
  <c r="R5" i="17"/>
  <c r="I10" i="17"/>
  <c r="K10" i="17" s="1"/>
  <c r="I13" i="17"/>
  <c r="K13" i="17" s="1"/>
  <c r="L13" i="17" s="1"/>
  <c r="C15" i="17"/>
  <c r="C108" i="17" s="1"/>
  <c r="D15" i="17"/>
  <c r="D108" i="17" s="1"/>
  <c r="E15" i="17"/>
  <c r="F15" i="17"/>
  <c r="G15" i="17"/>
  <c r="G108" i="17" s="1"/>
  <c r="H15" i="17"/>
  <c r="H108" i="17" s="1"/>
  <c r="C21" i="17"/>
  <c r="D21" i="17"/>
  <c r="I24" i="17"/>
  <c r="I26" i="17"/>
  <c r="C28" i="17"/>
  <c r="C110" i="17" s="1"/>
  <c r="D28" i="17"/>
  <c r="E28" i="17"/>
  <c r="E110" i="17" s="1"/>
  <c r="F28" i="17"/>
  <c r="G28" i="17"/>
  <c r="G110" i="17" s="1"/>
  <c r="H28" i="17"/>
  <c r="C34" i="17"/>
  <c r="D34" i="17"/>
  <c r="B35" i="17"/>
  <c r="C35" i="17"/>
  <c r="D35" i="17"/>
  <c r="B36" i="17"/>
  <c r="C36" i="17"/>
  <c r="D36" i="17"/>
  <c r="B37" i="17"/>
  <c r="C37" i="17"/>
  <c r="D37" i="17"/>
  <c r="B39" i="17"/>
  <c r="C39" i="17"/>
  <c r="D39" i="17"/>
  <c r="B40" i="17"/>
  <c r="C40" i="17"/>
  <c r="D40" i="17"/>
  <c r="I42" i="17"/>
  <c r="K42" i="17" s="1"/>
  <c r="L42" i="17" s="1"/>
  <c r="C44" i="17"/>
  <c r="C45" i="17" s="1"/>
  <c r="C113" i="17" s="1"/>
  <c r="D44" i="17"/>
  <c r="E44" i="17"/>
  <c r="E112" i="17" s="1"/>
  <c r="F44" i="17"/>
  <c r="G44" i="17"/>
  <c r="G45" i="17" s="1"/>
  <c r="G113" i="17" s="1"/>
  <c r="H44" i="17"/>
  <c r="E45" i="17"/>
  <c r="E113" i="17" s="1"/>
  <c r="F45" i="17"/>
  <c r="F113" i="17" s="1"/>
  <c r="C50" i="17"/>
  <c r="D50" i="17"/>
  <c r="I52" i="17"/>
  <c r="K52" i="17" s="1"/>
  <c r="I54" i="17"/>
  <c r="K54" i="17" s="1"/>
  <c r="L54" i="17" s="1"/>
  <c r="N54" i="17" s="1"/>
  <c r="O54" i="17" s="1"/>
  <c r="I56" i="17"/>
  <c r="K56" i="17" s="1"/>
  <c r="L56" i="17" s="1"/>
  <c r="C58" i="17"/>
  <c r="C114" i="17" s="1"/>
  <c r="D58" i="17"/>
  <c r="D114" i="17" s="1"/>
  <c r="E58" i="17"/>
  <c r="E114" i="17" s="1"/>
  <c r="F58" i="17"/>
  <c r="G58" i="17"/>
  <c r="G114" i="17" s="1"/>
  <c r="H58" i="17"/>
  <c r="H114" i="17" s="1"/>
  <c r="I64" i="17"/>
  <c r="I66" i="17"/>
  <c r="K66" i="17" s="1"/>
  <c r="L66" i="17" s="1"/>
  <c r="I68" i="17"/>
  <c r="I70" i="17"/>
  <c r="K70" i="17" s="1"/>
  <c r="L70" i="17" s="1"/>
  <c r="C72" i="17"/>
  <c r="C116" i="17" s="1"/>
  <c r="D72" i="17"/>
  <c r="D116" i="17" s="1"/>
  <c r="E72" i="17"/>
  <c r="E116" i="17" s="1"/>
  <c r="F72" i="17"/>
  <c r="G72" i="17"/>
  <c r="H72" i="17"/>
  <c r="H116" i="17" s="1"/>
  <c r="B79" i="17"/>
  <c r="C79" i="17"/>
  <c r="D79" i="17"/>
  <c r="I81" i="17"/>
  <c r="I83" i="17"/>
  <c r="K83" i="17" s="1"/>
  <c r="L83" i="17" s="1"/>
  <c r="I85" i="17"/>
  <c r="I88" i="17"/>
  <c r="K88" i="17" s="1"/>
  <c r="L88" i="17" s="1"/>
  <c r="I91" i="17"/>
  <c r="K91" i="17" s="1"/>
  <c r="L91" i="17" s="1"/>
  <c r="C93" i="17"/>
  <c r="C118" i="17" s="1"/>
  <c r="D93" i="17"/>
  <c r="E93" i="17"/>
  <c r="E118" i="17" s="1"/>
  <c r="F93" i="17"/>
  <c r="F118" i="17" s="1"/>
  <c r="G93" i="17"/>
  <c r="G118" i="17" s="1"/>
  <c r="H93" i="17"/>
  <c r="H118" i="17" s="1"/>
  <c r="I99" i="17"/>
  <c r="K99" i="17" s="1"/>
  <c r="L99" i="17" s="1"/>
  <c r="I101" i="17"/>
  <c r="K101" i="17" s="1"/>
  <c r="C103" i="17"/>
  <c r="D103" i="17"/>
  <c r="D120" i="17" s="1"/>
  <c r="E103" i="17"/>
  <c r="F103" i="17"/>
  <c r="F120" i="17" s="1"/>
  <c r="G103" i="17"/>
  <c r="G120" i="17" s="1"/>
  <c r="H103" i="17"/>
  <c r="H120" i="17" s="1"/>
  <c r="C106" i="17"/>
  <c r="J106" i="17"/>
  <c r="K106" i="17"/>
  <c r="M106" i="17"/>
  <c r="P106" i="17"/>
  <c r="E108" i="17"/>
  <c r="F108" i="17"/>
  <c r="J108" i="17"/>
  <c r="M108" i="17"/>
  <c r="P108" i="17"/>
  <c r="T109" i="17"/>
  <c r="D110" i="17"/>
  <c r="F110" i="17"/>
  <c r="H110" i="17"/>
  <c r="J110" i="17"/>
  <c r="M110" i="17"/>
  <c r="P110" i="17"/>
  <c r="K111" i="17"/>
  <c r="N111" i="17"/>
  <c r="Q111" i="17"/>
  <c r="T111" i="17"/>
  <c r="C112" i="17"/>
  <c r="F112" i="17"/>
  <c r="G112" i="17"/>
  <c r="J112" i="17"/>
  <c r="M112" i="17"/>
  <c r="P112" i="17"/>
  <c r="T112" i="17"/>
  <c r="F114" i="17"/>
  <c r="J114" i="17"/>
  <c r="M114" i="17"/>
  <c r="P114" i="17"/>
  <c r="F116" i="17"/>
  <c r="G116" i="17"/>
  <c r="J116" i="17"/>
  <c r="M116" i="17"/>
  <c r="P116" i="17"/>
  <c r="T116" i="17"/>
  <c r="U116" i="17"/>
  <c r="T117" i="17"/>
  <c r="D118" i="17"/>
  <c r="J118" i="17"/>
  <c r="K118" i="17"/>
  <c r="M118" i="17"/>
  <c r="N118" i="17"/>
  <c r="P118" i="17"/>
  <c r="Q118" i="17"/>
  <c r="C120" i="17"/>
  <c r="E120" i="17"/>
  <c r="J120" i="17"/>
  <c r="M120" i="17"/>
  <c r="P120" i="17"/>
  <c r="T121" i="17"/>
  <c r="O2" i="16"/>
  <c r="R2" i="16" s="1"/>
  <c r="R99" i="16" s="1"/>
  <c r="U3" i="16"/>
  <c r="U4" i="16"/>
  <c r="M5" i="16"/>
  <c r="P5" i="16"/>
  <c r="S5" i="16"/>
  <c r="J10" i="16"/>
  <c r="L10" i="16" s="1"/>
  <c r="C12" i="16"/>
  <c r="D12" i="16"/>
  <c r="D101" i="16" s="1"/>
  <c r="E12" i="16"/>
  <c r="E101" i="16" s="1"/>
  <c r="F12" i="16"/>
  <c r="G12" i="16"/>
  <c r="H12" i="16"/>
  <c r="H101" i="16" s="1"/>
  <c r="K12" i="16"/>
  <c r="K101" i="16" s="1"/>
  <c r="N12" i="16"/>
  <c r="Q12" i="16"/>
  <c r="B18" i="16"/>
  <c r="C18" i="16"/>
  <c r="D18" i="16"/>
  <c r="B19" i="16"/>
  <c r="C19" i="16"/>
  <c r="D19" i="16"/>
  <c r="B20" i="16"/>
  <c r="C20" i="16"/>
  <c r="D20" i="16"/>
  <c r="B21" i="16"/>
  <c r="C21" i="16"/>
  <c r="D21" i="16"/>
  <c r="B22" i="16"/>
  <c r="C22" i="16"/>
  <c r="D22" i="16"/>
  <c r="B23" i="16"/>
  <c r="C23" i="16"/>
  <c r="D23" i="16"/>
  <c r="J26" i="16"/>
  <c r="L26" i="16" s="1"/>
  <c r="M26" i="16" s="1"/>
  <c r="J28" i="16"/>
  <c r="J30" i="16"/>
  <c r="L30" i="16" s="1"/>
  <c r="M30" i="16" s="1"/>
  <c r="C32" i="16"/>
  <c r="C103" i="16" s="1"/>
  <c r="D32" i="16"/>
  <c r="E32" i="16"/>
  <c r="F32" i="16"/>
  <c r="F103" i="16" s="1"/>
  <c r="G32" i="16"/>
  <c r="G103" i="16" s="1"/>
  <c r="H32" i="16"/>
  <c r="C38" i="16"/>
  <c r="D38" i="16"/>
  <c r="J40" i="16"/>
  <c r="L40" i="16" s="1"/>
  <c r="L42" i="16" s="1"/>
  <c r="L105" i="16" s="1"/>
  <c r="C42" i="16"/>
  <c r="D42" i="16"/>
  <c r="D43" i="16" s="1"/>
  <c r="D106" i="16" s="1"/>
  <c r="E42" i="16"/>
  <c r="F42" i="16"/>
  <c r="G42" i="16"/>
  <c r="H42" i="16"/>
  <c r="H43" i="16" s="1"/>
  <c r="H106" i="16" s="1"/>
  <c r="C43" i="16"/>
  <c r="C106" i="16" s="1"/>
  <c r="F43" i="16"/>
  <c r="F106" i="16" s="1"/>
  <c r="G43" i="16"/>
  <c r="G106" i="16" s="1"/>
  <c r="C48" i="16"/>
  <c r="D48" i="16"/>
  <c r="J50" i="16"/>
  <c r="C52" i="16"/>
  <c r="D52" i="16"/>
  <c r="E52" i="16"/>
  <c r="F52" i="16"/>
  <c r="G52" i="16"/>
  <c r="H52" i="16"/>
  <c r="I52" i="16"/>
  <c r="K52" i="16"/>
  <c r="K107" i="16" s="1"/>
  <c r="N52" i="16"/>
  <c r="Q52" i="16"/>
  <c r="I53" i="16"/>
  <c r="J58" i="16"/>
  <c r="J62" i="16" s="1"/>
  <c r="J109" i="16" s="1"/>
  <c r="J60" i="16"/>
  <c r="L60" i="16" s="1"/>
  <c r="M60" i="16" s="1"/>
  <c r="C62" i="16"/>
  <c r="D62" i="16"/>
  <c r="D109" i="16" s="1"/>
  <c r="E62" i="16"/>
  <c r="F62" i="16"/>
  <c r="F109" i="16" s="1"/>
  <c r="G62" i="16"/>
  <c r="H62" i="16"/>
  <c r="H109" i="16" s="1"/>
  <c r="I62" i="16"/>
  <c r="I63" i="16"/>
  <c r="J69" i="16"/>
  <c r="L69" i="16" s="1"/>
  <c r="M69" i="16" s="1"/>
  <c r="J71" i="16"/>
  <c r="L71" i="16" s="1"/>
  <c r="M71" i="16" s="1"/>
  <c r="J74" i="16"/>
  <c r="L74" i="16" s="1"/>
  <c r="M74" i="16" s="1"/>
  <c r="J76" i="16"/>
  <c r="L76" i="16" s="1"/>
  <c r="M76" i="16" s="1"/>
  <c r="J78" i="16"/>
  <c r="L78" i="16" s="1"/>
  <c r="M78" i="16" s="1"/>
  <c r="J81" i="16"/>
  <c r="L81" i="16" s="1"/>
  <c r="M81" i="16" s="1"/>
  <c r="J84" i="16"/>
  <c r="L84" i="16" s="1"/>
  <c r="M84" i="16" s="1"/>
  <c r="C86" i="16"/>
  <c r="C111" i="16" s="1"/>
  <c r="D86" i="16"/>
  <c r="D111" i="16" s="1"/>
  <c r="E86" i="16"/>
  <c r="F86" i="16"/>
  <c r="G86" i="16"/>
  <c r="H86" i="16"/>
  <c r="H111" i="16" s="1"/>
  <c r="J92" i="16"/>
  <c r="L92" i="16" s="1"/>
  <c r="M92" i="16" s="1"/>
  <c r="J94" i="16"/>
  <c r="L94" i="16" s="1"/>
  <c r="C96" i="16"/>
  <c r="C113" i="16" s="1"/>
  <c r="D96" i="16"/>
  <c r="E96" i="16"/>
  <c r="F96" i="16"/>
  <c r="F113" i="16" s="1"/>
  <c r="G96" i="16"/>
  <c r="G113" i="16" s="1"/>
  <c r="H96" i="16"/>
  <c r="C99" i="16"/>
  <c r="K99" i="16"/>
  <c r="L99" i="16"/>
  <c r="N99" i="16"/>
  <c r="O99" i="16"/>
  <c r="Q99" i="16"/>
  <c r="C101" i="16"/>
  <c r="F101" i="16"/>
  <c r="G101" i="16"/>
  <c r="N101" i="16"/>
  <c r="Q101" i="16"/>
  <c r="U102" i="16"/>
  <c r="D103" i="16"/>
  <c r="E103" i="16"/>
  <c r="H103" i="16"/>
  <c r="K103" i="16"/>
  <c r="N103" i="16"/>
  <c r="Q103" i="16"/>
  <c r="K104" i="16"/>
  <c r="L104" i="16"/>
  <c r="N104" i="16"/>
  <c r="O104" i="16"/>
  <c r="Q104" i="16"/>
  <c r="R104" i="16"/>
  <c r="U104" i="16"/>
  <c r="C105" i="16"/>
  <c r="F105" i="16"/>
  <c r="G105" i="16"/>
  <c r="K105" i="16"/>
  <c r="N105" i="16"/>
  <c r="Q105" i="16"/>
  <c r="U105" i="16"/>
  <c r="C107" i="16"/>
  <c r="D107" i="16"/>
  <c r="E107" i="16"/>
  <c r="F107" i="16"/>
  <c r="G107" i="16"/>
  <c r="H107" i="16"/>
  <c r="N107" i="16"/>
  <c r="Q107" i="16"/>
  <c r="C109" i="16"/>
  <c r="E109" i="16"/>
  <c r="G109" i="16"/>
  <c r="K109" i="16"/>
  <c r="N109" i="16"/>
  <c r="Q109" i="16"/>
  <c r="U109" i="16"/>
  <c r="V109" i="16"/>
  <c r="U110" i="16"/>
  <c r="E111" i="16"/>
  <c r="F111" i="16"/>
  <c r="G111" i="16"/>
  <c r="K111" i="16"/>
  <c r="L111" i="16"/>
  <c r="N111" i="16"/>
  <c r="O111" i="16"/>
  <c r="Q111" i="16"/>
  <c r="R111" i="16"/>
  <c r="L112" i="16"/>
  <c r="O112" i="16"/>
  <c r="R112" i="16"/>
  <c r="U112" i="16"/>
  <c r="D113" i="16"/>
  <c r="E113" i="16"/>
  <c r="H113" i="16"/>
  <c r="K113" i="16"/>
  <c r="N113" i="16"/>
  <c r="Q113" i="16"/>
  <c r="U114" i="16"/>
  <c r="N2" i="14"/>
  <c r="T3" i="14"/>
  <c r="T4" i="14"/>
  <c r="L5" i="14"/>
  <c r="O5" i="14"/>
  <c r="R5" i="14"/>
  <c r="I10" i="14"/>
  <c r="K10" i="14" s="1"/>
  <c r="K12" i="14" s="1"/>
  <c r="K100" i="14" s="1"/>
  <c r="C12" i="14"/>
  <c r="C100" i="14" s="1"/>
  <c r="D12" i="14"/>
  <c r="E12" i="14"/>
  <c r="F12" i="14"/>
  <c r="G12" i="14"/>
  <c r="G100" i="14" s="1"/>
  <c r="H12" i="14"/>
  <c r="H100" i="14" s="1"/>
  <c r="J12" i="14"/>
  <c r="M12" i="14"/>
  <c r="P12" i="14"/>
  <c r="P100" i="14" s="1"/>
  <c r="C18" i="14"/>
  <c r="D18" i="14"/>
  <c r="I21" i="14"/>
  <c r="K21" i="14" s="1"/>
  <c r="I23" i="14"/>
  <c r="K23" i="14" s="1"/>
  <c r="C25" i="14"/>
  <c r="C102" i="14" s="1"/>
  <c r="D25" i="14"/>
  <c r="E25" i="14"/>
  <c r="E102" i="14" s="1"/>
  <c r="F25" i="14"/>
  <c r="F102" i="14" s="1"/>
  <c r="G25" i="14"/>
  <c r="G102" i="14" s="1"/>
  <c r="H25" i="14"/>
  <c r="C31" i="14"/>
  <c r="D31" i="14"/>
  <c r="I33" i="14"/>
  <c r="C35" i="14"/>
  <c r="C104" i="14" s="1"/>
  <c r="D35" i="14"/>
  <c r="D104" i="14" s="1"/>
  <c r="E35" i="14"/>
  <c r="E104" i="14" s="1"/>
  <c r="F35" i="14"/>
  <c r="F104" i="14" s="1"/>
  <c r="G35" i="14"/>
  <c r="H35" i="14"/>
  <c r="C41" i="14"/>
  <c r="D41" i="14"/>
  <c r="I43" i="14"/>
  <c r="K43" i="14" s="1"/>
  <c r="L43" i="14" s="1"/>
  <c r="I45" i="14"/>
  <c r="K45" i="14" s="1"/>
  <c r="C47" i="14"/>
  <c r="D47" i="14"/>
  <c r="D106" i="14" s="1"/>
  <c r="E47" i="14"/>
  <c r="F47" i="14"/>
  <c r="G47" i="14"/>
  <c r="H47" i="14"/>
  <c r="H106" i="14" s="1"/>
  <c r="I53" i="14"/>
  <c r="I55" i="14"/>
  <c r="I57" i="14"/>
  <c r="K57" i="14" s="1"/>
  <c r="L57" i="14" s="1"/>
  <c r="I59" i="14"/>
  <c r="K59" i="14" s="1"/>
  <c r="L59" i="14" s="1"/>
  <c r="C61" i="14"/>
  <c r="C108" i="14" s="1"/>
  <c r="D61" i="14"/>
  <c r="E61" i="14"/>
  <c r="E108" i="14" s="1"/>
  <c r="F61" i="14"/>
  <c r="F108" i="14" s="1"/>
  <c r="G61" i="14"/>
  <c r="G108" i="14" s="1"/>
  <c r="H61" i="14"/>
  <c r="I68" i="14"/>
  <c r="K68" i="14" s="1"/>
  <c r="L68" i="14" s="1"/>
  <c r="I70" i="14"/>
  <c r="K70" i="14" s="1"/>
  <c r="L70" i="14" s="1"/>
  <c r="I73" i="14"/>
  <c r="I75" i="14"/>
  <c r="K75" i="14" s="1"/>
  <c r="L75" i="14" s="1"/>
  <c r="I77" i="14"/>
  <c r="I80" i="14"/>
  <c r="K80" i="14" s="1"/>
  <c r="L80" i="14" s="1"/>
  <c r="I83" i="14"/>
  <c r="K83" i="14" s="1"/>
  <c r="L83" i="14" s="1"/>
  <c r="C85" i="14"/>
  <c r="D85" i="14"/>
  <c r="E85" i="14"/>
  <c r="F85" i="14"/>
  <c r="F110" i="14" s="1"/>
  <c r="G85" i="14"/>
  <c r="G110" i="14" s="1"/>
  <c r="H85" i="14"/>
  <c r="I91" i="14"/>
  <c r="I93" i="14"/>
  <c r="K93" i="14" s="1"/>
  <c r="L93" i="14" s="1"/>
  <c r="C95" i="14"/>
  <c r="C112" i="14" s="1"/>
  <c r="D95" i="14"/>
  <c r="E95" i="14"/>
  <c r="F95" i="14"/>
  <c r="F112" i="14" s="1"/>
  <c r="G95" i="14"/>
  <c r="G112" i="14" s="1"/>
  <c r="H95" i="14"/>
  <c r="C98" i="14"/>
  <c r="J98" i="14"/>
  <c r="K98" i="14"/>
  <c r="M98" i="14"/>
  <c r="P98" i="14"/>
  <c r="D100" i="14"/>
  <c r="E100" i="14"/>
  <c r="F100" i="14"/>
  <c r="J100" i="14"/>
  <c r="M100" i="14"/>
  <c r="T101" i="14"/>
  <c r="D102" i="14"/>
  <c r="H102" i="14"/>
  <c r="J102" i="14"/>
  <c r="M102" i="14"/>
  <c r="P102" i="14"/>
  <c r="K103" i="14"/>
  <c r="N103" i="14"/>
  <c r="Q103" i="14"/>
  <c r="T103" i="14"/>
  <c r="G104" i="14"/>
  <c r="J104" i="14"/>
  <c r="M104" i="14"/>
  <c r="P104" i="14"/>
  <c r="T104" i="14"/>
  <c r="C106" i="14"/>
  <c r="E106" i="14"/>
  <c r="F106" i="14"/>
  <c r="G106" i="14"/>
  <c r="J106" i="14"/>
  <c r="M106" i="14"/>
  <c r="P106" i="14"/>
  <c r="D108" i="14"/>
  <c r="H108" i="14"/>
  <c r="J108" i="14"/>
  <c r="M108" i="14"/>
  <c r="P108" i="14"/>
  <c r="T108" i="14"/>
  <c r="U108" i="14"/>
  <c r="T109" i="14"/>
  <c r="C110" i="14"/>
  <c r="D110" i="14"/>
  <c r="E110" i="14"/>
  <c r="H110" i="14"/>
  <c r="J110" i="14"/>
  <c r="K110" i="14"/>
  <c r="M110" i="14"/>
  <c r="N110" i="14"/>
  <c r="P110" i="14"/>
  <c r="Q110" i="14"/>
  <c r="K111" i="14"/>
  <c r="N111" i="14"/>
  <c r="Q111" i="14"/>
  <c r="T111" i="14"/>
  <c r="D112" i="14"/>
  <c r="E112" i="14"/>
  <c r="H112" i="14"/>
  <c r="J112" i="14"/>
  <c r="M112" i="14"/>
  <c r="P112" i="14"/>
  <c r="T113" i="14"/>
  <c r="N2" i="13"/>
  <c r="T3" i="13"/>
  <c r="T4" i="13"/>
  <c r="T5" i="13"/>
  <c r="L6" i="13"/>
  <c r="O6" i="13"/>
  <c r="R6" i="13"/>
  <c r="I11" i="13"/>
  <c r="K11" i="13" s="1"/>
  <c r="I14" i="13"/>
  <c r="K14" i="13" s="1"/>
  <c r="L14" i="13" s="1"/>
  <c r="C16" i="13"/>
  <c r="D16" i="13"/>
  <c r="E16" i="13"/>
  <c r="F16" i="13"/>
  <c r="F104" i="13" s="1"/>
  <c r="G16" i="13"/>
  <c r="H16" i="13"/>
  <c r="C22" i="13"/>
  <c r="D22" i="13"/>
  <c r="I25" i="13"/>
  <c r="I27" i="13"/>
  <c r="K27" i="13" s="1"/>
  <c r="L27" i="13" s="1"/>
  <c r="C29" i="13"/>
  <c r="D29" i="13"/>
  <c r="D106" i="13" s="1"/>
  <c r="E29" i="13"/>
  <c r="F29" i="13"/>
  <c r="G29" i="13"/>
  <c r="H29" i="13"/>
  <c r="H106" i="13" s="1"/>
  <c r="C35" i="13"/>
  <c r="D35" i="13"/>
  <c r="I37" i="13"/>
  <c r="K37" i="13" s="1"/>
  <c r="L37" i="13" s="1"/>
  <c r="L39" i="13" s="1"/>
  <c r="L108" i="13" s="1"/>
  <c r="C39" i="13"/>
  <c r="D39" i="13"/>
  <c r="D40" i="13" s="1"/>
  <c r="D109" i="13" s="1"/>
  <c r="E39" i="13"/>
  <c r="F39" i="13"/>
  <c r="F40" i="13" s="1"/>
  <c r="F109" i="13" s="1"/>
  <c r="G39" i="13"/>
  <c r="H39" i="13"/>
  <c r="H40" i="13" s="1"/>
  <c r="H109" i="13" s="1"/>
  <c r="E40" i="13"/>
  <c r="C45" i="13"/>
  <c r="D45" i="13"/>
  <c r="I47" i="13"/>
  <c r="K47" i="13" s="1"/>
  <c r="I49" i="13"/>
  <c r="K49" i="13" s="1"/>
  <c r="C51" i="13"/>
  <c r="C110" i="13" s="1"/>
  <c r="D51" i="13"/>
  <c r="D110" i="13" s="1"/>
  <c r="E51" i="13"/>
  <c r="F51" i="13"/>
  <c r="G51" i="13"/>
  <c r="G110" i="13" s="1"/>
  <c r="H51" i="13"/>
  <c r="I57" i="13"/>
  <c r="K57" i="13" s="1"/>
  <c r="I59" i="13"/>
  <c r="K59" i="13" s="1"/>
  <c r="L59" i="13" s="1"/>
  <c r="I61" i="13"/>
  <c r="K61" i="13" s="1"/>
  <c r="L61" i="13" s="1"/>
  <c r="I63" i="13"/>
  <c r="K63" i="13" s="1"/>
  <c r="L63" i="13" s="1"/>
  <c r="C65" i="13"/>
  <c r="C112" i="13"/>
  <c r="D65" i="13"/>
  <c r="E65" i="13"/>
  <c r="E112" i="13" s="1"/>
  <c r="F65" i="13"/>
  <c r="G65" i="13"/>
  <c r="G112" i="13" s="1"/>
  <c r="H65" i="13"/>
  <c r="H112" i="13" s="1"/>
  <c r="I72" i="13"/>
  <c r="K72" i="13" s="1"/>
  <c r="L72" i="13" s="1"/>
  <c r="I74" i="13"/>
  <c r="K74" i="13" s="1"/>
  <c r="L74" i="13" s="1"/>
  <c r="I77" i="13"/>
  <c r="K77" i="13" s="1"/>
  <c r="L77" i="13" s="1"/>
  <c r="I79" i="13"/>
  <c r="K79" i="13" s="1"/>
  <c r="I81" i="13"/>
  <c r="K81" i="13" s="1"/>
  <c r="L81" i="13" s="1"/>
  <c r="I84" i="13"/>
  <c r="K84" i="13" s="1"/>
  <c r="L84" i="13" s="1"/>
  <c r="I87" i="13"/>
  <c r="K87" i="13" s="1"/>
  <c r="L87" i="13" s="1"/>
  <c r="C89" i="13"/>
  <c r="D89" i="13"/>
  <c r="D114" i="13" s="1"/>
  <c r="E89" i="13"/>
  <c r="E114" i="13" s="1"/>
  <c r="F89" i="13"/>
  <c r="F114" i="13" s="1"/>
  <c r="G89" i="13"/>
  <c r="G114" i="13" s="1"/>
  <c r="H89" i="13"/>
  <c r="H114" i="13" s="1"/>
  <c r="I95" i="13"/>
  <c r="K95" i="13" s="1"/>
  <c r="L95" i="13" s="1"/>
  <c r="I97" i="13"/>
  <c r="K97" i="13" s="1"/>
  <c r="C99" i="13"/>
  <c r="C116" i="13" s="1"/>
  <c r="D99" i="13"/>
  <c r="D116" i="13" s="1"/>
  <c r="E99" i="13"/>
  <c r="E116" i="13" s="1"/>
  <c r="F99" i="13"/>
  <c r="F116" i="13" s="1"/>
  <c r="G99" i="13"/>
  <c r="G116" i="13" s="1"/>
  <c r="H99" i="13"/>
  <c r="H116" i="13" s="1"/>
  <c r="C102" i="13"/>
  <c r="J102" i="13"/>
  <c r="K102" i="13"/>
  <c r="M102" i="13"/>
  <c r="P102" i="13"/>
  <c r="C104" i="13"/>
  <c r="D104" i="13"/>
  <c r="E104" i="13"/>
  <c r="G104" i="13"/>
  <c r="H104" i="13"/>
  <c r="J104" i="13"/>
  <c r="M104" i="13"/>
  <c r="P104" i="13"/>
  <c r="T105" i="13"/>
  <c r="C106" i="13"/>
  <c r="E106" i="13"/>
  <c r="F106" i="13"/>
  <c r="G106" i="13"/>
  <c r="J106" i="13"/>
  <c r="M106" i="13"/>
  <c r="P106" i="13"/>
  <c r="K107" i="13"/>
  <c r="N107" i="13"/>
  <c r="Q107" i="13"/>
  <c r="T107" i="13"/>
  <c r="D108" i="13"/>
  <c r="E108" i="13"/>
  <c r="F108" i="13"/>
  <c r="H108" i="13"/>
  <c r="J108" i="13"/>
  <c r="M108" i="13"/>
  <c r="P108" i="13"/>
  <c r="T108" i="13"/>
  <c r="E109" i="13"/>
  <c r="E110" i="13"/>
  <c r="F110" i="13"/>
  <c r="H110" i="13"/>
  <c r="J110" i="13"/>
  <c r="M110" i="13"/>
  <c r="P110" i="13"/>
  <c r="D112" i="13"/>
  <c r="F112" i="13"/>
  <c r="J112" i="13"/>
  <c r="M112" i="13"/>
  <c r="P112" i="13"/>
  <c r="T112" i="13"/>
  <c r="U112" i="13"/>
  <c r="T113" i="13"/>
  <c r="C114" i="13"/>
  <c r="J114" i="13"/>
  <c r="K114" i="13"/>
  <c r="M114" i="13"/>
  <c r="N114" i="13"/>
  <c r="P114" i="13"/>
  <c r="Q114" i="13"/>
  <c r="K115" i="13"/>
  <c r="N115" i="13"/>
  <c r="Q115" i="13"/>
  <c r="T115" i="13"/>
  <c r="J116" i="13"/>
  <c r="M116" i="13"/>
  <c r="P116" i="13"/>
  <c r="T117" i="13"/>
  <c r="N2" i="12"/>
  <c r="Q2" i="12" s="1"/>
  <c r="Q101" i="12" s="1"/>
  <c r="T3" i="12"/>
  <c r="T4" i="12"/>
  <c r="L5" i="12"/>
  <c r="O5" i="12"/>
  <c r="R5" i="12"/>
  <c r="T5" i="12" s="1"/>
  <c r="I10" i="12"/>
  <c r="K10" i="12" s="1"/>
  <c r="I13" i="12"/>
  <c r="C15" i="12"/>
  <c r="C103" i="12" s="1"/>
  <c r="D15" i="12"/>
  <c r="D103" i="12" s="1"/>
  <c r="E15" i="12"/>
  <c r="E103" i="12" s="1"/>
  <c r="F15" i="12"/>
  <c r="G15" i="12"/>
  <c r="H15" i="12"/>
  <c r="H103" i="12" s="1"/>
  <c r="C21" i="12"/>
  <c r="D21" i="12"/>
  <c r="I24" i="12"/>
  <c r="I26" i="12"/>
  <c r="K26" i="12" s="1"/>
  <c r="C28" i="12"/>
  <c r="D28" i="12"/>
  <c r="E28" i="12"/>
  <c r="E105" i="12" s="1"/>
  <c r="F28" i="12"/>
  <c r="F105" i="12" s="1"/>
  <c r="G28" i="12"/>
  <c r="H28" i="12"/>
  <c r="C34" i="12"/>
  <c r="D34" i="12"/>
  <c r="I36" i="12"/>
  <c r="K36" i="12" s="1"/>
  <c r="L36" i="12" s="1"/>
  <c r="L38" i="12" s="1"/>
  <c r="L107" i="12" s="1"/>
  <c r="C38" i="12"/>
  <c r="D38" i="12"/>
  <c r="E38" i="12"/>
  <c r="F38" i="12"/>
  <c r="F39" i="12" s="1"/>
  <c r="F108" i="12" s="1"/>
  <c r="G38" i="12"/>
  <c r="H38" i="12"/>
  <c r="H107" i="12" s="1"/>
  <c r="C39" i="12"/>
  <c r="C108" i="12" s="1"/>
  <c r="G39" i="12"/>
  <c r="C44" i="12"/>
  <c r="D44" i="12"/>
  <c r="I46" i="12"/>
  <c r="K46" i="12" s="1"/>
  <c r="L46" i="12" s="1"/>
  <c r="I48" i="12"/>
  <c r="K48" i="12" s="1"/>
  <c r="C50" i="12"/>
  <c r="D50" i="12"/>
  <c r="E50" i="12"/>
  <c r="E109" i="12" s="1"/>
  <c r="F50" i="12"/>
  <c r="G50" i="12"/>
  <c r="H50" i="12"/>
  <c r="I56" i="12"/>
  <c r="I58" i="12"/>
  <c r="K58" i="12" s="1"/>
  <c r="L58" i="12" s="1"/>
  <c r="I60" i="12"/>
  <c r="N60" i="12" s="1"/>
  <c r="O60" i="12" s="1"/>
  <c r="Q60" i="12"/>
  <c r="R60" i="12" s="1"/>
  <c r="I62" i="12"/>
  <c r="K62" i="12" s="1"/>
  <c r="L62" i="12" s="1"/>
  <c r="C64" i="12"/>
  <c r="C111" i="12" s="1"/>
  <c r="D64" i="12"/>
  <c r="E64" i="12"/>
  <c r="F64" i="12"/>
  <c r="G64" i="12"/>
  <c r="G111" i="12" s="1"/>
  <c r="H64" i="12"/>
  <c r="I71" i="12"/>
  <c r="K71" i="12" s="1"/>
  <c r="L71" i="12" s="1"/>
  <c r="I73" i="12"/>
  <c r="K73" i="12" s="1"/>
  <c r="L73" i="12" s="1"/>
  <c r="I76" i="12"/>
  <c r="K76" i="12" s="1"/>
  <c r="L76" i="12" s="1"/>
  <c r="I78" i="12"/>
  <c r="I80" i="12"/>
  <c r="K80" i="12" s="1"/>
  <c r="L80" i="12" s="1"/>
  <c r="I83" i="12"/>
  <c r="K83" i="12" s="1"/>
  <c r="I86" i="12"/>
  <c r="K86" i="12" s="1"/>
  <c r="L86" i="12" s="1"/>
  <c r="C88" i="12"/>
  <c r="D88" i="12"/>
  <c r="E88" i="12"/>
  <c r="E113" i="12" s="1"/>
  <c r="F88" i="12"/>
  <c r="F113" i="12" s="1"/>
  <c r="G88" i="12"/>
  <c r="H88" i="12"/>
  <c r="I94" i="12"/>
  <c r="I96" i="12"/>
  <c r="K96" i="12" s="1"/>
  <c r="C98" i="12"/>
  <c r="D98" i="12"/>
  <c r="E98" i="12"/>
  <c r="E115" i="12" s="1"/>
  <c r="F98" i="12"/>
  <c r="F115" i="12" s="1"/>
  <c r="G98" i="12"/>
  <c r="H98" i="12"/>
  <c r="C101" i="12"/>
  <c r="J101" i="12"/>
  <c r="K101" i="12"/>
  <c r="M101" i="12"/>
  <c r="N101" i="12"/>
  <c r="P101" i="12"/>
  <c r="F103" i="12"/>
  <c r="G103" i="12"/>
  <c r="J103" i="12"/>
  <c r="M103" i="12"/>
  <c r="P103" i="12"/>
  <c r="T104" i="12"/>
  <c r="C105" i="12"/>
  <c r="D105" i="12"/>
  <c r="G105" i="12"/>
  <c r="H105" i="12"/>
  <c r="J105" i="12"/>
  <c r="M105" i="12"/>
  <c r="P105" i="12"/>
  <c r="K106" i="12"/>
  <c r="N106" i="12"/>
  <c r="Q106" i="12"/>
  <c r="T106" i="12"/>
  <c r="C107" i="12"/>
  <c r="F107" i="12"/>
  <c r="G107" i="12"/>
  <c r="J107" i="12"/>
  <c r="M107" i="12"/>
  <c r="P107" i="12"/>
  <c r="T107" i="12"/>
  <c r="G108" i="12"/>
  <c r="C109" i="12"/>
  <c r="D109" i="12"/>
  <c r="F109" i="12"/>
  <c r="G109" i="12"/>
  <c r="H109" i="12"/>
  <c r="J109" i="12"/>
  <c r="M109" i="12"/>
  <c r="P109" i="12"/>
  <c r="D111" i="12"/>
  <c r="E111" i="12"/>
  <c r="F111" i="12"/>
  <c r="H111" i="12"/>
  <c r="J111" i="12"/>
  <c r="M111" i="12"/>
  <c r="P111" i="12"/>
  <c r="T111" i="12"/>
  <c r="U111" i="12"/>
  <c r="T112" i="12"/>
  <c r="C113" i="12"/>
  <c r="D113" i="12"/>
  <c r="G113" i="12"/>
  <c r="H113" i="12"/>
  <c r="J113" i="12"/>
  <c r="K113" i="12"/>
  <c r="M113" i="12"/>
  <c r="N113" i="12"/>
  <c r="P113" i="12"/>
  <c r="Q113" i="12"/>
  <c r="K114" i="12"/>
  <c r="N114" i="12"/>
  <c r="Q114" i="12"/>
  <c r="T114" i="12"/>
  <c r="C115" i="12"/>
  <c r="D115" i="12"/>
  <c r="G115" i="12"/>
  <c r="H115" i="12"/>
  <c r="J115" i="12"/>
  <c r="M115" i="12"/>
  <c r="P115" i="12"/>
  <c r="T116" i="12"/>
  <c r="N2" i="11"/>
  <c r="T3" i="11"/>
  <c r="T4" i="11"/>
  <c r="L5" i="11"/>
  <c r="O5" i="11"/>
  <c r="R5" i="11"/>
  <c r="I10" i="11"/>
  <c r="C15" i="11"/>
  <c r="C102" i="11" s="1"/>
  <c r="D15" i="11"/>
  <c r="E15" i="11"/>
  <c r="E102" i="11" s="1"/>
  <c r="F15" i="11"/>
  <c r="F102" i="11" s="1"/>
  <c r="G15" i="11"/>
  <c r="G102" i="11" s="1"/>
  <c r="H15" i="11"/>
  <c r="B23" i="11"/>
  <c r="I25" i="11"/>
  <c r="Q25" i="11" s="1"/>
  <c r="C29" i="11"/>
  <c r="D29" i="11"/>
  <c r="E29" i="11"/>
  <c r="E104" i="11" s="1"/>
  <c r="F29" i="11"/>
  <c r="F104" i="11" s="1"/>
  <c r="G29" i="11"/>
  <c r="H29" i="11"/>
  <c r="D36" i="11"/>
  <c r="B37" i="11"/>
  <c r="D37" i="11"/>
  <c r="I39" i="11"/>
  <c r="Q39" i="11" s="1"/>
  <c r="R39" i="11" s="1"/>
  <c r="R41" i="11" s="1"/>
  <c r="R106" i="11" s="1"/>
  <c r="C41" i="11"/>
  <c r="D41" i="11"/>
  <c r="D42" i="11" s="1"/>
  <c r="D107" i="11" s="1"/>
  <c r="E41" i="11"/>
  <c r="E42" i="11" s="1"/>
  <c r="E107" i="11" s="1"/>
  <c r="F41" i="11"/>
  <c r="G41" i="11"/>
  <c r="H41" i="11"/>
  <c r="I49" i="11"/>
  <c r="Q49" i="11" s="1"/>
  <c r="R49" i="11" s="1"/>
  <c r="C53" i="11"/>
  <c r="D53" i="11"/>
  <c r="D108" i="11" s="1"/>
  <c r="E53" i="11"/>
  <c r="F53" i="11"/>
  <c r="F108" i="11" s="1"/>
  <c r="G53" i="11"/>
  <c r="G108" i="11" s="1"/>
  <c r="H53" i="11"/>
  <c r="H108" i="11" s="1"/>
  <c r="I53" i="11"/>
  <c r="I59" i="11"/>
  <c r="I61" i="11"/>
  <c r="Q61" i="11" s="1"/>
  <c r="R61" i="11" s="1"/>
  <c r="I63" i="11"/>
  <c r="Q63" i="11" s="1"/>
  <c r="R63" i="11" s="1"/>
  <c r="I65" i="11"/>
  <c r="Q65" i="11" s="1"/>
  <c r="R65" i="11" s="1"/>
  <c r="C67" i="11"/>
  <c r="C110" i="11" s="1"/>
  <c r="D67" i="11"/>
  <c r="E67" i="11"/>
  <c r="F67" i="11"/>
  <c r="G67" i="11"/>
  <c r="G110" i="11" s="1"/>
  <c r="H67" i="11"/>
  <c r="I74" i="11"/>
  <c r="K74" i="11" s="1"/>
  <c r="C87" i="11"/>
  <c r="C112" i="11" s="1"/>
  <c r="D87" i="11"/>
  <c r="D112" i="11" s="1"/>
  <c r="E87" i="11"/>
  <c r="E112" i="11" s="1"/>
  <c r="F87" i="11"/>
  <c r="G87" i="11"/>
  <c r="G112" i="11" s="1"/>
  <c r="H87" i="11"/>
  <c r="H112" i="11" s="1"/>
  <c r="I93" i="11"/>
  <c r="K93" i="11" s="1"/>
  <c r="C97" i="11"/>
  <c r="D97" i="11"/>
  <c r="E97" i="11"/>
  <c r="E114" i="11" s="1"/>
  <c r="F97" i="11"/>
  <c r="G97" i="11"/>
  <c r="H97" i="11"/>
  <c r="C100" i="11"/>
  <c r="J100" i="11"/>
  <c r="K100" i="11"/>
  <c r="M100" i="11"/>
  <c r="P100" i="11"/>
  <c r="D102" i="11"/>
  <c r="H102" i="11"/>
  <c r="J102" i="11"/>
  <c r="M102" i="11"/>
  <c r="P102" i="11"/>
  <c r="T103" i="11"/>
  <c r="C104" i="11"/>
  <c r="D104" i="11"/>
  <c r="G104" i="11"/>
  <c r="H104" i="11"/>
  <c r="J104" i="11"/>
  <c r="M104" i="11"/>
  <c r="P104" i="11"/>
  <c r="K105" i="11"/>
  <c r="N105" i="11"/>
  <c r="Q105" i="11"/>
  <c r="T105" i="11"/>
  <c r="E106" i="11"/>
  <c r="J106" i="11"/>
  <c r="M106" i="11"/>
  <c r="P106" i="11"/>
  <c r="T106" i="11"/>
  <c r="C108" i="11"/>
  <c r="E108" i="11"/>
  <c r="I108" i="11"/>
  <c r="J108" i="11"/>
  <c r="M108" i="11"/>
  <c r="P108" i="11"/>
  <c r="D110" i="11"/>
  <c r="E110" i="11"/>
  <c r="F110" i="11"/>
  <c r="H110" i="11"/>
  <c r="J110" i="11"/>
  <c r="M110" i="11"/>
  <c r="P110" i="11"/>
  <c r="T110" i="11"/>
  <c r="U110" i="11"/>
  <c r="T111" i="11"/>
  <c r="F112" i="11"/>
  <c r="J112" i="11"/>
  <c r="M112" i="11"/>
  <c r="P112" i="11"/>
  <c r="T113" i="11"/>
  <c r="C114" i="11"/>
  <c r="D114" i="11"/>
  <c r="F114" i="11"/>
  <c r="G114" i="11"/>
  <c r="H114" i="11"/>
  <c r="J114" i="11"/>
  <c r="M114" i="11"/>
  <c r="P114" i="11"/>
  <c r="T115" i="11"/>
  <c r="P3" i="24"/>
  <c r="P4" i="24"/>
  <c r="P6" i="24"/>
  <c r="L7" i="24"/>
  <c r="N10" i="24"/>
  <c r="I14" i="24"/>
  <c r="K14" i="24" s="1"/>
  <c r="L14" i="24" s="1"/>
  <c r="C19" i="24"/>
  <c r="D19" i="24"/>
  <c r="E19" i="24"/>
  <c r="E231" i="24" s="1"/>
  <c r="F19" i="24"/>
  <c r="G19" i="24"/>
  <c r="H19" i="24"/>
  <c r="B29" i="24"/>
  <c r="B30" i="24" s="1"/>
  <c r="B31" i="24"/>
  <c r="B32" i="24" s="1"/>
  <c r="B33" i="24"/>
  <c r="B34" i="24"/>
  <c r="B35" i="24"/>
  <c r="I37" i="24"/>
  <c r="I40" i="24"/>
  <c r="Q40" i="24" s="1"/>
  <c r="R40" i="24" s="1"/>
  <c r="I42" i="24"/>
  <c r="I44" i="24"/>
  <c r="I46" i="24"/>
  <c r="K46" i="24" s="1"/>
  <c r="L46" i="24" s="1"/>
  <c r="I48" i="24"/>
  <c r="Q48" i="24" s="1"/>
  <c r="R48" i="24" s="1"/>
  <c r="C50" i="24"/>
  <c r="D50" i="24"/>
  <c r="D233" i="24" s="1"/>
  <c r="E50" i="24"/>
  <c r="F50" i="24"/>
  <c r="F233" i="24" s="1"/>
  <c r="G50" i="24"/>
  <c r="H50" i="24"/>
  <c r="H233" i="24" s="1"/>
  <c r="B57" i="24"/>
  <c r="B58" i="24"/>
  <c r="B59" i="24"/>
  <c r="I61" i="24"/>
  <c r="I63" i="24"/>
  <c r="I65" i="24"/>
  <c r="Q65" i="24" s="1"/>
  <c r="R65" i="24" s="1"/>
  <c r="I67" i="24"/>
  <c r="K67" i="24" s="1"/>
  <c r="L67" i="24" s="1"/>
  <c r="I69" i="24"/>
  <c r="C71" i="24"/>
  <c r="D71" i="24"/>
  <c r="E71" i="24"/>
  <c r="F71" i="24"/>
  <c r="G71" i="24"/>
  <c r="H71" i="24"/>
  <c r="I84" i="24"/>
  <c r="I86" i="24"/>
  <c r="I88" i="24"/>
  <c r="I90" i="24"/>
  <c r="I92" i="24"/>
  <c r="J92" i="24" s="1"/>
  <c r="I95" i="24"/>
  <c r="I97" i="24"/>
  <c r="I99" i="24"/>
  <c r="I101" i="24"/>
  <c r="I103" i="24"/>
  <c r="J103" i="24" s="1"/>
  <c r="C105" i="24"/>
  <c r="D105" i="24"/>
  <c r="E105" i="24"/>
  <c r="E237" i="24" s="1"/>
  <c r="F105" i="24"/>
  <c r="G105" i="24"/>
  <c r="H105" i="24"/>
  <c r="D111" i="24"/>
  <c r="I111" i="24" s="1"/>
  <c r="E111" i="24"/>
  <c r="F111" i="24"/>
  <c r="F146" i="24" s="1"/>
  <c r="F239" i="24" s="1"/>
  <c r="I113" i="24"/>
  <c r="I115" i="24"/>
  <c r="I117" i="24"/>
  <c r="P117" i="24" s="1"/>
  <c r="Q117" i="24" s="1"/>
  <c r="I120" i="24"/>
  <c r="I122" i="24"/>
  <c r="I124" i="24"/>
  <c r="I126" i="24"/>
  <c r="I129" i="24"/>
  <c r="I131" i="24"/>
  <c r="J131" i="24" s="1"/>
  <c r="I133" i="24"/>
  <c r="I135" i="24"/>
  <c r="I138" i="24"/>
  <c r="I140" i="24"/>
  <c r="I142" i="24"/>
  <c r="I144" i="24"/>
  <c r="C146" i="24"/>
  <c r="C239" i="24" s="1"/>
  <c r="E146" i="24"/>
  <c r="G146" i="24"/>
  <c r="H146" i="24"/>
  <c r="B153" i="24"/>
  <c r="B154" i="24"/>
  <c r="I157" i="24"/>
  <c r="J157" i="24" s="1"/>
  <c r="I159" i="24"/>
  <c r="I161" i="24"/>
  <c r="I163" i="24"/>
  <c r="I166" i="24"/>
  <c r="I168" i="24"/>
  <c r="J168" i="24" s="1"/>
  <c r="I170" i="24"/>
  <c r="I172" i="24"/>
  <c r="I175" i="24"/>
  <c r="I177" i="24"/>
  <c r="J177" i="24" s="1"/>
  <c r="Q177" i="24"/>
  <c r="R177" i="24" s="1"/>
  <c r="I179" i="24"/>
  <c r="I181" i="24"/>
  <c r="I184" i="24"/>
  <c r="I186" i="24"/>
  <c r="J186" i="24" s="1"/>
  <c r="I188" i="24"/>
  <c r="I190" i="24"/>
  <c r="C198" i="24"/>
  <c r="C241" i="24" s="1"/>
  <c r="D198" i="24"/>
  <c r="E198" i="24"/>
  <c r="E241" i="24" s="1"/>
  <c r="F198" i="24"/>
  <c r="F241" i="24" s="1"/>
  <c r="G198" i="24"/>
  <c r="G241" i="24" s="1"/>
  <c r="H198" i="24"/>
  <c r="T199" i="24"/>
  <c r="T242" i="24" s="1"/>
  <c r="I204" i="24"/>
  <c r="K204" i="24" s="1"/>
  <c r="L204" i="24" s="1"/>
  <c r="I206" i="24"/>
  <c r="Q206" i="24" s="1"/>
  <c r="I208" i="24"/>
  <c r="Q208" i="24" s="1"/>
  <c r="R208" i="24" s="1"/>
  <c r="I210" i="24"/>
  <c r="Q210" i="24" s="1"/>
  <c r="R210" i="24" s="1"/>
  <c r="I212" i="24"/>
  <c r="Q212" i="24" s="1"/>
  <c r="R212" i="24" s="1"/>
  <c r="I215" i="24"/>
  <c r="Q215" i="24" s="1"/>
  <c r="R215" i="24" s="1"/>
  <c r="I217" i="24"/>
  <c r="Q217" i="24" s="1"/>
  <c r="R217" i="24" s="1"/>
  <c r="I219" i="24"/>
  <c r="Q219" i="24" s="1"/>
  <c r="R219" i="24" s="1"/>
  <c r="I221" i="24"/>
  <c r="Q221" i="24" s="1"/>
  <c r="R221" i="24" s="1"/>
  <c r="I223" i="24"/>
  <c r="Q223" i="24" s="1"/>
  <c r="R223" i="24" s="1"/>
  <c r="C225" i="24"/>
  <c r="C243" i="24" s="1"/>
  <c r="D225" i="24"/>
  <c r="D243" i="24" s="1"/>
  <c r="E225" i="24"/>
  <c r="E243" i="24" s="1"/>
  <c r="F225" i="24"/>
  <c r="F243" i="24" s="1"/>
  <c r="G225" i="24"/>
  <c r="G243" i="24" s="1"/>
  <c r="H225" i="24"/>
  <c r="H243" i="24" s="1"/>
  <c r="C229" i="24"/>
  <c r="J229" i="24"/>
  <c r="K229" i="24"/>
  <c r="M229" i="24"/>
  <c r="P229" i="24"/>
  <c r="C231" i="24"/>
  <c r="D231" i="24"/>
  <c r="F231" i="24"/>
  <c r="G231" i="24"/>
  <c r="H231" i="24"/>
  <c r="J231" i="24"/>
  <c r="M231" i="24"/>
  <c r="P231" i="24"/>
  <c r="T232" i="24"/>
  <c r="C233" i="24"/>
  <c r="E233" i="24"/>
  <c r="G233" i="24"/>
  <c r="J233" i="24"/>
  <c r="M233" i="24"/>
  <c r="P233" i="24"/>
  <c r="T234" i="24"/>
  <c r="C235" i="24"/>
  <c r="D235" i="24"/>
  <c r="E235" i="24"/>
  <c r="F235" i="24"/>
  <c r="G235" i="24"/>
  <c r="H235" i="24"/>
  <c r="J235" i="24"/>
  <c r="M235" i="24"/>
  <c r="P235" i="24"/>
  <c r="T235" i="24"/>
  <c r="C237" i="24"/>
  <c r="D237" i="24"/>
  <c r="F237" i="24"/>
  <c r="G237" i="24"/>
  <c r="H237" i="24"/>
  <c r="J238" i="24"/>
  <c r="E239" i="24"/>
  <c r="G239" i="24"/>
  <c r="H239" i="24"/>
  <c r="T239" i="24"/>
  <c r="U239" i="24"/>
  <c r="T240" i="24"/>
  <c r="D241" i="24"/>
  <c r="H241" i="24"/>
  <c r="J243" i="24"/>
  <c r="M243" i="24"/>
  <c r="P243" i="24"/>
  <c r="J244" i="24"/>
  <c r="M244" i="24"/>
  <c r="P244" i="24"/>
  <c r="T244" i="24"/>
  <c r="N2" i="15"/>
  <c r="Q2" i="15" s="1"/>
  <c r="Q150" i="15" s="1"/>
  <c r="L9" i="15"/>
  <c r="L10" i="15" s="1"/>
  <c r="O8" i="15"/>
  <c r="L8" i="15"/>
  <c r="R8" i="15"/>
  <c r="R11" i="15" s="1"/>
  <c r="R9" i="15"/>
  <c r="R10" i="15" s="1"/>
  <c r="T12" i="15"/>
  <c r="L13" i="15"/>
  <c r="O13" i="15"/>
  <c r="R13" i="15"/>
  <c r="T14" i="15"/>
  <c r="I19" i="15"/>
  <c r="Q19" i="15" s="1"/>
  <c r="R19" i="15" s="1"/>
  <c r="K19" i="15"/>
  <c r="L19" i="15" s="1"/>
  <c r="N19" i="15"/>
  <c r="C24" i="15"/>
  <c r="D24" i="15"/>
  <c r="D152" i="15" s="1"/>
  <c r="E24" i="15"/>
  <c r="F24" i="15"/>
  <c r="F152" i="15" s="1"/>
  <c r="G24" i="15"/>
  <c r="H24" i="15"/>
  <c r="H152" i="15" s="1"/>
  <c r="I24" i="15"/>
  <c r="I152" i="15" s="1"/>
  <c r="I36" i="15"/>
  <c r="C43" i="15"/>
  <c r="D43" i="15"/>
  <c r="D154" i="15" s="1"/>
  <c r="E43" i="15"/>
  <c r="F43" i="15"/>
  <c r="F154" i="15" s="1"/>
  <c r="G43" i="15"/>
  <c r="H43" i="15"/>
  <c r="H154" i="15" s="1"/>
  <c r="B49" i="15"/>
  <c r="B50" i="15"/>
  <c r="B51" i="15"/>
  <c r="I53" i="15"/>
  <c r="I55" i="15"/>
  <c r="K55" i="15" s="1"/>
  <c r="L55" i="15" s="1"/>
  <c r="I57" i="15"/>
  <c r="I59" i="15"/>
  <c r="C61" i="15"/>
  <c r="C156" i="15" s="1"/>
  <c r="D61" i="15"/>
  <c r="E61" i="15"/>
  <c r="E156" i="15" s="1"/>
  <c r="F61" i="15"/>
  <c r="G61" i="15"/>
  <c r="G156" i="15" s="1"/>
  <c r="H61" i="15"/>
  <c r="H156" i="15" s="1"/>
  <c r="B68" i="15"/>
  <c r="I70" i="15"/>
  <c r="I72" i="15"/>
  <c r="I74" i="15"/>
  <c r="I76" i="15"/>
  <c r="Q76" i="15" s="1"/>
  <c r="R76" i="15" s="1"/>
  <c r="C78" i="15"/>
  <c r="C158" i="15" s="1"/>
  <c r="D78" i="15"/>
  <c r="E78" i="15"/>
  <c r="F78" i="15"/>
  <c r="F158" i="15" s="1"/>
  <c r="G78" i="15"/>
  <c r="G158" i="15" s="1"/>
  <c r="H78" i="15"/>
  <c r="I78" i="15"/>
  <c r="I158" i="15" s="1"/>
  <c r="I85" i="15"/>
  <c r="I87" i="15"/>
  <c r="J87" i="15" s="1"/>
  <c r="I89" i="15"/>
  <c r="I91" i="15"/>
  <c r="I93" i="15"/>
  <c r="I95" i="15"/>
  <c r="I97" i="15"/>
  <c r="J97" i="15" s="1"/>
  <c r="I99" i="15"/>
  <c r="C101" i="15"/>
  <c r="C160" i="15" s="1"/>
  <c r="D101" i="15"/>
  <c r="E101" i="15"/>
  <c r="E160" i="15" s="1"/>
  <c r="F101" i="15"/>
  <c r="G101" i="15"/>
  <c r="G160" i="15" s="1"/>
  <c r="H101" i="15"/>
  <c r="H160" i="15" s="1"/>
  <c r="B108" i="15"/>
  <c r="B109" i="15"/>
  <c r="I112" i="15"/>
  <c r="I116" i="15"/>
  <c r="I120" i="15"/>
  <c r="C130" i="15"/>
  <c r="C162" i="15" s="1"/>
  <c r="D130" i="15"/>
  <c r="D162" i="15" s="1"/>
  <c r="E130" i="15"/>
  <c r="E162" i="15" s="1"/>
  <c r="F130" i="15"/>
  <c r="F162" i="15"/>
  <c r="G130" i="15"/>
  <c r="G162" i="15" s="1"/>
  <c r="H130" i="15"/>
  <c r="H162" i="15" s="1"/>
  <c r="I136" i="15"/>
  <c r="K136" i="15" s="1"/>
  <c r="C146" i="15"/>
  <c r="D146" i="15"/>
  <c r="E146" i="15"/>
  <c r="E164" i="15" s="1"/>
  <c r="F146" i="15"/>
  <c r="G146" i="15"/>
  <c r="G164" i="15" s="1"/>
  <c r="H146" i="15"/>
  <c r="C150" i="15"/>
  <c r="J150" i="15"/>
  <c r="K150" i="15"/>
  <c r="M150" i="15"/>
  <c r="N150" i="15"/>
  <c r="P150" i="15"/>
  <c r="C152" i="15"/>
  <c r="E152" i="15"/>
  <c r="G152" i="15"/>
  <c r="J152" i="15"/>
  <c r="M152" i="15"/>
  <c r="P152" i="15"/>
  <c r="T153" i="15"/>
  <c r="C154" i="15"/>
  <c r="E154" i="15"/>
  <c r="G154" i="15"/>
  <c r="J154" i="15"/>
  <c r="M154" i="15"/>
  <c r="P154" i="15"/>
  <c r="T155" i="15"/>
  <c r="D156" i="15"/>
  <c r="F156" i="15"/>
  <c r="J156" i="15"/>
  <c r="M156" i="15"/>
  <c r="P156" i="15"/>
  <c r="T156" i="15"/>
  <c r="D158" i="15"/>
  <c r="E158" i="15"/>
  <c r="H158" i="15"/>
  <c r="J158" i="15"/>
  <c r="M158" i="15"/>
  <c r="P158" i="15"/>
  <c r="D160" i="15"/>
  <c r="F160" i="15"/>
  <c r="T160" i="15"/>
  <c r="U160" i="15"/>
  <c r="T161" i="15"/>
  <c r="J162" i="15"/>
  <c r="M162" i="15"/>
  <c r="P162" i="15"/>
  <c r="C164" i="15"/>
  <c r="D164" i="15"/>
  <c r="F164" i="15"/>
  <c r="H164" i="15"/>
  <c r="J164" i="15"/>
  <c r="M164" i="15"/>
  <c r="P164" i="15"/>
  <c r="J165" i="15"/>
  <c r="M165" i="15"/>
  <c r="P165" i="15"/>
  <c r="T165" i="15"/>
  <c r="M1" i="7"/>
  <c r="P1" i="7" s="1"/>
  <c r="P110" i="7" s="1"/>
  <c r="S3" i="7"/>
  <c r="S4" i="7"/>
  <c r="S5" i="7"/>
  <c r="S6" i="7"/>
  <c r="S7" i="7"/>
  <c r="S8" i="7"/>
  <c r="S9" i="7"/>
  <c r="K10" i="7"/>
  <c r="N10" i="7"/>
  <c r="N11" i="7" s="1"/>
  <c r="Q10" i="7"/>
  <c r="S12" i="7"/>
  <c r="H17" i="7"/>
  <c r="H22" i="7" s="1"/>
  <c r="H112" i="7" s="1"/>
  <c r="M20" i="7"/>
  <c r="N20" i="7" s="1"/>
  <c r="P20" i="7"/>
  <c r="Q20" i="7" s="1"/>
  <c r="B22" i="7"/>
  <c r="B112" i="7" s="1"/>
  <c r="C22" i="7"/>
  <c r="C112" i="7" s="1"/>
  <c r="D22" i="7"/>
  <c r="D112" i="7" s="1"/>
  <c r="E22" i="7"/>
  <c r="E112" i="7" s="1"/>
  <c r="F22" i="7"/>
  <c r="F112" i="7" s="1"/>
  <c r="G22" i="7"/>
  <c r="H31" i="7"/>
  <c r="H35" i="7" s="1"/>
  <c r="H114" i="7" s="1"/>
  <c r="B35" i="7"/>
  <c r="C35" i="7"/>
  <c r="C114" i="7" s="1"/>
  <c r="D35" i="7"/>
  <c r="D114" i="7" s="1"/>
  <c r="E35" i="7"/>
  <c r="E114" i="7" s="1"/>
  <c r="F35" i="7"/>
  <c r="F114" i="7" s="1"/>
  <c r="G35" i="7"/>
  <c r="G114" i="7" s="1"/>
  <c r="H43" i="7"/>
  <c r="H45" i="7" s="1"/>
  <c r="H116" i="7" s="1"/>
  <c r="B45" i="7"/>
  <c r="C45" i="7"/>
  <c r="D45" i="7"/>
  <c r="E45" i="7"/>
  <c r="F45" i="7"/>
  <c r="F46" i="7" s="1"/>
  <c r="F117" i="7" s="1"/>
  <c r="G45" i="7"/>
  <c r="G116" i="7" s="1"/>
  <c r="G46" i="7"/>
  <c r="G117" i="7" s="1"/>
  <c r="H53" i="7"/>
  <c r="H55" i="7"/>
  <c r="B57" i="7"/>
  <c r="C57" i="7"/>
  <c r="C118" i="7" s="1"/>
  <c r="D57" i="7"/>
  <c r="D118" i="7" s="1"/>
  <c r="E57" i="7"/>
  <c r="E118" i="7" s="1"/>
  <c r="F57" i="7"/>
  <c r="G57" i="7"/>
  <c r="G118" i="7" s="1"/>
  <c r="H63" i="7"/>
  <c r="H65" i="7"/>
  <c r="H67" i="7"/>
  <c r="H69" i="7"/>
  <c r="B71" i="7"/>
  <c r="B120" i="7" s="1"/>
  <c r="C71" i="7"/>
  <c r="C120" i="7" s="1"/>
  <c r="D71" i="7"/>
  <c r="D120" i="7" s="1"/>
  <c r="E71" i="7"/>
  <c r="E120" i="7" s="1"/>
  <c r="F71" i="7"/>
  <c r="F120" i="7" s="1"/>
  <c r="G71" i="7"/>
  <c r="G120" i="7" s="1"/>
  <c r="H78" i="7"/>
  <c r="H80" i="7"/>
  <c r="H83" i="7"/>
  <c r="H85" i="7"/>
  <c r="H87" i="7"/>
  <c r="H91" i="7"/>
  <c r="J91" i="7" s="1"/>
  <c r="K91" i="7" s="1"/>
  <c r="H95" i="7"/>
  <c r="J95" i="7" s="1"/>
  <c r="K95" i="7" s="1"/>
  <c r="B97" i="7"/>
  <c r="B122" i="7" s="1"/>
  <c r="C97" i="7"/>
  <c r="C122" i="7" s="1"/>
  <c r="D97" i="7"/>
  <c r="D122" i="7" s="1"/>
  <c r="E97" i="7"/>
  <c r="E122" i="7" s="1"/>
  <c r="F97" i="7"/>
  <c r="G97" i="7"/>
  <c r="G122" i="7" s="1"/>
  <c r="H103" i="7"/>
  <c r="H105" i="7"/>
  <c r="B107" i="7"/>
  <c r="B124" i="7" s="1"/>
  <c r="C107" i="7"/>
  <c r="C124" i="7" s="1"/>
  <c r="D107" i="7"/>
  <c r="E107" i="7"/>
  <c r="E124" i="7" s="1"/>
  <c r="F107" i="7"/>
  <c r="G107" i="7"/>
  <c r="G124" i="7" s="1"/>
  <c r="B110" i="7"/>
  <c r="I110" i="7"/>
  <c r="J110" i="7"/>
  <c r="L110" i="7"/>
  <c r="O110" i="7"/>
  <c r="G112" i="7"/>
  <c r="I112" i="7"/>
  <c r="L112" i="7"/>
  <c r="O112" i="7"/>
  <c r="S113" i="7"/>
  <c r="B114" i="7"/>
  <c r="I114" i="7"/>
  <c r="L114" i="7"/>
  <c r="O114" i="7"/>
  <c r="J115" i="7"/>
  <c r="M115" i="7"/>
  <c r="P115" i="7"/>
  <c r="S115" i="7"/>
  <c r="F116" i="7"/>
  <c r="I116" i="7"/>
  <c r="L116" i="7"/>
  <c r="O116" i="7"/>
  <c r="S116" i="7"/>
  <c r="B118" i="7"/>
  <c r="F118" i="7"/>
  <c r="I118" i="7"/>
  <c r="L118" i="7"/>
  <c r="O118" i="7"/>
  <c r="I120" i="7"/>
  <c r="L120" i="7"/>
  <c r="O120" i="7"/>
  <c r="S120" i="7"/>
  <c r="T120" i="7"/>
  <c r="S121" i="7"/>
  <c r="F122" i="7"/>
  <c r="I122" i="7"/>
  <c r="J122" i="7"/>
  <c r="L122" i="7"/>
  <c r="M122" i="7"/>
  <c r="O122" i="7"/>
  <c r="P122" i="7"/>
  <c r="J123" i="7"/>
  <c r="M123" i="7"/>
  <c r="P123" i="7"/>
  <c r="S123" i="7"/>
  <c r="D124" i="7"/>
  <c r="F124" i="7"/>
  <c r="I124" i="7"/>
  <c r="L124" i="7"/>
  <c r="O124" i="7"/>
  <c r="S125" i="7"/>
  <c r="N2" i="1"/>
  <c r="T3" i="1"/>
  <c r="T4" i="1"/>
  <c r="L5" i="1"/>
  <c r="O5" i="1"/>
  <c r="R5" i="1"/>
  <c r="I10" i="1"/>
  <c r="N13" i="1"/>
  <c r="O13" i="1" s="1"/>
  <c r="Q13" i="1"/>
  <c r="R13" i="1" s="1"/>
  <c r="C15" i="1"/>
  <c r="C103" i="1" s="1"/>
  <c r="D15" i="1"/>
  <c r="D103" i="1" s="1"/>
  <c r="E15" i="1"/>
  <c r="E103" i="1" s="1"/>
  <c r="F15" i="1"/>
  <c r="F103" i="1" s="1"/>
  <c r="G15" i="1"/>
  <c r="H15" i="1"/>
  <c r="H103" i="1" s="1"/>
  <c r="I24" i="1"/>
  <c r="C28" i="1"/>
  <c r="D28" i="1"/>
  <c r="E28" i="1"/>
  <c r="E105" i="1" s="1"/>
  <c r="F28" i="1"/>
  <c r="F105" i="1" s="1"/>
  <c r="G28" i="1"/>
  <c r="H28" i="1"/>
  <c r="I36" i="1"/>
  <c r="Q36" i="1" s="1"/>
  <c r="C38" i="1"/>
  <c r="D38" i="1"/>
  <c r="E38" i="1"/>
  <c r="E39" i="1" s="1"/>
  <c r="E108" i="1" s="1"/>
  <c r="F38" i="1"/>
  <c r="F39" i="1" s="1"/>
  <c r="F108" i="1" s="1"/>
  <c r="G38" i="1"/>
  <c r="G39" i="1" s="1"/>
  <c r="G108" i="1" s="1"/>
  <c r="H38" i="1"/>
  <c r="H107" i="1" s="1"/>
  <c r="I38" i="1"/>
  <c r="I107" i="1" s="1"/>
  <c r="D39" i="1"/>
  <c r="H39" i="1"/>
  <c r="H108" i="1" s="1"/>
  <c r="I46" i="1"/>
  <c r="Q46" i="1" s="1"/>
  <c r="C50" i="1"/>
  <c r="D50" i="1"/>
  <c r="D109" i="1" s="1"/>
  <c r="E50" i="1"/>
  <c r="E109" i="1" s="1"/>
  <c r="F50" i="1"/>
  <c r="F109" i="1" s="1"/>
  <c r="G50" i="1"/>
  <c r="G109" i="1" s="1"/>
  <c r="H50" i="1"/>
  <c r="I56" i="1"/>
  <c r="I58" i="1"/>
  <c r="Q58" i="1" s="1"/>
  <c r="I60" i="1"/>
  <c r="Q60" i="1" s="1"/>
  <c r="R60" i="1" s="1"/>
  <c r="I62" i="1"/>
  <c r="Q62" i="1" s="1"/>
  <c r="R62" i="1" s="1"/>
  <c r="C64" i="1"/>
  <c r="D64" i="1"/>
  <c r="D111" i="1" s="1"/>
  <c r="E64" i="1"/>
  <c r="E111" i="1" s="1"/>
  <c r="F64" i="1"/>
  <c r="G64" i="1"/>
  <c r="H64" i="1"/>
  <c r="I71" i="1"/>
  <c r="I76" i="1"/>
  <c r="Q76" i="1" s="1"/>
  <c r="R76" i="1" s="1"/>
  <c r="I78" i="1"/>
  <c r="Q78" i="1" s="1"/>
  <c r="R78" i="1" s="1"/>
  <c r="I80" i="1"/>
  <c r="L83" i="1"/>
  <c r="C88" i="1"/>
  <c r="D88" i="1"/>
  <c r="E88" i="1"/>
  <c r="E113" i="1" s="1"/>
  <c r="F88" i="1"/>
  <c r="G88" i="1"/>
  <c r="H88" i="1"/>
  <c r="I94" i="1"/>
  <c r="K94" i="1" s="1"/>
  <c r="L94" i="1" s="1"/>
  <c r="C98" i="1"/>
  <c r="D98" i="1"/>
  <c r="D115" i="1" s="1"/>
  <c r="E98" i="1"/>
  <c r="E115" i="1" s="1"/>
  <c r="F98" i="1"/>
  <c r="F115" i="1" s="1"/>
  <c r="G98" i="1"/>
  <c r="H98" i="1"/>
  <c r="H115" i="1" s="1"/>
  <c r="C101" i="1"/>
  <c r="J101" i="1"/>
  <c r="K101" i="1"/>
  <c r="M101" i="1"/>
  <c r="P101" i="1"/>
  <c r="G103" i="1"/>
  <c r="J103" i="1"/>
  <c r="M103" i="1"/>
  <c r="P103" i="1"/>
  <c r="T104" i="1"/>
  <c r="C105" i="1"/>
  <c r="D105" i="1"/>
  <c r="G105" i="1"/>
  <c r="H105" i="1"/>
  <c r="J105" i="1"/>
  <c r="M105" i="1"/>
  <c r="P105" i="1"/>
  <c r="K106" i="1"/>
  <c r="N106" i="1"/>
  <c r="Q106" i="1"/>
  <c r="T106" i="1"/>
  <c r="D107" i="1"/>
  <c r="E107" i="1"/>
  <c r="F107" i="1"/>
  <c r="G107" i="1"/>
  <c r="J107" i="1"/>
  <c r="M107" i="1"/>
  <c r="P107" i="1"/>
  <c r="T107" i="1"/>
  <c r="D108" i="1"/>
  <c r="C109" i="1"/>
  <c r="H109" i="1"/>
  <c r="J109" i="1"/>
  <c r="M109" i="1"/>
  <c r="P109" i="1"/>
  <c r="C111" i="1"/>
  <c r="F111" i="1"/>
  <c r="G111" i="1"/>
  <c r="H111" i="1"/>
  <c r="J111" i="1"/>
  <c r="M111" i="1"/>
  <c r="P111" i="1"/>
  <c r="T111" i="1"/>
  <c r="U111" i="1"/>
  <c r="T112" i="1"/>
  <c r="C113" i="1"/>
  <c r="D113" i="1"/>
  <c r="F113" i="1"/>
  <c r="G113" i="1"/>
  <c r="H113" i="1"/>
  <c r="J113" i="1"/>
  <c r="K113" i="1"/>
  <c r="M113" i="1"/>
  <c r="N113" i="1"/>
  <c r="P113" i="1"/>
  <c r="Q113" i="1"/>
  <c r="K114" i="1"/>
  <c r="N114" i="1"/>
  <c r="Q114" i="1"/>
  <c r="T114" i="1"/>
  <c r="C115" i="1"/>
  <c r="G115" i="1"/>
  <c r="J115" i="1"/>
  <c r="M115" i="1"/>
  <c r="P115" i="1"/>
  <c r="T116" i="1"/>
  <c r="N2" i="10"/>
  <c r="Q2" i="10" s="1"/>
  <c r="Q101" i="10" s="1"/>
  <c r="T3" i="10"/>
  <c r="T4" i="10"/>
  <c r="L5" i="10"/>
  <c r="O5" i="10"/>
  <c r="R5" i="10"/>
  <c r="I10" i="10"/>
  <c r="I15" i="10"/>
  <c r="N13" i="10"/>
  <c r="O13" i="10" s="1"/>
  <c r="Q13" i="10"/>
  <c r="R13" i="10" s="1"/>
  <c r="C15" i="10"/>
  <c r="D15" i="10"/>
  <c r="D103" i="10" s="1"/>
  <c r="E15" i="10"/>
  <c r="F15" i="10"/>
  <c r="F103" i="10" s="1"/>
  <c r="G15" i="10"/>
  <c r="H15" i="10"/>
  <c r="H103" i="10" s="1"/>
  <c r="I24" i="10"/>
  <c r="N24" i="10" s="1"/>
  <c r="O24" i="10" s="1"/>
  <c r="C28" i="10"/>
  <c r="C105" i="10" s="1"/>
  <c r="D28" i="10"/>
  <c r="E28" i="10"/>
  <c r="E105" i="10" s="1"/>
  <c r="F28" i="10"/>
  <c r="G28" i="10"/>
  <c r="G105" i="10" s="1"/>
  <c r="H28" i="10"/>
  <c r="I28" i="10"/>
  <c r="I105" i="10" s="1"/>
  <c r="I36" i="10"/>
  <c r="Q36" i="10" s="1"/>
  <c r="R36" i="10" s="1"/>
  <c r="C38" i="10"/>
  <c r="D38" i="10"/>
  <c r="D39" i="10"/>
  <c r="D108" i="10" s="1"/>
  <c r="E38" i="10"/>
  <c r="E39" i="10" s="1"/>
  <c r="E108" i="10" s="1"/>
  <c r="F38" i="10"/>
  <c r="F39" i="10" s="1"/>
  <c r="F108" i="10" s="1"/>
  <c r="G38" i="10"/>
  <c r="G39" i="10" s="1"/>
  <c r="G108" i="10" s="1"/>
  <c r="H38" i="10"/>
  <c r="I38" i="10"/>
  <c r="I46" i="10"/>
  <c r="C50" i="10"/>
  <c r="C109" i="10" s="1"/>
  <c r="D50" i="10"/>
  <c r="E50" i="10"/>
  <c r="E109" i="10" s="1"/>
  <c r="F50" i="10"/>
  <c r="F109" i="10" s="1"/>
  <c r="G50" i="10"/>
  <c r="G109" i="10" s="1"/>
  <c r="H50" i="10"/>
  <c r="I56" i="10"/>
  <c r="I58" i="10"/>
  <c r="Q58" i="10" s="1"/>
  <c r="I60" i="10"/>
  <c r="Q60" i="10" s="1"/>
  <c r="R60" i="10" s="1"/>
  <c r="I62" i="10"/>
  <c r="C64" i="10"/>
  <c r="D64" i="10"/>
  <c r="E64" i="10"/>
  <c r="E111" i="10" s="1"/>
  <c r="F64" i="10"/>
  <c r="G64" i="10"/>
  <c r="H64" i="10"/>
  <c r="I71" i="10"/>
  <c r="K71" i="10" s="1"/>
  <c r="L71" i="10" s="1"/>
  <c r="I76" i="10"/>
  <c r="Q76" i="10" s="1"/>
  <c r="R76" i="10" s="1"/>
  <c r="I78" i="10"/>
  <c r="Q78" i="10" s="1"/>
  <c r="R78" i="10" s="1"/>
  <c r="I80" i="10"/>
  <c r="C88" i="10"/>
  <c r="D88" i="10"/>
  <c r="D113" i="10" s="1"/>
  <c r="E88" i="10"/>
  <c r="E113" i="10" s="1"/>
  <c r="F88" i="10"/>
  <c r="F113" i="10" s="1"/>
  <c r="G88" i="10"/>
  <c r="H88" i="10"/>
  <c r="H113" i="10" s="1"/>
  <c r="I94" i="10"/>
  <c r="C98" i="10"/>
  <c r="C115" i="10" s="1"/>
  <c r="D98" i="10"/>
  <c r="D115" i="10" s="1"/>
  <c r="E98" i="10"/>
  <c r="F98" i="10"/>
  <c r="F115" i="10" s="1"/>
  <c r="G98" i="10"/>
  <c r="G115" i="10" s="1"/>
  <c r="H98" i="10"/>
  <c r="H115" i="10" s="1"/>
  <c r="C101" i="10"/>
  <c r="J101" i="10"/>
  <c r="K101" i="10"/>
  <c r="M101" i="10"/>
  <c r="N101" i="10"/>
  <c r="P101" i="10"/>
  <c r="C103" i="10"/>
  <c r="E103" i="10"/>
  <c r="G103" i="10"/>
  <c r="J103" i="10"/>
  <c r="M103" i="10"/>
  <c r="P103" i="10"/>
  <c r="T104" i="10"/>
  <c r="D105" i="10"/>
  <c r="F105" i="10"/>
  <c r="H105" i="10"/>
  <c r="J105" i="10"/>
  <c r="M105" i="10"/>
  <c r="P105" i="10"/>
  <c r="K106" i="10"/>
  <c r="N106" i="10"/>
  <c r="Q106" i="10"/>
  <c r="T106" i="10"/>
  <c r="D107" i="10"/>
  <c r="E107" i="10"/>
  <c r="I107" i="10"/>
  <c r="J107" i="10"/>
  <c r="M107" i="10"/>
  <c r="P107" i="10"/>
  <c r="T107" i="10"/>
  <c r="D109" i="10"/>
  <c r="H109" i="10"/>
  <c r="J109" i="10"/>
  <c r="M109" i="10"/>
  <c r="P109" i="10"/>
  <c r="C111" i="10"/>
  <c r="D111" i="10"/>
  <c r="F111" i="10"/>
  <c r="G111" i="10"/>
  <c r="H111" i="10"/>
  <c r="J111" i="10"/>
  <c r="M111" i="10"/>
  <c r="P111" i="10"/>
  <c r="T111" i="10"/>
  <c r="U111" i="10"/>
  <c r="T112" i="10"/>
  <c r="C113" i="10"/>
  <c r="G113" i="10"/>
  <c r="J113" i="10"/>
  <c r="K113" i="10"/>
  <c r="M113" i="10"/>
  <c r="N113" i="10"/>
  <c r="P113" i="10"/>
  <c r="Q113" i="10"/>
  <c r="K114" i="10"/>
  <c r="N114" i="10"/>
  <c r="Q114" i="10"/>
  <c r="T114" i="10"/>
  <c r="E115" i="10"/>
  <c r="J115" i="10"/>
  <c r="M115" i="10"/>
  <c r="P115" i="10"/>
  <c r="T116" i="10"/>
  <c r="N2" i="9"/>
  <c r="Q2" i="9" s="1"/>
  <c r="Q101" i="9" s="1"/>
  <c r="T3" i="9"/>
  <c r="T4" i="9"/>
  <c r="L5" i="9"/>
  <c r="O5" i="9"/>
  <c r="R5" i="9"/>
  <c r="I10" i="9"/>
  <c r="I15" i="9" s="1"/>
  <c r="N13" i="9"/>
  <c r="O13" i="9" s="1"/>
  <c r="Q13" i="9"/>
  <c r="R13" i="9" s="1"/>
  <c r="C15" i="9"/>
  <c r="C103" i="9" s="1"/>
  <c r="D15" i="9"/>
  <c r="E15" i="9"/>
  <c r="E103" i="9" s="1"/>
  <c r="F15" i="9"/>
  <c r="G15" i="9"/>
  <c r="H15" i="9"/>
  <c r="I24" i="9"/>
  <c r="C28" i="9"/>
  <c r="D28" i="9"/>
  <c r="D105" i="9" s="1"/>
  <c r="E28" i="9"/>
  <c r="E105" i="9" s="1"/>
  <c r="F28" i="9"/>
  <c r="G28" i="9"/>
  <c r="H28" i="9"/>
  <c r="I36" i="9"/>
  <c r="C38" i="9"/>
  <c r="C39" i="9" s="1"/>
  <c r="C108" i="9" s="1"/>
  <c r="D38" i="9"/>
  <c r="D107" i="9" s="1"/>
  <c r="E38" i="9"/>
  <c r="E39" i="9" s="1"/>
  <c r="E108" i="9" s="1"/>
  <c r="F38" i="9"/>
  <c r="G38" i="9"/>
  <c r="H38" i="9"/>
  <c r="H39" i="9" s="1"/>
  <c r="H108" i="9" s="1"/>
  <c r="D39" i="9"/>
  <c r="D108" i="9" s="1"/>
  <c r="I46" i="9"/>
  <c r="C50" i="9"/>
  <c r="C109" i="9" s="1"/>
  <c r="D50" i="9"/>
  <c r="D109" i="9" s="1"/>
  <c r="E50" i="9"/>
  <c r="F50" i="9"/>
  <c r="F109" i="9" s="1"/>
  <c r="G50" i="9"/>
  <c r="G109" i="9" s="1"/>
  <c r="H50" i="9"/>
  <c r="I56" i="9"/>
  <c r="K56" i="9" s="1"/>
  <c r="I58" i="9"/>
  <c r="Q58" i="9" s="1"/>
  <c r="R58" i="9" s="1"/>
  <c r="I60" i="9"/>
  <c r="I62" i="9"/>
  <c r="Q62" i="9" s="1"/>
  <c r="R62" i="9" s="1"/>
  <c r="C64" i="9"/>
  <c r="C111" i="9" s="1"/>
  <c r="D64" i="9"/>
  <c r="E64" i="9"/>
  <c r="E111" i="9" s="1"/>
  <c r="F64" i="9"/>
  <c r="G64" i="9"/>
  <c r="G111" i="9" s="1"/>
  <c r="H64" i="9"/>
  <c r="I71" i="9"/>
  <c r="I76" i="9"/>
  <c r="Q76" i="9" s="1"/>
  <c r="R76" i="9" s="1"/>
  <c r="I78" i="9"/>
  <c r="I80" i="9"/>
  <c r="Q80" i="9" s="1"/>
  <c r="R80" i="9" s="1"/>
  <c r="C88" i="9"/>
  <c r="C113" i="9" s="1"/>
  <c r="D88" i="9"/>
  <c r="E88" i="9"/>
  <c r="E113" i="9" s="1"/>
  <c r="F88" i="9"/>
  <c r="G88" i="9"/>
  <c r="G113" i="9" s="1"/>
  <c r="H88" i="9"/>
  <c r="I94" i="9"/>
  <c r="K94" i="9" s="1"/>
  <c r="L94" i="9" s="1"/>
  <c r="C98" i="9"/>
  <c r="C115" i="9" s="1"/>
  <c r="D98" i="9"/>
  <c r="D115" i="9" s="1"/>
  <c r="E98" i="9"/>
  <c r="E115" i="9" s="1"/>
  <c r="F98" i="9"/>
  <c r="F115" i="9" s="1"/>
  <c r="G98" i="9"/>
  <c r="G115" i="9" s="1"/>
  <c r="H98" i="9"/>
  <c r="H115" i="9" s="1"/>
  <c r="C101" i="9"/>
  <c r="J101" i="9"/>
  <c r="K101" i="9"/>
  <c r="M101" i="9"/>
  <c r="P101" i="9"/>
  <c r="D103" i="9"/>
  <c r="F103" i="9"/>
  <c r="G103" i="9"/>
  <c r="H103" i="9"/>
  <c r="J103" i="9"/>
  <c r="M103" i="9"/>
  <c r="P103" i="9"/>
  <c r="T104" i="9"/>
  <c r="C105" i="9"/>
  <c r="F105" i="9"/>
  <c r="G105" i="9"/>
  <c r="H105" i="9"/>
  <c r="J105" i="9"/>
  <c r="M105" i="9"/>
  <c r="P105" i="9"/>
  <c r="K106" i="9"/>
  <c r="N106" i="9"/>
  <c r="Q106" i="9"/>
  <c r="T106" i="9"/>
  <c r="E107" i="9"/>
  <c r="H107" i="9"/>
  <c r="J107" i="9"/>
  <c r="M107" i="9"/>
  <c r="P107" i="9"/>
  <c r="T107" i="9"/>
  <c r="E109" i="9"/>
  <c r="H109" i="9"/>
  <c r="J109" i="9"/>
  <c r="M109" i="9"/>
  <c r="P109" i="9"/>
  <c r="D111" i="9"/>
  <c r="F111" i="9"/>
  <c r="H111" i="9"/>
  <c r="J111" i="9"/>
  <c r="M111" i="9"/>
  <c r="P111" i="9"/>
  <c r="T111" i="9"/>
  <c r="U111" i="9"/>
  <c r="T112" i="9"/>
  <c r="D113" i="9"/>
  <c r="F113" i="9"/>
  <c r="H113" i="9"/>
  <c r="J113" i="9"/>
  <c r="K113" i="9"/>
  <c r="M113" i="9"/>
  <c r="N113" i="9"/>
  <c r="P113" i="9"/>
  <c r="Q113" i="9"/>
  <c r="K114" i="9"/>
  <c r="N114" i="9"/>
  <c r="Q114" i="9"/>
  <c r="T114" i="9"/>
  <c r="J115" i="9"/>
  <c r="M115" i="9"/>
  <c r="P115" i="9"/>
  <c r="T116" i="9"/>
  <c r="AP6" i="8"/>
  <c r="C39" i="20" s="1"/>
  <c r="X17" i="8"/>
  <c r="C37" i="19" s="1"/>
  <c r="L19" i="8"/>
  <c r="C32" i="15" s="1"/>
  <c r="R19" i="8"/>
  <c r="C49" i="15" s="1"/>
  <c r="U19" i="8"/>
  <c r="C50" i="15" s="1"/>
  <c r="X19" i="8"/>
  <c r="C51" i="15" s="1"/>
  <c r="AD19" i="8"/>
  <c r="C109" i="15" s="1"/>
  <c r="O20" i="8"/>
  <c r="U20" i="8"/>
  <c r="C34" i="24" s="1"/>
  <c r="AJ20" i="8"/>
  <c r="C153" i="24" s="1"/>
  <c r="L3" i="4"/>
  <c r="M3" i="4" s="1"/>
  <c r="O3" i="4"/>
  <c r="P3" i="4" s="1"/>
  <c r="Q3" i="4" s="1"/>
  <c r="R3" i="4" s="1"/>
  <c r="S3" i="4" s="1"/>
  <c r="T3" i="4" s="1"/>
  <c r="U3" i="4" s="1"/>
  <c r="V3" i="4" s="1"/>
  <c r="W3" i="4" s="1"/>
  <c r="X3" i="4" s="1"/>
  <c r="Y3" i="4" s="1"/>
  <c r="L4" i="4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L5" i="4"/>
  <c r="M5" i="4" s="1"/>
  <c r="N5" i="4" s="1"/>
  <c r="O5" i="4" s="1"/>
  <c r="P5" i="4" s="1"/>
  <c r="Q5" i="4" s="1"/>
  <c r="D3" i="6"/>
  <c r="D4" i="6"/>
  <c r="D5" i="6"/>
  <c r="E14" i="12" s="1"/>
  <c r="D6" i="6"/>
  <c r="D7" i="6"/>
  <c r="D8" i="6"/>
  <c r="D9" i="6"/>
  <c r="T5" i="11"/>
  <c r="R58" i="1"/>
  <c r="R36" i="1"/>
  <c r="R38" i="1" s="1"/>
  <c r="R107" i="1" s="1"/>
  <c r="Q38" i="1"/>
  <c r="Q107" i="1" s="1"/>
  <c r="Q39" i="15"/>
  <c r="Q122" i="15"/>
  <c r="R122" i="15" s="1"/>
  <c r="N122" i="15"/>
  <c r="O122" i="15" s="1"/>
  <c r="N85" i="15"/>
  <c r="O85" i="15" s="1"/>
  <c r="K157" i="24"/>
  <c r="K38" i="12"/>
  <c r="K107" i="12" s="1"/>
  <c r="R46" i="1"/>
  <c r="L136" i="15"/>
  <c r="R206" i="24"/>
  <c r="L93" i="11"/>
  <c r="L74" i="11"/>
  <c r="R25" i="11"/>
  <c r="H14" i="9"/>
  <c r="H14" i="1"/>
  <c r="G21" i="7"/>
  <c r="H18" i="24"/>
  <c r="H25" i="10"/>
  <c r="H26" i="11"/>
  <c r="H40" i="15"/>
  <c r="H45" i="24"/>
  <c r="H25" i="1"/>
  <c r="G32" i="7"/>
  <c r="H42" i="15"/>
  <c r="H43" i="24"/>
  <c r="H37" i="9"/>
  <c r="H58" i="15"/>
  <c r="H62" i="24"/>
  <c r="H70" i="24"/>
  <c r="H37" i="10"/>
  <c r="G44" i="7"/>
  <c r="H56" i="15"/>
  <c r="H68" i="24"/>
  <c r="H49" i="9"/>
  <c r="H47" i="1"/>
  <c r="G54" i="7"/>
  <c r="H87" i="24"/>
  <c r="H96" i="24"/>
  <c r="H104" i="24"/>
  <c r="H59" i="9"/>
  <c r="H63" i="9"/>
  <c r="H59" i="10"/>
  <c r="H63" i="10"/>
  <c r="H59" i="1"/>
  <c r="H63" i="1"/>
  <c r="H49" i="1"/>
  <c r="G56" i="7"/>
  <c r="H85" i="24"/>
  <c r="H93" i="24"/>
  <c r="H102" i="24"/>
  <c r="H64" i="11"/>
  <c r="G64" i="7"/>
  <c r="G68" i="7"/>
  <c r="H100" i="15"/>
  <c r="H96" i="15"/>
  <c r="H92" i="15"/>
  <c r="H88" i="15"/>
  <c r="H112" i="24"/>
  <c r="H121" i="24"/>
  <c r="H130" i="24"/>
  <c r="H139" i="24"/>
  <c r="H87" i="9"/>
  <c r="H79" i="9"/>
  <c r="H87" i="10"/>
  <c r="H79" i="10"/>
  <c r="H87" i="1"/>
  <c r="H79" i="1"/>
  <c r="H75" i="11"/>
  <c r="H80" i="11"/>
  <c r="H86" i="11"/>
  <c r="G92" i="7"/>
  <c r="G81" i="7"/>
  <c r="H115" i="15"/>
  <c r="H119" i="15"/>
  <c r="H123" i="15"/>
  <c r="H129" i="15"/>
  <c r="H62" i="11"/>
  <c r="H118" i="24"/>
  <c r="H127" i="24"/>
  <c r="H136" i="24"/>
  <c r="H145" i="24"/>
  <c r="H81" i="9"/>
  <c r="H72" i="9"/>
  <c r="H77" i="10"/>
  <c r="H81" i="1"/>
  <c r="H72" i="1"/>
  <c r="G84" i="7"/>
  <c r="H158" i="24"/>
  <c r="H162" i="24"/>
  <c r="H167" i="24"/>
  <c r="H171" i="24"/>
  <c r="H176" i="24"/>
  <c r="H180" i="24"/>
  <c r="H185" i="24"/>
  <c r="H189" i="24"/>
  <c r="H197" i="24"/>
  <c r="H97" i="9"/>
  <c r="H97" i="10"/>
  <c r="H97" i="1"/>
  <c r="H96" i="11"/>
  <c r="G106" i="7"/>
  <c r="H137" i="15"/>
  <c r="H140" i="15"/>
  <c r="H145" i="15"/>
  <c r="H205" i="24"/>
  <c r="H207" i="24"/>
  <c r="H211" i="24"/>
  <c r="H213" i="24"/>
  <c r="H216" i="24"/>
  <c r="H220" i="24"/>
  <c r="H222" i="24"/>
  <c r="H224" i="24"/>
  <c r="H14" i="19"/>
  <c r="H27" i="19"/>
  <c r="H55" i="19"/>
  <c r="H65" i="19"/>
  <c r="H69" i="19"/>
  <c r="H82" i="19"/>
  <c r="H86" i="19"/>
  <c r="H92" i="19"/>
  <c r="H100" i="19"/>
  <c r="H14" i="18"/>
  <c r="H27" i="18"/>
  <c r="H55" i="18"/>
  <c r="H11" i="19"/>
  <c r="H16" i="19" s="1"/>
  <c r="H109" i="19" s="1"/>
  <c r="H25" i="19"/>
  <c r="H43" i="19"/>
  <c r="H53" i="19"/>
  <c r="H57" i="19"/>
  <c r="H67" i="19"/>
  <c r="H71" i="19"/>
  <c r="H84" i="19"/>
  <c r="H89" i="19"/>
  <c r="H102" i="19"/>
  <c r="H11" i="18"/>
  <c r="H25" i="18"/>
  <c r="H43" i="18"/>
  <c r="H53" i="18"/>
  <c r="H57" i="18"/>
  <c r="H67" i="18"/>
  <c r="H71" i="18"/>
  <c r="H82" i="18"/>
  <c r="H86" i="18"/>
  <c r="H92" i="18"/>
  <c r="H100" i="18"/>
  <c r="H14" i="17"/>
  <c r="H27" i="17"/>
  <c r="H55" i="17"/>
  <c r="H65" i="17"/>
  <c r="H69" i="17"/>
  <c r="H82" i="17"/>
  <c r="H86" i="17"/>
  <c r="H92" i="17"/>
  <c r="H100" i="17"/>
  <c r="H51" i="16"/>
  <c r="H53" i="16" s="1"/>
  <c r="H108" i="16" s="1"/>
  <c r="H59" i="16"/>
  <c r="H72" i="16"/>
  <c r="H77" i="16"/>
  <c r="H82" i="16"/>
  <c r="H95" i="16"/>
  <c r="H24" i="14"/>
  <c r="H34" i="14"/>
  <c r="H46" i="14"/>
  <c r="H56" i="14"/>
  <c r="H60" i="14"/>
  <c r="H69" i="14"/>
  <c r="H74" i="14"/>
  <c r="H78" i="14"/>
  <c r="H84" i="14"/>
  <c r="H92" i="14"/>
  <c r="H15" i="13"/>
  <c r="H28" i="13"/>
  <c r="H38" i="13"/>
  <c r="H50" i="13"/>
  <c r="H60" i="13"/>
  <c r="H64" i="13"/>
  <c r="H73" i="13"/>
  <c r="H78" i="13"/>
  <c r="H82" i="13"/>
  <c r="H88" i="13"/>
  <c r="H65" i="18"/>
  <c r="H69" i="18"/>
  <c r="H84" i="18"/>
  <c r="H89" i="18"/>
  <c r="H102" i="18"/>
  <c r="H11" i="17"/>
  <c r="H25" i="17"/>
  <c r="H43" i="17"/>
  <c r="H53" i="17"/>
  <c r="H57" i="17"/>
  <c r="H67" i="17"/>
  <c r="H71" i="17"/>
  <c r="H84" i="17"/>
  <c r="H89" i="17"/>
  <c r="H102" i="17"/>
  <c r="H11" i="16"/>
  <c r="H13" i="16" s="1"/>
  <c r="H102" i="16" s="1"/>
  <c r="H27" i="16"/>
  <c r="H29" i="16"/>
  <c r="H31" i="16"/>
  <c r="H41" i="16"/>
  <c r="H61" i="16"/>
  <c r="H70" i="16"/>
  <c r="H75" i="16"/>
  <c r="H79" i="16"/>
  <c r="H85" i="16"/>
  <c r="H93" i="16"/>
  <c r="H11" i="14"/>
  <c r="H13" i="14" s="1"/>
  <c r="H101" i="14" s="1"/>
  <c r="H22" i="14"/>
  <c r="H26" i="14" s="1"/>
  <c r="H103" i="14" s="1"/>
  <c r="H44" i="14"/>
  <c r="H48" i="14" s="1"/>
  <c r="H107" i="14" s="1"/>
  <c r="H54" i="14"/>
  <c r="H58" i="14"/>
  <c r="H71" i="14"/>
  <c r="H76" i="14"/>
  <c r="H81" i="14"/>
  <c r="H94" i="14"/>
  <c r="H12" i="13"/>
  <c r="H26" i="13"/>
  <c r="H48" i="13"/>
  <c r="H52" i="13" s="1"/>
  <c r="H111" i="13" s="1"/>
  <c r="H58" i="13"/>
  <c r="H62" i="13"/>
  <c r="H75" i="13"/>
  <c r="H80" i="13"/>
  <c r="H85" i="13"/>
  <c r="H98" i="13"/>
  <c r="H14" i="12"/>
  <c r="F11" i="10"/>
  <c r="F11" i="11"/>
  <c r="F20" i="15"/>
  <c r="F25" i="9"/>
  <c r="F27" i="1"/>
  <c r="F41" i="24"/>
  <c r="F28" i="11"/>
  <c r="F38" i="24"/>
  <c r="F37" i="1"/>
  <c r="F66" i="24"/>
  <c r="F40" i="11"/>
  <c r="F64" i="24"/>
  <c r="F47" i="1"/>
  <c r="F87" i="24"/>
  <c r="F104" i="24"/>
  <c r="F63" i="9"/>
  <c r="F63" i="10"/>
  <c r="F63" i="1"/>
  <c r="F50" i="11"/>
  <c r="F89" i="24"/>
  <c r="F62" i="11"/>
  <c r="E66" i="7"/>
  <c r="F98" i="15"/>
  <c r="F90" i="15"/>
  <c r="F121" i="24"/>
  <c r="F139" i="24"/>
  <c r="F79" i="9"/>
  <c r="F79" i="10"/>
  <c r="F79" i="1"/>
  <c r="F80" i="11"/>
  <c r="E92" i="7"/>
  <c r="F115" i="15"/>
  <c r="F123" i="15"/>
  <c r="F60" i="11"/>
  <c r="F127" i="24"/>
  <c r="F145" i="24"/>
  <c r="F72" i="9"/>
  <c r="F81" i="1"/>
  <c r="E84" i="7"/>
  <c r="F162" i="24"/>
  <c r="F171" i="24"/>
  <c r="F180" i="24"/>
  <c r="F189" i="24"/>
  <c r="F97" i="9"/>
  <c r="F97" i="1"/>
  <c r="E106" i="7"/>
  <c r="F145" i="15"/>
  <c r="F211" i="24"/>
  <c r="F220" i="24"/>
  <c r="F27" i="19"/>
  <c r="F82" i="19"/>
  <c r="F14" i="18"/>
  <c r="F11" i="19"/>
  <c r="F57" i="19"/>
  <c r="F89" i="19"/>
  <c r="F43" i="18"/>
  <c r="F71" i="18"/>
  <c r="F92" i="18"/>
  <c r="F55" i="17"/>
  <c r="F86" i="17"/>
  <c r="F59" i="16"/>
  <c r="F95" i="16"/>
  <c r="F56" i="14"/>
  <c r="F78" i="14"/>
  <c r="F28" i="13"/>
  <c r="F64" i="13"/>
  <c r="F88" i="13"/>
  <c r="F11" i="17"/>
  <c r="F57" i="17"/>
  <c r="F89" i="17"/>
  <c r="F29" i="16"/>
  <c r="F70" i="16"/>
  <c r="F93" i="16"/>
  <c r="F54" i="14"/>
  <c r="F81" i="14"/>
  <c r="F48" i="13"/>
  <c r="F80" i="13"/>
  <c r="D11" i="9"/>
  <c r="D14" i="9"/>
  <c r="D11" i="10"/>
  <c r="D14" i="10"/>
  <c r="D11" i="1"/>
  <c r="D14" i="1"/>
  <c r="D11" i="11"/>
  <c r="D14" i="11"/>
  <c r="C18" i="7"/>
  <c r="C21" i="7"/>
  <c r="D20" i="15"/>
  <c r="D23" i="15"/>
  <c r="D15" i="24"/>
  <c r="D18" i="24"/>
  <c r="D25" i="9"/>
  <c r="D27" i="10"/>
  <c r="D27" i="9"/>
  <c r="D29" i="9" s="1"/>
  <c r="D106" i="9" s="1"/>
  <c r="D25" i="10"/>
  <c r="D27" i="1"/>
  <c r="D26" i="11"/>
  <c r="C34" i="7"/>
  <c r="D40" i="15"/>
  <c r="D41" i="24"/>
  <c r="D45" i="24"/>
  <c r="D49" i="24"/>
  <c r="D25" i="1"/>
  <c r="D28" i="11"/>
  <c r="C32" i="7"/>
  <c r="D37" i="15"/>
  <c r="D42" i="15"/>
  <c r="D38" i="24"/>
  <c r="D43" i="24"/>
  <c r="D47" i="24"/>
  <c r="D37" i="9"/>
  <c r="D37" i="1"/>
  <c r="D58" i="15"/>
  <c r="D60" i="15"/>
  <c r="D62" i="24"/>
  <c r="D66" i="24"/>
  <c r="D70" i="24"/>
  <c r="D53" i="20"/>
  <c r="D37" i="10"/>
  <c r="D40" i="11"/>
  <c r="C44" i="7"/>
  <c r="D54" i="15"/>
  <c r="D56" i="15"/>
  <c r="D64" i="24"/>
  <c r="D68" i="24"/>
  <c r="D47" i="9"/>
  <c r="D49" i="9"/>
  <c r="D49" i="10"/>
  <c r="D47" i="1"/>
  <c r="D52" i="11"/>
  <c r="C54" i="7"/>
  <c r="D75" i="15"/>
  <c r="D87" i="24"/>
  <c r="D91" i="24"/>
  <c r="D96" i="24"/>
  <c r="D100" i="24"/>
  <c r="D104" i="24"/>
  <c r="D57" i="9"/>
  <c r="D59" i="9"/>
  <c r="D61" i="9"/>
  <c r="D63" i="9"/>
  <c r="D57" i="10"/>
  <c r="D59" i="10"/>
  <c r="D61" i="10"/>
  <c r="D63" i="10"/>
  <c r="D57" i="1"/>
  <c r="D59" i="1"/>
  <c r="D61" i="1"/>
  <c r="D63" i="1"/>
  <c r="D47" i="10"/>
  <c r="D51" i="10" s="1"/>
  <c r="D110" i="10" s="1"/>
  <c r="D49" i="1"/>
  <c r="D50" i="11"/>
  <c r="C56" i="7"/>
  <c r="D71" i="15"/>
  <c r="D79" i="15" s="1"/>
  <c r="D159" i="15" s="1"/>
  <c r="D85" i="24"/>
  <c r="D89" i="24"/>
  <c r="D93" i="24"/>
  <c r="D98" i="24"/>
  <c r="D102" i="24"/>
  <c r="D60" i="11"/>
  <c r="D64" i="11"/>
  <c r="D66" i="11"/>
  <c r="C64" i="7"/>
  <c r="C66" i="7"/>
  <c r="C68" i="7"/>
  <c r="C70" i="7"/>
  <c r="D100" i="15"/>
  <c r="D98" i="15"/>
  <c r="D96" i="15"/>
  <c r="D94" i="15"/>
  <c r="D92" i="15"/>
  <c r="D90" i="15"/>
  <c r="D88" i="15"/>
  <c r="D86" i="15"/>
  <c r="D116" i="24"/>
  <c r="D121" i="24"/>
  <c r="D125" i="24"/>
  <c r="D130" i="24"/>
  <c r="D134" i="24"/>
  <c r="D139" i="24"/>
  <c r="D143" i="24"/>
  <c r="D87" i="9"/>
  <c r="D84" i="9"/>
  <c r="D79" i="9"/>
  <c r="D74" i="9"/>
  <c r="D87" i="10"/>
  <c r="D84" i="10"/>
  <c r="D79" i="10"/>
  <c r="D74" i="10"/>
  <c r="D87" i="1"/>
  <c r="D84" i="1"/>
  <c r="D79" i="1"/>
  <c r="D74" i="1"/>
  <c r="D75" i="11"/>
  <c r="D78" i="11"/>
  <c r="D80" i="11"/>
  <c r="D83" i="11"/>
  <c r="D86" i="11"/>
  <c r="C96" i="7"/>
  <c r="C92" i="7"/>
  <c r="C86" i="7"/>
  <c r="C81" i="7"/>
  <c r="D113" i="15"/>
  <c r="D115" i="15"/>
  <c r="D117" i="15"/>
  <c r="D119" i="15"/>
  <c r="D121" i="15"/>
  <c r="D123" i="15"/>
  <c r="D126" i="15"/>
  <c r="D129" i="15"/>
  <c r="D194" i="24"/>
  <c r="D62" i="11"/>
  <c r="D114" i="24"/>
  <c r="D118" i="24"/>
  <c r="D123" i="24"/>
  <c r="D127" i="24"/>
  <c r="D132" i="24"/>
  <c r="D136" i="24"/>
  <c r="D141" i="24"/>
  <c r="D145" i="24"/>
  <c r="D66" i="20"/>
  <c r="D68" i="20" s="1"/>
  <c r="D96" i="20" s="1"/>
  <c r="D81" i="9"/>
  <c r="D89" i="9" s="1"/>
  <c r="D114" i="9" s="1"/>
  <c r="D77" i="9"/>
  <c r="D72" i="9"/>
  <c r="D81" i="10"/>
  <c r="D77" i="10"/>
  <c r="D72" i="10"/>
  <c r="D81" i="1"/>
  <c r="D77" i="1"/>
  <c r="D72" i="1"/>
  <c r="C88" i="7"/>
  <c r="C84" i="7"/>
  <c r="C79" i="7"/>
  <c r="D158" i="24"/>
  <c r="D160" i="24"/>
  <c r="D162" i="24"/>
  <c r="D164" i="24"/>
  <c r="D167" i="24"/>
  <c r="D169" i="24"/>
  <c r="D171" i="24"/>
  <c r="D173" i="24"/>
  <c r="D176" i="24"/>
  <c r="D178" i="24"/>
  <c r="D180" i="24"/>
  <c r="D182" i="24"/>
  <c r="D185" i="24"/>
  <c r="D187" i="24"/>
  <c r="D189" i="24"/>
  <c r="D191" i="24"/>
  <c r="D197" i="24"/>
  <c r="D95" i="9"/>
  <c r="D97" i="9"/>
  <c r="D95" i="10"/>
  <c r="D97" i="10"/>
  <c r="D95" i="1"/>
  <c r="D97" i="1"/>
  <c r="D94" i="11"/>
  <c r="D96" i="11"/>
  <c r="C104" i="7"/>
  <c r="C106" i="7"/>
  <c r="D137" i="15"/>
  <c r="D140" i="15"/>
  <c r="D143" i="15"/>
  <c r="D145" i="15"/>
  <c r="D205" i="24"/>
  <c r="D207" i="24"/>
  <c r="D209" i="24"/>
  <c r="D211" i="24"/>
  <c r="D213" i="24"/>
  <c r="D216" i="24"/>
  <c r="D218" i="24"/>
  <c r="D220" i="24"/>
  <c r="D222" i="24"/>
  <c r="D224" i="24"/>
  <c r="D14" i="19"/>
  <c r="D27" i="19"/>
  <c r="D55" i="19"/>
  <c r="D65" i="19"/>
  <c r="D69" i="19"/>
  <c r="D82" i="19"/>
  <c r="D86" i="19"/>
  <c r="D92" i="19"/>
  <c r="D100" i="19"/>
  <c r="D14" i="18"/>
  <c r="D27" i="18"/>
  <c r="D55" i="18"/>
  <c r="D65" i="18"/>
  <c r="D11" i="19"/>
  <c r="D25" i="19"/>
  <c r="D43" i="19"/>
  <c r="D53" i="19"/>
  <c r="D57" i="19"/>
  <c r="D67" i="19"/>
  <c r="D71" i="19"/>
  <c r="D84" i="19"/>
  <c r="D89" i="19"/>
  <c r="D102" i="19"/>
  <c r="D11" i="18"/>
  <c r="D16" i="18" s="1"/>
  <c r="D109" i="18" s="1"/>
  <c r="D25" i="18"/>
  <c r="D43" i="18"/>
  <c r="D53" i="18"/>
  <c r="D57" i="18"/>
  <c r="D59" i="18" s="1"/>
  <c r="D115" i="18" s="1"/>
  <c r="D67" i="18"/>
  <c r="D71" i="18"/>
  <c r="D82" i="18"/>
  <c r="D86" i="18"/>
  <c r="D92" i="18"/>
  <c r="D100" i="18"/>
  <c r="D14" i="17"/>
  <c r="D27" i="17"/>
  <c r="D55" i="17"/>
  <c r="D65" i="17"/>
  <c r="D69" i="17"/>
  <c r="D82" i="17"/>
  <c r="D86" i="17"/>
  <c r="D92" i="17"/>
  <c r="D100" i="17"/>
  <c r="D51" i="16"/>
  <c r="D53" i="16" s="1"/>
  <c r="D108" i="16" s="1"/>
  <c r="D59" i="16"/>
  <c r="D72" i="16"/>
  <c r="D77" i="16"/>
  <c r="D82" i="16"/>
  <c r="D95" i="16"/>
  <c r="D24" i="14"/>
  <c r="D34" i="14"/>
  <c r="D36" i="14" s="1"/>
  <c r="D105" i="14" s="1"/>
  <c r="D46" i="14"/>
  <c r="D56" i="14"/>
  <c r="D60" i="14"/>
  <c r="D69" i="14"/>
  <c r="D74" i="14"/>
  <c r="D78" i="14"/>
  <c r="D84" i="14"/>
  <c r="D92" i="14"/>
  <c r="D15" i="13"/>
  <c r="D28" i="13"/>
  <c r="D38" i="13"/>
  <c r="D50" i="13"/>
  <c r="D60" i="13"/>
  <c r="D64" i="13"/>
  <c r="D73" i="13"/>
  <c r="D78" i="13"/>
  <c r="D82" i="13"/>
  <c r="D88" i="13"/>
  <c r="D69" i="18"/>
  <c r="D84" i="18"/>
  <c r="D89" i="18"/>
  <c r="D102" i="18"/>
  <c r="D11" i="17"/>
  <c r="D25" i="17"/>
  <c r="D43" i="17"/>
  <c r="D53" i="17"/>
  <c r="D57" i="17"/>
  <c r="D67" i="17"/>
  <c r="D71" i="17"/>
  <c r="D84" i="17"/>
  <c r="D89" i="17"/>
  <c r="D102" i="17"/>
  <c r="D11" i="16"/>
  <c r="D13" i="16" s="1"/>
  <c r="D102" i="16" s="1"/>
  <c r="D27" i="16"/>
  <c r="D29" i="16"/>
  <c r="D31" i="16"/>
  <c r="D41" i="16"/>
  <c r="D61" i="16"/>
  <c r="D70" i="16"/>
  <c r="D75" i="16"/>
  <c r="D79" i="16"/>
  <c r="D85" i="16"/>
  <c r="D93" i="16"/>
  <c r="D11" i="14"/>
  <c r="D13" i="14" s="1"/>
  <c r="D101" i="14" s="1"/>
  <c r="D22" i="14"/>
  <c r="D44" i="14"/>
  <c r="D54" i="14"/>
  <c r="D58" i="14"/>
  <c r="D71" i="14"/>
  <c r="D76" i="14"/>
  <c r="D81" i="14"/>
  <c r="D94" i="14"/>
  <c r="D12" i="13"/>
  <c r="D17" i="13" s="1"/>
  <c r="D105" i="13" s="1"/>
  <c r="D26" i="13"/>
  <c r="D48" i="13"/>
  <c r="D58" i="13"/>
  <c r="D62" i="13"/>
  <c r="D75" i="13"/>
  <c r="D80" i="13"/>
  <c r="D85" i="13"/>
  <c r="D98" i="13"/>
  <c r="D14" i="12"/>
  <c r="C31" i="24"/>
  <c r="C32" i="24"/>
  <c r="K80" i="9"/>
  <c r="L80" i="9" s="1"/>
  <c r="N80" i="9"/>
  <c r="O80" i="9" s="1"/>
  <c r="K78" i="9"/>
  <c r="L78" i="9" s="1"/>
  <c r="K76" i="9"/>
  <c r="L76" i="9" s="1"/>
  <c r="N76" i="9"/>
  <c r="O76" i="9" s="1"/>
  <c r="K58" i="10"/>
  <c r="L58" i="10" s="1"/>
  <c r="N58" i="10"/>
  <c r="K46" i="10"/>
  <c r="L46" i="10" s="1"/>
  <c r="N46" i="10"/>
  <c r="O46" i="10" s="1"/>
  <c r="K36" i="10"/>
  <c r="L36" i="10" s="1"/>
  <c r="L38" i="10" s="1"/>
  <c r="L107" i="10" s="1"/>
  <c r="N36" i="10"/>
  <c r="O36" i="10" s="1"/>
  <c r="O38" i="10" s="1"/>
  <c r="O107" i="10" s="1"/>
  <c r="N78" i="1"/>
  <c r="O78" i="1" s="1"/>
  <c r="K78" i="1"/>
  <c r="L78" i="1" s="1"/>
  <c r="K76" i="1"/>
  <c r="L76" i="1" s="1"/>
  <c r="N76" i="1"/>
  <c r="O76" i="1" s="1"/>
  <c r="K60" i="1"/>
  <c r="L60" i="1" s="1"/>
  <c r="N60" i="1"/>
  <c r="O60" i="1" s="1"/>
  <c r="M95" i="15"/>
  <c r="N95" i="15" s="1"/>
  <c r="O95" i="15" s="1"/>
  <c r="J95" i="15"/>
  <c r="K95" i="15" s="1"/>
  <c r="L95" i="15" s="1"/>
  <c r="P95" i="15"/>
  <c r="Q95" i="15" s="1"/>
  <c r="R95" i="15" s="1"/>
  <c r="M91" i="15"/>
  <c r="N91" i="15" s="1"/>
  <c r="O91" i="15" s="1"/>
  <c r="J91" i="15"/>
  <c r="K91" i="15" s="1"/>
  <c r="L91" i="15" s="1"/>
  <c r="P91" i="15"/>
  <c r="Q91" i="15" s="1"/>
  <c r="R91" i="15" s="1"/>
  <c r="K221" i="24"/>
  <c r="L221" i="24" s="1"/>
  <c r="N221" i="24"/>
  <c r="O221" i="24" s="1"/>
  <c r="K217" i="24"/>
  <c r="L217" i="24" s="1"/>
  <c r="N217" i="24"/>
  <c r="O217" i="24" s="1"/>
  <c r="K212" i="24"/>
  <c r="L212" i="24" s="1"/>
  <c r="N212" i="24"/>
  <c r="O212" i="24" s="1"/>
  <c r="K208" i="24"/>
  <c r="L208" i="24" s="1"/>
  <c r="N208" i="24"/>
  <c r="O208" i="24" s="1"/>
  <c r="J188" i="24"/>
  <c r="K188" i="24" s="1"/>
  <c r="L188" i="24" s="1"/>
  <c r="M188" i="24"/>
  <c r="N188" i="24" s="1"/>
  <c r="O188" i="24" s="1"/>
  <c r="P188" i="24"/>
  <c r="Q188" i="24" s="1"/>
  <c r="R188" i="24" s="1"/>
  <c r="J181" i="24"/>
  <c r="K181" i="24" s="1"/>
  <c r="L181" i="24" s="1"/>
  <c r="M181" i="24"/>
  <c r="N181" i="24" s="1"/>
  <c r="O181" i="24" s="1"/>
  <c r="P181" i="24"/>
  <c r="Q181" i="24" s="1"/>
  <c r="R181" i="24" s="1"/>
  <c r="J175" i="24"/>
  <c r="K175" i="24" s="1"/>
  <c r="L175" i="24" s="1"/>
  <c r="M175" i="24"/>
  <c r="N175" i="24" s="1"/>
  <c r="O175" i="24" s="1"/>
  <c r="P175" i="24"/>
  <c r="Q175" i="24" s="1"/>
  <c r="R175" i="24" s="1"/>
  <c r="J170" i="24"/>
  <c r="K170" i="24" s="1"/>
  <c r="L170" i="24" s="1"/>
  <c r="M170" i="24"/>
  <c r="N170" i="24" s="1"/>
  <c r="O170" i="24" s="1"/>
  <c r="P170" i="24"/>
  <c r="Q170" i="24" s="1"/>
  <c r="R170" i="24" s="1"/>
  <c r="J163" i="24"/>
  <c r="K163" i="24" s="1"/>
  <c r="M163" i="24"/>
  <c r="N163" i="24" s="1"/>
  <c r="O163" i="24" s="1"/>
  <c r="P163" i="24"/>
  <c r="Q163" i="24" s="1"/>
  <c r="R163" i="24" s="1"/>
  <c r="M144" i="24"/>
  <c r="N144" i="24" s="1"/>
  <c r="O144" i="24" s="1"/>
  <c r="J144" i="24"/>
  <c r="K144" i="24" s="1"/>
  <c r="L144" i="24" s="1"/>
  <c r="P144" i="24"/>
  <c r="Q144" i="24" s="1"/>
  <c r="R144" i="24" s="1"/>
  <c r="M140" i="24"/>
  <c r="N140" i="24" s="1"/>
  <c r="O140" i="24" s="1"/>
  <c r="J140" i="24"/>
  <c r="K140" i="24" s="1"/>
  <c r="L140" i="24" s="1"/>
  <c r="P140" i="24"/>
  <c r="Q140" i="24" s="1"/>
  <c r="R140" i="24" s="1"/>
  <c r="M135" i="24"/>
  <c r="N135" i="24" s="1"/>
  <c r="O135" i="24" s="1"/>
  <c r="J135" i="24"/>
  <c r="K135" i="24" s="1"/>
  <c r="L135" i="24" s="1"/>
  <c r="P135" i="24"/>
  <c r="Q135" i="24" s="1"/>
  <c r="R135" i="24" s="1"/>
  <c r="J129" i="24"/>
  <c r="K129" i="24" s="1"/>
  <c r="L129" i="24" s="1"/>
  <c r="P129" i="24"/>
  <c r="Q129" i="24" s="1"/>
  <c r="R129" i="24" s="1"/>
  <c r="M129" i="24"/>
  <c r="N129" i="24" s="1"/>
  <c r="O129" i="24" s="1"/>
  <c r="J124" i="24"/>
  <c r="K124" i="24" s="1"/>
  <c r="L124" i="24" s="1"/>
  <c r="P124" i="24"/>
  <c r="Q124" i="24" s="1"/>
  <c r="R124" i="24" s="1"/>
  <c r="M124" i="24"/>
  <c r="N124" i="24" s="1"/>
  <c r="O124" i="24" s="1"/>
  <c r="J120" i="24"/>
  <c r="K120" i="24" s="1"/>
  <c r="L120" i="24" s="1"/>
  <c r="P120" i="24"/>
  <c r="Q120" i="24" s="1"/>
  <c r="M120" i="24"/>
  <c r="N120" i="24" s="1"/>
  <c r="O120" i="24" s="1"/>
  <c r="J115" i="24"/>
  <c r="K115" i="24" s="1"/>
  <c r="L115" i="24" s="1"/>
  <c r="P115" i="24"/>
  <c r="Q115" i="24" s="1"/>
  <c r="R115" i="24" s="1"/>
  <c r="M115" i="24"/>
  <c r="N115" i="24" s="1"/>
  <c r="O115" i="24" s="1"/>
  <c r="N103" i="24"/>
  <c r="O103" i="24" s="1"/>
  <c r="K103" i="24"/>
  <c r="L103" i="24" s="1"/>
  <c r="J101" i="24"/>
  <c r="M101" i="24"/>
  <c r="N101" i="24" s="1"/>
  <c r="O101" i="24" s="1"/>
  <c r="P101" i="24"/>
  <c r="Q101" i="24" s="1"/>
  <c r="R101" i="24" s="1"/>
  <c r="M99" i="24"/>
  <c r="N99" i="24" s="1"/>
  <c r="O99" i="24" s="1"/>
  <c r="J99" i="24"/>
  <c r="K99" i="24" s="1"/>
  <c r="P99" i="24"/>
  <c r="Q99" i="24" s="1"/>
  <c r="R99" i="24" s="1"/>
  <c r="J97" i="24"/>
  <c r="K97" i="24" s="1"/>
  <c r="L97" i="24" s="1"/>
  <c r="P97" i="24"/>
  <c r="Q97" i="24" s="1"/>
  <c r="R97" i="24" s="1"/>
  <c r="M97" i="24"/>
  <c r="N97" i="24" s="1"/>
  <c r="M95" i="24"/>
  <c r="N95" i="24" s="1"/>
  <c r="O95" i="24" s="1"/>
  <c r="J95" i="24"/>
  <c r="K95" i="24" s="1"/>
  <c r="L95" i="24" s="1"/>
  <c r="P95" i="24"/>
  <c r="Q95" i="24" s="1"/>
  <c r="R95" i="24" s="1"/>
  <c r="K65" i="24"/>
  <c r="L65" i="24" s="1"/>
  <c r="N65" i="24"/>
  <c r="O65" i="24" s="1"/>
  <c r="N48" i="24"/>
  <c r="O48" i="24" s="1"/>
  <c r="K48" i="24"/>
  <c r="L48" i="24" s="1"/>
  <c r="N40" i="24"/>
  <c r="O40" i="24" s="1"/>
  <c r="K40" i="24"/>
  <c r="L40" i="24" s="1"/>
  <c r="K65" i="11"/>
  <c r="L65" i="11" s="1"/>
  <c r="N65" i="11"/>
  <c r="O65" i="11" s="1"/>
  <c r="K61" i="11"/>
  <c r="L61" i="11" s="1"/>
  <c r="N61" i="11"/>
  <c r="O61" i="11" s="1"/>
  <c r="K49" i="11"/>
  <c r="L49" i="11" s="1"/>
  <c r="N49" i="11"/>
  <c r="O49" i="11" s="1"/>
  <c r="K39" i="11"/>
  <c r="L39" i="11" s="1"/>
  <c r="L41" i="11" s="1"/>
  <c r="L106" i="11" s="1"/>
  <c r="N39" i="11"/>
  <c r="O39" i="11" s="1"/>
  <c r="O41" i="11" s="1"/>
  <c r="O106" i="11" s="1"/>
  <c r="N97" i="13"/>
  <c r="O97" i="13" s="1"/>
  <c r="I99" i="13"/>
  <c r="I116" i="13" s="1"/>
  <c r="L47" i="13"/>
  <c r="L21" i="14"/>
  <c r="M40" i="16"/>
  <c r="M42" i="16" s="1"/>
  <c r="M105" i="16" s="1"/>
  <c r="M10" i="16"/>
  <c r="L12" i="16"/>
  <c r="L101" i="16" s="1"/>
  <c r="K44" i="17"/>
  <c r="K112" i="17" s="1"/>
  <c r="I98" i="9"/>
  <c r="I115" i="9" s="1"/>
  <c r="Q94" i="9"/>
  <c r="N94" i="9"/>
  <c r="Q71" i="10"/>
  <c r="R71" i="10" s="1"/>
  <c r="N71" i="10"/>
  <c r="O71" i="10" s="1"/>
  <c r="Q10" i="10"/>
  <c r="R10" i="10" s="1"/>
  <c r="N10" i="10"/>
  <c r="O10" i="10" s="1"/>
  <c r="K10" i="10"/>
  <c r="I98" i="1"/>
  <c r="I115" i="1" s="1"/>
  <c r="Q94" i="1"/>
  <c r="N94" i="1"/>
  <c r="I50" i="1"/>
  <c r="I109" i="1" s="1"/>
  <c r="I28" i="1"/>
  <c r="I105" i="1" s="1"/>
  <c r="Q24" i="1"/>
  <c r="N24" i="1"/>
  <c r="H97" i="7"/>
  <c r="H122" i="7" s="1"/>
  <c r="P95" i="7"/>
  <c r="Q95" i="7" s="1"/>
  <c r="M95" i="7"/>
  <c r="N95" i="7" s="1"/>
  <c r="P91" i="7"/>
  <c r="Q91" i="7" s="1"/>
  <c r="M91" i="7"/>
  <c r="N91" i="7" s="1"/>
  <c r="P17" i="7"/>
  <c r="Q17" i="7" s="1"/>
  <c r="M17" i="7"/>
  <c r="N17" i="7" s="1"/>
  <c r="J17" i="7"/>
  <c r="I146" i="15"/>
  <c r="I164" i="15" s="1"/>
  <c r="Q136" i="15"/>
  <c r="N136" i="15"/>
  <c r="P97" i="15"/>
  <c r="P87" i="15"/>
  <c r="G77" i="15"/>
  <c r="E77" i="15"/>
  <c r="C77" i="15"/>
  <c r="P76" i="15"/>
  <c r="N76" i="15"/>
  <c r="O76" i="15" s="1"/>
  <c r="G73" i="15"/>
  <c r="E73" i="15"/>
  <c r="C73" i="15"/>
  <c r="P72" i="15"/>
  <c r="Q55" i="15"/>
  <c r="R55" i="15" s="1"/>
  <c r="N55" i="15"/>
  <c r="O55" i="15" s="1"/>
  <c r="Q53" i="15"/>
  <c r="O19" i="15"/>
  <c r="O11" i="15"/>
  <c r="M85" i="15" s="1"/>
  <c r="O9" i="15"/>
  <c r="O10" i="15" s="1"/>
  <c r="N36" i="15" s="1"/>
  <c r="O36" i="15" s="1"/>
  <c r="Q142" i="15"/>
  <c r="R142" i="15" s="1"/>
  <c r="K142" i="15"/>
  <c r="L142" i="15" s="1"/>
  <c r="I225" i="24"/>
  <c r="I243" i="24" s="1"/>
  <c r="P177" i="24"/>
  <c r="Q168" i="24"/>
  <c r="R168" i="24" s="1"/>
  <c r="P157" i="24"/>
  <c r="M157" i="24"/>
  <c r="P131" i="24"/>
  <c r="P111" i="24"/>
  <c r="M111" i="24"/>
  <c r="D112" i="24"/>
  <c r="P92" i="24"/>
  <c r="I71" i="24"/>
  <c r="I235" i="24" s="1"/>
  <c r="Q67" i="24"/>
  <c r="N67" i="24"/>
  <c r="O67" i="24" s="1"/>
  <c r="I97" i="11"/>
  <c r="I114" i="11" s="1"/>
  <c r="Q93" i="11"/>
  <c r="N93" i="11"/>
  <c r="O93" i="11" s="1"/>
  <c r="I87" i="11"/>
  <c r="I112" i="11" s="1"/>
  <c r="Q74" i="11"/>
  <c r="N74" i="11"/>
  <c r="Q59" i="11"/>
  <c r="Q41" i="11"/>
  <c r="Q106" i="11" s="1"/>
  <c r="I29" i="11"/>
  <c r="I104" i="11" s="1"/>
  <c r="Q10" i="11"/>
  <c r="R10" i="11" s="1"/>
  <c r="N10" i="11"/>
  <c r="O10" i="11" s="1"/>
  <c r="K10" i="11"/>
  <c r="G97" i="12"/>
  <c r="E97" i="12"/>
  <c r="C97" i="12"/>
  <c r="H95" i="12"/>
  <c r="D95" i="12"/>
  <c r="I88" i="12"/>
  <c r="I113" i="12" s="1"/>
  <c r="H87" i="12"/>
  <c r="F87" i="12"/>
  <c r="D87" i="12"/>
  <c r="Q86" i="12"/>
  <c r="R86" i="12" s="1"/>
  <c r="N86" i="12"/>
  <c r="O86" i="12" s="1"/>
  <c r="G84" i="12"/>
  <c r="E84" i="12"/>
  <c r="C84" i="12"/>
  <c r="H81" i="12"/>
  <c r="F81" i="12"/>
  <c r="D81" i="12"/>
  <c r="Q80" i="12"/>
  <c r="R80" i="12" s="1"/>
  <c r="N80" i="12"/>
  <c r="O80" i="12" s="1"/>
  <c r="G79" i="12"/>
  <c r="E79" i="12"/>
  <c r="C79" i="12"/>
  <c r="H77" i="12"/>
  <c r="F77" i="12"/>
  <c r="D77" i="12"/>
  <c r="Q76" i="12"/>
  <c r="R76" i="12" s="1"/>
  <c r="N76" i="12"/>
  <c r="O76" i="12" s="1"/>
  <c r="G74" i="12"/>
  <c r="E74" i="12"/>
  <c r="C74" i="12"/>
  <c r="H72" i="12"/>
  <c r="F72" i="12"/>
  <c r="D72" i="12"/>
  <c r="Q71" i="12"/>
  <c r="R71" i="12" s="1"/>
  <c r="N71" i="12"/>
  <c r="O71" i="12" s="1"/>
  <c r="H63" i="12"/>
  <c r="F63" i="12"/>
  <c r="D63" i="12"/>
  <c r="Q62" i="12"/>
  <c r="R62" i="12" s="1"/>
  <c r="N62" i="12"/>
  <c r="O62" i="12" s="1"/>
  <c r="G61" i="12"/>
  <c r="E61" i="12"/>
  <c r="C61" i="12"/>
  <c r="H59" i="12"/>
  <c r="F59" i="12"/>
  <c r="D59" i="12"/>
  <c r="Q58" i="12"/>
  <c r="N58" i="12"/>
  <c r="O58" i="12" s="1"/>
  <c r="G57" i="12"/>
  <c r="E57" i="12"/>
  <c r="C57" i="12"/>
  <c r="I50" i="12"/>
  <c r="I109" i="12" s="1"/>
  <c r="H49" i="12"/>
  <c r="D49" i="12"/>
  <c r="Q48" i="12"/>
  <c r="N48" i="12"/>
  <c r="O48" i="12" s="1"/>
  <c r="G47" i="12"/>
  <c r="E47" i="12"/>
  <c r="C47" i="12"/>
  <c r="I38" i="12"/>
  <c r="I107" i="12" s="1"/>
  <c r="H37" i="12"/>
  <c r="F37" i="12"/>
  <c r="D37" i="12"/>
  <c r="Q36" i="12"/>
  <c r="N36" i="12"/>
  <c r="N38" i="12" s="1"/>
  <c r="N107" i="12" s="1"/>
  <c r="I28" i="12"/>
  <c r="I105" i="12" s="1"/>
  <c r="H27" i="12"/>
  <c r="F27" i="12"/>
  <c r="D27" i="12"/>
  <c r="Q26" i="12"/>
  <c r="R26" i="12" s="1"/>
  <c r="N26" i="12"/>
  <c r="G25" i="12"/>
  <c r="E25" i="12"/>
  <c r="C25" i="12"/>
  <c r="F11" i="12"/>
  <c r="H96" i="13"/>
  <c r="D96" i="13"/>
  <c r="I29" i="16"/>
  <c r="G27" i="9"/>
  <c r="G11" i="9"/>
  <c r="G14" i="9"/>
  <c r="G11" i="10"/>
  <c r="G14" i="10"/>
  <c r="G11" i="1"/>
  <c r="G14" i="1"/>
  <c r="G11" i="11"/>
  <c r="G14" i="11"/>
  <c r="F18" i="7"/>
  <c r="F21" i="7"/>
  <c r="G20" i="15"/>
  <c r="G23" i="15"/>
  <c r="G15" i="24"/>
  <c r="G18" i="24"/>
  <c r="G25" i="1"/>
  <c r="G28" i="11"/>
  <c r="F32" i="7"/>
  <c r="G37" i="15"/>
  <c r="G42" i="15"/>
  <c r="G38" i="24"/>
  <c r="G43" i="24"/>
  <c r="G47" i="24"/>
  <c r="G25" i="9"/>
  <c r="G27" i="10"/>
  <c r="G25" i="10"/>
  <c r="G27" i="1"/>
  <c r="G26" i="11"/>
  <c r="F34" i="7"/>
  <c r="G40" i="15"/>
  <c r="G41" i="24"/>
  <c r="G45" i="24"/>
  <c r="G49" i="24"/>
  <c r="G37" i="10"/>
  <c r="G40" i="11"/>
  <c r="F44" i="7"/>
  <c r="G54" i="15"/>
  <c r="G56" i="15"/>
  <c r="G64" i="24"/>
  <c r="G68" i="24"/>
  <c r="G37" i="9"/>
  <c r="G37" i="1"/>
  <c r="G58" i="15"/>
  <c r="G60" i="15"/>
  <c r="G62" i="24"/>
  <c r="G66" i="24"/>
  <c r="G70" i="24"/>
  <c r="G53" i="20"/>
  <c r="G49" i="9"/>
  <c r="G47" i="9"/>
  <c r="G47" i="10"/>
  <c r="G49" i="1"/>
  <c r="G50" i="11"/>
  <c r="F56" i="7"/>
  <c r="G71" i="15"/>
  <c r="G85" i="24"/>
  <c r="G89" i="24"/>
  <c r="G93" i="24"/>
  <c r="G98" i="24"/>
  <c r="G102" i="24"/>
  <c r="G49" i="10"/>
  <c r="G47" i="1"/>
  <c r="G51" i="1" s="1"/>
  <c r="G110" i="1" s="1"/>
  <c r="G52" i="11"/>
  <c r="F54" i="7"/>
  <c r="G75" i="15"/>
  <c r="G87" i="24"/>
  <c r="G91" i="24"/>
  <c r="G96" i="24"/>
  <c r="G100" i="24"/>
  <c r="G104" i="24"/>
  <c r="G57" i="9"/>
  <c r="G59" i="9"/>
  <c r="G61" i="9"/>
  <c r="G63" i="9"/>
  <c r="G57" i="10"/>
  <c r="G59" i="10"/>
  <c r="G61" i="10"/>
  <c r="G63" i="10"/>
  <c r="G57" i="1"/>
  <c r="G59" i="1"/>
  <c r="G61" i="1"/>
  <c r="G63" i="1"/>
  <c r="G60" i="11"/>
  <c r="G62" i="11"/>
  <c r="G114" i="24"/>
  <c r="G118" i="24"/>
  <c r="G123" i="24"/>
  <c r="G127" i="24"/>
  <c r="G132" i="24"/>
  <c r="G136" i="24"/>
  <c r="G141" i="24"/>
  <c r="G145" i="24"/>
  <c r="G66" i="20"/>
  <c r="G68" i="20" s="1"/>
  <c r="G96" i="20" s="1"/>
  <c r="G81" i="9"/>
  <c r="G77" i="9"/>
  <c r="G72" i="9"/>
  <c r="G81" i="10"/>
  <c r="G77" i="10"/>
  <c r="G72" i="10"/>
  <c r="G81" i="1"/>
  <c r="G77" i="1"/>
  <c r="G72" i="1"/>
  <c r="F88" i="7"/>
  <c r="F84" i="7"/>
  <c r="F79" i="7"/>
  <c r="G158" i="24"/>
  <c r="G160" i="24"/>
  <c r="G162" i="24"/>
  <c r="G164" i="24"/>
  <c r="G167" i="24"/>
  <c r="G169" i="24"/>
  <c r="G171" i="24"/>
  <c r="G173" i="24"/>
  <c r="G176" i="24"/>
  <c r="G178" i="24"/>
  <c r="G180" i="24"/>
  <c r="G182" i="24"/>
  <c r="G185" i="24"/>
  <c r="G187" i="24"/>
  <c r="G189" i="24"/>
  <c r="G191" i="24"/>
  <c r="G64" i="11"/>
  <c r="G66" i="11"/>
  <c r="F64" i="7"/>
  <c r="F66" i="7"/>
  <c r="F68" i="7"/>
  <c r="F70" i="7"/>
  <c r="G100" i="15"/>
  <c r="G98" i="15"/>
  <c r="G96" i="15"/>
  <c r="G94" i="15"/>
  <c r="G92" i="15"/>
  <c r="G90" i="15"/>
  <c r="G88" i="15"/>
  <c r="G86" i="15"/>
  <c r="G112" i="24"/>
  <c r="G116" i="24"/>
  <c r="G121" i="24"/>
  <c r="G125" i="24"/>
  <c r="G130" i="24"/>
  <c r="G134" i="24"/>
  <c r="G139" i="24"/>
  <c r="G143" i="24"/>
  <c r="G87" i="9"/>
  <c r="G84" i="9"/>
  <c r="G79" i="9"/>
  <c r="G74" i="9"/>
  <c r="G87" i="10"/>
  <c r="G84" i="10"/>
  <c r="G79" i="10"/>
  <c r="G74" i="10"/>
  <c r="G87" i="1"/>
  <c r="G84" i="1"/>
  <c r="G79" i="1"/>
  <c r="G74" i="1"/>
  <c r="G75" i="11"/>
  <c r="G78" i="11"/>
  <c r="G80" i="11"/>
  <c r="G83" i="11"/>
  <c r="G86" i="11"/>
  <c r="F96" i="7"/>
  <c r="F92" i="7"/>
  <c r="F86" i="7"/>
  <c r="F81" i="7"/>
  <c r="G113" i="15"/>
  <c r="G115" i="15"/>
  <c r="G117" i="15"/>
  <c r="G119" i="15"/>
  <c r="G121" i="15"/>
  <c r="G123" i="15"/>
  <c r="G126" i="15"/>
  <c r="G129" i="15"/>
  <c r="G194" i="24"/>
  <c r="G95" i="9"/>
  <c r="G97" i="10"/>
  <c r="G11" i="19"/>
  <c r="G25" i="19"/>
  <c r="G43" i="19"/>
  <c r="G53" i="19"/>
  <c r="G57" i="19"/>
  <c r="G67" i="19"/>
  <c r="G71" i="19"/>
  <c r="G84" i="19"/>
  <c r="G89" i="19"/>
  <c r="G102" i="19"/>
  <c r="G11" i="18"/>
  <c r="G25" i="18"/>
  <c r="G43" i="18"/>
  <c r="G53" i="18"/>
  <c r="G57" i="18"/>
  <c r="G197" i="24"/>
  <c r="G97" i="9"/>
  <c r="G95" i="10"/>
  <c r="G95" i="1"/>
  <c r="G97" i="1"/>
  <c r="G94" i="11"/>
  <c r="G96" i="11"/>
  <c r="F104" i="7"/>
  <c r="F106" i="7"/>
  <c r="G137" i="15"/>
  <c r="G140" i="15"/>
  <c r="G143" i="15"/>
  <c r="G145" i="15"/>
  <c r="G205" i="24"/>
  <c r="G207" i="24"/>
  <c r="G209" i="24"/>
  <c r="G211" i="24"/>
  <c r="G213" i="24"/>
  <c r="G216" i="24"/>
  <c r="G218" i="24"/>
  <c r="G220" i="24"/>
  <c r="G222" i="24"/>
  <c r="G224" i="24"/>
  <c r="G14" i="19"/>
  <c r="G27" i="19"/>
  <c r="G55" i="19"/>
  <c r="G65" i="19"/>
  <c r="G69" i="19"/>
  <c r="G82" i="19"/>
  <c r="G86" i="19"/>
  <c r="G92" i="19"/>
  <c r="G100" i="19"/>
  <c r="G104" i="19" s="1"/>
  <c r="G121" i="19" s="1"/>
  <c r="G14" i="18"/>
  <c r="G27" i="18"/>
  <c r="G29" i="18" s="1"/>
  <c r="G111" i="18" s="1"/>
  <c r="G55" i="18"/>
  <c r="G65" i="18"/>
  <c r="G69" i="18"/>
  <c r="G84" i="18"/>
  <c r="G89" i="18"/>
  <c r="G102" i="18"/>
  <c r="G11" i="17"/>
  <c r="G25" i="17"/>
  <c r="G43" i="17"/>
  <c r="G53" i="17"/>
  <c r="G57" i="17"/>
  <c r="G67" i="17"/>
  <c r="G71" i="17"/>
  <c r="G84" i="17"/>
  <c r="G89" i="17"/>
  <c r="G102" i="17"/>
  <c r="G11" i="16"/>
  <c r="G13" i="16" s="1"/>
  <c r="G102" i="16" s="1"/>
  <c r="G27" i="16"/>
  <c r="G29" i="16"/>
  <c r="G31" i="16"/>
  <c r="G33" i="16" s="1"/>
  <c r="G104" i="16" s="1"/>
  <c r="G41" i="16"/>
  <c r="G61" i="16"/>
  <c r="G70" i="16"/>
  <c r="G75" i="16"/>
  <c r="G79" i="16"/>
  <c r="G85" i="16"/>
  <c r="G93" i="16"/>
  <c r="G11" i="14"/>
  <c r="G13" i="14" s="1"/>
  <c r="G101" i="14" s="1"/>
  <c r="G22" i="14"/>
  <c r="G44" i="14"/>
  <c r="G54" i="14"/>
  <c r="G58" i="14"/>
  <c r="G71" i="14"/>
  <c r="G76" i="14"/>
  <c r="G81" i="14"/>
  <c r="G94" i="14"/>
  <c r="G12" i="13"/>
  <c r="G26" i="13"/>
  <c r="G48" i="13"/>
  <c r="G58" i="13"/>
  <c r="G62" i="13"/>
  <c r="G75" i="13"/>
  <c r="G80" i="13"/>
  <c r="G85" i="13"/>
  <c r="G67" i="18"/>
  <c r="G71" i="18"/>
  <c r="G82" i="18"/>
  <c r="G86" i="18"/>
  <c r="G92" i="18"/>
  <c r="G100" i="18"/>
  <c r="G104" i="18" s="1"/>
  <c r="G121" i="18" s="1"/>
  <c r="G14" i="17"/>
  <c r="G27" i="17"/>
  <c r="G29" i="17" s="1"/>
  <c r="G111" i="17" s="1"/>
  <c r="G55" i="17"/>
  <c r="G65" i="17"/>
  <c r="G69" i="17"/>
  <c r="G82" i="17"/>
  <c r="G86" i="17"/>
  <c r="G92" i="17"/>
  <c r="G100" i="17"/>
  <c r="G51" i="16"/>
  <c r="G53" i="16" s="1"/>
  <c r="G108" i="16" s="1"/>
  <c r="G59" i="16"/>
  <c r="G72" i="16"/>
  <c r="G77" i="16"/>
  <c r="G82" i="16"/>
  <c r="G95" i="16"/>
  <c r="G24" i="14"/>
  <c r="G34" i="14"/>
  <c r="G36" i="14" s="1"/>
  <c r="G105" i="14" s="1"/>
  <c r="G46" i="14"/>
  <c r="G56" i="14"/>
  <c r="G60" i="14"/>
  <c r="G69" i="14"/>
  <c r="G74" i="14"/>
  <c r="G78" i="14"/>
  <c r="G84" i="14"/>
  <c r="G92" i="14"/>
  <c r="G15" i="13"/>
  <c r="G28" i="13"/>
  <c r="G38" i="13"/>
  <c r="G50" i="13"/>
  <c r="G60" i="13"/>
  <c r="G64" i="13"/>
  <c r="G73" i="13"/>
  <c r="G78" i="13"/>
  <c r="G82" i="13"/>
  <c r="G88" i="13"/>
  <c r="G96" i="13"/>
  <c r="G11" i="12"/>
  <c r="E27" i="9"/>
  <c r="E11" i="9"/>
  <c r="E14" i="9"/>
  <c r="E11" i="10"/>
  <c r="E14" i="10"/>
  <c r="E11" i="1"/>
  <c r="E14" i="1"/>
  <c r="E11" i="11"/>
  <c r="E14" i="11"/>
  <c r="D18" i="7"/>
  <c r="D21" i="7"/>
  <c r="E20" i="15"/>
  <c r="E23" i="15"/>
  <c r="E15" i="24"/>
  <c r="E18" i="24"/>
  <c r="E25" i="9"/>
  <c r="E27" i="10"/>
  <c r="E25" i="1"/>
  <c r="E28" i="11"/>
  <c r="D32" i="7"/>
  <c r="E37" i="15"/>
  <c r="E42" i="15"/>
  <c r="E38" i="24"/>
  <c r="E43" i="24"/>
  <c r="E47" i="24"/>
  <c r="E25" i="10"/>
  <c r="E27" i="1"/>
  <c r="E26" i="11"/>
  <c r="D34" i="7"/>
  <c r="D36" i="7" s="1"/>
  <c r="D115" i="7" s="1"/>
  <c r="E40" i="15"/>
  <c r="E41" i="24"/>
  <c r="E45" i="24"/>
  <c r="E49" i="24"/>
  <c r="E37" i="10"/>
  <c r="E40" i="11"/>
  <c r="D44" i="7"/>
  <c r="E54" i="15"/>
  <c r="E56" i="15"/>
  <c r="E64" i="24"/>
  <c r="E68" i="24"/>
  <c r="E37" i="9"/>
  <c r="E37" i="1"/>
  <c r="E58" i="15"/>
  <c r="E60" i="15"/>
  <c r="E62" i="24"/>
  <c r="E66" i="24"/>
  <c r="E70" i="24"/>
  <c r="E53" i="20"/>
  <c r="E49" i="9"/>
  <c r="E47" i="10"/>
  <c r="E49" i="1"/>
  <c r="E50" i="11"/>
  <c r="D56" i="7"/>
  <c r="E71" i="15"/>
  <c r="E85" i="24"/>
  <c r="E89" i="24"/>
  <c r="E93" i="24"/>
  <c r="E98" i="24"/>
  <c r="E102" i="24"/>
  <c r="E47" i="9"/>
  <c r="E49" i="10"/>
  <c r="E47" i="1"/>
  <c r="E52" i="11"/>
  <c r="D54" i="7"/>
  <c r="E75" i="15"/>
  <c r="E87" i="24"/>
  <c r="E91" i="24"/>
  <c r="E96" i="24"/>
  <c r="E100" i="24"/>
  <c r="E104" i="24"/>
  <c r="E57" i="9"/>
  <c r="E59" i="9"/>
  <c r="E61" i="9"/>
  <c r="E63" i="9"/>
  <c r="E57" i="10"/>
  <c r="E59" i="10"/>
  <c r="E61" i="10"/>
  <c r="E63" i="10"/>
  <c r="E57" i="1"/>
  <c r="E59" i="1"/>
  <c r="E61" i="1"/>
  <c r="E63" i="1"/>
  <c r="E60" i="11"/>
  <c r="E62" i="11"/>
  <c r="E114" i="24"/>
  <c r="E118" i="24"/>
  <c r="E123" i="24"/>
  <c r="E127" i="24"/>
  <c r="E132" i="24"/>
  <c r="E136" i="24"/>
  <c r="E141" i="24"/>
  <c r="E145" i="24"/>
  <c r="E66" i="20"/>
  <c r="E68" i="20" s="1"/>
  <c r="E96" i="20" s="1"/>
  <c r="E81" i="9"/>
  <c r="E77" i="9"/>
  <c r="E72" i="9"/>
  <c r="E81" i="10"/>
  <c r="E77" i="10"/>
  <c r="E72" i="10"/>
  <c r="E81" i="1"/>
  <c r="E77" i="1"/>
  <c r="E72" i="1"/>
  <c r="D88" i="7"/>
  <c r="D84" i="7"/>
  <c r="D79" i="7"/>
  <c r="E158" i="24"/>
  <c r="E160" i="24"/>
  <c r="E162" i="24"/>
  <c r="E164" i="24"/>
  <c r="E167" i="24"/>
  <c r="E169" i="24"/>
  <c r="E171" i="24"/>
  <c r="E173" i="24"/>
  <c r="E176" i="24"/>
  <c r="E178" i="24"/>
  <c r="E180" i="24"/>
  <c r="E182" i="24"/>
  <c r="E185" i="24"/>
  <c r="E187" i="24"/>
  <c r="E189" i="24"/>
  <c r="E191" i="24"/>
  <c r="E64" i="11"/>
  <c r="E66" i="11"/>
  <c r="D64" i="7"/>
  <c r="D66" i="7"/>
  <c r="D68" i="7"/>
  <c r="D70" i="7"/>
  <c r="E100" i="15"/>
  <c r="E98" i="15"/>
  <c r="E96" i="15"/>
  <c r="E94" i="15"/>
  <c r="E92" i="15"/>
  <c r="E90" i="15"/>
  <c r="E88" i="15"/>
  <c r="E86" i="15"/>
  <c r="E116" i="24"/>
  <c r="E121" i="24"/>
  <c r="E125" i="24"/>
  <c r="E130" i="24"/>
  <c r="E134" i="24"/>
  <c r="E139" i="24"/>
  <c r="E143" i="24"/>
  <c r="E87" i="9"/>
  <c r="E84" i="9"/>
  <c r="E79" i="9"/>
  <c r="E74" i="9"/>
  <c r="E87" i="10"/>
  <c r="E84" i="10"/>
  <c r="E79" i="10"/>
  <c r="E74" i="10"/>
  <c r="E87" i="1"/>
  <c r="E84" i="1"/>
  <c r="E79" i="1"/>
  <c r="E74" i="1"/>
  <c r="E75" i="11"/>
  <c r="E78" i="11"/>
  <c r="E80" i="11"/>
  <c r="E83" i="11"/>
  <c r="E86" i="11"/>
  <c r="D96" i="7"/>
  <c r="D92" i="7"/>
  <c r="D86" i="7"/>
  <c r="D81" i="7"/>
  <c r="E113" i="15"/>
  <c r="E115" i="15"/>
  <c r="E117" i="15"/>
  <c r="E119" i="15"/>
  <c r="E121" i="15"/>
  <c r="E123" i="15"/>
  <c r="E126" i="15"/>
  <c r="E129" i="15"/>
  <c r="E194" i="24"/>
  <c r="E197" i="24"/>
  <c r="E97" i="9"/>
  <c r="E95" i="10"/>
  <c r="E11" i="19"/>
  <c r="E25" i="19"/>
  <c r="E43" i="19"/>
  <c r="E53" i="19"/>
  <c r="E57" i="19"/>
  <c r="E67" i="19"/>
  <c r="E71" i="19"/>
  <c r="E84" i="19"/>
  <c r="E89" i="19"/>
  <c r="E102" i="19"/>
  <c r="E11" i="18"/>
  <c r="E25" i="18"/>
  <c r="E43" i="18"/>
  <c r="E53" i="18"/>
  <c r="E57" i="18"/>
  <c r="E95" i="9"/>
  <c r="E99" i="9" s="1"/>
  <c r="E116" i="9" s="1"/>
  <c r="E97" i="10"/>
  <c r="E95" i="1"/>
  <c r="E97" i="1"/>
  <c r="E94" i="11"/>
  <c r="E96" i="11"/>
  <c r="D104" i="7"/>
  <c r="D106" i="7"/>
  <c r="E137" i="15"/>
  <c r="E140" i="15"/>
  <c r="E143" i="15"/>
  <c r="E145" i="15"/>
  <c r="E205" i="24"/>
  <c r="E207" i="24"/>
  <c r="E209" i="24"/>
  <c r="E211" i="24"/>
  <c r="E213" i="24"/>
  <c r="E216" i="24"/>
  <c r="E218" i="24"/>
  <c r="E220" i="24"/>
  <c r="E222" i="24"/>
  <c r="E224" i="24"/>
  <c r="E14" i="19"/>
  <c r="E27" i="19"/>
  <c r="E55" i="19"/>
  <c r="E65" i="19"/>
  <c r="E69" i="19"/>
  <c r="E82" i="19"/>
  <c r="E86" i="19"/>
  <c r="E92" i="19"/>
  <c r="E100" i="19"/>
  <c r="E104" i="19" s="1"/>
  <c r="E121" i="19" s="1"/>
  <c r="E14" i="18"/>
  <c r="E27" i="18"/>
  <c r="E29" i="18" s="1"/>
  <c r="E111" i="18" s="1"/>
  <c r="E55" i="18"/>
  <c r="E65" i="18"/>
  <c r="E69" i="18"/>
  <c r="E67" i="18"/>
  <c r="E71" i="18"/>
  <c r="E84" i="18"/>
  <c r="E89" i="18"/>
  <c r="E102" i="18"/>
  <c r="E11" i="17"/>
  <c r="E25" i="17"/>
  <c r="E43" i="17"/>
  <c r="E53" i="17"/>
  <c r="E57" i="17"/>
  <c r="E67" i="17"/>
  <c r="E71" i="17"/>
  <c r="E84" i="17"/>
  <c r="E89" i="17"/>
  <c r="E102" i="17"/>
  <c r="E11" i="16"/>
  <c r="E13" i="16" s="1"/>
  <c r="E102" i="16" s="1"/>
  <c r="E27" i="16"/>
  <c r="E29" i="16"/>
  <c r="E31" i="16"/>
  <c r="E41" i="16"/>
  <c r="E61" i="16"/>
  <c r="E70" i="16"/>
  <c r="E75" i="16"/>
  <c r="E79" i="16"/>
  <c r="E85" i="16"/>
  <c r="E93" i="16"/>
  <c r="E11" i="14"/>
  <c r="E13" i="14" s="1"/>
  <c r="E101" i="14" s="1"/>
  <c r="E22" i="14"/>
  <c r="E44" i="14"/>
  <c r="E54" i="14"/>
  <c r="E58" i="14"/>
  <c r="E71" i="14"/>
  <c r="E76" i="14"/>
  <c r="E81" i="14"/>
  <c r="E94" i="14"/>
  <c r="E12" i="13"/>
  <c r="E26" i="13"/>
  <c r="E48" i="13"/>
  <c r="E52" i="13" s="1"/>
  <c r="E111" i="13" s="1"/>
  <c r="E58" i="13"/>
  <c r="E62" i="13"/>
  <c r="E75" i="13"/>
  <c r="E80" i="13"/>
  <c r="E85" i="13"/>
  <c r="E82" i="18"/>
  <c r="E86" i="18"/>
  <c r="E92" i="18"/>
  <c r="E100" i="18"/>
  <c r="E14" i="17"/>
  <c r="E27" i="17"/>
  <c r="E55" i="17"/>
  <c r="E65" i="17"/>
  <c r="E69" i="17"/>
  <c r="E82" i="17"/>
  <c r="E86" i="17"/>
  <c r="E92" i="17"/>
  <c r="E100" i="17"/>
  <c r="E51" i="16"/>
  <c r="E53" i="16" s="1"/>
  <c r="E108" i="16" s="1"/>
  <c r="E59" i="16"/>
  <c r="E72" i="16"/>
  <c r="E77" i="16"/>
  <c r="E82" i="16"/>
  <c r="E95" i="16"/>
  <c r="E24" i="14"/>
  <c r="E34" i="14"/>
  <c r="E36" i="14" s="1"/>
  <c r="E105" i="14" s="1"/>
  <c r="E46" i="14"/>
  <c r="E56" i="14"/>
  <c r="E60" i="14"/>
  <c r="E69" i="14"/>
  <c r="E74" i="14"/>
  <c r="E78" i="14"/>
  <c r="E84" i="14"/>
  <c r="E92" i="14"/>
  <c r="E15" i="13"/>
  <c r="E28" i="13"/>
  <c r="E30" i="13" s="1"/>
  <c r="E107" i="13" s="1"/>
  <c r="E38" i="13"/>
  <c r="E50" i="13"/>
  <c r="E60" i="13"/>
  <c r="E64" i="13"/>
  <c r="E73" i="13"/>
  <c r="E78" i="13"/>
  <c r="E82" i="13"/>
  <c r="E88" i="13"/>
  <c r="E96" i="13"/>
  <c r="E11" i="12"/>
  <c r="C27" i="9"/>
  <c r="C25" i="10"/>
  <c r="C11" i="9"/>
  <c r="C14" i="9"/>
  <c r="C11" i="10"/>
  <c r="C14" i="10"/>
  <c r="C11" i="1"/>
  <c r="C14" i="1"/>
  <c r="C11" i="11"/>
  <c r="C14" i="11"/>
  <c r="B18" i="7"/>
  <c r="B21" i="7"/>
  <c r="C20" i="15"/>
  <c r="C23" i="15"/>
  <c r="C15" i="24"/>
  <c r="C18" i="24"/>
  <c r="C25" i="9"/>
  <c r="C25" i="1"/>
  <c r="C28" i="11"/>
  <c r="B32" i="7"/>
  <c r="C37" i="15"/>
  <c r="C42" i="15"/>
  <c r="C38" i="24"/>
  <c r="C43" i="24"/>
  <c r="C47" i="24"/>
  <c r="C27" i="10"/>
  <c r="C27" i="1"/>
  <c r="C26" i="11"/>
  <c r="B34" i="7"/>
  <c r="C40" i="15"/>
  <c r="C41" i="24"/>
  <c r="C45" i="24"/>
  <c r="C49" i="24"/>
  <c r="C37" i="10"/>
  <c r="C40" i="11"/>
  <c r="B44" i="7"/>
  <c r="C54" i="15"/>
  <c r="C56" i="15"/>
  <c r="C64" i="24"/>
  <c r="C68" i="24"/>
  <c r="C37" i="9"/>
  <c r="C37" i="1"/>
  <c r="C58" i="15"/>
  <c r="C60" i="15"/>
  <c r="C62" i="24"/>
  <c r="C66" i="24"/>
  <c r="C70" i="24"/>
  <c r="C53" i="20"/>
  <c r="C49" i="9"/>
  <c r="C47" i="9"/>
  <c r="C51" i="9" s="1"/>
  <c r="C110" i="9" s="1"/>
  <c r="C47" i="10"/>
  <c r="C49" i="1"/>
  <c r="C50" i="11"/>
  <c r="B56" i="7"/>
  <c r="C71" i="15"/>
  <c r="C85" i="24"/>
  <c r="C89" i="24"/>
  <c r="C93" i="24"/>
  <c r="C98" i="24"/>
  <c r="C102" i="24"/>
  <c r="C49" i="10"/>
  <c r="C47" i="1"/>
  <c r="C52" i="11"/>
  <c r="B54" i="7"/>
  <c r="C75" i="15"/>
  <c r="C87" i="24"/>
  <c r="C91" i="24"/>
  <c r="C96" i="24"/>
  <c r="C100" i="24"/>
  <c r="C104" i="24"/>
  <c r="C57" i="9"/>
  <c r="C59" i="9"/>
  <c r="C61" i="9"/>
  <c r="C63" i="9"/>
  <c r="C57" i="10"/>
  <c r="C59" i="10"/>
  <c r="C61" i="10"/>
  <c r="C63" i="10"/>
  <c r="C57" i="1"/>
  <c r="C59" i="1"/>
  <c r="C61" i="1"/>
  <c r="C63" i="1"/>
  <c r="C60" i="11"/>
  <c r="C62" i="11"/>
  <c r="C114" i="24"/>
  <c r="C118" i="24"/>
  <c r="C123" i="24"/>
  <c r="C127" i="24"/>
  <c r="C132" i="24"/>
  <c r="C136" i="24"/>
  <c r="C141" i="24"/>
  <c r="C145" i="24"/>
  <c r="C66" i="20"/>
  <c r="C81" i="9"/>
  <c r="C77" i="9"/>
  <c r="C72" i="9"/>
  <c r="C81" i="10"/>
  <c r="C77" i="10"/>
  <c r="C72" i="10"/>
  <c r="C81" i="1"/>
  <c r="C77" i="1"/>
  <c r="C72" i="1"/>
  <c r="B88" i="7"/>
  <c r="B84" i="7"/>
  <c r="B79" i="7"/>
  <c r="C158" i="24"/>
  <c r="C160" i="24"/>
  <c r="C162" i="24"/>
  <c r="C164" i="24"/>
  <c r="C167" i="24"/>
  <c r="C169" i="24"/>
  <c r="C171" i="24"/>
  <c r="C173" i="24"/>
  <c r="C176" i="24"/>
  <c r="C178" i="24"/>
  <c r="C180" i="24"/>
  <c r="C182" i="24"/>
  <c r="C185" i="24"/>
  <c r="C187" i="24"/>
  <c r="C189" i="24"/>
  <c r="C191" i="24"/>
  <c r="C64" i="11"/>
  <c r="C66" i="11"/>
  <c r="B64" i="7"/>
  <c r="B66" i="7"/>
  <c r="B68" i="7"/>
  <c r="B70" i="7"/>
  <c r="C100" i="15"/>
  <c r="C98" i="15"/>
  <c r="C96" i="15"/>
  <c r="C94" i="15"/>
  <c r="C92" i="15"/>
  <c r="C90" i="15"/>
  <c r="C88" i="15"/>
  <c r="C86" i="15"/>
  <c r="C112" i="24"/>
  <c r="C116" i="24"/>
  <c r="C121" i="24"/>
  <c r="C125" i="24"/>
  <c r="C130" i="24"/>
  <c r="C134" i="24"/>
  <c r="C139" i="24"/>
  <c r="C143" i="24"/>
  <c r="C87" i="9"/>
  <c r="C84" i="9"/>
  <c r="C79" i="9"/>
  <c r="C74" i="9"/>
  <c r="C87" i="10"/>
  <c r="C84" i="10"/>
  <c r="C79" i="10"/>
  <c r="C74" i="10"/>
  <c r="C87" i="1"/>
  <c r="C84" i="1"/>
  <c r="C79" i="1"/>
  <c r="C74" i="1"/>
  <c r="C75" i="11"/>
  <c r="C78" i="11"/>
  <c r="C80" i="11"/>
  <c r="C83" i="11"/>
  <c r="C86" i="11"/>
  <c r="B96" i="7"/>
  <c r="B92" i="7"/>
  <c r="B98" i="7" s="1"/>
  <c r="B123" i="7" s="1"/>
  <c r="B86" i="7"/>
  <c r="B81" i="7"/>
  <c r="C113" i="15"/>
  <c r="C115" i="15"/>
  <c r="C117" i="15"/>
  <c r="C119" i="15"/>
  <c r="C121" i="15"/>
  <c r="C123" i="15"/>
  <c r="C126" i="15"/>
  <c r="C129" i="15"/>
  <c r="C194" i="24"/>
  <c r="C95" i="9"/>
  <c r="C97" i="10"/>
  <c r="C11" i="19"/>
  <c r="C25" i="19"/>
  <c r="C43" i="19"/>
  <c r="C53" i="19"/>
  <c r="C57" i="19"/>
  <c r="C67" i="19"/>
  <c r="C71" i="19"/>
  <c r="C84" i="19"/>
  <c r="C89" i="19"/>
  <c r="C102" i="19"/>
  <c r="C11" i="18"/>
  <c r="C25" i="18"/>
  <c r="C43" i="18"/>
  <c r="C53" i="18"/>
  <c r="C57" i="18"/>
  <c r="C59" i="18" s="1"/>
  <c r="C115" i="18" s="1"/>
  <c r="C197" i="24"/>
  <c r="C97" i="9"/>
  <c r="C95" i="10"/>
  <c r="C95" i="1"/>
  <c r="C99" i="1" s="1"/>
  <c r="C116" i="1" s="1"/>
  <c r="C97" i="1"/>
  <c r="C94" i="11"/>
  <c r="C96" i="11"/>
  <c r="B104" i="7"/>
  <c r="B108" i="7" s="1"/>
  <c r="B125" i="7" s="1"/>
  <c r="B106" i="7"/>
  <c r="C137" i="15"/>
  <c r="C140" i="15"/>
  <c r="C143" i="15"/>
  <c r="C145" i="15"/>
  <c r="C205" i="24"/>
  <c r="C207" i="24"/>
  <c r="C209" i="24"/>
  <c r="C211" i="24"/>
  <c r="C213" i="24"/>
  <c r="C216" i="24"/>
  <c r="C218" i="24"/>
  <c r="C220" i="24"/>
  <c r="C222" i="24"/>
  <c r="C224" i="24"/>
  <c r="C14" i="19"/>
  <c r="C27" i="19"/>
  <c r="C55" i="19"/>
  <c r="C65" i="19"/>
  <c r="C69" i="19"/>
  <c r="C82" i="19"/>
  <c r="C86" i="19"/>
  <c r="C92" i="19"/>
  <c r="C100" i="19"/>
  <c r="C14" i="18"/>
  <c r="C27" i="18"/>
  <c r="C55" i="18"/>
  <c r="C65" i="18"/>
  <c r="C69" i="18"/>
  <c r="C84" i="18"/>
  <c r="C89" i="18"/>
  <c r="C102" i="18"/>
  <c r="C11" i="17"/>
  <c r="C25" i="17"/>
  <c r="C43" i="17"/>
  <c r="C53" i="17"/>
  <c r="C57" i="17"/>
  <c r="C67" i="17"/>
  <c r="C71" i="17"/>
  <c r="C84" i="17"/>
  <c r="C89" i="17"/>
  <c r="C102" i="17"/>
  <c r="C11" i="16"/>
  <c r="C27" i="16"/>
  <c r="C29" i="16"/>
  <c r="C31" i="16"/>
  <c r="C41" i="16"/>
  <c r="C61" i="16"/>
  <c r="C70" i="16"/>
  <c r="C75" i="16"/>
  <c r="C79" i="16"/>
  <c r="C85" i="16"/>
  <c r="C93" i="16"/>
  <c r="C11" i="14"/>
  <c r="C22" i="14"/>
  <c r="C44" i="14"/>
  <c r="C54" i="14"/>
  <c r="C58" i="14"/>
  <c r="C71" i="14"/>
  <c r="C76" i="14"/>
  <c r="C81" i="14"/>
  <c r="C94" i="14"/>
  <c r="C12" i="13"/>
  <c r="C26" i="13"/>
  <c r="C48" i="13"/>
  <c r="C58" i="13"/>
  <c r="C62" i="13"/>
  <c r="C75" i="13"/>
  <c r="C80" i="13"/>
  <c r="C85" i="13"/>
  <c r="C67" i="18"/>
  <c r="C71" i="18"/>
  <c r="C82" i="18"/>
  <c r="C86" i="18"/>
  <c r="C92" i="18"/>
  <c r="C100" i="18"/>
  <c r="C14" i="17"/>
  <c r="C27" i="17"/>
  <c r="C29" i="17" s="1"/>
  <c r="C111" i="17" s="1"/>
  <c r="C55" i="17"/>
  <c r="C65" i="17"/>
  <c r="C69" i="17"/>
  <c r="C82" i="17"/>
  <c r="C86" i="17"/>
  <c r="C92" i="17"/>
  <c r="C100" i="17"/>
  <c r="C51" i="16"/>
  <c r="C59" i="16"/>
  <c r="C72" i="16"/>
  <c r="C77" i="16"/>
  <c r="C82" i="16"/>
  <c r="C95" i="16"/>
  <c r="C24" i="14"/>
  <c r="C26" i="14" s="1"/>
  <c r="C103" i="14" s="1"/>
  <c r="C34" i="14"/>
  <c r="C46" i="14"/>
  <c r="C56" i="14"/>
  <c r="C60" i="14"/>
  <c r="C69" i="14"/>
  <c r="C74" i="14"/>
  <c r="C78" i="14"/>
  <c r="C84" i="14"/>
  <c r="C92" i="14"/>
  <c r="C15" i="13"/>
  <c r="C28" i="13"/>
  <c r="C38" i="13"/>
  <c r="C50" i="13"/>
  <c r="C60" i="13"/>
  <c r="C64" i="13"/>
  <c r="C73" i="13"/>
  <c r="C78" i="13"/>
  <c r="C82" i="13"/>
  <c r="C88" i="13"/>
  <c r="C96" i="13"/>
  <c r="C11" i="12"/>
  <c r="K62" i="9"/>
  <c r="L62" i="9" s="1"/>
  <c r="N62" i="9"/>
  <c r="O62" i="9" s="1"/>
  <c r="K58" i="9"/>
  <c r="L58" i="9" s="1"/>
  <c r="N58" i="9"/>
  <c r="O58" i="9" s="1"/>
  <c r="K46" i="9"/>
  <c r="N46" i="9"/>
  <c r="O46" i="9" s="1"/>
  <c r="K36" i="9"/>
  <c r="N80" i="10"/>
  <c r="O80" i="10" s="1"/>
  <c r="K78" i="10"/>
  <c r="L78" i="10" s="1"/>
  <c r="N78" i="10"/>
  <c r="O78" i="10" s="1"/>
  <c r="N76" i="10"/>
  <c r="O76" i="10" s="1"/>
  <c r="K76" i="10"/>
  <c r="L76" i="10" s="1"/>
  <c r="K60" i="10"/>
  <c r="L60" i="10" s="1"/>
  <c r="N60" i="10"/>
  <c r="O60" i="10" s="1"/>
  <c r="N15" i="10"/>
  <c r="K62" i="1"/>
  <c r="L62" i="1" s="1"/>
  <c r="N62" i="1"/>
  <c r="O62" i="1" s="1"/>
  <c r="K58" i="1"/>
  <c r="L58" i="1" s="1"/>
  <c r="N58" i="1"/>
  <c r="O58" i="1" s="1"/>
  <c r="K46" i="1"/>
  <c r="K50" i="1" s="1"/>
  <c r="K109" i="1" s="1"/>
  <c r="N46" i="1"/>
  <c r="K36" i="1"/>
  <c r="N36" i="1"/>
  <c r="J85" i="7"/>
  <c r="K85" i="7" s="1"/>
  <c r="M22" i="7"/>
  <c r="P22" i="7"/>
  <c r="Q22" i="7" s="1"/>
  <c r="Q112" i="7" s="1"/>
  <c r="N120" i="15"/>
  <c r="O120" i="15" s="1"/>
  <c r="J99" i="15"/>
  <c r="K99" i="15" s="1"/>
  <c r="L99" i="15" s="1"/>
  <c r="P99" i="15"/>
  <c r="M99" i="15"/>
  <c r="N99" i="15" s="1"/>
  <c r="O99" i="15" s="1"/>
  <c r="N97" i="15"/>
  <c r="O97" i="15" s="1"/>
  <c r="M93" i="15"/>
  <c r="N93" i="15" s="1"/>
  <c r="O93" i="15" s="1"/>
  <c r="M89" i="15"/>
  <c r="N89" i="15" s="1"/>
  <c r="O89" i="15" s="1"/>
  <c r="N87" i="15"/>
  <c r="O87" i="15" s="1"/>
  <c r="K87" i="15"/>
  <c r="L87" i="15" s="1"/>
  <c r="M74" i="15"/>
  <c r="N74" i="15" s="1"/>
  <c r="O74" i="15" s="1"/>
  <c r="M70" i="15"/>
  <c r="N70" i="15" s="1"/>
  <c r="K57" i="15"/>
  <c r="L57" i="15" s="1"/>
  <c r="N57" i="15"/>
  <c r="O57" i="15" s="1"/>
  <c r="K223" i="24"/>
  <c r="L223" i="24" s="1"/>
  <c r="N223" i="24"/>
  <c r="O223" i="24" s="1"/>
  <c r="K219" i="24"/>
  <c r="L219" i="24" s="1"/>
  <c r="N219" i="24"/>
  <c r="O219" i="24" s="1"/>
  <c r="K215" i="24"/>
  <c r="L215" i="24" s="1"/>
  <c r="N215" i="24"/>
  <c r="O215" i="24" s="1"/>
  <c r="K210" i="24"/>
  <c r="N210" i="24"/>
  <c r="O210" i="24" s="1"/>
  <c r="K206" i="24"/>
  <c r="L206" i="24" s="1"/>
  <c r="N206" i="24"/>
  <c r="O206" i="24" s="1"/>
  <c r="M190" i="24"/>
  <c r="N190" i="24" s="1"/>
  <c r="O190" i="24" s="1"/>
  <c r="P190" i="24"/>
  <c r="Q190" i="24" s="1"/>
  <c r="R190" i="24" s="1"/>
  <c r="J190" i="24"/>
  <c r="K190" i="24" s="1"/>
  <c r="L190" i="24" s="1"/>
  <c r="M184" i="24"/>
  <c r="N184" i="24" s="1"/>
  <c r="O184" i="24" s="1"/>
  <c r="P184" i="24"/>
  <c r="Q184" i="24" s="1"/>
  <c r="R184" i="24" s="1"/>
  <c r="J184" i="24"/>
  <c r="K184" i="24" s="1"/>
  <c r="L184" i="24" s="1"/>
  <c r="M179" i="24"/>
  <c r="N179" i="24" s="1"/>
  <c r="O179" i="24" s="1"/>
  <c r="P179" i="24"/>
  <c r="Q179" i="24" s="1"/>
  <c r="R179" i="24" s="1"/>
  <c r="J179" i="24"/>
  <c r="K179" i="24" s="1"/>
  <c r="L179" i="24" s="1"/>
  <c r="M172" i="24"/>
  <c r="N172" i="24" s="1"/>
  <c r="P172" i="24"/>
  <c r="Q172" i="24" s="1"/>
  <c r="R172" i="24" s="1"/>
  <c r="J172" i="24"/>
  <c r="K172" i="24" s="1"/>
  <c r="L172" i="24" s="1"/>
  <c r="M166" i="24"/>
  <c r="N166" i="24" s="1"/>
  <c r="O166" i="24" s="1"/>
  <c r="P166" i="24"/>
  <c r="Q166" i="24" s="1"/>
  <c r="R166" i="24" s="1"/>
  <c r="J166" i="24"/>
  <c r="K166" i="24" s="1"/>
  <c r="L166" i="24" s="1"/>
  <c r="M161" i="24"/>
  <c r="N161" i="24" s="1"/>
  <c r="O161" i="24" s="1"/>
  <c r="P161" i="24"/>
  <c r="Q161" i="24" s="1"/>
  <c r="J161" i="24"/>
  <c r="K161" i="24" s="1"/>
  <c r="L161" i="24" s="1"/>
  <c r="N131" i="24"/>
  <c r="O131" i="24" s="1"/>
  <c r="K186" i="24"/>
  <c r="L186" i="24" s="1"/>
  <c r="N177" i="24"/>
  <c r="O177" i="24" s="1"/>
  <c r="K177" i="24"/>
  <c r="L177" i="24" s="1"/>
  <c r="N186" i="24"/>
  <c r="O186" i="24" s="1"/>
  <c r="M142" i="24"/>
  <c r="N142" i="24" s="1"/>
  <c r="O142" i="24" s="1"/>
  <c r="J142" i="24"/>
  <c r="K142" i="24" s="1"/>
  <c r="L142" i="24" s="1"/>
  <c r="P142" i="24"/>
  <c r="Q142" i="24" s="1"/>
  <c r="R142" i="24" s="1"/>
  <c r="M138" i="24"/>
  <c r="N138" i="24" s="1"/>
  <c r="J138" i="24"/>
  <c r="K138" i="24" s="1"/>
  <c r="L138" i="24" s="1"/>
  <c r="P138" i="24"/>
  <c r="Q138" i="24" s="1"/>
  <c r="R138" i="24" s="1"/>
  <c r="M133" i="24"/>
  <c r="N133" i="24" s="1"/>
  <c r="O133" i="24" s="1"/>
  <c r="J133" i="24"/>
  <c r="K133" i="24" s="1"/>
  <c r="L133" i="24" s="1"/>
  <c r="P133" i="24"/>
  <c r="Q133" i="24" s="1"/>
  <c r="R133" i="24" s="1"/>
  <c r="J126" i="24"/>
  <c r="K126" i="24" s="1"/>
  <c r="L126" i="24" s="1"/>
  <c r="P126" i="24"/>
  <c r="Q126" i="24" s="1"/>
  <c r="R126" i="24" s="1"/>
  <c r="M126" i="24"/>
  <c r="N126" i="24" s="1"/>
  <c r="O126" i="24" s="1"/>
  <c r="J122" i="24"/>
  <c r="K122" i="24" s="1"/>
  <c r="P122" i="24"/>
  <c r="Q122" i="24" s="1"/>
  <c r="R122" i="24" s="1"/>
  <c r="M122" i="24"/>
  <c r="N122" i="24" s="1"/>
  <c r="O122" i="24" s="1"/>
  <c r="J117" i="24"/>
  <c r="K117" i="24" s="1"/>
  <c r="L117" i="24" s="1"/>
  <c r="M117" i="24"/>
  <c r="N117" i="24" s="1"/>
  <c r="O117" i="24" s="1"/>
  <c r="J113" i="24"/>
  <c r="K113" i="24" s="1"/>
  <c r="L113" i="24" s="1"/>
  <c r="P113" i="24"/>
  <c r="Q113" i="24" s="1"/>
  <c r="R113" i="24" s="1"/>
  <c r="M113" i="24"/>
  <c r="N113" i="24" s="1"/>
  <c r="O113" i="24" s="1"/>
  <c r="N92" i="24"/>
  <c r="O92" i="24" s="1"/>
  <c r="K92" i="24"/>
  <c r="L92" i="24" s="1"/>
  <c r="J90" i="24"/>
  <c r="K90" i="24" s="1"/>
  <c r="L90" i="24" s="1"/>
  <c r="P90" i="24"/>
  <c r="Q90" i="24" s="1"/>
  <c r="R90" i="24" s="1"/>
  <c r="M90" i="24"/>
  <c r="N90" i="24" s="1"/>
  <c r="O90" i="24" s="1"/>
  <c r="M88" i="24"/>
  <c r="N88" i="24" s="1"/>
  <c r="O88" i="24" s="1"/>
  <c r="J88" i="24"/>
  <c r="K88" i="24" s="1"/>
  <c r="L88" i="24" s="1"/>
  <c r="P88" i="24"/>
  <c r="Q88" i="24" s="1"/>
  <c r="R88" i="24" s="1"/>
  <c r="J86" i="24"/>
  <c r="K86" i="24" s="1"/>
  <c r="L86" i="24" s="1"/>
  <c r="P86" i="24"/>
  <c r="Q86" i="24" s="1"/>
  <c r="R86" i="24" s="1"/>
  <c r="M86" i="24"/>
  <c r="N86" i="24" s="1"/>
  <c r="O86" i="24" s="1"/>
  <c r="M84" i="24"/>
  <c r="N84" i="24" s="1"/>
  <c r="O84" i="24" s="1"/>
  <c r="J84" i="24"/>
  <c r="K84" i="24" s="1"/>
  <c r="L84" i="24" s="1"/>
  <c r="P84" i="24"/>
  <c r="Q84" i="24" s="1"/>
  <c r="R84" i="24" s="1"/>
  <c r="K63" i="11"/>
  <c r="L63" i="11" s="1"/>
  <c r="N63" i="11"/>
  <c r="O63" i="11" s="1"/>
  <c r="K25" i="11"/>
  <c r="L25" i="11" s="1"/>
  <c r="L29" i="11" s="1"/>
  <c r="L104" i="11" s="1"/>
  <c r="K13" i="12"/>
  <c r="L13" i="12" s="1"/>
  <c r="N13" i="12"/>
  <c r="O13" i="12" s="1"/>
  <c r="Q13" i="12"/>
  <c r="R13" i="12" s="1"/>
  <c r="I15" i="12"/>
  <c r="I103" i="12" s="1"/>
  <c r="L10" i="14"/>
  <c r="L12" i="14" s="1"/>
  <c r="L100" i="14" s="1"/>
  <c r="L10" i="17"/>
  <c r="H77" i="15"/>
  <c r="F77" i="15"/>
  <c r="D77" i="15"/>
  <c r="H73" i="15"/>
  <c r="F73" i="15"/>
  <c r="D73" i="15"/>
  <c r="N142" i="15"/>
  <c r="O142" i="15" s="1"/>
  <c r="Q131" i="24"/>
  <c r="R131" i="24" s="1"/>
  <c r="E112" i="24"/>
  <c r="H97" i="12"/>
  <c r="F97" i="12"/>
  <c r="D97" i="12"/>
  <c r="G95" i="12"/>
  <c r="E95" i="12"/>
  <c r="E99" i="12" s="1"/>
  <c r="E116" i="12" s="1"/>
  <c r="C95" i="12"/>
  <c r="G87" i="12"/>
  <c r="E87" i="12"/>
  <c r="C87" i="12"/>
  <c r="H84" i="12"/>
  <c r="F84" i="12"/>
  <c r="D84" i="12"/>
  <c r="G81" i="12"/>
  <c r="E81" i="12"/>
  <c r="C81" i="12"/>
  <c r="H79" i="12"/>
  <c r="F79" i="12"/>
  <c r="D79" i="12"/>
  <c r="G77" i="12"/>
  <c r="E77" i="12"/>
  <c r="C77" i="12"/>
  <c r="H74" i="12"/>
  <c r="F74" i="12"/>
  <c r="D74" i="12"/>
  <c r="G72" i="12"/>
  <c r="E72" i="12"/>
  <c r="C72" i="12"/>
  <c r="G63" i="12"/>
  <c r="E63" i="12"/>
  <c r="C63" i="12"/>
  <c r="H61" i="12"/>
  <c r="F61" i="12"/>
  <c r="D61" i="12"/>
  <c r="G59" i="12"/>
  <c r="E59" i="12"/>
  <c r="C59" i="12"/>
  <c r="H57" i="12"/>
  <c r="F57" i="12"/>
  <c r="D57" i="12"/>
  <c r="G49" i="12"/>
  <c r="E49" i="12"/>
  <c r="C49" i="12"/>
  <c r="C51" i="12" s="1"/>
  <c r="C110" i="12" s="1"/>
  <c r="H47" i="12"/>
  <c r="H51" i="12" s="1"/>
  <c r="H110" i="12" s="1"/>
  <c r="F47" i="12"/>
  <c r="D47" i="12"/>
  <c r="G37" i="12"/>
  <c r="E37" i="12"/>
  <c r="C37" i="12"/>
  <c r="G27" i="12"/>
  <c r="G29" i="12" s="1"/>
  <c r="G106" i="12" s="1"/>
  <c r="E27" i="12"/>
  <c r="C27" i="12"/>
  <c r="H25" i="12"/>
  <c r="F25" i="12"/>
  <c r="F29" i="12" s="1"/>
  <c r="F106" i="12" s="1"/>
  <c r="D25" i="12"/>
  <c r="D29" i="12" s="1"/>
  <c r="D106" i="12" s="1"/>
  <c r="G14" i="12"/>
  <c r="C14" i="12"/>
  <c r="H11" i="12"/>
  <c r="H16" i="12" s="1"/>
  <c r="H104" i="12" s="1"/>
  <c r="D11" i="12"/>
  <c r="E98" i="13"/>
  <c r="F96" i="13"/>
  <c r="K70" i="18"/>
  <c r="L70" i="18" s="1"/>
  <c r="N70" i="18"/>
  <c r="O70" i="18" s="1"/>
  <c r="Q70" i="18"/>
  <c r="R70" i="18" s="1"/>
  <c r="K66" i="18"/>
  <c r="N66" i="18"/>
  <c r="O66" i="18" s="1"/>
  <c r="Q66" i="18"/>
  <c r="I72" i="18"/>
  <c r="I116" i="18" s="1"/>
  <c r="L64" i="19"/>
  <c r="Q84" i="13"/>
  <c r="N84" i="13"/>
  <c r="O84" i="13" s="1"/>
  <c r="Q79" i="13"/>
  <c r="R79" i="13" s="1"/>
  <c r="N79" i="13"/>
  <c r="O79" i="13" s="1"/>
  <c r="Q74" i="13"/>
  <c r="R74" i="13" s="1"/>
  <c r="N74" i="13"/>
  <c r="O74" i="13" s="1"/>
  <c r="Q61" i="13"/>
  <c r="R61" i="13" s="1"/>
  <c r="N61" i="13"/>
  <c r="O61" i="13" s="1"/>
  <c r="Q57" i="13"/>
  <c r="N57" i="13"/>
  <c r="Q47" i="13"/>
  <c r="R47" i="13" s="1"/>
  <c r="N47" i="13"/>
  <c r="O47" i="13" s="1"/>
  <c r="Q25" i="13"/>
  <c r="N25" i="13"/>
  <c r="Q11" i="13"/>
  <c r="R11" i="13" s="1"/>
  <c r="N11" i="13"/>
  <c r="O11" i="13" s="1"/>
  <c r="I95" i="14"/>
  <c r="I112" i="14" s="1"/>
  <c r="Q93" i="14"/>
  <c r="R93" i="14" s="1"/>
  <c r="N93" i="14"/>
  <c r="O93" i="14" s="1"/>
  <c r="Q80" i="14"/>
  <c r="R80" i="14" s="1"/>
  <c r="N80" i="14"/>
  <c r="O80" i="14" s="1"/>
  <c r="Q75" i="14"/>
  <c r="R75" i="14" s="1"/>
  <c r="N75" i="14"/>
  <c r="O75" i="14" s="1"/>
  <c r="Q70" i="14"/>
  <c r="R70" i="14" s="1"/>
  <c r="N70" i="14"/>
  <c r="O70" i="14" s="1"/>
  <c r="Q57" i="14"/>
  <c r="R57" i="14" s="1"/>
  <c r="N57" i="14"/>
  <c r="O57" i="14" s="1"/>
  <c r="Q53" i="14"/>
  <c r="R53" i="14" s="1"/>
  <c r="N53" i="14"/>
  <c r="O53" i="14" s="1"/>
  <c r="Q43" i="14"/>
  <c r="R43" i="14" s="1"/>
  <c r="N43" i="14"/>
  <c r="O43" i="14" s="1"/>
  <c r="Q21" i="14"/>
  <c r="R21" i="14" s="1"/>
  <c r="N21" i="14"/>
  <c r="O21" i="14" s="1"/>
  <c r="I12" i="14"/>
  <c r="I100" i="14"/>
  <c r="Q10" i="14"/>
  <c r="Q12" i="14" s="1"/>
  <c r="Q100" i="14" s="1"/>
  <c r="N10" i="14"/>
  <c r="O10" i="14" s="1"/>
  <c r="O12" i="14" s="1"/>
  <c r="O100" i="14" s="1"/>
  <c r="R92" i="16"/>
  <c r="O92" i="16"/>
  <c r="P92" i="16" s="1"/>
  <c r="J86" i="16"/>
  <c r="J111" i="16" s="1"/>
  <c r="R84" i="16"/>
  <c r="S84" i="16" s="1"/>
  <c r="O84" i="16"/>
  <c r="P84" i="16" s="1"/>
  <c r="R78" i="16"/>
  <c r="S78" i="16" s="1"/>
  <c r="O78" i="16"/>
  <c r="P78" i="16" s="1"/>
  <c r="R74" i="16"/>
  <c r="S74" i="16" s="1"/>
  <c r="O74" i="16"/>
  <c r="P74" i="16" s="1"/>
  <c r="R69" i="16"/>
  <c r="S69" i="16" s="1"/>
  <c r="O69" i="16"/>
  <c r="P69" i="16" s="1"/>
  <c r="R60" i="16"/>
  <c r="S60" i="16" s="1"/>
  <c r="O60" i="16"/>
  <c r="J42" i="16"/>
  <c r="J105" i="16" s="1"/>
  <c r="R40" i="16"/>
  <c r="R42" i="16" s="1"/>
  <c r="R105" i="16" s="1"/>
  <c r="O40" i="16"/>
  <c r="O42" i="16" s="1"/>
  <c r="O105" i="16" s="1"/>
  <c r="R30" i="16"/>
  <c r="S30" i="16" s="1"/>
  <c r="O30" i="16"/>
  <c r="P30" i="16" s="1"/>
  <c r="R28" i="16"/>
  <c r="S28" i="16" s="1"/>
  <c r="O28" i="16"/>
  <c r="P28" i="16" s="1"/>
  <c r="R26" i="16"/>
  <c r="O26" i="16"/>
  <c r="P26" i="16" s="1"/>
  <c r="J12" i="16"/>
  <c r="J101" i="16" s="1"/>
  <c r="R10" i="16"/>
  <c r="S10" i="16" s="1"/>
  <c r="O10" i="16"/>
  <c r="O12" i="16" s="1"/>
  <c r="O101" i="16" s="1"/>
  <c r="I103" i="17"/>
  <c r="I120" i="17" s="1"/>
  <c r="Q101" i="17"/>
  <c r="R101" i="17" s="1"/>
  <c r="N101" i="17"/>
  <c r="O101" i="17" s="1"/>
  <c r="Q88" i="17"/>
  <c r="R88" i="17" s="1"/>
  <c r="N88" i="17"/>
  <c r="O88" i="17" s="1"/>
  <c r="Q83" i="17"/>
  <c r="R83" i="17" s="1"/>
  <c r="N83" i="17"/>
  <c r="O83" i="17" s="1"/>
  <c r="I72" i="17"/>
  <c r="I116" i="17" s="1"/>
  <c r="Q70" i="17"/>
  <c r="R70" i="17" s="1"/>
  <c r="N70" i="17"/>
  <c r="O70" i="17" s="1"/>
  <c r="Q66" i="17"/>
  <c r="N66" i="17"/>
  <c r="O66" i="17" s="1"/>
  <c r="I58" i="17"/>
  <c r="I114" i="17" s="1"/>
  <c r="Q56" i="17"/>
  <c r="N56" i="17"/>
  <c r="O56" i="17" s="1"/>
  <c r="Q52" i="17"/>
  <c r="R52" i="17" s="1"/>
  <c r="N52" i="17"/>
  <c r="I44" i="17"/>
  <c r="I112" i="17" s="1"/>
  <c r="Q42" i="17"/>
  <c r="Q44" i="17" s="1"/>
  <c r="Q112" i="17" s="1"/>
  <c r="N42" i="17"/>
  <c r="O42" i="17" s="1"/>
  <c r="O44" i="17" s="1"/>
  <c r="O112" i="17" s="1"/>
  <c r="Q24" i="17"/>
  <c r="R24" i="17" s="1"/>
  <c r="N24" i="17"/>
  <c r="Q10" i="17"/>
  <c r="R10" i="17" s="1"/>
  <c r="N10" i="17"/>
  <c r="O10" i="17" s="1"/>
  <c r="I103" i="18"/>
  <c r="I120" i="18" s="1"/>
  <c r="Q101" i="18"/>
  <c r="R101" i="18" s="1"/>
  <c r="N101" i="18"/>
  <c r="O101" i="18" s="1"/>
  <c r="Q88" i="18"/>
  <c r="R88" i="18" s="1"/>
  <c r="N88" i="18"/>
  <c r="O88" i="18" s="1"/>
  <c r="Q83" i="18"/>
  <c r="R83" i="18" s="1"/>
  <c r="N83" i="18"/>
  <c r="O83" i="18" s="1"/>
  <c r="L58" i="19"/>
  <c r="L114" i="19" s="1"/>
  <c r="G103" i="20"/>
  <c r="O19" i="20"/>
  <c r="L19" i="20"/>
  <c r="R19" i="20"/>
  <c r="K144" i="15"/>
  <c r="L144" i="15" s="1"/>
  <c r="Q144" i="15"/>
  <c r="R144" i="15" s="1"/>
  <c r="K139" i="15"/>
  <c r="L139" i="15" s="1"/>
  <c r="Q139" i="15"/>
  <c r="R139" i="15" s="1"/>
  <c r="K96" i="10"/>
  <c r="L96" i="10" s="1"/>
  <c r="Q96" i="10"/>
  <c r="R96" i="10" s="1"/>
  <c r="I58" i="18"/>
  <c r="I114" i="18" s="1"/>
  <c r="Q56" i="18"/>
  <c r="R56" i="18" s="1"/>
  <c r="N56" i="18"/>
  <c r="O56" i="18" s="1"/>
  <c r="Q52" i="18"/>
  <c r="R52" i="18" s="1"/>
  <c r="N52" i="18"/>
  <c r="O52" i="18" s="1"/>
  <c r="I44" i="18"/>
  <c r="I112" i="18" s="1"/>
  <c r="Q42" i="18"/>
  <c r="Q44" i="18" s="1"/>
  <c r="Q112" i="18" s="1"/>
  <c r="N42" i="18"/>
  <c r="N44" i="18" s="1"/>
  <c r="N112" i="18" s="1"/>
  <c r="Q24" i="18"/>
  <c r="R24" i="18" s="1"/>
  <c r="N24" i="18"/>
  <c r="O24" i="18" s="1"/>
  <c r="Q10" i="18"/>
  <c r="R10" i="18" s="1"/>
  <c r="N10" i="18"/>
  <c r="O10" i="18" s="1"/>
  <c r="I103" i="19"/>
  <c r="I120" i="19" s="1"/>
  <c r="Q101" i="19"/>
  <c r="R101" i="19" s="1"/>
  <c r="N101" i="19"/>
  <c r="O101" i="19" s="1"/>
  <c r="Q88" i="19"/>
  <c r="R88" i="19" s="1"/>
  <c r="N88" i="19"/>
  <c r="O88" i="19" s="1"/>
  <c r="Q83" i="19"/>
  <c r="R83" i="19" s="1"/>
  <c r="N83" i="19"/>
  <c r="O83" i="19" s="1"/>
  <c r="I72" i="19"/>
  <c r="I116" i="19" s="1"/>
  <c r="Q70" i="19"/>
  <c r="R70" i="19" s="1"/>
  <c r="N70" i="19"/>
  <c r="O70" i="19" s="1"/>
  <c r="Q66" i="19"/>
  <c r="R66" i="19" s="1"/>
  <c r="N66" i="19"/>
  <c r="P65" i="20"/>
  <c r="P67" i="20" s="1"/>
  <c r="P95" i="20" s="1"/>
  <c r="N65" i="20"/>
  <c r="P52" i="20"/>
  <c r="P54" i="20" s="1"/>
  <c r="P91" i="20" s="1"/>
  <c r="N52" i="20"/>
  <c r="O52" i="20" s="1"/>
  <c r="L20" i="20"/>
  <c r="R20" i="20"/>
  <c r="R22" i="20" s="1"/>
  <c r="R88" i="20" s="1"/>
  <c r="O20" i="20"/>
  <c r="O22" i="20" s="1"/>
  <c r="O88" i="20" s="1"/>
  <c r="O17" i="20"/>
  <c r="L17" i="20"/>
  <c r="R17" i="20"/>
  <c r="K95" i="11"/>
  <c r="K97" i="11" s="1"/>
  <c r="K114" i="11" s="1"/>
  <c r="Q95" i="11"/>
  <c r="R95" i="11" s="1"/>
  <c r="Q64" i="19"/>
  <c r="N64" i="19"/>
  <c r="O64" i="19" s="1"/>
  <c r="K58" i="19"/>
  <c r="K114" i="19" s="1"/>
  <c r="Q26" i="19"/>
  <c r="N26" i="19"/>
  <c r="Q13" i="19"/>
  <c r="R13" i="19" s="1"/>
  <c r="N13" i="19"/>
  <c r="O13" i="19" s="1"/>
  <c r="Q196" i="24"/>
  <c r="R196" i="24" s="1"/>
  <c r="N196" i="24"/>
  <c r="O196" i="24" s="1"/>
  <c r="Q85" i="11"/>
  <c r="R85" i="11" s="1"/>
  <c r="Q86" i="1"/>
  <c r="R86" i="1" s="1"/>
  <c r="N73" i="1"/>
  <c r="O73" i="1" s="1"/>
  <c r="N86" i="1"/>
  <c r="O86" i="1" s="1"/>
  <c r="Q86" i="9"/>
  <c r="R86" i="9" s="1"/>
  <c r="N73" i="9"/>
  <c r="O73" i="9" s="1"/>
  <c r="N86" i="9"/>
  <c r="O86" i="9" s="1"/>
  <c r="Q48" i="1"/>
  <c r="R48" i="1" s="1"/>
  <c r="Q48" i="9"/>
  <c r="N39" i="15"/>
  <c r="Q27" i="11"/>
  <c r="Q26" i="10"/>
  <c r="R26" i="10" s="1"/>
  <c r="Q22" i="15"/>
  <c r="R22" i="15" s="1"/>
  <c r="Q50" i="1"/>
  <c r="Q109" i="1" s="1"/>
  <c r="O65" i="20"/>
  <c r="N67" i="20"/>
  <c r="N95" i="20" s="1"/>
  <c r="R42" i="18"/>
  <c r="R44" i="18" s="1"/>
  <c r="R112" i="18" s="1"/>
  <c r="O24" i="17"/>
  <c r="N12" i="14"/>
  <c r="N100" i="14" s="1"/>
  <c r="O25" i="13"/>
  <c r="O57" i="13"/>
  <c r="R26" i="19"/>
  <c r="R42" i="17"/>
  <c r="R44" i="17" s="1"/>
  <c r="R112" i="17" s="1"/>
  <c r="R66" i="17"/>
  <c r="S40" i="16"/>
  <c r="S42" i="16" s="1"/>
  <c r="S105" i="16" s="1"/>
  <c r="S92" i="16"/>
  <c r="R10" i="14"/>
  <c r="R12" i="14" s="1"/>
  <c r="R100" i="14" s="1"/>
  <c r="R25" i="13"/>
  <c r="N15" i="12"/>
  <c r="N103" i="12" s="1"/>
  <c r="R57" i="13"/>
  <c r="R66" i="18"/>
  <c r="L66" i="18"/>
  <c r="C29" i="12"/>
  <c r="C106" i="12" s="1"/>
  <c r="P112" i="7"/>
  <c r="O46" i="1"/>
  <c r="C53" i="16"/>
  <c r="C108" i="16" s="1"/>
  <c r="C73" i="17"/>
  <c r="C117" i="17" s="1"/>
  <c r="C104" i="18"/>
  <c r="C121" i="18" s="1"/>
  <c r="C13" i="14"/>
  <c r="C101" i="14" s="1"/>
  <c r="C59" i="17"/>
  <c r="C115" i="17" s="1"/>
  <c r="C29" i="18"/>
  <c r="C111" i="18" s="1"/>
  <c r="C104" i="19"/>
  <c r="C121" i="19" s="1"/>
  <c r="C147" i="15"/>
  <c r="C165" i="15" s="1"/>
  <c r="C98" i="11"/>
  <c r="C115" i="11" s="1"/>
  <c r="C16" i="18"/>
  <c r="C109" i="18" s="1"/>
  <c r="C99" i="9"/>
  <c r="C116" i="9" s="1"/>
  <c r="C89" i="1"/>
  <c r="C114" i="1" s="1"/>
  <c r="I72" i="9"/>
  <c r="B58" i="7"/>
  <c r="B119" i="7" s="1"/>
  <c r="C106" i="24"/>
  <c r="C238" i="24" s="1"/>
  <c r="C44" i="15"/>
  <c r="C155" i="15" s="1"/>
  <c r="C29" i="10"/>
  <c r="C106" i="10" s="1"/>
  <c r="R36" i="12"/>
  <c r="R38" i="12" s="1"/>
  <c r="R107" i="12" s="1"/>
  <c r="Q38" i="12"/>
  <c r="Q107" i="12" s="1"/>
  <c r="R48" i="12"/>
  <c r="L10" i="11"/>
  <c r="R59" i="11"/>
  <c r="Q67" i="11"/>
  <c r="Q110" i="11" s="1"/>
  <c r="R74" i="11"/>
  <c r="Q111" i="24"/>
  <c r="N157" i="24"/>
  <c r="O157" i="24" s="1"/>
  <c r="M59" i="15"/>
  <c r="N59" i="15" s="1"/>
  <c r="O59" i="15" s="1"/>
  <c r="M112" i="15"/>
  <c r="N112" i="15" s="1"/>
  <c r="O112" i="15" s="1"/>
  <c r="R53" i="15"/>
  <c r="O136" i="15"/>
  <c r="K17" i="7"/>
  <c r="J22" i="7"/>
  <c r="J112" i="7" s="1"/>
  <c r="O24" i="1"/>
  <c r="O94" i="1"/>
  <c r="O94" i="9"/>
  <c r="M12" i="16"/>
  <c r="O58" i="10"/>
  <c r="L157" i="24"/>
  <c r="I87" i="12"/>
  <c r="M87" i="12" s="1"/>
  <c r="N87" i="12" s="1"/>
  <c r="O87" i="12" s="1"/>
  <c r="E96" i="14"/>
  <c r="E113" i="14" s="1"/>
  <c r="E86" i="14"/>
  <c r="E111" i="14" s="1"/>
  <c r="E63" i="16"/>
  <c r="E110" i="16" s="1"/>
  <c r="E104" i="17"/>
  <c r="E121" i="17" s="1"/>
  <c r="E17" i="13"/>
  <c r="E105" i="13" s="1"/>
  <c r="E62" i="14"/>
  <c r="E109" i="14" s="1"/>
  <c r="E16" i="17"/>
  <c r="E109" i="17" s="1"/>
  <c r="E94" i="19"/>
  <c r="E119" i="19" s="1"/>
  <c r="E29" i="19"/>
  <c r="E111" i="19" s="1"/>
  <c r="E16" i="18"/>
  <c r="E109" i="18" s="1"/>
  <c r="E16" i="19"/>
  <c r="E109" i="19" s="1"/>
  <c r="E102" i="15"/>
  <c r="E161" i="15" s="1"/>
  <c r="D72" i="7"/>
  <c r="D121" i="7" s="1"/>
  <c r="E199" i="24"/>
  <c r="E242" i="24" s="1"/>
  <c r="E89" i="9"/>
  <c r="E114" i="9" s="1"/>
  <c r="D58" i="7"/>
  <c r="D119" i="7" s="1"/>
  <c r="E51" i="1"/>
  <c r="E110" i="1" s="1"/>
  <c r="E51" i="9"/>
  <c r="E110" i="9" s="1"/>
  <c r="E79" i="15"/>
  <c r="E159" i="15" s="1"/>
  <c r="E54" i="11"/>
  <c r="E109" i="11" s="1"/>
  <c r="E51" i="10"/>
  <c r="E110" i="10" s="1"/>
  <c r="E44" i="15"/>
  <c r="E155" i="15" s="1"/>
  <c r="E20" i="24"/>
  <c r="E232" i="24" s="1"/>
  <c r="E25" i="15"/>
  <c r="E153" i="15" s="1"/>
  <c r="D23" i="7"/>
  <c r="D113" i="7" s="1"/>
  <c r="E16" i="11"/>
  <c r="E103" i="11" s="1"/>
  <c r="E16" i="1"/>
  <c r="E104" i="1" s="1"/>
  <c r="E16" i="10"/>
  <c r="E104" i="10" s="1"/>
  <c r="E16" i="9"/>
  <c r="E104" i="9" s="1"/>
  <c r="G16" i="12"/>
  <c r="G104" i="12" s="1"/>
  <c r="G30" i="13"/>
  <c r="G107" i="13" s="1"/>
  <c r="G96" i="14"/>
  <c r="G113" i="14" s="1"/>
  <c r="G86" i="14"/>
  <c r="G111" i="14" s="1"/>
  <c r="G63" i="16"/>
  <c r="G110" i="16" s="1"/>
  <c r="G104" i="17"/>
  <c r="G121" i="17" s="1"/>
  <c r="G94" i="18"/>
  <c r="G119" i="18" s="1"/>
  <c r="G52" i="13"/>
  <c r="G111" i="13" s="1"/>
  <c r="G17" i="13"/>
  <c r="G105" i="13" s="1"/>
  <c r="G62" i="14"/>
  <c r="G109" i="14" s="1"/>
  <c r="G97" i="16"/>
  <c r="G114" i="16" s="1"/>
  <c r="G87" i="16"/>
  <c r="G112" i="16" s="1"/>
  <c r="G16" i="17"/>
  <c r="G109" i="17" s="1"/>
  <c r="G94" i="19"/>
  <c r="G119" i="19" s="1"/>
  <c r="G73" i="19"/>
  <c r="G117" i="19" s="1"/>
  <c r="G59" i="18"/>
  <c r="G115" i="18" s="1"/>
  <c r="G59" i="19"/>
  <c r="G115" i="19" s="1"/>
  <c r="G131" i="15"/>
  <c r="G163" i="15" s="1"/>
  <c r="F98" i="7"/>
  <c r="F123" i="7" s="1"/>
  <c r="G89" i="10"/>
  <c r="G114" i="10" s="1"/>
  <c r="G68" i="11"/>
  <c r="G111" i="11" s="1"/>
  <c r="G65" i="1"/>
  <c r="G112" i="1" s="1"/>
  <c r="G65" i="10"/>
  <c r="G112" i="10" s="1"/>
  <c r="G65" i="9"/>
  <c r="G112" i="9" s="1"/>
  <c r="G79" i="15"/>
  <c r="G159" i="15" s="1"/>
  <c r="G54" i="11"/>
  <c r="G109" i="11" s="1"/>
  <c r="G51" i="10"/>
  <c r="G110" i="10" s="1"/>
  <c r="G72" i="24"/>
  <c r="G236" i="24" s="1"/>
  <c r="G62" i="15"/>
  <c r="G157" i="15" s="1"/>
  <c r="G51" i="24"/>
  <c r="G234" i="24" s="1"/>
  <c r="F36" i="7"/>
  <c r="F115" i="7" s="1"/>
  <c r="G29" i="1"/>
  <c r="G106" i="1" s="1"/>
  <c r="G29" i="10"/>
  <c r="G106" i="10" s="1"/>
  <c r="G30" i="11"/>
  <c r="G105" i="11" s="1"/>
  <c r="G29" i="9"/>
  <c r="G106" i="9" s="1"/>
  <c r="G51" i="12"/>
  <c r="G110" i="12" s="1"/>
  <c r="E65" i="12"/>
  <c r="E112" i="12" s="1"/>
  <c r="D89" i="12"/>
  <c r="D114" i="12" s="1"/>
  <c r="D99" i="12"/>
  <c r="D116" i="12" s="1"/>
  <c r="I77" i="15"/>
  <c r="M77" i="15" s="1"/>
  <c r="N77" i="15" s="1"/>
  <c r="O77" i="15" s="1"/>
  <c r="D52" i="13"/>
  <c r="D111" i="13" s="1"/>
  <c r="D62" i="14"/>
  <c r="D109" i="14" s="1"/>
  <c r="D97" i="16"/>
  <c r="D114" i="16" s="1"/>
  <c r="D87" i="16"/>
  <c r="D112" i="16" s="1"/>
  <c r="D16" i="17"/>
  <c r="D109" i="17" s="1"/>
  <c r="D26" i="14"/>
  <c r="D103" i="14" s="1"/>
  <c r="D94" i="17"/>
  <c r="D119" i="17" s="1"/>
  <c r="D73" i="17"/>
  <c r="D117" i="17" s="1"/>
  <c r="D104" i="18"/>
  <c r="D121" i="18" s="1"/>
  <c r="D16" i="19"/>
  <c r="D109" i="19" s="1"/>
  <c r="D94" i="19"/>
  <c r="D119" i="19" s="1"/>
  <c r="D29" i="19"/>
  <c r="D111" i="19" s="1"/>
  <c r="D199" i="24"/>
  <c r="D242" i="24" s="1"/>
  <c r="D89" i="1"/>
  <c r="D114" i="1" s="1"/>
  <c r="D88" i="11"/>
  <c r="D113" i="11" s="1"/>
  <c r="D68" i="11"/>
  <c r="D111" i="11" s="1"/>
  <c r="D65" i="1"/>
  <c r="D112" i="1" s="1"/>
  <c r="D65" i="10"/>
  <c r="D112" i="10" s="1"/>
  <c r="D65" i="9"/>
  <c r="D112" i="9" s="1"/>
  <c r="D51" i="9"/>
  <c r="D110" i="9" s="1"/>
  <c r="D62" i="15"/>
  <c r="D157" i="15" s="1"/>
  <c r="D30" i="11"/>
  <c r="D105" i="11" s="1"/>
  <c r="D51" i="24"/>
  <c r="D234" i="24" s="1"/>
  <c r="C36" i="7"/>
  <c r="C115" i="7" s="1"/>
  <c r="D29" i="1"/>
  <c r="D106" i="1" s="1"/>
  <c r="D20" i="24"/>
  <c r="D232" i="24" s="1"/>
  <c r="D25" i="15"/>
  <c r="D153" i="15" s="1"/>
  <c r="C23" i="7"/>
  <c r="C113" i="7" s="1"/>
  <c r="D16" i="11"/>
  <c r="D103" i="11" s="1"/>
  <c r="D16" i="1"/>
  <c r="D104" i="1" s="1"/>
  <c r="D16" i="10"/>
  <c r="D104" i="10" s="1"/>
  <c r="D16" i="9"/>
  <c r="D104" i="9" s="1"/>
  <c r="H17" i="13"/>
  <c r="H105" i="13" s="1"/>
  <c r="H62" i="14"/>
  <c r="H109" i="14" s="1"/>
  <c r="H87" i="16"/>
  <c r="H112" i="16" s="1"/>
  <c r="H30" i="13"/>
  <c r="H107" i="13" s="1"/>
  <c r="H96" i="14"/>
  <c r="H113" i="14" s="1"/>
  <c r="H86" i="14"/>
  <c r="H111" i="14" s="1"/>
  <c r="H63" i="16"/>
  <c r="H110" i="16" s="1"/>
  <c r="H104" i="17"/>
  <c r="H121" i="17" s="1"/>
  <c r="H94" i="18"/>
  <c r="H119" i="18" s="1"/>
  <c r="H59" i="18"/>
  <c r="H115" i="18" s="1"/>
  <c r="H59" i="19"/>
  <c r="H115" i="19" s="1"/>
  <c r="H94" i="19"/>
  <c r="H119" i="19" s="1"/>
  <c r="H73" i="19"/>
  <c r="H117" i="19" s="1"/>
  <c r="H29" i="19"/>
  <c r="H111" i="19" s="1"/>
  <c r="G58" i="7"/>
  <c r="G119" i="7" s="1"/>
  <c r="H51" i="1"/>
  <c r="H110" i="1" s="1"/>
  <c r="C16" i="12"/>
  <c r="C104" i="12" s="1"/>
  <c r="C30" i="13"/>
  <c r="C107" i="13" s="1"/>
  <c r="C96" i="14"/>
  <c r="C113" i="14" s="1"/>
  <c r="C63" i="16"/>
  <c r="C110" i="16" s="1"/>
  <c r="C104" i="17"/>
  <c r="C121" i="17" s="1"/>
  <c r="I48" i="13"/>
  <c r="C52" i="13"/>
  <c r="C111" i="13"/>
  <c r="C17" i="13"/>
  <c r="C105" i="13" s="1"/>
  <c r="I54" i="14"/>
  <c r="C62" i="14"/>
  <c r="C109" i="14" s="1"/>
  <c r="C97" i="16"/>
  <c r="C114" i="16" s="1"/>
  <c r="C87" i="16"/>
  <c r="C112" i="16" s="1"/>
  <c r="C13" i="16"/>
  <c r="C102" i="16" s="1"/>
  <c r="I11" i="17"/>
  <c r="M11" i="17" s="1"/>
  <c r="N11" i="17" s="1"/>
  <c r="O11" i="17" s="1"/>
  <c r="C16" i="17"/>
  <c r="C109" i="17" s="1"/>
  <c r="I82" i="19"/>
  <c r="M82" i="19" s="1"/>
  <c r="N82" i="19" s="1"/>
  <c r="O82" i="19" s="1"/>
  <c r="C94" i="19"/>
  <c r="C119" i="19" s="1"/>
  <c r="C73" i="19"/>
  <c r="C117" i="19" s="1"/>
  <c r="C29" i="19"/>
  <c r="C111" i="19" s="1"/>
  <c r="I27" i="19"/>
  <c r="M27" i="19" s="1"/>
  <c r="N27" i="19" s="1"/>
  <c r="O27" i="19" s="1"/>
  <c r="C99" i="10"/>
  <c r="C116" i="10" s="1"/>
  <c r="C59" i="19"/>
  <c r="C115" i="19" s="1"/>
  <c r="C131" i="15"/>
  <c r="C163" i="15" s="1"/>
  <c r="C89" i="10"/>
  <c r="C114" i="10" s="1"/>
  <c r="C68" i="20"/>
  <c r="C96" i="20" s="1"/>
  <c r="C103" i="20" s="1"/>
  <c r="C68" i="11"/>
  <c r="C111" i="11" s="1"/>
  <c r="C65" i="9"/>
  <c r="C112" i="9" s="1"/>
  <c r="C79" i="15"/>
  <c r="C159" i="15" s="1"/>
  <c r="C54" i="11"/>
  <c r="C109" i="11" s="1"/>
  <c r="C51" i="10"/>
  <c r="C110" i="10" s="1"/>
  <c r="C72" i="24"/>
  <c r="C236" i="24" s="1"/>
  <c r="C62" i="15"/>
  <c r="C157" i="15" s="1"/>
  <c r="C51" i="24"/>
  <c r="C234" i="24" s="1"/>
  <c r="B36" i="7"/>
  <c r="B115" i="7" s="1"/>
  <c r="C29" i="1"/>
  <c r="C106" i="1" s="1"/>
  <c r="C30" i="11"/>
  <c r="C105" i="11" s="1"/>
  <c r="C20" i="24"/>
  <c r="C232" i="24" s="1"/>
  <c r="C25" i="15"/>
  <c r="C153" i="15" s="1"/>
  <c r="B23" i="7"/>
  <c r="B113" i="7" s="1"/>
  <c r="C16" i="11"/>
  <c r="C103" i="11" s="1"/>
  <c r="C16" i="1"/>
  <c r="C104" i="1" s="1"/>
  <c r="C16" i="10"/>
  <c r="C104" i="10" s="1"/>
  <c r="C16" i="9"/>
  <c r="C104" i="9" s="1"/>
  <c r="C29" i="9"/>
  <c r="C106" i="9" s="1"/>
  <c r="O26" i="12"/>
  <c r="I57" i="12"/>
  <c r="R58" i="12"/>
  <c r="O74" i="11"/>
  <c r="R93" i="11"/>
  <c r="R97" i="11" s="1"/>
  <c r="R67" i="24"/>
  <c r="N111" i="24"/>
  <c r="O111" i="24" s="1"/>
  <c r="Q157" i="24"/>
  <c r="R157" i="24" s="1"/>
  <c r="R136" i="15"/>
  <c r="S136" i="15" s="1"/>
  <c r="R24" i="1"/>
  <c r="R94" i="1"/>
  <c r="L10" i="10"/>
  <c r="L15" i="10" s="1"/>
  <c r="K15" i="10"/>
  <c r="K103" i="10" s="1"/>
  <c r="R94" i="9"/>
  <c r="N41" i="11"/>
  <c r="N106" i="11" s="1"/>
  <c r="R39" i="15"/>
  <c r="E100" i="13"/>
  <c r="E117" i="13" s="1"/>
  <c r="E90" i="13"/>
  <c r="E115" i="13" s="1"/>
  <c r="E66" i="13"/>
  <c r="E113" i="13" s="1"/>
  <c r="E73" i="18"/>
  <c r="E117" i="18" s="1"/>
  <c r="E226" i="24"/>
  <c r="E244" i="24" s="1"/>
  <c r="E147" i="15"/>
  <c r="E165" i="15" s="1"/>
  <c r="D98" i="7"/>
  <c r="D123" i="7" s="1"/>
  <c r="E89" i="10"/>
  <c r="E114" i="10" s="1"/>
  <c r="E68" i="11"/>
  <c r="E111" i="11" s="1"/>
  <c r="E65" i="1"/>
  <c r="E112" i="1" s="1"/>
  <c r="E65" i="10"/>
  <c r="E112" i="10" s="1"/>
  <c r="E65" i="9"/>
  <c r="E112" i="9" s="1"/>
  <c r="E106" i="24"/>
  <c r="E238" i="24" s="1"/>
  <c r="E72" i="24"/>
  <c r="E236" i="24" s="1"/>
  <c r="E62" i="15"/>
  <c r="E157" i="15" s="1"/>
  <c r="E51" i="24"/>
  <c r="E234" i="24" s="1"/>
  <c r="G90" i="13"/>
  <c r="G115" i="13" s="1"/>
  <c r="G94" i="17"/>
  <c r="G119" i="17" s="1"/>
  <c r="G66" i="13"/>
  <c r="G113" i="13" s="1"/>
  <c r="G48" i="14"/>
  <c r="G107" i="14" s="1"/>
  <c r="G73" i="18"/>
  <c r="G117" i="18" s="1"/>
  <c r="G226" i="24"/>
  <c r="G244" i="24" s="1"/>
  <c r="G147" i="15"/>
  <c r="G165" i="15" s="1"/>
  <c r="G16" i="19"/>
  <c r="G109" i="19" s="1"/>
  <c r="G99" i="9"/>
  <c r="G116" i="9" s="1"/>
  <c r="G88" i="11"/>
  <c r="G113" i="11" s="1"/>
  <c r="G147" i="24"/>
  <c r="G240" i="24" s="1"/>
  <c r="G102" i="15"/>
  <c r="G161" i="15" s="1"/>
  <c r="F72" i="7"/>
  <c r="F121" i="7" s="1"/>
  <c r="G199" i="24"/>
  <c r="G242" i="24" s="1"/>
  <c r="G89" i="1"/>
  <c r="G114" i="1" s="1"/>
  <c r="G89" i="9"/>
  <c r="G114" i="9" s="1"/>
  <c r="G106" i="24"/>
  <c r="G238" i="24" s="1"/>
  <c r="H29" i="12"/>
  <c r="H106" i="12" s="1"/>
  <c r="E51" i="12"/>
  <c r="E110" i="12" s="1"/>
  <c r="I61" i="12"/>
  <c r="M61" i="12" s="1"/>
  <c r="N61" i="12" s="1"/>
  <c r="O61" i="12" s="1"/>
  <c r="I84" i="12"/>
  <c r="M84" i="12" s="1"/>
  <c r="N84" i="12" s="1"/>
  <c r="O84" i="12" s="1"/>
  <c r="I73" i="15"/>
  <c r="D30" i="13"/>
  <c r="D107" i="13" s="1"/>
  <c r="D96" i="14"/>
  <c r="D113" i="14" s="1"/>
  <c r="D86" i="14"/>
  <c r="D111" i="14" s="1"/>
  <c r="D63" i="16"/>
  <c r="D110" i="16" s="1"/>
  <c r="D104" i="17"/>
  <c r="D121" i="17" s="1"/>
  <c r="D94" i="18"/>
  <c r="D119" i="18" s="1"/>
  <c r="D73" i="18"/>
  <c r="D117" i="18" s="1"/>
  <c r="D29" i="18"/>
  <c r="D111" i="18" s="1"/>
  <c r="D104" i="19"/>
  <c r="D121" i="19" s="1"/>
  <c r="D226" i="24"/>
  <c r="D244" i="24" s="1"/>
  <c r="D147" i="15"/>
  <c r="D165" i="15" s="1"/>
  <c r="D131" i="15"/>
  <c r="D163" i="15" s="1"/>
  <c r="D102" i="15"/>
  <c r="D161" i="15" s="1"/>
  <c r="C72" i="7"/>
  <c r="C121" i="7" s="1"/>
  <c r="D106" i="24"/>
  <c r="D238" i="24" s="1"/>
  <c r="C58" i="7"/>
  <c r="C119" i="7" s="1"/>
  <c r="D51" i="1"/>
  <c r="D110" i="1" s="1"/>
  <c r="D72" i="24"/>
  <c r="D236" i="24" s="1"/>
  <c r="D29" i="10"/>
  <c r="D106" i="10" s="1"/>
  <c r="H90" i="13"/>
  <c r="H115" i="13" s="1"/>
  <c r="H94" i="17"/>
  <c r="H119" i="17" s="1"/>
  <c r="H73" i="17"/>
  <c r="H117" i="17" s="1"/>
  <c r="H29" i="17"/>
  <c r="H111" i="17" s="1"/>
  <c r="H104" i="18"/>
  <c r="H121" i="18" s="1"/>
  <c r="R50" i="1"/>
  <c r="R109" i="1" s="1"/>
  <c r="T9" i="15"/>
  <c r="M54" i="14"/>
  <c r="N54" i="14" s="1"/>
  <c r="O54" i="14" s="1"/>
  <c r="M48" i="13"/>
  <c r="N48" i="13" s="1"/>
  <c r="M101" i="16"/>
  <c r="K22" i="7"/>
  <c r="R111" i="24"/>
  <c r="M72" i="9"/>
  <c r="N72" i="9" s="1"/>
  <c r="O72" i="9" s="1"/>
  <c r="M73" i="15"/>
  <c r="N73" i="15" s="1"/>
  <c r="O73" i="15" s="1"/>
  <c r="M57" i="12"/>
  <c r="O67" i="20"/>
  <c r="O95" i="20" s="1"/>
  <c r="I87" i="20" l="1"/>
  <c r="R21" i="20"/>
  <c r="R87" i="20" s="1"/>
  <c r="J87" i="20"/>
  <c r="F65" i="12"/>
  <c r="F112" i="12" s="1"/>
  <c r="G65" i="12"/>
  <c r="G112" i="12" s="1"/>
  <c r="H89" i="12"/>
  <c r="H114" i="12" s="1"/>
  <c r="C94" i="18"/>
  <c r="C119" i="18" s="1"/>
  <c r="E29" i="17"/>
  <c r="E111" i="17" s="1"/>
  <c r="E48" i="14"/>
  <c r="E107" i="14" s="1"/>
  <c r="Z3" i="4"/>
  <c r="AA3" i="4" s="1"/>
  <c r="J23" i="25"/>
  <c r="K23" i="25" s="1"/>
  <c r="L23" i="25" s="1"/>
  <c r="J22" i="25"/>
  <c r="K22" i="25" s="1"/>
  <c r="L22" i="25" s="1"/>
  <c r="J21" i="25"/>
  <c r="K21" i="25" s="1"/>
  <c r="L21" i="25" s="1"/>
  <c r="J45" i="25"/>
  <c r="K45" i="25" s="1"/>
  <c r="L45" i="25" s="1"/>
  <c r="J35" i="25"/>
  <c r="K35" i="25" s="1"/>
  <c r="L35" i="25" s="1"/>
  <c r="Q24" i="10"/>
  <c r="K60" i="12"/>
  <c r="L60" i="12" s="1"/>
  <c r="N68" i="14"/>
  <c r="O68" i="14" s="1"/>
  <c r="O76" i="16"/>
  <c r="P76" i="16" s="1"/>
  <c r="L15" i="18"/>
  <c r="L108" i="18" s="1"/>
  <c r="L15" i="19"/>
  <c r="L108" i="19" s="1"/>
  <c r="N24" i="19"/>
  <c r="O24" i="19" s="1"/>
  <c r="I67" i="20"/>
  <c r="I95" i="20" s="1"/>
  <c r="O21" i="20"/>
  <c r="O87" i="20" s="1"/>
  <c r="Q52" i="20"/>
  <c r="R52" i="20" s="1"/>
  <c r="N128" i="15"/>
  <c r="O128" i="15" s="1"/>
  <c r="M80" i="24"/>
  <c r="N80" i="24" s="1"/>
  <c r="O80" i="24" s="1"/>
  <c r="J79" i="24"/>
  <c r="K79" i="24" s="1"/>
  <c r="L79" i="24" s="1"/>
  <c r="I47" i="12"/>
  <c r="M47" i="12" s="1"/>
  <c r="N47" i="12" s="1"/>
  <c r="H65" i="12"/>
  <c r="H112" i="12" s="1"/>
  <c r="I77" i="12"/>
  <c r="M77" i="12" s="1"/>
  <c r="F89" i="12"/>
  <c r="F114" i="12" s="1"/>
  <c r="C33" i="16"/>
  <c r="C104" i="16" s="1"/>
  <c r="C16" i="19"/>
  <c r="C109" i="19" s="1"/>
  <c r="G99" i="10"/>
  <c r="G116" i="10" s="1"/>
  <c r="M32" i="15"/>
  <c r="N32" i="15" s="1"/>
  <c r="O32" i="15" s="1"/>
  <c r="P168" i="24"/>
  <c r="N25" i="11"/>
  <c r="O25" i="11" s="1"/>
  <c r="N91" i="19"/>
  <c r="O91" i="19" s="1"/>
  <c r="Q10" i="19"/>
  <c r="R10" i="19" s="1"/>
  <c r="M81" i="24"/>
  <c r="N81" i="24" s="1"/>
  <c r="O81" i="24" s="1"/>
  <c r="J80" i="24"/>
  <c r="K80" i="24" s="1"/>
  <c r="L80" i="24" s="1"/>
  <c r="M153" i="24"/>
  <c r="N153" i="24" s="1"/>
  <c r="O153" i="24" s="1"/>
  <c r="K24" i="10"/>
  <c r="L24" i="10" s="1"/>
  <c r="K120" i="15"/>
  <c r="L120" i="15" s="1"/>
  <c r="M168" i="24"/>
  <c r="M131" i="24"/>
  <c r="Q103" i="24"/>
  <c r="R103" i="24" s="1"/>
  <c r="N52" i="19"/>
  <c r="O52" i="19" s="1"/>
  <c r="N42" i="19"/>
  <c r="O42" i="19" s="1"/>
  <c r="O44" i="19" s="1"/>
  <c r="O112" i="19" s="1"/>
  <c r="M82" i="24"/>
  <c r="N82" i="24" s="1"/>
  <c r="O82" i="24" s="1"/>
  <c r="J81" i="24"/>
  <c r="K81" i="24" s="1"/>
  <c r="L81" i="24" s="1"/>
  <c r="M78" i="24"/>
  <c r="N78" i="24" s="1"/>
  <c r="O78" i="24" s="1"/>
  <c r="Q26" i="9"/>
  <c r="R26" i="9" s="1"/>
  <c r="C90" i="13"/>
  <c r="C115" i="13" s="1"/>
  <c r="C89" i="9"/>
  <c r="C114" i="9" s="1"/>
  <c r="E94" i="17"/>
  <c r="E119" i="17" s="1"/>
  <c r="E87" i="16"/>
  <c r="E112" i="16" s="1"/>
  <c r="E73" i="19"/>
  <c r="E117" i="19" s="1"/>
  <c r="I11" i="19"/>
  <c r="M11" i="19" s="1"/>
  <c r="N11" i="19" s="1"/>
  <c r="O11" i="19" s="1"/>
  <c r="E88" i="11"/>
  <c r="E113" i="11" s="1"/>
  <c r="E89" i="1"/>
  <c r="E114" i="1" s="1"/>
  <c r="Z4" i="4"/>
  <c r="AA4" i="4" s="1"/>
  <c r="M22" i="25"/>
  <c r="N22" i="25" s="1"/>
  <c r="O22" i="25" s="1"/>
  <c r="M45" i="25"/>
  <c r="N45" i="25" s="1"/>
  <c r="O45" i="25" s="1"/>
  <c r="M35" i="25"/>
  <c r="N35" i="25" s="1"/>
  <c r="O35" i="25" s="1"/>
  <c r="M23" i="25"/>
  <c r="N23" i="25" s="1"/>
  <c r="O23" i="25" s="1"/>
  <c r="M21" i="25"/>
  <c r="N21" i="25" s="1"/>
  <c r="O21" i="25" s="1"/>
  <c r="N56" i="9"/>
  <c r="O56" i="9" s="1"/>
  <c r="M103" i="24"/>
  <c r="N46" i="12"/>
  <c r="O46" i="12" s="1"/>
  <c r="H39" i="12"/>
  <c r="H108" i="12" s="1"/>
  <c r="Q24" i="19"/>
  <c r="R24" i="19" s="1"/>
  <c r="R28" i="19" s="1"/>
  <c r="R110" i="19" s="1"/>
  <c r="C62" i="22"/>
  <c r="J82" i="24"/>
  <c r="K82" i="24" s="1"/>
  <c r="L82" i="24" s="1"/>
  <c r="M79" i="24"/>
  <c r="N79" i="24" s="1"/>
  <c r="O79" i="24" s="1"/>
  <c r="J78" i="24"/>
  <c r="K78" i="24" s="1"/>
  <c r="L78" i="24" s="1"/>
  <c r="P70" i="15"/>
  <c r="Q70" i="15" s="1"/>
  <c r="R70" i="15" s="1"/>
  <c r="P89" i="15"/>
  <c r="Q89" i="15" s="1"/>
  <c r="R89" i="15" s="1"/>
  <c r="P74" i="15"/>
  <c r="Q74" i="15" s="1"/>
  <c r="P85" i="15"/>
  <c r="P93" i="15"/>
  <c r="Q93" i="15" s="1"/>
  <c r="R93" i="15" s="1"/>
  <c r="Q57" i="15"/>
  <c r="R57" i="15" s="1"/>
  <c r="Q24" i="15"/>
  <c r="N28" i="19"/>
  <c r="N110" i="19" s="1"/>
  <c r="K24" i="18"/>
  <c r="L24" i="18" s="1"/>
  <c r="O15" i="12"/>
  <c r="O103" i="12" s="1"/>
  <c r="M86" i="16"/>
  <c r="M111" i="16" s="1"/>
  <c r="K15" i="19"/>
  <c r="K108" i="19" s="1"/>
  <c r="K24" i="19"/>
  <c r="L24" i="19" s="1"/>
  <c r="S24" i="19" s="1"/>
  <c r="K15" i="18"/>
  <c r="K108" i="18" s="1"/>
  <c r="N58" i="17"/>
  <c r="N114" i="17" s="1"/>
  <c r="K58" i="17"/>
  <c r="K114" i="17" s="1"/>
  <c r="P10" i="16"/>
  <c r="P12" i="16" s="1"/>
  <c r="S93" i="11"/>
  <c r="L50" i="10"/>
  <c r="M85" i="7"/>
  <c r="N85" i="7" s="1"/>
  <c r="N12" i="7"/>
  <c r="M31" i="7" s="1"/>
  <c r="T5" i="22"/>
  <c r="K24" i="12"/>
  <c r="L24" i="12" s="1"/>
  <c r="N101" i="9"/>
  <c r="M34" i="15"/>
  <c r="P50" i="15"/>
  <c r="Q50" i="15" s="1"/>
  <c r="R50" i="15" s="1"/>
  <c r="M35" i="17"/>
  <c r="N35" i="17" s="1"/>
  <c r="O35" i="17" s="1"/>
  <c r="M39" i="19"/>
  <c r="N39" i="19" s="1"/>
  <c r="O39" i="19" s="1"/>
  <c r="P34" i="24"/>
  <c r="Q34" i="24" s="1"/>
  <c r="R34" i="24" s="1"/>
  <c r="P50" i="19"/>
  <c r="Q50" i="19" s="1"/>
  <c r="R50" i="19" s="1"/>
  <c r="P31" i="24"/>
  <c r="Q31" i="24" s="1"/>
  <c r="R31" i="24" s="1"/>
  <c r="M21" i="12"/>
  <c r="N22" i="12" s="1"/>
  <c r="O22" i="12" s="1"/>
  <c r="Q48" i="16"/>
  <c r="R48" i="16" s="1"/>
  <c r="S48" i="16" s="1"/>
  <c r="N38" i="16"/>
  <c r="O38" i="16" s="1"/>
  <c r="P38" i="16" s="1"/>
  <c r="M50" i="17"/>
  <c r="N50" i="17" s="1"/>
  <c r="O50" i="17" s="1"/>
  <c r="M39" i="20"/>
  <c r="N39" i="20" s="1"/>
  <c r="O39" i="20" s="1"/>
  <c r="P75" i="20"/>
  <c r="Q75" i="20" s="1"/>
  <c r="R75" i="20" s="1"/>
  <c r="P36" i="20"/>
  <c r="Q36" i="20" s="1"/>
  <c r="R36" i="20" s="1"/>
  <c r="P31" i="20"/>
  <c r="Q31" i="20" s="1"/>
  <c r="R31" i="20" s="1"/>
  <c r="Q19" i="16"/>
  <c r="R19" i="16" s="1"/>
  <c r="S19" i="16" s="1"/>
  <c r="P34" i="18"/>
  <c r="Q34" i="18" s="1"/>
  <c r="R34" i="18" s="1"/>
  <c r="P20" i="22"/>
  <c r="P22" i="22" s="1"/>
  <c r="P52" i="22" s="1"/>
  <c r="P63" i="22" s="1"/>
  <c r="Q21" i="16"/>
  <c r="R21" i="16" s="1"/>
  <c r="S21" i="16" s="1"/>
  <c r="N18" i="16"/>
  <c r="O18" i="16" s="1"/>
  <c r="P18" i="16" s="1"/>
  <c r="M68" i="15"/>
  <c r="N68" i="15" s="1"/>
  <c r="O68" i="15" s="1"/>
  <c r="P34" i="1"/>
  <c r="Q34" i="1" s="1"/>
  <c r="R34" i="1" s="1"/>
  <c r="P25" i="24"/>
  <c r="P26" i="24" s="1"/>
  <c r="P18" i="14"/>
  <c r="Q18" i="14" s="1"/>
  <c r="R18" i="14" s="1"/>
  <c r="P21" i="11"/>
  <c r="Q21" i="11" s="1"/>
  <c r="R21" i="11" s="1"/>
  <c r="M50" i="15"/>
  <c r="N50" i="15" s="1"/>
  <c r="O50" i="15" s="1"/>
  <c r="M40" i="17"/>
  <c r="N40" i="17" s="1"/>
  <c r="O40" i="17" s="1"/>
  <c r="M109" i="15"/>
  <c r="N109" i="15" s="1"/>
  <c r="O109" i="15" s="1"/>
  <c r="J32" i="24"/>
  <c r="K32" i="24" s="1"/>
  <c r="L32" i="24" s="1"/>
  <c r="P37" i="19"/>
  <c r="Q37" i="19" s="1"/>
  <c r="R37" i="19" s="1"/>
  <c r="M40" i="18"/>
  <c r="N40" i="18" s="1"/>
  <c r="O40" i="18" s="1"/>
  <c r="M34" i="12"/>
  <c r="N34" i="12" s="1"/>
  <c r="O34" i="12" s="1"/>
  <c r="K28" i="18"/>
  <c r="K110" i="18" s="1"/>
  <c r="K38" i="10"/>
  <c r="K107" i="10" s="1"/>
  <c r="N44" i="19"/>
  <c r="N112" i="19" s="1"/>
  <c r="S175" i="24"/>
  <c r="L95" i="11"/>
  <c r="L97" i="11" s="1"/>
  <c r="L114" i="11" s="1"/>
  <c r="S129" i="24"/>
  <c r="O26" i="19"/>
  <c r="O28" i="19" s="1"/>
  <c r="O110" i="19" s="1"/>
  <c r="S115" i="24"/>
  <c r="O58" i="19"/>
  <c r="O114" i="19" s="1"/>
  <c r="T81" i="24"/>
  <c r="K44" i="18"/>
  <c r="K112" i="18" s="1"/>
  <c r="S95" i="24"/>
  <c r="N50" i="12"/>
  <c r="N109" i="12" s="1"/>
  <c r="K28" i="19"/>
  <c r="K110" i="19" s="1"/>
  <c r="S95" i="15"/>
  <c r="S67" i="24"/>
  <c r="K58" i="18"/>
  <c r="K114" i="18" s="1"/>
  <c r="L15" i="17"/>
  <c r="L108" i="17" s="1"/>
  <c r="K50" i="10"/>
  <c r="K109" i="10" s="1"/>
  <c r="O36" i="12"/>
  <c r="O28" i="1"/>
  <c r="O52" i="17"/>
  <c r="N58" i="19"/>
  <c r="N114" i="19" s="1"/>
  <c r="L52" i="17"/>
  <c r="S206" i="24"/>
  <c r="O50" i="12"/>
  <c r="N87" i="11"/>
  <c r="N112" i="11" s="1"/>
  <c r="S40" i="24"/>
  <c r="S101" i="19"/>
  <c r="K103" i="19"/>
  <c r="K120" i="19" s="1"/>
  <c r="P32" i="16"/>
  <c r="P103" i="16" s="1"/>
  <c r="K50" i="9"/>
  <c r="K109" i="9" s="1"/>
  <c r="N28" i="1"/>
  <c r="N105" i="1" s="1"/>
  <c r="P40" i="16"/>
  <c r="P42" i="16" s="1"/>
  <c r="P105" i="16" s="1"/>
  <c r="S88" i="24"/>
  <c r="P146" i="24"/>
  <c r="P239" i="24" s="1"/>
  <c r="N44" i="17"/>
  <c r="N112" i="17" s="1"/>
  <c r="S25" i="11"/>
  <c r="M146" i="24"/>
  <c r="M239" i="24" s="1"/>
  <c r="N38" i="10"/>
  <c r="N107" i="10" s="1"/>
  <c r="K41" i="11"/>
  <c r="K106" i="11" s="1"/>
  <c r="S58" i="9"/>
  <c r="K29" i="11"/>
  <c r="K104" i="11" s="1"/>
  <c r="L46" i="1"/>
  <c r="L50" i="1" s="1"/>
  <c r="S47" i="13"/>
  <c r="O32" i="16"/>
  <c r="O103" i="16" s="1"/>
  <c r="R78" i="24"/>
  <c r="T78" i="24" s="1"/>
  <c r="R56" i="17"/>
  <c r="Q58" i="17"/>
  <c r="Q114" i="17" s="1"/>
  <c r="I81" i="12"/>
  <c r="M81" i="12" s="1"/>
  <c r="N81" i="12" s="1"/>
  <c r="O81" i="12" s="1"/>
  <c r="I97" i="12"/>
  <c r="M97" i="12" s="1"/>
  <c r="N97" i="12" s="1"/>
  <c r="O97" i="12" s="1"/>
  <c r="H99" i="12"/>
  <c r="H116" i="12" s="1"/>
  <c r="O36" i="1"/>
  <c r="O38" i="1" s="1"/>
  <c r="O107" i="1" s="1"/>
  <c r="N38" i="1"/>
  <c r="N107" i="1" s="1"/>
  <c r="C48" i="14"/>
  <c r="C107" i="14" s="1"/>
  <c r="I47" i="1"/>
  <c r="M47" i="1" s="1"/>
  <c r="N47" i="1" s="1"/>
  <c r="O47" i="1" s="1"/>
  <c r="C51" i="1"/>
  <c r="C110" i="1" s="1"/>
  <c r="E97" i="16"/>
  <c r="E114" i="16" s="1"/>
  <c r="J93" i="16"/>
  <c r="E131" i="15"/>
  <c r="E163" i="15" s="1"/>
  <c r="S80" i="14"/>
  <c r="S84" i="24"/>
  <c r="N58" i="18"/>
  <c r="N114" i="18" s="1"/>
  <c r="Q29" i="11"/>
  <c r="Q104" i="11" s="1"/>
  <c r="R27" i="11"/>
  <c r="R29" i="11" s="1"/>
  <c r="R104" i="11" s="1"/>
  <c r="L58" i="17"/>
  <c r="L114" i="17" s="1"/>
  <c r="L210" i="24"/>
  <c r="K225" i="24"/>
  <c r="K243" i="24" s="1"/>
  <c r="N103" i="10"/>
  <c r="O15" i="10"/>
  <c r="O103" i="10" s="1"/>
  <c r="K38" i="9"/>
  <c r="K107" i="9" s="1"/>
  <c r="L36" i="9"/>
  <c r="L38" i="9" s="1"/>
  <c r="L107" i="9" s="1"/>
  <c r="C73" i="18"/>
  <c r="C117" i="18" s="1"/>
  <c r="C147" i="24"/>
  <c r="C240" i="24" s="1"/>
  <c r="Q146" i="15"/>
  <c r="Q164" i="15" s="1"/>
  <c r="J70" i="16"/>
  <c r="N70" i="16" s="1"/>
  <c r="I25" i="12"/>
  <c r="M25" i="12" s="1"/>
  <c r="N25" i="12" s="1"/>
  <c r="O25" i="12" s="1"/>
  <c r="R64" i="19"/>
  <c r="U20" i="20"/>
  <c r="U22" i="20" s="1"/>
  <c r="U88" i="20" s="1"/>
  <c r="F44" i="21" s="1"/>
  <c r="L22" i="20"/>
  <c r="J88" i="20" s="1"/>
  <c r="C65" i="12"/>
  <c r="C112" i="12" s="1"/>
  <c r="J59" i="16"/>
  <c r="B72" i="7"/>
  <c r="B121" i="7" s="1"/>
  <c r="C65" i="1"/>
  <c r="C112" i="1" s="1"/>
  <c r="C65" i="10"/>
  <c r="C112" i="10" s="1"/>
  <c r="S17" i="20"/>
  <c r="D73" i="19"/>
  <c r="D117" i="19" s="1"/>
  <c r="Q46" i="9"/>
  <c r="R46" i="9" s="1"/>
  <c r="I50" i="9"/>
  <c r="I109" i="9" s="1"/>
  <c r="F39" i="9"/>
  <c r="F108" i="9" s="1"/>
  <c r="F107" i="9"/>
  <c r="F118" i="9" s="1"/>
  <c r="K56" i="10"/>
  <c r="N56" i="10"/>
  <c r="Q2" i="18"/>
  <c r="Q106" i="18" s="1"/>
  <c r="N106" i="18"/>
  <c r="K73" i="10"/>
  <c r="L73" i="10" s="1"/>
  <c r="N73" i="10"/>
  <c r="O73" i="10" s="1"/>
  <c r="K13" i="11"/>
  <c r="N13" i="11"/>
  <c r="O13" i="11" s="1"/>
  <c r="Q13" i="11"/>
  <c r="R13" i="11" s="1"/>
  <c r="O58" i="17"/>
  <c r="O114" i="17" s="1"/>
  <c r="S19" i="20"/>
  <c r="S94" i="9"/>
  <c r="Q97" i="11"/>
  <c r="Q114" i="11" s="1"/>
  <c r="Q87" i="11"/>
  <c r="Q112" i="11" s="1"/>
  <c r="D65" i="12"/>
  <c r="D112" i="12" s="1"/>
  <c r="E26" i="14"/>
  <c r="E103" i="14" s="1"/>
  <c r="F58" i="7"/>
  <c r="F119" i="7" s="1"/>
  <c r="Q56" i="10"/>
  <c r="R56" i="10" s="1"/>
  <c r="F97" i="16"/>
  <c r="F114" i="16" s="1"/>
  <c r="Q62" i="10"/>
  <c r="R62" i="10" s="1"/>
  <c r="K62" i="10"/>
  <c r="L62" i="10" s="1"/>
  <c r="N62" i="10"/>
  <c r="O62" i="10" s="1"/>
  <c r="G29" i="19"/>
  <c r="G111" i="19" s="1"/>
  <c r="F14" i="10"/>
  <c r="F16" i="10" s="1"/>
  <c r="F104" i="10" s="1"/>
  <c r="F14" i="11"/>
  <c r="F16" i="11" s="1"/>
  <c r="F103" i="11" s="1"/>
  <c r="F23" i="15"/>
  <c r="F25" i="15" s="1"/>
  <c r="F153" i="15" s="1"/>
  <c r="F27" i="10"/>
  <c r="F26" i="11"/>
  <c r="F30" i="11" s="1"/>
  <c r="F105" i="11" s="1"/>
  <c r="F45" i="24"/>
  <c r="I45" i="24" s="1"/>
  <c r="M45" i="24" s="1"/>
  <c r="N45" i="24" s="1"/>
  <c r="O45" i="24" s="1"/>
  <c r="E32" i="7"/>
  <c r="H32" i="7" s="1"/>
  <c r="L32" i="7" s="1"/>
  <c r="M32" i="7" s="1"/>
  <c r="N32" i="7" s="1"/>
  <c r="F43" i="24"/>
  <c r="F58" i="15"/>
  <c r="F70" i="24"/>
  <c r="E44" i="7"/>
  <c r="H44" i="7" s="1"/>
  <c r="H46" i="7" s="1"/>
  <c r="H117" i="7" s="1"/>
  <c r="F68" i="24"/>
  <c r="I68" i="24" s="1"/>
  <c r="M68" i="24" s="1"/>
  <c r="N68" i="24" s="1"/>
  <c r="O68" i="24" s="1"/>
  <c r="F52" i="11"/>
  <c r="F54" i="11" s="1"/>
  <c r="F109" i="11" s="1"/>
  <c r="F91" i="24"/>
  <c r="F57" i="9"/>
  <c r="F57" i="10"/>
  <c r="F57" i="1"/>
  <c r="F49" i="9"/>
  <c r="E56" i="7"/>
  <c r="F93" i="24"/>
  <c r="F64" i="11"/>
  <c r="E68" i="7"/>
  <c r="F96" i="15"/>
  <c r="F88" i="15"/>
  <c r="F125" i="24"/>
  <c r="F143" i="24"/>
  <c r="F74" i="9"/>
  <c r="F74" i="10"/>
  <c r="F74" i="1"/>
  <c r="F83" i="11"/>
  <c r="E86" i="7"/>
  <c r="F117" i="15"/>
  <c r="F126" i="15"/>
  <c r="F114" i="24"/>
  <c r="F132" i="24"/>
  <c r="F66" i="20"/>
  <c r="F81" i="10"/>
  <c r="F77" i="1"/>
  <c r="E79" i="7"/>
  <c r="F164" i="24"/>
  <c r="F173" i="24"/>
  <c r="F182" i="24"/>
  <c r="F191" i="24"/>
  <c r="F95" i="10"/>
  <c r="F94" i="11"/>
  <c r="F137" i="15"/>
  <c r="F205" i="24"/>
  <c r="F213" i="24"/>
  <c r="F222" i="24"/>
  <c r="F55" i="19"/>
  <c r="F86" i="19"/>
  <c r="F27" i="18"/>
  <c r="F25" i="19"/>
  <c r="F29" i="19" s="1"/>
  <c r="F111" i="19" s="1"/>
  <c r="F67" i="19"/>
  <c r="F102" i="19"/>
  <c r="F53" i="18"/>
  <c r="I53" i="18" s="1"/>
  <c r="M53" i="18" s="1"/>
  <c r="N53" i="18" s="1"/>
  <c r="O53" i="18" s="1"/>
  <c r="F69" i="18"/>
  <c r="I69" i="18" s="1"/>
  <c r="M69" i="18" s="1"/>
  <c r="N69" i="18" s="1"/>
  <c r="O69" i="18" s="1"/>
  <c r="F100" i="18"/>
  <c r="I100" i="18" s="1"/>
  <c r="M100" i="18" s="1"/>
  <c r="N100" i="18" s="1"/>
  <c r="O100" i="18" s="1"/>
  <c r="F65" i="17"/>
  <c r="F92" i="17"/>
  <c r="F72" i="16"/>
  <c r="F24" i="14"/>
  <c r="I24" i="14" s="1"/>
  <c r="M24" i="14" s="1"/>
  <c r="N24" i="14" s="1"/>
  <c r="O24" i="14" s="1"/>
  <c r="F60" i="14"/>
  <c r="F84" i="14"/>
  <c r="F38" i="13"/>
  <c r="F73" i="13"/>
  <c r="F84" i="18"/>
  <c r="F25" i="17"/>
  <c r="F67" i="17"/>
  <c r="F102" i="17"/>
  <c r="F31" i="16"/>
  <c r="F75" i="16"/>
  <c r="F11" i="14"/>
  <c r="F58" i="14"/>
  <c r="F94" i="14"/>
  <c r="F58" i="13"/>
  <c r="I58" i="13" s="1"/>
  <c r="M58" i="13" s="1"/>
  <c r="N58" i="13" s="1"/>
  <c r="O58" i="13" s="1"/>
  <c r="F85" i="13"/>
  <c r="F11" i="9"/>
  <c r="F11" i="1"/>
  <c r="E18" i="7"/>
  <c r="F15" i="24"/>
  <c r="F27" i="9"/>
  <c r="E34" i="7"/>
  <c r="F49" i="24"/>
  <c r="F37" i="15"/>
  <c r="F47" i="24"/>
  <c r="F60" i="15"/>
  <c r="F53" i="20"/>
  <c r="F54" i="15"/>
  <c r="F47" i="9"/>
  <c r="F51" i="9" s="1"/>
  <c r="F110" i="9" s="1"/>
  <c r="E54" i="7"/>
  <c r="F96" i="24"/>
  <c r="F59" i="9"/>
  <c r="F59" i="10"/>
  <c r="F59" i="1"/>
  <c r="F47" i="10"/>
  <c r="F71" i="15"/>
  <c r="F98" i="24"/>
  <c r="F66" i="11"/>
  <c r="E70" i="7"/>
  <c r="F94" i="15"/>
  <c r="F86" i="15"/>
  <c r="F130" i="24"/>
  <c r="F87" i="9"/>
  <c r="F87" i="10"/>
  <c r="F87" i="1"/>
  <c r="F75" i="11"/>
  <c r="F86" i="11"/>
  <c r="E81" i="7"/>
  <c r="F119" i="15"/>
  <c r="F129" i="15"/>
  <c r="F118" i="24"/>
  <c r="F136" i="24"/>
  <c r="F81" i="9"/>
  <c r="F77" i="10"/>
  <c r="F72" i="1"/>
  <c r="F158" i="24"/>
  <c r="F167" i="24"/>
  <c r="F176" i="24"/>
  <c r="F185" i="24"/>
  <c r="F197" i="24"/>
  <c r="F97" i="10"/>
  <c r="F96" i="11"/>
  <c r="F140" i="15"/>
  <c r="F207" i="24"/>
  <c r="F216" i="24"/>
  <c r="F224" i="24"/>
  <c r="F65" i="19"/>
  <c r="F92" i="19"/>
  <c r="F55" i="18"/>
  <c r="F43" i="19"/>
  <c r="F71" i="19"/>
  <c r="F11" i="18"/>
  <c r="I11" i="18" s="1"/>
  <c r="F57" i="18"/>
  <c r="F82" i="18"/>
  <c r="F14" i="17"/>
  <c r="I14" i="17" s="1"/>
  <c r="F69" i="17"/>
  <c r="I69" i="17" s="1"/>
  <c r="M69" i="17" s="1"/>
  <c r="N69" i="17" s="1"/>
  <c r="O69" i="17" s="1"/>
  <c r="F100" i="17"/>
  <c r="F77" i="16"/>
  <c r="J77" i="16" s="1"/>
  <c r="F34" i="14"/>
  <c r="F36" i="14" s="1"/>
  <c r="F105" i="14" s="1"/>
  <c r="F69" i="14"/>
  <c r="F92" i="14"/>
  <c r="F50" i="13"/>
  <c r="F52" i="13" s="1"/>
  <c r="F111" i="13" s="1"/>
  <c r="F78" i="13"/>
  <c r="I78" i="13" s="1"/>
  <c r="M78" i="13" s="1"/>
  <c r="N78" i="13" s="1"/>
  <c r="O78" i="13" s="1"/>
  <c r="F89" i="18"/>
  <c r="F43" i="17"/>
  <c r="F71" i="17"/>
  <c r="F11" i="16"/>
  <c r="F13" i="16" s="1"/>
  <c r="F102" i="16" s="1"/>
  <c r="F41" i="16"/>
  <c r="F79" i="16"/>
  <c r="F22" i="14"/>
  <c r="F26" i="14" s="1"/>
  <c r="F103" i="14" s="1"/>
  <c r="F71" i="14"/>
  <c r="F12" i="13"/>
  <c r="F62" i="13"/>
  <c r="F98" i="13"/>
  <c r="F100" i="13" s="1"/>
  <c r="F117" i="13" s="1"/>
  <c r="F49" i="12"/>
  <c r="F51" i="12" s="1"/>
  <c r="F110" i="12" s="1"/>
  <c r="F14" i="9"/>
  <c r="F14" i="1"/>
  <c r="E21" i="7"/>
  <c r="F18" i="24"/>
  <c r="F25" i="10"/>
  <c r="F40" i="15"/>
  <c r="I40" i="15" s="1"/>
  <c r="F25" i="1"/>
  <c r="F29" i="1" s="1"/>
  <c r="F106" i="1" s="1"/>
  <c r="F42" i="15"/>
  <c r="F37" i="9"/>
  <c r="F62" i="24"/>
  <c r="F37" i="10"/>
  <c r="F56" i="15"/>
  <c r="F49" i="10"/>
  <c r="F75" i="15"/>
  <c r="F100" i="24"/>
  <c r="F61" i="9"/>
  <c r="F61" i="10"/>
  <c r="F61" i="1"/>
  <c r="F49" i="1"/>
  <c r="F51" i="1" s="1"/>
  <c r="F110" i="1" s="1"/>
  <c r="F85" i="24"/>
  <c r="F102" i="24"/>
  <c r="E64" i="7"/>
  <c r="F100" i="15"/>
  <c r="F92" i="15"/>
  <c r="F116" i="24"/>
  <c r="F134" i="24"/>
  <c r="F84" i="9"/>
  <c r="F84" i="10"/>
  <c r="F84" i="1"/>
  <c r="F78" i="11"/>
  <c r="E96" i="7"/>
  <c r="F113" i="15"/>
  <c r="F121" i="15"/>
  <c r="F194" i="24"/>
  <c r="F123" i="24"/>
  <c r="F141" i="24"/>
  <c r="F77" i="9"/>
  <c r="F72" i="10"/>
  <c r="E88" i="7"/>
  <c r="F160" i="24"/>
  <c r="F169" i="24"/>
  <c r="F178" i="24"/>
  <c r="F187" i="24"/>
  <c r="F95" i="9"/>
  <c r="F95" i="1"/>
  <c r="E104" i="7"/>
  <c r="F143" i="15"/>
  <c r="F209" i="24"/>
  <c r="F218" i="24"/>
  <c r="F14" i="19"/>
  <c r="F16" i="19" s="1"/>
  <c r="F109" i="19" s="1"/>
  <c r="F69" i="19"/>
  <c r="F100" i="19"/>
  <c r="F65" i="18"/>
  <c r="F53" i="19"/>
  <c r="I53" i="19" s="1"/>
  <c r="F84" i="19"/>
  <c r="F94" i="19" s="1"/>
  <c r="F119" i="19" s="1"/>
  <c r="F25" i="18"/>
  <c r="F67" i="18"/>
  <c r="F86" i="18"/>
  <c r="F27" i="17"/>
  <c r="F29" i="17" s="1"/>
  <c r="F111" i="17" s="1"/>
  <c r="F82" i="17"/>
  <c r="F51" i="16"/>
  <c r="F53" i="16" s="1"/>
  <c r="F108" i="16" s="1"/>
  <c r="F82" i="16"/>
  <c r="F46" i="14"/>
  <c r="F74" i="14"/>
  <c r="F15" i="13"/>
  <c r="F60" i="13"/>
  <c r="F82" i="13"/>
  <c r="F102" i="18"/>
  <c r="F53" i="17"/>
  <c r="I53" i="17" s="1"/>
  <c r="F84" i="17"/>
  <c r="F27" i="16"/>
  <c r="F61" i="16"/>
  <c r="F63" i="16" s="1"/>
  <c r="F110" i="16" s="1"/>
  <c r="F85" i="16"/>
  <c r="F44" i="14"/>
  <c r="I44" i="14" s="1"/>
  <c r="F76" i="14"/>
  <c r="F26" i="13"/>
  <c r="F30" i="13" s="1"/>
  <c r="F107" i="13" s="1"/>
  <c r="F75" i="13"/>
  <c r="F14" i="12"/>
  <c r="F16" i="12" s="1"/>
  <c r="F104" i="12" s="1"/>
  <c r="F119" i="12" s="1"/>
  <c r="F112" i="24"/>
  <c r="F147" i="24" s="1"/>
  <c r="F240" i="24" s="1"/>
  <c r="F95" i="12"/>
  <c r="F99" i="12" s="1"/>
  <c r="F116" i="12" s="1"/>
  <c r="F107" i="10"/>
  <c r="I88" i="13"/>
  <c r="M88" i="13" s="1"/>
  <c r="N88" i="13" s="1"/>
  <c r="O88" i="13" s="1"/>
  <c r="I64" i="13"/>
  <c r="M64" i="13" s="1"/>
  <c r="N64" i="13" s="1"/>
  <c r="O64" i="13" s="1"/>
  <c r="I28" i="13"/>
  <c r="M28" i="13" s="1"/>
  <c r="N28" i="13" s="1"/>
  <c r="O28" i="13" s="1"/>
  <c r="I78" i="14"/>
  <c r="M78" i="14" s="1"/>
  <c r="N78" i="14" s="1"/>
  <c r="O78" i="14" s="1"/>
  <c r="I56" i="14"/>
  <c r="J95" i="16"/>
  <c r="N95" i="16" s="1"/>
  <c r="O95" i="16" s="1"/>
  <c r="P95" i="16" s="1"/>
  <c r="I86" i="17"/>
  <c r="I55" i="17"/>
  <c r="I92" i="18"/>
  <c r="M92" i="18" s="1"/>
  <c r="N92" i="18" s="1"/>
  <c r="O92" i="18" s="1"/>
  <c r="I67" i="18"/>
  <c r="I62" i="13"/>
  <c r="M62" i="13" s="1"/>
  <c r="N62" i="13" s="1"/>
  <c r="O62" i="13" s="1"/>
  <c r="I71" i="14"/>
  <c r="I22" i="14"/>
  <c r="J79" i="16"/>
  <c r="N79" i="16" s="1"/>
  <c r="O79" i="16" s="1"/>
  <c r="P79" i="16" s="1"/>
  <c r="J41" i="16"/>
  <c r="N41" i="16" s="1"/>
  <c r="I71" i="17"/>
  <c r="M71" i="17" s="1"/>
  <c r="N71" i="17" s="1"/>
  <c r="O71" i="17" s="1"/>
  <c r="I43" i="17"/>
  <c r="I89" i="18"/>
  <c r="M89" i="18" s="1"/>
  <c r="N89" i="18" s="1"/>
  <c r="O89" i="18" s="1"/>
  <c r="I55" i="18"/>
  <c r="I92" i="19"/>
  <c r="M92" i="19" s="1"/>
  <c r="N92" i="19" s="1"/>
  <c r="O92" i="19" s="1"/>
  <c r="I65" i="19"/>
  <c r="M65" i="19" s="1"/>
  <c r="N65" i="19" s="1"/>
  <c r="I224" i="24"/>
  <c r="M224" i="24" s="1"/>
  <c r="N224" i="24" s="1"/>
  <c r="O224" i="24" s="1"/>
  <c r="I216" i="24"/>
  <c r="M216" i="24" s="1"/>
  <c r="N216" i="24" s="1"/>
  <c r="O216" i="24" s="1"/>
  <c r="I207" i="24"/>
  <c r="M207" i="24" s="1"/>
  <c r="N207" i="24" s="1"/>
  <c r="O207" i="24" s="1"/>
  <c r="I140" i="15"/>
  <c r="I96" i="11"/>
  <c r="I102" i="19"/>
  <c r="M102" i="19" s="1"/>
  <c r="N102" i="19" s="1"/>
  <c r="O102" i="19" s="1"/>
  <c r="I67" i="19"/>
  <c r="M67" i="19" s="1"/>
  <c r="N67" i="19" s="1"/>
  <c r="O67" i="19" s="1"/>
  <c r="I25" i="19"/>
  <c r="I49" i="9"/>
  <c r="M49" i="9" s="1"/>
  <c r="N49" i="9" s="1"/>
  <c r="O49" i="9" s="1"/>
  <c r="I37" i="9"/>
  <c r="E94" i="18"/>
  <c r="E119" i="18" s="1"/>
  <c r="D103" i="20"/>
  <c r="K94" i="10"/>
  <c r="L94" i="10" s="1"/>
  <c r="L98" i="10" s="1"/>
  <c r="N94" i="10"/>
  <c r="O94" i="10" s="1"/>
  <c r="Q2" i="1"/>
  <c r="Q101" i="1" s="1"/>
  <c r="N101" i="1"/>
  <c r="F42" i="11"/>
  <c r="F107" i="11" s="1"/>
  <c r="F106" i="11"/>
  <c r="K77" i="14"/>
  <c r="L77" i="14" s="1"/>
  <c r="N77" i="14"/>
  <c r="O77" i="14" s="1"/>
  <c r="H36" i="14"/>
  <c r="H105" i="14" s="1"/>
  <c r="H104" i="14"/>
  <c r="D100" i="13"/>
  <c r="D117" i="13" s="1"/>
  <c r="H14" i="11"/>
  <c r="H27" i="10"/>
  <c r="H29" i="10" s="1"/>
  <c r="H106" i="10" s="1"/>
  <c r="G34" i="7"/>
  <c r="H49" i="24"/>
  <c r="I49" i="24" s="1"/>
  <c r="M49" i="24" s="1"/>
  <c r="N49" i="24" s="1"/>
  <c r="O49" i="24" s="1"/>
  <c r="H37" i="15"/>
  <c r="H44" i="15" s="1"/>
  <c r="H155" i="15" s="1"/>
  <c r="H47" i="24"/>
  <c r="I47" i="24" s="1"/>
  <c r="M47" i="24" s="1"/>
  <c r="N47" i="24" s="1"/>
  <c r="O47" i="24" s="1"/>
  <c r="H60" i="15"/>
  <c r="H53" i="20"/>
  <c r="H54" i="15"/>
  <c r="H47" i="9"/>
  <c r="H52" i="11"/>
  <c r="H91" i="24"/>
  <c r="H57" i="9"/>
  <c r="H57" i="10"/>
  <c r="H57" i="1"/>
  <c r="H47" i="10"/>
  <c r="H71" i="15"/>
  <c r="H98" i="24"/>
  <c r="H66" i="11"/>
  <c r="G70" i="7"/>
  <c r="H94" i="15"/>
  <c r="H86" i="15"/>
  <c r="H125" i="24"/>
  <c r="H143" i="24"/>
  <c r="H74" i="9"/>
  <c r="H74" i="10"/>
  <c r="H74" i="1"/>
  <c r="H83" i="11"/>
  <c r="G86" i="7"/>
  <c r="H117" i="15"/>
  <c r="H126" i="15"/>
  <c r="H114" i="24"/>
  <c r="H132" i="24"/>
  <c r="I132" i="24" s="1"/>
  <c r="M132" i="24" s="1"/>
  <c r="N132" i="24" s="1"/>
  <c r="O132" i="24" s="1"/>
  <c r="H66" i="20"/>
  <c r="H68" i="20" s="1"/>
  <c r="H96" i="20" s="1"/>
  <c r="H103" i="20" s="1"/>
  <c r="H81" i="10"/>
  <c r="I81" i="10" s="1"/>
  <c r="M81" i="10" s="1"/>
  <c r="N81" i="10" s="1"/>
  <c r="O81" i="10" s="1"/>
  <c r="H77" i="1"/>
  <c r="I77" i="1" s="1"/>
  <c r="M77" i="1" s="1"/>
  <c r="N77" i="1" s="1"/>
  <c r="O77" i="1" s="1"/>
  <c r="G79" i="7"/>
  <c r="H164" i="24"/>
  <c r="I164" i="24" s="1"/>
  <c r="M164" i="24" s="1"/>
  <c r="N164" i="24" s="1"/>
  <c r="O164" i="24" s="1"/>
  <c r="H173" i="24"/>
  <c r="I173" i="24" s="1"/>
  <c r="M173" i="24" s="1"/>
  <c r="N173" i="24" s="1"/>
  <c r="O173" i="24" s="1"/>
  <c r="H182" i="24"/>
  <c r="I182" i="24" s="1"/>
  <c r="M182" i="24" s="1"/>
  <c r="N182" i="24" s="1"/>
  <c r="O182" i="24" s="1"/>
  <c r="H191" i="24"/>
  <c r="I191" i="24" s="1"/>
  <c r="M191" i="24" s="1"/>
  <c r="N191" i="24" s="1"/>
  <c r="O191" i="24" s="1"/>
  <c r="H95" i="10"/>
  <c r="I95" i="10" s="1"/>
  <c r="M95" i="10" s="1"/>
  <c r="N95" i="10" s="1"/>
  <c r="O95" i="10" s="1"/>
  <c r="H94" i="11"/>
  <c r="H14" i="10"/>
  <c r="H23" i="15"/>
  <c r="H27" i="1"/>
  <c r="I27" i="1" s="1"/>
  <c r="H41" i="24"/>
  <c r="H28" i="11"/>
  <c r="I28" i="11" s="1"/>
  <c r="H38" i="24"/>
  <c r="H37" i="1"/>
  <c r="H66" i="24"/>
  <c r="H40" i="11"/>
  <c r="H64" i="24"/>
  <c r="H49" i="10"/>
  <c r="I49" i="10" s="1"/>
  <c r="M49" i="10" s="1"/>
  <c r="N49" i="10" s="1"/>
  <c r="O49" i="10" s="1"/>
  <c r="H75" i="15"/>
  <c r="I75" i="15" s="1"/>
  <c r="M75" i="15" s="1"/>
  <c r="N75" i="15" s="1"/>
  <c r="O75" i="15" s="1"/>
  <c r="H100" i="24"/>
  <c r="I100" i="24" s="1"/>
  <c r="M100" i="24" s="1"/>
  <c r="N100" i="24" s="1"/>
  <c r="O100" i="24" s="1"/>
  <c r="H61" i="9"/>
  <c r="I61" i="9" s="1"/>
  <c r="M61" i="9" s="1"/>
  <c r="N61" i="9" s="1"/>
  <c r="O61" i="9" s="1"/>
  <c r="H61" i="10"/>
  <c r="I61" i="10" s="1"/>
  <c r="M61" i="10" s="1"/>
  <c r="N61" i="10" s="1"/>
  <c r="O61" i="10" s="1"/>
  <c r="H61" i="1"/>
  <c r="I61" i="1" s="1"/>
  <c r="M61" i="1" s="1"/>
  <c r="N61" i="1" s="1"/>
  <c r="O61" i="1" s="1"/>
  <c r="H50" i="11"/>
  <c r="H89" i="24"/>
  <c r="H60" i="11"/>
  <c r="G66" i="7"/>
  <c r="G72" i="7" s="1"/>
  <c r="G121" i="7" s="1"/>
  <c r="H98" i="15"/>
  <c r="H102" i="15" s="1"/>
  <c r="H161" i="15" s="1"/>
  <c r="H90" i="15"/>
  <c r="I90" i="15" s="1"/>
  <c r="M90" i="15" s="1"/>
  <c r="N90" i="15" s="1"/>
  <c r="O90" i="15" s="1"/>
  <c r="H116" i="24"/>
  <c r="I116" i="24" s="1"/>
  <c r="M116" i="24" s="1"/>
  <c r="N116" i="24" s="1"/>
  <c r="O116" i="24" s="1"/>
  <c r="H134" i="24"/>
  <c r="I134" i="24" s="1"/>
  <c r="M134" i="24" s="1"/>
  <c r="N134" i="24" s="1"/>
  <c r="O134" i="24" s="1"/>
  <c r="H84" i="9"/>
  <c r="I84" i="9" s="1"/>
  <c r="M84" i="9" s="1"/>
  <c r="N84" i="9" s="1"/>
  <c r="O84" i="9" s="1"/>
  <c r="H84" i="10"/>
  <c r="I84" i="10" s="1"/>
  <c r="M84" i="10" s="1"/>
  <c r="N84" i="10" s="1"/>
  <c r="H84" i="1"/>
  <c r="I84" i="1" s="1"/>
  <c r="M84" i="1" s="1"/>
  <c r="N84" i="1" s="1"/>
  <c r="O84" i="1" s="1"/>
  <c r="H78" i="11"/>
  <c r="H88" i="11" s="1"/>
  <c r="H113" i="11" s="1"/>
  <c r="G96" i="7"/>
  <c r="H96" i="7" s="1"/>
  <c r="L96" i="7" s="1"/>
  <c r="M96" i="7" s="1"/>
  <c r="N96" i="7" s="1"/>
  <c r="H113" i="15"/>
  <c r="H121" i="15"/>
  <c r="I121" i="15" s="1"/>
  <c r="M121" i="15" s="1"/>
  <c r="N121" i="15" s="1"/>
  <c r="O121" i="15" s="1"/>
  <c r="H194" i="24"/>
  <c r="I194" i="24" s="1"/>
  <c r="M194" i="24" s="1"/>
  <c r="N194" i="24" s="1"/>
  <c r="O194" i="24" s="1"/>
  <c r="H123" i="24"/>
  <c r="H141" i="24"/>
  <c r="H77" i="9"/>
  <c r="H72" i="10"/>
  <c r="G88" i="7"/>
  <c r="H160" i="24"/>
  <c r="H169" i="24"/>
  <c r="H178" i="24"/>
  <c r="H187" i="24"/>
  <c r="H95" i="9"/>
  <c r="H95" i="1"/>
  <c r="G104" i="7"/>
  <c r="H143" i="15"/>
  <c r="H147" i="15" s="1"/>
  <c r="H165" i="15" s="1"/>
  <c r="H209" i="24"/>
  <c r="H218" i="24"/>
  <c r="K71" i="9"/>
  <c r="L71" i="9" s="1"/>
  <c r="N71" i="9"/>
  <c r="O71" i="9" s="1"/>
  <c r="I98" i="10"/>
  <c r="I115" i="10" s="1"/>
  <c r="H107" i="10"/>
  <c r="H39" i="10"/>
  <c r="H108" i="10" s="1"/>
  <c r="C39" i="1"/>
  <c r="C108" i="1" s="1"/>
  <c r="C107" i="1"/>
  <c r="N63" i="24"/>
  <c r="O63" i="24" s="1"/>
  <c r="Q63" i="24"/>
  <c r="R63" i="24" s="1"/>
  <c r="K63" i="24"/>
  <c r="L63" i="24" s="1"/>
  <c r="E39" i="12"/>
  <c r="E108" i="12" s="1"/>
  <c r="E107" i="12"/>
  <c r="Q46" i="10"/>
  <c r="R46" i="10" s="1"/>
  <c r="I50" i="10"/>
  <c r="I109" i="10" s="1"/>
  <c r="I15" i="1"/>
  <c r="N10" i="1"/>
  <c r="O10" i="1" s="1"/>
  <c r="E46" i="7"/>
  <c r="E117" i="7" s="1"/>
  <c r="E116" i="7"/>
  <c r="N61" i="24"/>
  <c r="O61" i="24" s="1"/>
  <c r="Q61" i="24"/>
  <c r="R61" i="24" s="1"/>
  <c r="K61" i="24"/>
  <c r="L61" i="24" s="1"/>
  <c r="Q10" i="24"/>
  <c r="Q229" i="24" s="1"/>
  <c r="N229" i="24"/>
  <c r="M49" i="15"/>
  <c r="N49" i="15" s="1"/>
  <c r="O49" i="15" s="1"/>
  <c r="B46" i="7"/>
  <c r="B117" i="7" s="1"/>
  <c r="B116" i="7"/>
  <c r="I101" i="15"/>
  <c r="I160" i="15" s="1"/>
  <c r="D39" i="12"/>
  <c r="D108" i="12" s="1"/>
  <c r="D107" i="12"/>
  <c r="D118" i="12" s="1"/>
  <c r="K53" i="14"/>
  <c r="L53" i="14" s="1"/>
  <c r="S53" i="14" s="1"/>
  <c r="I61" i="14"/>
  <c r="I108" i="14" s="1"/>
  <c r="F116" i="16"/>
  <c r="K68" i="17"/>
  <c r="L68" i="17" s="1"/>
  <c r="N68" i="17"/>
  <c r="O68" i="17" s="1"/>
  <c r="K64" i="18"/>
  <c r="L64" i="18" s="1"/>
  <c r="Q64" i="18"/>
  <c r="G45" i="18"/>
  <c r="G113" i="18" s="1"/>
  <c r="G112" i="18"/>
  <c r="G123" i="18" s="1"/>
  <c r="Q2" i="19"/>
  <c r="Q106" i="19" s="1"/>
  <c r="N106" i="19"/>
  <c r="F117" i="11"/>
  <c r="G40" i="13"/>
  <c r="G109" i="13" s="1"/>
  <c r="G108" i="13"/>
  <c r="C40" i="13"/>
  <c r="C109" i="13" s="1"/>
  <c r="C108" i="13"/>
  <c r="Q2" i="13"/>
  <c r="Q102" i="13" s="1"/>
  <c r="N102" i="13"/>
  <c r="K33" i="14"/>
  <c r="N33" i="14"/>
  <c r="I35" i="14"/>
  <c r="I104" i="14" s="1"/>
  <c r="Q33" i="14"/>
  <c r="R33" i="14" s="1"/>
  <c r="N81" i="17"/>
  <c r="O81" i="17" s="1"/>
  <c r="K81" i="17"/>
  <c r="L81" i="17" s="1"/>
  <c r="C123" i="18"/>
  <c r="N68" i="18"/>
  <c r="Q68" i="18"/>
  <c r="R68" i="18" s="1"/>
  <c r="K68" i="19"/>
  <c r="L68" i="19" s="1"/>
  <c r="N68" i="19"/>
  <c r="O68" i="19" s="1"/>
  <c r="Q68" i="19"/>
  <c r="R68" i="19" s="1"/>
  <c r="F55" i="20"/>
  <c r="F92" i="20" s="1"/>
  <c r="F91" i="20"/>
  <c r="F102" i="20" s="1"/>
  <c r="N37" i="24"/>
  <c r="G42" i="11"/>
  <c r="G107" i="11" s="1"/>
  <c r="G106" i="11"/>
  <c r="K64" i="17"/>
  <c r="N64" i="17"/>
  <c r="Q64" i="17"/>
  <c r="R64" i="17" s="1"/>
  <c r="K26" i="17"/>
  <c r="L26" i="17" s="1"/>
  <c r="I28" i="17"/>
  <c r="I110" i="17" s="1"/>
  <c r="G63" i="22"/>
  <c r="C63" i="22"/>
  <c r="H63" i="22"/>
  <c r="D63" i="22"/>
  <c r="K73" i="9"/>
  <c r="L73" i="9" s="1"/>
  <c r="S73" i="9" s="1"/>
  <c r="Q73" i="9"/>
  <c r="R73" i="9" s="1"/>
  <c r="F63" i="22"/>
  <c r="K36" i="15"/>
  <c r="L36" i="15" s="1"/>
  <c r="C246" i="24"/>
  <c r="I15" i="11"/>
  <c r="F118" i="12"/>
  <c r="N10" i="19"/>
  <c r="O10" i="19" s="1"/>
  <c r="S10" i="19" s="1"/>
  <c r="H62" i="22"/>
  <c r="D62" i="22"/>
  <c r="G102" i="20"/>
  <c r="C102" i="20"/>
  <c r="Q83" i="10"/>
  <c r="R83" i="10" s="1"/>
  <c r="Q51" i="11"/>
  <c r="N48" i="9"/>
  <c r="O48" i="9" s="1"/>
  <c r="O50" i="9" s="1"/>
  <c r="O109" i="9" s="1"/>
  <c r="H107" i="7"/>
  <c r="H124" i="7" s="1"/>
  <c r="H57" i="7"/>
  <c r="H118" i="7" s="1"/>
  <c r="P59" i="15"/>
  <c r="Q59" i="15" s="1"/>
  <c r="R59" i="15" s="1"/>
  <c r="R61" i="15" s="1"/>
  <c r="R156" i="15" s="1"/>
  <c r="F123" i="18"/>
  <c r="Q99" i="15"/>
  <c r="R99" i="15" s="1"/>
  <c r="P101" i="15"/>
  <c r="P160" i="15" s="1"/>
  <c r="N22" i="7"/>
  <c r="N112" i="7" s="1"/>
  <c r="M112" i="7"/>
  <c r="K38" i="1"/>
  <c r="K107" i="1" s="1"/>
  <c r="L36" i="1"/>
  <c r="L38" i="1" s="1"/>
  <c r="L107" i="1" s="1"/>
  <c r="S58" i="1"/>
  <c r="M28" i="11"/>
  <c r="M27" i="1"/>
  <c r="N27" i="1" s="1"/>
  <c r="O27" i="1" s="1"/>
  <c r="N59" i="16"/>
  <c r="O59" i="16" s="1"/>
  <c r="Q78" i="9"/>
  <c r="R78" i="9" s="1"/>
  <c r="N78" i="9"/>
  <c r="O78" i="9" s="1"/>
  <c r="S78" i="9" s="1"/>
  <c r="E118" i="9"/>
  <c r="I64" i="9"/>
  <c r="I111" i="9" s="1"/>
  <c r="K60" i="9"/>
  <c r="L60" i="9" s="1"/>
  <c r="Q60" i="9"/>
  <c r="R60" i="9" s="1"/>
  <c r="N60" i="9"/>
  <c r="C39" i="10"/>
  <c r="C108" i="10" s="1"/>
  <c r="C107" i="10"/>
  <c r="F118" i="10"/>
  <c r="Q80" i="1"/>
  <c r="R80" i="1" s="1"/>
  <c r="N80" i="1"/>
  <c r="O80" i="1" s="1"/>
  <c r="K80" i="1"/>
  <c r="L80" i="1" s="1"/>
  <c r="L103" i="10"/>
  <c r="O87" i="11"/>
  <c r="O112" i="11" s="1"/>
  <c r="S74" i="11"/>
  <c r="O38" i="12"/>
  <c r="O107" i="12" s="1"/>
  <c r="S36" i="12"/>
  <c r="S38" i="12" s="1"/>
  <c r="S107" i="12" s="1"/>
  <c r="D16" i="12"/>
  <c r="D104" i="12" s="1"/>
  <c r="I11" i="12"/>
  <c r="M11" i="12" s="1"/>
  <c r="N11" i="12" s="1"/>
  <c r="O11" i="12" s="1"/>
  <c r="E29" i="12"/>
  <c r="E106" i="12" s="1"/>
  <c r="I27" i="12"/>
  <c r="E89" i="12"/>
  <c r="E114" i="12" s="1"/>
  <c r="I72" i="12"/>
  <c r="I95" i="12"/>
  <c r="C99" i="12"/>
  <c r="C116" i="12" s="1"/>
  <c r="I74" i="12"/>
  <c r="M74" i="12" s="1"/>
  <c r="N74" i="12" s="1"/>
  <c r="O74" i="12" s="1"/>
  <c r="C89" i="12"/>
  <c r="C114" i="12" s="1"/>
  <c r="I79" i="12"/>
  <c r="M79" i="12" s="1"/>
  <c r="N79" i="12" s="1"/>
  <c r="O79" i="12" s="1"/>
  <c r="R22" i="7"/>
  <c r="R112" i="7" s="1"/>
  <c r="C20" i="21" s="1"/>
  <c r="K112" i="7"/>
  <c r="O66" i="19"/>
  <c r="S66" i="19" s="1"/>
  <c r="R32" i="16"/>
  <c r="R103" i="16" s="1"/>
  <c r="S26" i="16"/>
  <c r="K101" i="24"/>
  <c r="L101" i="24" s="1"/>
  <c r="S101" i="24" s="1"/>
  <c r="J105" i="24"/>
  <c r="J237" i="24" s="1"/>
  <c r="Q116" i="15"/>
  <c r="R116" i="15" s="1"/>
  <c r="K116" i="15"/>
  <c r="L116" i="15" s="1"/>
  <c r="I130" i="15"/>
  <c r="I162" i="15" s="1"/>
  <c r="N116" i="15"/>
  <c r="O116" i="15" s="1"/>
  <c r="I27" i="16"/>
  <c r="I31" i="16"/>
  <c r="J31" i="16" s="1"/>
  <c r="N31" i="16" s="1"/>
  <c r="O31" i="16" s="1"/>
  <c r="P31" i="16" s="1"/>
  <c r="G39" i="9"/>
  <c r="G108" i="9" s="1"/>
  <c r="G107" i="9"/>
  <c r="G118" i="9" s="1"/>
  <c r="D118" i="9"/>
  <c r="C118" i="10"/>
  <c r="Q15" i="1"/>
  <c r="I103" i="1"/>
  <c r="N15" i="1"/>
  <c r="R58" i="17"/>
  <c r="S24" i="18"/>
  <c r="Q24" i="9"/>
  <c r="N24" i="9"/>
  <c r="K24" i="9"/>
  <c r="L24" i="9" s="1"/>
  <c r="I28" i="9"/>
  <c r="I105" i="9" s="1"/>
  <c r="E118" i="10"/>
  <c r="I103" i="10"/>
  <c r="Q15" i="10"/>
  <c r="K56" i="1"/>
  <c r="L56" i="1" s="1"/>
  <c r="I64" i="1"/>
  <c r="I111" i="1" s="1"/>
  <c r="Q56" i="1"/>
  <c r="K94" i="12"/>
  <c r="L94" i="12" s="1"/>
  <c r="Q94" i="12"/>
  <c r="R94" i="12" s="1"/>
  <c r="N94" i="12"/>
  <c r="O94" i="12" s="1"/>
  <c r="K56" i="12"/>
  <c r="Q56" i="12"/>
  <c r="I64" i="12"/>
  <c r="I111" i="12" s="1"/>
  <c r="E43" i="16"/>
  <c r="E106" i="16" s="1"/>
  <c r="E105" i="16"/>
  <c r="O101" i="15"/>
  <c r="O160" i="15" s="1"/>
  <c r="Q58" i="18"/>
  <c r="Q114" i="18" s="1"/>
  <c r="C86" i="14"/>
  <c r="C111" i="14" s="1"/>
  <c r="D29" i="17"/>
  <c r="D111" i="17" s="1"/>
  <c r="C199" i="24"/>
  <c r="C242" i="24" s="1"/>
  <c r="C102" i="15"/>
  <c r="C161" i="15" s="1"/>
  <c r="C88" i="11"/>
  <c r="C113" i="11" s="1"/>
  <c r="C226" i="24"/>
  <c r="C244" i="24" s="1"/>
  <c r="I27" i="18"/>
  <c r="M27" i="18" s="1"/>
  <c r="N27" i="18" s="1"/>
  <c r="O27" i="18" s="1"/>
  <c r="C66" i="13"/>
  <c r="C113" i="13" s="1"/>
  <c r="C94" i="17"/>
  <c r="C119" i="17" s="1"/>
  <c r="I96" i="13"/>
  <c r="M96" i="13" s="1"/>
  <c r="N96" i="13" s="1"/>
  <c r="O96" i="13" s="1"/>
  <c r="L28" i="18"/>
  <c r="L110" i="18" s="1"/>
  <c r="L46" i="9"/>
  <c r="Q15" i="12"/>
  <c r="O42" i="18"/>
  <c r="K146" i="15"/>
  <c r="K164" i="15" s="1"/>
  <c r="H118" i="9"/>
  <c r="L56" i="9"/>
  <c r="I38" i="9"/>
  <c r="I107" i="9" s="1"/>
  <c r="Q36" i="9"/>
  <c r="N36" i="9"/>
  <c r="H118" i="10"/>
  <c r="D118" i="10"/>
  <c r="Q80" i="10"/>
  <c r="R80" i="10" s="1"/>
  <c r="K80" i="10"/>
  <c r="L80" i="10" s="1"/>
  <c r="C118" i="1"/>
  <c r="K71" i="1"/>
  <c r="L71" i="1" s="1"/>
  <c r="Q71" i="1"/>
  <c r="I88" i="1"/>
  <c r="I113" i="1" s="1"/>
  <c r="D116" i="7"/>
  <c r="D127" i="7" s="1"/>
  <c r="D46" i="7"/>
  <c r="D117" i="7" s="1"/>
  <c r="J72" i="15"/>
  <c r="K72" i="15"/>
  <c r="L72" i="15" s="1"/>
  <c r="Q72" i="15"/>
  <c r="R72" i="15" s="1"/>
  <c r="N72" i="15"/>
  <c r="O72" i="15" s="1"/>
  <c r="K53" i="15"/>
  <c r="L53" i="15" s="1"/>
  <c r="N53" i="15"/>
  <c r="E246" i="24"/>
  <c r="J159" i="24"/>
  <c r="J198" i="24" s="1"/>
  <c r="J241" i="24" s="1"/>
  <c r="M159" i="24"/>
  <c r="Q159" i="24"/>
  <c r="R159" i="24" s="1"/>
  <c r="Q186" i="24"/>
  <c r="R186" i="24" s="1"/>
  <c r="P159" i="24"/>
  <c r="K168" i="24"/>
  <c r="L168" i="24" s="1"/>
  <c r="K159" i="24"/>
  <c r="L159" i="24" s="1"/>
  <c r="I198" i="24"/>
  <c r="I241" i="24" s="1"/>
  <c r="K131" i="24"/>
  <c r="L131" i="24" s="1"/>
  <c r="S131" i="24" s="1"/>
  <c r="N159" i="24"/>
  <c r="O159" i="24" s="1"/>
  <c r="N168" i="24"/>
  <c r="O168" i="24" s="1"/>
  <c r="K42" i="24"/>
  <c r="L42" i="24" s="1"/>
  <c r="N42" i="24"/>
  <c r="O42" i="24" s="1"/>
  <c r="Q42" i="24"/>
  <c r="R42" i="24" s="1"/>
  <c r="I50" i="24"/>
  <c r="I233" i="24" s="1"/>
  <c r="S43" i="14"/>
  <c r="D51" i="12"/>
  <c r="D110" i="12" s="1"/>
  <c r="G89" i="12"/>
  <c r="G114" i="12" s="1"/>
  <c r="I38" i="13"/>
  <c r="I84" i="14"/>
  <c r="M84" i="14" s="1"/>
  <c r="N84" i="14" s="1"/>
  <c r="O84" i="14" s="1"/>
  <c r="I60" i="14"/>
  <c r="M60" i="14" s="1"/>
  <c r="N60" i="14" s="1"/>
  <c r="O60" i="14" s="1"/>
  <c r="J72" i="16"/>
  <c r="N72" i="16" s="1"/>
  <c r="O72" i="16" s="1"/>
  <c r="P72" i="16" s="1"/>
  <c r="I92" i="17"/>
  <c r="M92" i="17" s="1"/>
  <c r="N92" i="17" s="1"/>
  <c r="O92" i="17" s="1"/>
  <c r="I71" i="18"/>
  <c r="M71" i="18" s="1"/>
  <c r="N71" i="18" s="1"/>
  <c r="O71" i="18" s="1"/>
  <c r="I75" i="13"/>
  <c r="M75" i="13" s="1"/>
  <c r="N75" i="13" s="1"/>
  <c r="O75" i="13" s="1"/>
  <c r="I26" i="13"/>
  <c r="I76" i="14"/>
  <c r="M76" i="14" s="1"/>
  <c r="N76" i="14" s="1"/>
  <c r="O76" i="14" s="1"/>
  <c r="J85" i="16"/>
  <c r="N85" i="16" s="1"/>
  <c r="O85" i="16" s="1"/>
  <c r="P85" i="16" s="1"/>
  <c r="J61" i="16"/>
  <c r="N61" i="16" s="1"/>
  <c r="O61" i="16" s="1"/>
  <c r="P61" i="16" s="1"/>
  <c r="J27" i="16"/>
  <c r="N27" i="16" s="1"/>
  <c r="O27" i="16" s="1"/>
  <c r="P27" i="16" s="1"/>
  <c r="I84" i="17"/>
  <c r="M84" i="17" s="1"/>
  <c r="N84" i="17" s="1"/>
  <c r="O84" i="17" s="1"/>
  <c r="I102" i="18"/>
  <c r="I69" i="19"/>
  <c r="I14" i="19"/>
  <c r="I218" i="24"/>
  <c r="M218" i="24" s="1"/>
  <c r="N218" i="24" s="1"/>
  <c r="O218" i="24" s="1"/>
  <c r="I209" i="24"/>
  <c r="I143" i="15"/>
  <c r="M143" i="15" s="1"/>
  <c r="N143" i="15" s="1"/>
  <c r="O143" i="15" s="1"/>
  <c r="I57" i="18"/>
  <c r="M57" i="18" s="1"/>
  <c r="N57" i="18" s="1"/>
  <c r="O57" i="18" s="1"/>
  <c r="I71" i="19"/>
  <c r="M71" i="19" s="1"/>
  <c r="N71" i="19" s="1"/>
  <c r="O71" i="19" s="1"/>
  <c r="I43" i="19"/>
  <c r="M43" i="19" s="1"/>
  <c r="N43" i="19" s="1"/>
  <c r="O43" i="19" s="1"/>
  <c r="I123" i="15"/>
  <c r="M123" i="15" s="1"/>
  <c r="N123" i="15" s="1"/>
  <c r="O123" i="15" s="1"/>
  <c r="I115" i="15"/>
  <c r="H92" i="7"/>
  <c r="L92" i="7" s="1"/>
  <c r="M92" i="7" s="1"/>
  <c r="N92" i="7" s="1"/>
  <c r="I80" i="11"/>
  <c r="I79" i="1"/>
  <c r="M79" i="1" s="1"/>
  <c r="N79" i="1" s="1"/>
  <c r="O79" i="1" s="1"/>
  <c r="I79" i="10"/>
  <c r="M79" i="10" s="1"/>
  <c r="N79" i="10" s="1"/>
  <c r="O79" i="10" s="1"/>
  <c r="I79" i="9"/>
  <c r="M79" i="9" s="1"/>
  <c r="N79" i="9" s="1"/>
  <c r="O79" i="9" s="1"/>
  <c r="I139" i="24"/>
  <c r="M139" i="24" s="1"/>
  <c r="N139" i="24" s="1"/>
  <c r="O139" i="24" s="1"/>
  <c r="I121" i="24"/>
  <c r="M121" i="24" s="1"/>
  <c r="N121" i="24" s="1"/>
  <c r="O121" i="24" s="1"/>
  <c r="I88" i="15"/>
  <c r="M88" i="15" s="1"/>
  <c r="N88" i="15" s="1"/>
  <c r="O88" i="15" s="1"/>
  <c r="I96" i="15"/>
  <c r="M96" i="15" s="1"/>
  <c r="N96" i="15" s="1"/>
  <c r="O96" i="15" s="1"/>
  <c r="H68" i="7"/>
  <c r="I64" i="11"/>
  <c r="M64" i="11" s="1"/>
  <c r="N64" i="11" s="1"/>
  <c r="O64" i="11" s="1"/>
  <c r="I185" i="24"/>
  <c r="M185" i="24" s="1"/>
  <c r="N185" i="24" s="1"/>
  <c r="O185" i="24" s="1"/>
  <c r="I176" i="24"/>
  <c r="M176" i="24" s="1"/>
  <c r="N176" i="24" s="1"/>
  <c r="O176" i="24" s="1"/>
  <c r="I167" i="24"/>
  <c r="M167" i="24" s="1"/>
  <c r="N167" i="24" s="1"/>
  <c r="O167" i="24" s="1"/>
  <c r="I77" i="10"/>
  <c r="M77" i="10" s="1"/>
  <c r="N77" i="10" s="1"/>
  <c r="O77" i="10" s="1"/>
  <c r="I81" i="9"/>
  <c r="M81" i="9" s="1"/>
  <c r="N81" i="9" s="1"/>
  <c r="O81" i="9" s="1"/>
  <c r="I136" i="24"/>
  <c r="M136" i="24" s="1"/>
  <c r="N136" i="24" s="1"/>
  <c r="O136" i="24" s="1"/>
  <c r="I118" i="24"/>
  <c r="M118" i="24" s="1"/>
  <c r="N118" i="24" s="1"/>
  <c r="O118" i="24" s="1"/>
  <c r="I63" i="1"/>
  <c r="M63" i="1" s="1"/>
  <c r="N63" i="1" s="1"/>
  <c r="O63" i="1" s="1"/>
  <c r="I63" i="10"/>
  <c r="M63" i="10" s="1"/>
  <c r="N63" i="10" s="1"/>
  <c r="O63" i="10" s="1"/>
  <c r="I63" i="9"/>
  <c r="M63" i="9" s="1"/>
  <c r="N63" i="9" s="1"/>
  <c r="O63" i="9" s="1"/>
  <c r="I104" i="24"/>
  <c r="M104" i="24" s="1"/>
  <c r="N104" i="24" s="1"/>
  <c r="O104" i="24" s="1"/>
  <c r="I87" i="24"/>
  <c r="I93" i="24"/>
  <c r="M93" i="24" s="1"/>
  <c r="N93" i="24" s="1"/>
  <c r="O93" i="24" s="1"/>
  <c r="H56" i="7"/>
  <c r="I66" i="24"/>
  <c r="M66" i="24" s="1"/>
  <c r="N66" i="24" s="1"/>
  <c r="O66" i="24" s="1"/>
  <c r="I37" i="1"/>
  <c r="M37" i="1" s="1"/>
  <c r="N37" i="1" s="1"/>
  <c r="O37" i="1" s="1"/>
  <c r="I56" i="15"/>
  <c r="I37" i="10"/>
  <c r="M37" i="10" s="1"/>
  <c r="N37" i="10" s="1"/>
  <c r="O37" i="10" s="1"/>
  <c r="I42" i="15"/>
  <c r="M42" i="15" s="1"/>
  <c r="N42" i="15" s="1"/>
  <c r="O42" i="15" s="1"/>
  <c r="I25" i="1"/>
  <c r="M25" i="1" s="1"/>
  <c r="N25" i="1" s="1"/>
  <c r="O25" i="1" s="1"/>
  <c r="I23" i="15"/>
  <c r="M23" i="15" s="1"/>
  <c r="N23" i="15" s="1"/>
  <c r="O23" i="15" s="1"/>
  <c r="I14" i="11"/>
  <c r="M14" i="11" s="1"/>
  <c r="N14" i="11" s="1"/>
  <c r="O14" i="11" s="1"/>
  <c r="I14" i="10"/>
  <c r="M14" i="10" s="1"/>
  <c r="N14" i="10" s="1"/>
  <c r="O14" i="10" s="1"/>
  <c r="I25" i="10"/>
  <c r="G16" i="18"/>
  <c r="G109" i="18" s="1"/>
  <c r="D147" i="24"/>
  <c r="D240" i="24" s="1"/>
  <c r="S181" i="24"/>
  <c r="S188" i="24"/>
  <c r="D48" i="14"/>
  <c r="D107" i="14" s="1"/>
  <c r="D99" i="9"/>
  <c r="D116" i="9" s="1"/>
  <c r="D89" i="10"/>
  <c r="D114" i="10" s="1"/>
  <c r="E98" i="7"/>
  <c r="E123" i="7" s="1"/>
  <c r="F96" i="25"/>
  <c r="F85" i="25"/>
  <c r="F75" i="25"/>
  <c r="F64" i="25"/>
  <c r="F38" i="25"/>
  <c r="F40" i="25" s="1"/>
  <c r="F109" i="25" s="1"/>
  <c r="F11" i="25"/>
  <c r="F78" i="25"/>
  <c r="F48" i="25"/>
  <c r="F14" i="25"/>
  <c r="F80" i="25"/>
  <c r="F60" i="25"/>
  <c r="F50" i="25"/>
  <c r="F26" i="25"/>
  <c r="F58" i="25"/>
  <c r="F82" i="25"/>
  <c r="F73" i="25"/>
  <c r="F62" i="25"/>
  <c r="F28" i="25"/>
  <c r="F98" i="25"/>
  <c r="F88" i="25"/>
  <c r="C98" i="13"/>
  <c r="C98" i="25"/>
  <c r="C88" i="25"/>
  <c r="C78" i="25"/>
  <c r="C58" i="25"/>
  <c r="C48" i="25"/>
  <c r="C14" i="25"/>
  <c r="C82" i="25"/>
  <c r="C73" i="25"/>
  <c r="C62" i="25"/>
  <c r="C28" i="25"/>
  <c r="C50" i="25"/>
  <c r="C96" i="25"/>
  <c r="C85" i="25"/>
  <c r="C75" i="25"/>
  <c r="C64" i="25"/>
  <c r="C38" i="25"/>
  <c r="C11" i="25"/>
  <c r="C80" i="25"/>
  <c r="C60" i="25"/>
  <c r="C26" i="25"/>
  <c r="C107" i="9"/>
  <c r="C118" i="9" s="1"/>
  <c r="Q71" i="9"/>
  <c r="R71" i="9" s="1"/>
  <c r="S71" i="9" s="1"/>
  <c r="Q56" i="9"/>
  <c r="G107" i="10"/>
  <c r="G118" i="10" s="1"/>
  <c r="I64" i="10"/>
  <c r="I111" i="10" s="1"/>
  <c r="F118" i="1"/>
  <c r="J33" i="7"/>
  <c r="K33" i="7" s="1"/>
  <c r="K11" i="7"/>
  <c r="I41" i="7" s="1"/>
  <c r="J41" i="7" s="1"/>
  <c r="K41" i="7" s="1"/>
  <c r="G167" i="15"/>
  <c r="K44" i="24"/>
  <c r="L44" i="24" s="1"/>
  <c r="N44" i="24"/>
  <c r="O44" i="24" s="1"/>
  <c r="K59" i="11"/>
  <c r="N59" i="11"/>
  <c r="I67" i="11"/>
  <c r="I110" i="11" s="1"/>
  <c r="C42" i="11"/>
  <c r="C107" i="11" s="1"/>
  <c r="C106" i="11"/>
  <c r="C117" i="11" s="1"/>
  <c r="E117" i="11"/>
  <c r="H118" i="12"/>
  <c r="K72" i="18"/>
  <c r="K116" i="18" s="1"/>
  <c r="G99" i="12"/>
  <c r="G116" i="12" s="1"/>
  <c r="E147" i="24"/>
  <c r="E240" i="24" s="1"/>
  <c r="I82" i="13"/>
  <c r="M82" i="13" s="1"/>
  <c r="N82" i="13" s="1"/>
  <c r="O82" i="13" s="1"/>
  <c r="I60" i="13"/>
  <c r="I15" i="13"/>
  <c r="I74" i="14"/>
  <c r="M74" i="14" s="1"/>
  <c r="N74" i="14" s="1"/>
  <c r="O74" i="14" s="1"/>
  <c r="I46" i="14"/>
  <c r="M46" i="14" s="1"/>
  <c r="N46" i="14" s="1"/>
  <c r="O46" i="14" s="1"/>
  <c r="J82" i="16"/>
  <c r="N82" i="16" s="1"/>
  <c r="O82" i="16" s="1"/>
  <c r="P82" i="16" s="1"/>
  <c r="I86" i="18"/>
  <c r="I85" i="13"/>
  <c r="M85" i="13" s="1"/>
  <c r="N85" i="13" s="1"/>
  <c r="O85" i="13" s="1"/>
  <c r="I94" i="14"/>
  <c r="I58" i="14"/>
  <c r="M58" i="14" s="1"/>
  <c r="N58" i="14" s="1"/>
  <c r="O58" i="14" s="1"/>
  <c r="J75" i="16"/>
  <c r="I102" i="17"/>
  <c r="M102" i="17" s="1"/>
  <c r="N102" i="17" s="1"/>
  <c r="O102" i="17" s="1"/>
  <c r="I67" i="17"/>
  <c r="M67" i="17" s="1"/>
  <c r="N67" i="17" s="1"/>
  <c r="O67" i="17" s="1"/>
  <c r="I25" i="17"/>
  <c r="I84" i="18"/>
  <c r="M84" i="18" s="1"/>
  <c r="N84" i="18" s="1"/>
  <c r="O84" i="18" s="1"/>
  <c r="I86" i="19"/>
  <c r="I55" i="19"/>
  <c r="I222" i="24"/>
  <c r="M222" i="24" s="1"/>
  <c r="N222" i="24" s="1"/>
  <c r="O222" i="24" s="1"/>
  <c r="I213" i="24"/>
  <c r="M213" i="24" s="1"/>
  <c r="N213" i="24" s="1"/>
  <c r="O213" i="24" s="1"/>
  <c r="I97" i="9"/>
  <c r="M97" i="9" s="1"/>
  <c r="N97" i="9" s="1"/>
  <c r="O97" i="9" s="1"/>
  <c r="I43" i="18"/>
  <c r="I89" i="19"/>
  <c r="M89" i="19" s="1"/>
  <c r="N89" i="19" s="1"/>
  <c r="O89" i="19" s="1"/>
  <c r="I57" i="19"/>
  <c r="M57" i="19" s="1"/>
  <c r="N57" i="19" s="1"/>
  <c r="O57" i="19" s="1"/>
  <c r="I129" i="15"/>
  <c r="M129" i="15" s="1"/>
  <c r="N129" i="15" s="1"/>
  <c r="O129" i="15" s="1"/>
  <c r="I119" i="15"/>
  <c r="M119" i="15" s="1"/>
  <c r="N119" i="15" s="1"/>
  <c r="O119" i="15" s="1"/>
  <c r="H81" i="7"/>
  <c r="I86" i="11"/>
  <c r="M86" i="11" s="1"/>
  <c r="N86" i="11" s="1"/>
  <c r="O86" i="11" s="1"/>
  <c r="I87" i="1"/>
  <c r="M87" i="1" s="1"/>
  <c r="N87" i="1" s="1"/>
  <c r="O87" i="1" s="1"/>
  <c r="I87" i="10"/>
  <c r="M87" i="10" s="1"/>
  <c r="N87" i="10" s="1"/>
  <c r="O87" i="10" s="1"/>
  <c r="I87" i="9"/>
  <c r="M87" i="9" s="1"/>
  <c r="N87" i="9" s="1"/>
  <c r="O87" i="9" s="1"/>
  <c r="I130" i="24"/>
  <c r="M130" i="24" s="1"/>
  <c r="N130" i="24" s="1"/>
  <c r="O130" i="24" s="1"/>
  <c r="I92" i="15"/>
  <c r="M92" i="15" s="1"/>
  <c r="N92" i="15" s="1"/>
  <c r="O92" i="15" s="1"/>
  <c r="I189" i="24"/>
  <c r="M189" i="24" s="1"/>
  <c r="N189" i="24" s="1"/>
  <c r="O189" i="24" s="1"/>
  <c r="I180" i="24"/>
  <c r="M180" i="24" s="1"/>
  <c r="N180" i="24" s="1"/>
  <c r="O180" i="24" s="1"/>
  <c r="I171" i="24"/>
  <c r="M171" i="24" s="1"/>
  <c r="N171" i="24" s="1"/>
  <c r="O171" i="24" s="1"/>
  <c r="I162" i="24"/>
  <c r="M162" i="24" s="1"/>
  <c r="N162" i="24" s="1"/>
  <c r="O162" i="24" s="1"/>
  <c r="H84" i="7"/>
  <c r="I81" i="1"/>
  <c r="M81" i="1" s="1"/>
  <c r="N81" i="1" s="1"/>
  <c r="O81" i="1" s="1"/>
  <c r="I145" i="24"/>
  <c r="M145" i="24" s="1"/>
  <c r="N145" i="24" s="1"/>
  <c r="O145" i="24" s="1"/>
  <c r="I127" i="24"/>
  <c r="M127" i="24" s="1"/>
  <c r="N127" i="24" s="1"/>
  <c r="O127" i="24" s="1"/>
  <c r="I62" i="11"/>
  <c r="M62" i="11" s="1"/>
  <c r="N62" i="11" s="1"/>
  <c r="O62" i="11" s="1"/>
  <c r="I59" i="1"/>
  <c r="I59" i="10"/>
  <c r="I59" i="9"/>
  <c r="I96" i="24"/>
  <c r="M96" i="24" s="1"/>
  <c r="N96" i="24" s="1"/>
  <c r="O96" i="24" s="1"/>
  <c r="I102" i="24"/>
  <c r="M102" i="24" s="1"/>
  <c r="N102" i="24" s="1"/>
  <c r="O102" i="24" s="1"/>
  <c r="I49" i="1"/>
  <c r="M49" i="1" s="1"/>
  <c r="N49" i="1" s="1"/>
  <c r="O49" i="1" s="1"/>
  <c r="I53" i="20"/>
  <c r="I60" i="15"/>
  <c r="M60" i="15" s="1"/>
  <c r="N60" i="15" s="1"/>
  <c r="O60" i="15" s="1"/>
  <c r="I18" i="24"/>
  <c r="M18" i="24" s="1"/>
  <c r="N18" i="24" s="1"/>
  <c r="O18" i="24" s="1"/>
  <c r="H21" i="7"/>
  <c r="L21" i="7" s="1"/>
  <c r="M21" i="7" s="1"/>
  <c r="N21" i="7" s="1"/>
  <c r="I14" i="1"/>
  <c r="M14" i="1" s="1"/>
  <c r="N14" i="1" s="1"/>
  <c r="O14" i="1" s="1"/>
  <c r="I14" i="9"/>
  <c r="M14" i="9" s="1"/>
  <c r="N14" i="9" s="1"/>
  <c r="O14" i="9" s="1"/>
  <c r="E16" i="12"/>
  <c r="E104" i="12" s="1"/>
  <c r="G44" i="15"/>
  <c r="G155" i="15" s="1"/>
  <c r="H100" i="13"/>
  <c r="H117" i="13" s="1"/>
  <c r="D33" i="16"/>
  <c r="D104" i="16" s="1"/>
  <c r="D117" i="16" s="1"/>
  <c r="C98" i="7"/>
  <c r="C123" i="7" s="1"/>
  <c r="F89" i="10"/>
  <c r="F114" i="10" s="1"/>
  <c r="H16" i="18"/>
  <c r="H109" i="18" s="1"/>
  <c r="H11" i="9"/>
  <c r="H80" i="25"/>
  <c r="H60" i="25"/>
  <c r="H50" i="25"/>
  <c r="H26" i="25"/>
  <c r="H82" i="25"/>
  <c r="H73" i="25"/>
  <c r="H62" i="25"/>
  <c r="H96" i="25"/>
  <c r="H85" i="25"/>
  <c r="H75" i="25"/>
  <c r="H64" i="25"/>
  <c r="H38" i="25"/>
  <c r="H40" i="25" s="1"/>
  <c r="H109" i="25" s="1"/>
  <c r="H11" i="25"/>
  <c r="H98" i="25"/>
  <c r="H88" i="25"/>
  <c r="H78" i="25"/>
  <c r="H58" i="25"/>
  <c r="H48" i="25"/>
  <c r="H14" i="25"/>
  <c r="H28" i="25"/>
  <c r="H30" i="25" s="1"/>
  <c r="H107" i="25" s="1"/>
  <c r="E82" i="25"/>
  <c r="E73" i="25"/>
  <c r="E62" i="25"/>
  <c r="E28" i="25"/>
  <c r="E85" i="25"/>
  <c r="E75" i="25"/>
  <c r="E11" i="25"/>
  <c r="E98" i="25"/>
  <c r="E88" i="25"/>
  <c r="E78" i="25"/>
  <c r="E58" i="25"/>
  <c r="E48" i="25"/>
  <c r="E14" i="25"/>
  <c r="E80" i="25"/>
  <c r="E60" i="25"/>
  <c r="E50" i="25"/>
  <c r="E26" i="25"/>
  <c r="E96" i="25"/>
  <c r="E64" i="25"/>
  <c r="E38" i="25"/>
  <c r="E40" i="25" s="1"/>
  <c r="E109" i="25" s="1"/>
  <c r="K10" i="9"/>
  <c r="L10" i="9" s="1"/>
  <c r="G118" i="1"/>
  <c r="K24" i="1"/>
  <c r="L24" i="1" s="1"/>
  <c r="Q10" i="1"/>
  <c r="R10" i="1" s="1"/>
  <c r="K10" i="1"/>
  <c r="L10" i="1" s="1"/>
  <c r="H71" i="7"/>
  <c r="H120" i="7" s="1"/>
  <c r="C46" i="7"/>
  <c r="C117" i="7" s="1"/>
  <c r="C116" i="7"/>
  <c r="D167" i="15"/>
  <c r="F167" i="15"/>
  <c r="G246" i="24"/>
  <c r="H42" i="11"/>
  <c r="H107" i="11" s="1"/>
  <c r="H106" i="11"/>
  <c r="H117" i="11" s="1"/>
  <c r="I80" i="13"/>
  <c r="M80" i="13" s="1"/>
  <c r="N80" i="13" s="1"/>
  <c r="O80" i="13" s="1"/>
  <c r="I81" i="14"/>
  <c r="M81" i="14" s="1"/>
  <c r="N81" i="14" s="1"/>
  <c r="O81" i="14" s="1"/>
  <c r="J29" i="16"/>
  <c r="I89" i="17"/>
  <c r="M89" i="17" s="1"/>
  <c r="N89" i="17" s="1"/>
  <c r="O89" i="17" s="1"/>
  <c r="I57" i="17"/>
  <c r="M57" i="17" s="1"/>
  <c r="N57" i="17" s="1"/>
  <c r="O57" i="17" s="1"/>
  <c r="I14" i="18"/>
  <c r="I220" i="24"/>
  <c r="M220" i="24" s="1"/>
  <c r="N220" i="24" s="1"/>
  <c r="O220" i="24" s="1"/>
  <c r="I211" i="24"/>
  <c r="M211" i="24" s="1"/>
  <c r="N211" i="24" s="1"/>
  <c r="O211" i="24" s="1"/>
  <c r="I145" i="15"/>
  <c r="M145" i="15" s="1"/>
  <c r="N145" i="15" s="1"/>
  <c r="O145" i="15" s="1"/>
  <c r="H106" i="7"/>
  <c r="I97" i="1"/>
  <c r="I197" i="24"/>
  <c r="M197" i="24" s="1"/>
  <c r="N197" i="24" s="1"/>
  <c r="O197" i="24" s="1"/>
  <c r="I25" i="18"/>
  <c r="I84" i="19"/>
  <c r="M84" i="19" s="1"/>
  <c r="N84" i="19" s="1"/>
  <c r="O84" i="19" s="1"/>
  <c r="I97" i="10"/>
  <c r="I86" i="15"/>
  <c r="M86" i="15" s="1"/>
  <c r="I94" i="15"/>
  <c r="M94" i="15" s="1"/>
  <c r="H70" i="7"/>
  <c r="I66" i="11"/>
  <c r="M66" i="11" s="1"/>
  <c r="N66" i="11" s="1"/>
  <c r="O66" i="11" s="1"/>
  <c r="I187" i="24"/>
  <c r="M187" i="24" s="1"/>
  <c r="N187" i="24" s="1"/>
  <c r="O187" i="24" s="1"/>
  <c r="I178" i="24"/>
  <c r="M178" i="24" s="1"/>
  <c r="N178" i="24" s="1"/>
  <c r="O178" i="24" s="1"/>
  <c r="I169" i="24"/>
  <c r="M169" i="24" s="1"/>
  <c r="N169" i="24" s="1"/>
  <c r="O169" i="24" s="1"/>
  <c r="I160" i="24"/>
  <c r="M160" i="24" s="1"/>
  <c r="N160" i="24" s="1"/>
  <c r="O160" i="24" s="1"/>
  <c r="H88" i="7"/>
  <c r="I77" i="9"/>
  <c r="M77" i="9" s="1"/>
  <c r="N77" i="9" s="1"/>
  <c r="O77" i="9" s="1"/>
  <c r="I141" i="24"/>
  <c r="M141" i="24" s="1"/>
  <c r="N141" i="24" s="1"/>
  <c r="O141" i="24" s="1"/>
  <c r="I123" i="24"/>
  <c r="M123" i="24" s="1"/>
  <c r="N123" i="24" s="1"/>
  <c r="O123" i="24" s="1"/>
  <c r="I91" i="24"/>
  <c r="M91" i="24" s="1"/>
  <c r="N91" i="24" s="1"/>
  <c r="O91" i="24" s="1"/>
  <c r="I52" i="11"/>
  <c r="M52" i="11" s="1"/>
  <c r="N52" i="11" s="1"/>
  <c r="O52" i="11" s="1"/>
  <c r="I98" i="24"/>
  <c r="M98" i="24" s="1"/>
  <c r="N98" i="24" s="1"/>
  <c r="O98" i="24" s="1"/>
  <c r="I70" i="24"/>
  <c r="I58" i="15"/>
  <c r="M58" i="15" s="1"/>
  <c r="N58" i="15" s="1"/>
  <c r="O58" i="15" s="1"/>
  <c r="I64" i="24"/>
  <c r="I40" i="11"/>
  <c r="I38" i="24"/>
  <c r="M38" i="24" s="1"/>
  <c r="N38" i="24" s="1"/>
  <c r="O38" i="24" s="1"/>
  <c r="E104" i="18"/>
  <c r="E121" i="18" s="1"/>
  <c r="S19" i="15"/>
  <c r="D54" i="11"/>
  <c r="D109" i="11" s="1"/>
  <c r="F16" i="18"/>
  <c r="F109" i="18" s="1"/>
  <c r="F29" i="9"/>
  <c r="F106" i="9" s="1"/>
  <c r="H97" i="16"/>
  <c r="H114" i="16" s="1"/>
  <c r="G98" i="13"/>
  <c r="G98" i="25"/>
  <c r="G88" i="25"/>
  <c r="G78" i="25"/>
  <c r="G58" i="25"/>
  <c r="G48" i="25"/>
  <c r="G14" i="25"/>
  <c r="G60" i="25"/>
  <c r="G82" i="25"/>
  <c r="G73" i="25"/>
  <c r="G62" i="25"/>
  <c r="G28" i="25"/>
  <c r="G80" i="25"/>
  <c r="G50" i="25"/>
  <c r="G26" i="25"/>
  <c r="G96" i="25"/>
  <c r="G85" i="25"/>
  <c r="G75" i="25"/>
  <c r="G64" i="25"/>
  <c r="G38" i="25"/>
  <c r="G40" i="25" s="1"/>
  <c r="G109" i="25" s="1"/>
  <c r="G11" i="25"/>
  <c r="D80" i="25"/>
  <c r="D60" i="25"/>
  <c r="D50" i="25"/>
  <c r="D26" i="25"/>
  <c r="D82" i="25"/>
  <c r="D96" i="25"/>
  <c r="D85" i="25"/>
  <c r="D75" i="25"/>
  <c r="D64" i="25"/>
  <c r="D38" i="25"/>
  <c r="D40" i="25" s="1"/>
  <c r="D109" i="25" s="1"/>
  <c r="D11" i="25"/>
  <c r="D73" i="25"/>
  <c r="D98" i="25"/>
  <c r="D88" i="25"/>
  <c r="D78" i="25"/>
  <c r="D58" i="25"/>
  <c r="D48" i="25"/>
  <c r="D14" i="25"/>
  <c r="D62" i="25"/>
  <c r="D28" i="25"/>
  <c r="D30" i="25" s="1"/>
  <c r="D107" i="25" s="1"/>
  <c r="E118" i="1"/>
  <c r="H118" i="1"/>
  <c r="D118" i="1"/>
  <c r="H167" i="15"/>
  <c r="C167" i="15"/>
  <c r="J76" i="15"/>
  <c r="K76" i="15"/>
  <c r="L76" i="15" s="1"/>
  <c r="S76" i="15" s="1"/>
  <c r="M76" i="15"/>
  <c r="Q2" i="11"/>
  <c r="Q100" i="11" s="1"/>
  <c r="N100" i="11"/>
  <c r="K99" i="18"/>
  <c r="N99" i="18"/>
  <c r="Q99" i="18"/>
  <c r="K81" i="18"/>
  <c r="L81" i="18" s="1"/>
  <c r="N81" i="18"/>
  <c r="O81" i="18" s="1"/>
  <c r="L8" i="20"/>
  <c r="K52" i="20" s="1"/>
  <c r="Q12" i="7"/>
  <c r="P31" i="7" s="1"/>
  <c r="Q11" i="7"/>
  <c r="M97" i="15"/>
  <c r="Q85" i="15"/>
  <c r="R85" i="15" s="1"/>
  <c r="H246" i="24"/>
  <c r="M177" i="24"/>
  <c r="N46" i="24"/>
  <c r="O46" i="24" s="1"/>
  <c r="D106" i="11"/>
  <c r="D117" i="11" s="1"/>
  <c r="G118" i="12"/>
  <c r="C118" i="12"/>
  <c r="F115" i="14"/>
  <c r="C115" i="14"/>
  <c r="Q2" i="14"/>
  <c r="Q98" i="14" s="1"/>
  <c r="N98" i="14"/>
  <c r="F123" i="17"/>
  <c r="K85" i="18"/>
  <c r="L85" i="18" s="1"/>
  <c r="N85" i="18"/>
  <c r="O85" i="18" s="1"/>
  <c r="Q85" i="18"/>
  <c r="R85" i="18" s="1"/>
  <c r="H112" i="18"/>
  <c r="H123" i="18" s="1"/>
  <c r="H45" i="18"/>
  <c r="H113" i="18" s="1"/>
  <c r="D112" i="18"/>
  <c r="D123" i="18" s="1"/>
  <c r="D45" i="18"/>
  <c r="D113" i="18" s="1"/>
  <c r="E123" i="18"/>
  <c r="K85" i="19"/>
  <c r="L85" i="19" s="1"/>
  <c r="L93" i="19" s="1"/>
  <c r="L118" i="19" s="1"/>
  <c r="N85" i="19"/>
  <c r="O85" i="19" s="1"/>
  <c r="O93" i="19" s="1"/>
  <c r="H102" i="20"/>
  <c r="D102" i="20"/>
  <c r="E55" i="20"/>
  <c r="E92" i="20" s="1"/>
  <c r="E103" i="20" s="1"/>
  <c r="E91" i="20"/>
  <c r="E102" i="20" s="1"/>
  <c r="K125" i="15"/>
  <c r="L125" i="15" s="1"/>
  <c r="N125" i="15"/>
  <c r="O125" i="15" s="1"/>
  <c r="Q125" i="15"/>
  <c r="R125" i="15" s="1"/>
  <c r="M186" i="24"/>
  <c r="M92" i="24"/>
  <c r="M105" i="24" s="1"/>
  <c r="M237" i="24" s="1"/>
  <c r="G117" i="11"/>
  <c r="K78" i="12"/>
  <c r="L78" i="12" s="1"/>
  <c r="N78" i="12"/>
  <c r="O78" i="12" s="1"/>
  <c r="F119" i="13"/>
  <c r="K91" i="14"/>
  <c r="N91" i="14"/>
  <c r="O91" i="14" s="1"/>
  <c r="O95" i="14" s="1"/>
  <c r="O112" i="14" s="1"/>
  <c r="Q91" i="14"/>
  <c r="R91" i="14" s="1"/>
  <c r="R95" i="14" s="1"/>
  <c r="R112" i="14" s="1"/>
  <c r="K73" i="14"/>
  <c r="L73" i="14" s="1"/>
  <c r="N73" i="14"/>
  <c r="O73" i="14" s="1"/>
  <c r="Q73" i="14"/>
  <c r="R73" i="14" s="1"/>
  <c r="I85" i="14"/>
  <c r="I110" i="14" s="1"/>
  <c r="K55" i="14"/>
  <c r="N55" i="14"/>
  <c r="Q55" i="14"/>
  <c r="R55" i="14" s="1"/>
  <c r="K85" i="17"/>
  <c r="L85" i="17" s="1"/>
  <c r="L93" i="17" s="1"/>
  <c r="L118" i="17" s="1"/>
  <c r="N85" i="17"/>
  <c r="O85" i="17" s="1"/>
  <c r="K83" i="9"/>
  <c r="N83" i="9"/>
  <c r="O83" i="9" s="1"/>
  <c r="F246" i="24"/>
  <c r="E118" i="12"/>
  <c r="D119" i="13"/>
  <c r="C119" i="13"/>
  <c r="L58" i="16"/>
  <c r="M58" i="16" s="1"/>
  <c r="O58" i="16"/>
  <c r="P58" i="16" s="1"/>
  <c r="R58" i="16"/>
  <c r="L50" i="16"/>
  <c r="O50" i="16"/>
  <c r="P50" i="16" s="1"/>
  <c r="P52" i="16" s="1"/>
  <c r="P107" i="16" s="1"/>
  <c r="R50" i="16"/>
  <c r="J52" i="16"/>
  <c r="J107" i="16" s="1"/>
  <c r="H112" i="17"/>
  <c r="H45" i="17"/>
  <c r="H113" i="17" s="1"/>
  <c r="D112" i="17"/>
  <c r="D45" i="17"/>
  <c r="D113" i="17" s="1"/>
  <c r="Q2" i="17"/>
  <c r="Q106" i="17" s="1"/>
  <c r="N106" i="17"/>
  <c r="F123" i="19"/>
  <c r="E123" i="19"/>
  <c r="H45" i="19"/>
  <c r="H113" i="19" s="1"/>
  <c r="H112" i="19"/>
  <c r="H123" i="19" s="1"/>
  <c r="D45" i="19"/>
  <c r="D113" i="19" s="1"/>
  <c r="D112" i="19"/>
  <c r="D123" i="19" s="1"/>
  <c r="I62" i="22"/>
  <c r="E62" i="22"/>
  <c r="I63" i="22"/>
  <c r="E63" i="22"/>
  <c r="F62" i="22"/>
  <c r="J65" i="20"/>
  <c r="J67" i="20" s="1"/>
  <c r="J95" i="20" s="1"/>
  <c r="Q65" i="20"/>
  <c r="R65" i="20" s="1"/>
  <c r="R67" i="20" s="1"/>
  <c r="R95" i="20" s="1"/>
  <c r="K65" i="20"/>
  <c r="K86" i="10"/>
  <c r="L86" i="10" s="1"/>
  <c r="N86" i="10"/>
  <c r="O86" i="10" s="1"/>
  <c r="E115" i="14"/>
  <c r="G116" i="16"/>
  <c r="C116" i="16"/>
  <c r="E116" i="16"/>
  <c r="G123" i="17"/>
  <c r="C123" i="17"/>
  <c r="G123" i="19"/>
  <c r="C123" i="19"/>
  <c r="T6" i="13"/>
  <c r="H115" i="14"/>
  <c r="N59" i="14"/>
  <c r="O59" i="14" s="1"/>
  <c r="J96" i="16"/>
  <c r="J113" i="16" s="1"/>
  <c r="E123" i="17"/>
  <c r="H123" i="17"/>
  <c r="D123" i="17"/>
  <c r="Q81" i="17"/>
  <c r="R81" i="17" s="1"/>
  <c r="Q81" i="19"/>
  <c r="R81" i="19" s="1"/>
  <c r="S81" i="19" s="1"/>
  <c r="S16" i="20"/>
  <c r="N26" i="9"/>
  <c r="O26" i="9" s="1"/>
  <c r="Q68" i="14"/>
  <c r="R68" i="14" s="1"/>
  <c r="S68" i="14" s="1"/>
  <c r="H105" i="16"/>
  <c r="H116" i="16" s="1"/>
  <c r="D105" i="16"/>
  <c r="D116" i="16" s="1"/>
  <c r="J32" i="16"/>
  <c r="J103" i="16" s="1"/>
  <c r="N83" i="1"/>
  <c r="O83" i="1" s="1"/>
  <c r="T13" i="15"/>
  <c r="I98" i="12"/>
  <c r="I115" i="12" s="1"/>
  <c r="R71" i="16"/>
  <c r="S71" i="16" s="1"/>
  <c r="I93" i="17"/>
  <c r="I118" i="17" s="1"/>
  <c r="I15" i="17"/>
  <c r="I15" i="19"/>
  <c r="Q15" i="19" s="1"/>
  <c r="N48" i="10"/>
  <c r="S66" i="18"/>
  <c r="R48" i="9"/>
  <c r="N101" i="15"/>
  <c r="N160" i="15" s="1"/>
  <c r="S142" i="15"/>
  <c r="N146" i="15"/>
  <c r="N164" i="15" s="1"/>
  <c r="T10" i="15"/>
  <c r="R17" i="7"/>
  <c r="K39" i="15"/>
  <c r="L39" i="15" s="1"/>
  <c r="K97" i="15"/>
  <c r="L97" i="15" s="1"/>
  <c r="N86" i="15"/>
  <c r="O86" i="15" s="1"/>
  <c r="N94" i="15"/>
  <c r="O94" i="15" s="1"/>
  <c r="N51" i="11"/>
  <c r="N48" i="1"/>
  <c r="E99" i="10"/>
  <c r="E116" i="10" s="1"/>
  <c r="R94" i="16"/>
  <c r="M69" i="19"/>
  <c r="N69" i="19" s="1"/>
  <c r="O69" i="19" s="1"/>
  <c r="I73" i="19"/>
  <c r="I117" i="19" s="1"/>
  <c r="O95" i="11"/>
  <c r="O97" i="11" s="1"/>
  <c r="O114" i="11" s="1"/>
  <c r="N97" i="11"/>
  <c r="N114" i="11" s="1"/>
  <c r="I42" i="11"/>
  <c r="I107" i="11" s="1"/>
  <c r="M40" i="11"/>
  <c r="N40" i="11" s="1"/>
  <c r="O40" i="11" s="1"/>
  <c r="L51" i="11"/>
  <c r="L53" i="11" s="1"/>
  <c r="K53" i="11"/>
  <c r="K108" i="11" s="1"/>
  <c r="I28" i="18"/>
  <c r="I110" i="18" s="1"/>
  <c r="Q13" i="18"/>
  <c r="R13" i="18" s="1"/>
  <c r="E29" i="1"/>
  <c r="E106" i="1" s="1"/>
  <c r="G73" i="17"/>
  <c r="G117" i="17" s="1"/>
  <c r="D119" i="9"/>
  <c r="G108" i="7"/>
  <c r="G125" i="7" s="1"/>
  <c r="H98" i="11"/>
  <c r="H115" i="11" s="1"/>
  <c r="H99" i="1"/>
  <c r="H116" i="1" s="1"/>
  <c r="H99" i="10"/>
  <c r="H116" i="10" s="1"/>
  <c r="H99" i="9"/>
  <c r="H116" i="9" s="1"/>
  <c r="G98" i="7"/>
  <c r="G123" i="7" s="1"/>
  <c r="H89" i="10"/>
  <c r="H114" i="10" s="1"/>
  <c r="Q87" i="15"/>
  <c r="R87" i="15" s="1"/>
  <c r="O94" i="16"/>
  <c r="Q96" i="1"/>
  <c r="N45" i="22"/>
  <c r="M67" i="18"/>
  <c r="M14" i="18"/>
  <c r="N14" i="18" s="1"/>
  <c r="O14" i="18" s="1"/>
  <c r="M26" i="13"/>
  <c r="N26" i="13" s="1"/>
  <c r="O26" i="13" s="1"/>
  <c r="I30" i="13"/>
  <c r="I107" i="13" s="1"/>
  <c r="M70" i="24"/>
  <c r="N70" i="24" s="1"/>
  <c r="O70" i="24" s="1"/>
  <c r="P70" i="24"/>
  <c r="K26" i="1"/>
  <c r="Q26" i="1"/>
  <c r="E59" i="18"/>
  <c r="E115" i="18" s="1"/>
  <c r="E59" i="19"/>
  <c r="E115" i="19" s="1"/>
  <c r="G59" i="17"/>
  <c r="G115" i="17" s="1"/>
  <c r="F59" i="17"/>
  <c r="F115" i="17" s="1"/>
  <c r="R81" i="16"/>
  <c r="S81" i="16" s="1"/>
  <c r="K73" i="1"/>
  <c r="L73" i="1" s="1"/>
  <c r="S73" i="1" s="1"/>
  <c r="Q73" i="1"/>
  <c r="R73" i="1" s="1"/>
  <c r="E116" i="14"/>
  <c r="E124" i="19"/>
  <c r="M87" i="15"/>
  <c r="I93" i="18"/>
  <c r="I118" i="18" s="1"/>
  <c r="Q26" i="18"/>
  <c r="I15" i="18"/>
  <c r="N13" i="18"/>
  <c r="O13" i="18" s="1"/>
  <c r="S13" i="18" s="1"/>
  <c r="R117" i="24"/>
  <c r="S117" i="24" s="1"/>
  <c r="Q146" i="24"/>
  <c r="Q239" i="24" s="1"/>
  <c r="C48" i="20"/>
  <c r="K15" i="17"/>
  <c r="K108" i="17" s="1"/>
  <c r="S86" i="12"/>
  <c r="S144" i="24"/>
  <c r="K37" i="24"/>
  <c r="Q36" i="15"/>
  <c r="T8" i="15"/>
  <c r="K99" i="13"/>
  <c r="K116" i="13" s="1"/>
  <c r="L97" i="13"/>
  <c r="Q97" i="13"/>
  <c r="R97" i="13" s="1"/>
  <c r="N81" i="13"/>
  <c r="O81" i="13" s="1"/>
  <c r="S12" i="14"/>
  <c r="S100" i="14" s="1"/>
  <c r="S10" i="14"/>
  <c r="S93" i="14"/>
  <c r="S21" i="14"/>
  <c r="Q35" i="14"/>
  <c r="Q104" i="14" s="1"/>
  <c r="N95" i="14"/>
  <c r="N112" i="14" s="1"/>
  <c r="P101" i="16"/>
  <c r="S12" i="16"/>
  <c r="S101" i="16" s="1"/>
  <c r="T10" i="16"/>
  <c r="R12" i="16"/>
  <c r="R101" i="16" s="1"/>
  <c r="T92" i="16"/>
  <c r="T26" i="16"/>
  <c r="L62" i="16"/>
  <c r="L109" i="16" s="1"/>
  <c r="L28" i="16"/>
  <c r="S64" i="19"/>
  <c r="T5" i="19"/>
  <c r="S56" i="19"/>
  <c r="K44" i="19"/>
  <c r="K112" i="19" s="1"/>
  <c r="L103" i="19"/>
  <c r="S10" i="18"/>
  <c r="S101" i="18"/>
  <c r="S10" i="17"/>
  <c r="S60" i="12"/>
  <c r="K103" i="17"/>
  <c r="K120" i="17" s="1"/>
  <c r="L101" i="17"/>
  <c r="I66" i="13"/>
  <c r="I113" i="13" s="1"/>
  <c r="M60" i="13"/>
  <c r="M38" i="13"/>
  <c r="N38" i="13" s="1"/>
  <c r="O38" i="13" s="1"/>
  <c r="I40" i="13"/>
  <c r="I109" i="13" s="1"/>
  <c r="M59" i="1"/>
  <c r="D124" i="18"/>
  <c r="C247" i="24"/>
  <c r="S86" i="24"/>
  <c r="E33" i="16"/>
  <c r="E104" i="16" s="1"/>
  <c r="E30" i="11"/>
  <c r="E105" i="11" s="1"/>
  <c r="F108" i="7"/>
  <c r="F125" i="7" s="1"/>
  <c r="G98" i="11"/>
  <c r="G115" i="11" s="1"/>
  <c r="G99" i="1"/>
  <c r="G116" i="1" s="1"/>
  <c r="G51" i="9"/>
  <c r="G110" i="9" s="1"/>
  <c r="G20" i="24"/>
  <c r="G232" i="24" s="1"/>
  <c r="G25" i="15"/>
  <c r="G153" i="15" s="1"/>
  <c r="F23" i="7"/>
  <c r="F113" i="7" s="1"/>
  <c r="G16" i="11"/>
  <c r="G103" i="11" s="1"/>
  <c r="G16" i="1"/>
  <c r="G104" i="1" s="1"/>
  <c r="G16" i="10"/>
  <c r="G104" i="10" s="1"/>
  <c r="G16" i="9"/>
  <c r="G104" i="9" s="1"/>
  <c r="S217" i="24"/>
  <c r="D59" i="19"/>
  <c r="D115" i="19" s="1"/>
  <c r="D124" i="19" s="1"/>
  <c r="F44" i="15"/>
  <c r="F155" i="15" s="1"/>
  <c r="H33" i="16"/>
  <c r="H104" i="16" s="1"/>
  <c r="C100" i="13"/>
  <c r="C117" i="13" s="1"/>
  <c r="I105" i="24"/>
  <c r="I237" i="24" s="1"/>
  <c r="Q73" i="12"/>
  <c r="R73" i="12" s="1"/>
  <c r="I47" i="14"/>
  <c r="I106" i="14" s="1"/>
  <c r="O81" i="16"/>
  <c r="P81" i="16" s="1"/>
  <c r="T81" i="16" s="1"/>
  <c r="Q26" i="17"/>
  <c r="Q13" i="17"/>
  <c r="R13" i="17" s="1"/>
  <c r="N91" i="18"/>
  <c r="O91" i="18" s="1"/>
  <c r="N26" i="18"/>
  <c r="N41" i="15"/>
  <c r="O41" i="15" s="1"/>
  <c r="I34" i="14"/>
  <c r="M34" i="14" s="1"/>
  <c r="N34" i="14" s="1"/>
  <c r="O34" i="14" s="1"/>
  <c r="C36" i="14"/>
  <c r="C105" i="14" s="1"/>
  <c r="G124" i="19"/>
  <c r="I118" i="12"/>
  <c r="S70" i="18"/>
  <c r="I37" i="12"/>
  <c r="I59" i="12"/>
  <c r="M59" i="12" s="1"/>
  <c r="N59" i="12" s="1"/>
  <c r="O59" i="12" s="1"/>
  <c r="I63" i="12"/>
  <c r="H127" i="7"/>
  <c r="I118" i="1"/>
  <c r="D59" i="17"/>
  <c r="D115" i="17" s="1"/>
  <c r="H104" i="19"/>
  <c r="H121" i="19" s="1"/>
  <c r="Q96" i="12"/>
  <c r="I29" i="13"/>
  <c r="I106" i="13" s="1"/>
  <c r="Q91" i="19"/>
  <c r="R91" i="19" s="1"/>
  <c r="S91" i="19" s="1"/>
  <c r="Q96" i="9"/>
  <c r="N193" i="24"/>
  <c r="O193" i="24" s="1"/>
  <c r="T5" i="9"/>
  <c r="S94" i="1"/>
  <c r="L109" i="1"/>
  <c r="S24" i="1"/>
  <c r="K64" i="1"/>
  <c r="K111" i="1" s="1"/>
  <c r="T5" i="1"/>
  <c r="S78" i="1"/>
  <c r="S32" i="16"/>
  <c r="U5" i="16"/>
  <c r="R72" i="19"/>
  <c r="R116" i="19" s="1"/>
  <c r="R58" i="18"/>
  <c r="R114" i="18" s="1"/>
  <c r="T5" i="18"/>
  <c r="S66" i="17"/>
  <c r="S42" i="17"/>
  <c r="S44" i="17" s="1"/>
  <c r="S112" i="17" s="1"/>
  <c r="L44" i="17"/>
  <c r="L112" i="17" s="1"/>
  <c r="K24" i="17"/>
  <c r="Q95" i="13"/>
  <c r="G100" i="13"/>
  <c r="G117" i="13" s="1"/>
  <c r="G120" i="13" s="1"/>
  <c r="H119" i="13"/>
  <c r="Q87" i="13"/>
  <c r="R87" i="13" s="1"/>
  <c r="N87" i="13"/>
  <c r="O87" i="13" s="1"/>
  <c r="Q81" i="13"/>
  <c r="R81" i="13" s="1"/>
  <c r="D90" i="13"/>
  <c r="D115" i="13" s="1"/>
  <c r="I89" i="13"/>
  <c r="I114" i="13" s="1"/>
  <c r="L79" i="13"/>
  <c r="S79" i="13" s="1"/>
  <c r="L89" i="13"/>
  <c r="L114" i="13" s="1"/>
  <c r="N77" i="13"/>
  <c r="O77" i="13" s="1"/>
  <c r="G119" i="13"/>
  <c r="N63" i="13"/>
  <c r="O63" i="13" s="1"/>
  <c r="N59" i="13"/>
  <c r="Q59" i="13"/>
  <c r="R59" i="13" s="1"/>
  <c r="L57" i="13"/>
  <c r="L65" i="13" s="1"/>
  <c r="L112" i="13" s="1"/>
  <c r="K65" i="13"/>
  <c r="K112" i="13" s="1"/>
  <c r="I65" i="13"/>
  <c r="I112" i="13" s="1"/>
  <c r="E119" i="13"/>
  <c r="Q49" i="13"/>
  <c r="I51" i="13"/>
  <c r="I110" i="13" s="1"/>
  <c r="I39" i="13"/>
  <c r="I108" i="13" s="1"/>
  <c r="K39" i="13"/>
  <c r="K108" i="13" s="1"/>
  <c r="N37" i="13"/>
  <c r="Q27" i="13"/>
  <c r="N27" i="13"/>
  <c r="K25" i="13"/>
  <c r="Q14" i="13"/>
  <c r="R14" i="13" s="1"/>
  <c r="I16" i="13"/>
  <c r="N14" i="13"/>
  <c r="O14" i="13" s="1"/>
  <c r="L11" i="13"/>
  <c r="L16" i="13" s="1"/>
  <c r="K16" i="13"/>
  <c r="K104" i="13" s="1"/>
  <c r="I14" i="12"/>
  <c r="Q10" i="12"/>
  <c r="R10" i="12" s="1"/>
  <c r="N10" i="12"/>
  <c r="O10" i="12" s="1"/>
  <c r="L10" i="12"/>
  <c r="K15" i="12"/>
  <c r="K103" i="12" s="1"/>
  <c r="R114" i="17"/>
  <c r="T5" i="17"/>
  <c r="R35" i="14"/>
  <c r="R104" i="14" s="1"/>
  <c r="T5" i="14"/>
  <c r="L25" i="13"/>
  <c r="K29" i="13"/>
  <c r="K106" i="13" s="1"/>
  <c r="I25" i="14"/>
  <c r="I102" i="14" s="1"/>
  <c r="D115" i="14"/>
  <c r="Q23" i="14"/>
  <c r="G26" i="14"/>
  <c r="G103" i="14" s="1"/>
  <c r="G115" i="14"/>
  <c r="M37" i="12"/>
  <c r="N37" i="12" s="1"/>
  <c r="O37" i="12" s="1"/>
  <c r="I39" i="12"/>
  <c r="I108" i="12" s="1"/>
  <c r="H16" i="9"/>
  <c r="H104" i="9" s="1"/>
  <c r="I11" i="9"/>
  <c r="K98" i="10"/>
  <c r="K115" i="10" s="1"/>
  <c r="G117" i="16"/>
  <c r="I55" i="20"/>
  <c r="I92" i="20" s="1"/>
  <c r="M53" i="20"/>
  <c r="I103" i="9"/>
  <c r="Q15" i="9"/>
  <c r="N15" i="9"/>
  <c r="R58" i="10"/>
  <c r="S58" i="10" s="1"/>
  <c r="Q64" i="10"/>
  <c r="Q111" i="10" s="1"/>
  <c r="T69" i="16"/>
  <c r="J111" i="24"/>
  <c r="I146" i="24"/>
  <c r="I239" i="24" s="1"/>
  <c r="G116" i="14"/>
  <c r="C119" i="9"/>
  <c r="C119" i="10"/>
  <c r="C119" i="1"/>
  <c r="C118" i="11"/>
  <c r="B128" i="7"/>
  <c r="C168" i="15"/>
  <c r="C117" i="16"/>
  <c r="C120" i="13"/>
  <c r="H117" i="16"/>
  <c r="D124" i="17"/>
  <c r="G118" i="11"/>
  <c r="G119" i="10"/>
  <c r="F128" i="7"/>
  <c r="E120" i="13"/>
  <c r="S70" i="19"/>
  <c r="R146" i="15"/>
  <c r="R164" i="15" s="1"/>
  <c r="T78" i="16"/>
  <c r="I115" i="14"/>
  <c r="S61" i="13"/>
  <c r="I98" i="13"/>
  <c r="S166" i="24"/>
  <c r="S55" i="15"/>
  <c r="D44" i="15"/>
  <c r="D155" i="15" s="1"/>
  <c r="D168" i="15" s="1"/>
  <c r="H29" i="18"/>
  <c r="H111" i="18" s="1"/>
  <c r="I88" i="9"/>
  <c r="I113" i="9" s="1"/>
  <c r="Q10" i="9"/>
  <c r="R10" i="9" s="1"/>
  <c r="N10" i="9"/>
  <c r="O10" i="9" s="1"/>
  <c r="Q94" i="10"/>
  <c r="I88" i="10"/>
  <c r="I113" i="10" s="1"/>
  <c r="I118" i="10" s="1"/>
  <c r="R71" i="1"/>
  <c r="N71" i="1"/>
  <c r="O71" i="1" s="1"/>
  <c r="N56" i="1"/>
  <c r="G127" i="7"/>
  <c r="C127" i="7"/>
  <c r="F127" i="7"/>
  <c r="B127" i="7"/>
  <c r="Q120" i="15"/>
  <c r="R120" i="15" s="1"/>
  <c r="S120" i="15" s="1"/>
  <c r="E167" i="15"/>
  <c r="E124" i="18"/>
  <c r="R64" i="10"/>
  <c r="R111" i="10" s="1"/>
  <c r="C124" i="18"/>
  <c r="C124" i="17"/>
  <c r="G119" i="1"/>
  <c r="G124" i="18"/>
  <c r="S56" i="18"/>
  <c r="T74" i="16"/>
  <c r="J116" i="16"/>
  <c r="S57" i="14"/>
  <c r="S75" i="14"/>
  <c r="I49" i="12"/>
  <c r="M49" i="12" s="1"/>
  <c r="N49" i="12" s="1"/>
  <c r="O49" i="12" s="1"/>
  <c r="S186" i="24"/>
  <c r="E73" i="17"/>
  <c r="E117" i="17" s="1"/>
  <c r="E59" i="17"/>
  <c r="E115" i="17" s="1"/>
  <c r="D108" i="7"/>
  <c r="D125" i="7" s="1"/>
  <c r="E98" i="11"/>
  <c r="E115" i="11" s="1"/>
  <c r="E99" i="1"/>
  <c r="E116" i="1" s="1"/>
  <c r="E29" i="10"/>
  <c r="E106" i="10" s="1"/>
  <c r="E29" i="9"/>
  <c r="E106" i="9" s="1"/>
  <c r="S76" i="12"/>
  <c r="S10" i="10"/>
  <c r="D66" i="13"/>
  <c r="D113" i="13" s="1"/>
  <c r="D120" i="13" s="1"/>
  <c r="C108" i="7"/>
  <c r="C125" i="7" s="1"/>
  <c r="C128" i="7" s="1"/>
  <c r="D98" i="11"/>
  <c r="D115" i="11" s="1"/>
  <c r="D118" i="11" s="1"/>
  <c r="D99" i="1"/>
  <c r="D116" i="1" s="1"/>
  <c r="D99" i="10"/>
  <c r="D116" i="10" s="1"/>
  <c r="F66" i="13"/>
  <c r="F113" i="13" s="1"/>
  <c r="F33" i="16"/>
  <c r="F104" i="16" s="1"/>
  <c r="F59" i="18"/>
  <c r="F115" i="18" s="1"/>
  <c r="F59" i="19"/>
  <c r="F115" i="19" s="1"/>
  <c r="E108" i="7"/>
  <c r="E125" i="7" s="1"/>
  <c r="F98" i="11"/>
  <c r="F115" i="11" s="1"/>
  <c r="F99" i="1"/>
  <c r="F116" i="1" s="1"/>
  <c r="F99" i="10"/>
  <c r="F116" i="10" s="1"/>
  <c r="F99" i="9"/>
  <c r="F116" i="9" s="1"/>
  <c r="H66" i="13"/>
  <c r="H113" i="13" s="1"/>
  <c r="H59" i="17"/>
  <c r="H115" i="17" s="1"/>
  <c r="H16" i="17"/>
  <c r="H109" i="17" s="1"/>
  <c r="H73" i="18"/>
  <c r="H117" i="18" s="1"/>
  <c r="H51" i="9"/>
  <c r="H110" i="9" s="1"/>
  <c r="H62" i="15"/>
  <c r="H157" i="15" s="1"/>
  <c r="H30" i="11"/>
  <c r="H105" i="11" s="1"/>
  <c r="G36" i="7"/>
  <c r="G115" i="7" s="1"/>
  <c r="H29" i="1"/>
  <c r="H106" i="1" s="1"/>
  <c r="H27" i="9"/>
  <c r="H25" i="9"/>
  <c r="I25" i="9" s="1"/>
  <c r="M25" i="9" s="1"/>
  <c r="N25" i="9" s="1"/>
  <c r="O25" i="9" s="1"/>
  <c r="H15" i="24"/>
  <c r="H20" i="15"/>
  <c r="G18" i="7"/>
  <c r="H11" i="11"/>
  <c r="H11" i="1"/>
  <c r="H11" i="10"/>
  <c r="E127" i="7"/>
  <c r="P33" i="7"/>
  <c r="Q33" i="7" s="1"/>
  <c r="I19" i="24"/>
  <c r="I231" i="24" s="1"/>
  <c r="I246" i="24" s="1"/>
  <c r="I41" i="11"/>
  <c r="I106" i="11" s="1"/>
  <c r="N96" i="12"/>
  <c r="N83" i="12"/>
  <c r="Q78" i="12"/>
  <c r="R78" i="12" s="1"/>
  <c r="N73" i="12"/>
  <c r="O73" i="12" s="1"/>
  <c r="N56" i="12"/>
  <c r="Q46" i="12"/>
  <c r="Q24" i="12"/>
  <c r="N95" i="13"/>
  <c r="Q77" i="13"/>
  <c r="R77" i="13" s="1"/>
  <c r="S77" i="13" s="1"/>
  <c r="Q72" i="13"/>
  <c r="R72" i="13" s="1"/>
  <c r="N72" i="13"/>
  <c r="Q63" i="13"/>
  <c r="N49" i="13"/>
  <c r="Q37" i="13"/>
  <c r="N83" i="14"/>
  <c r="O83" i="14" s="1"/>
  <c r="Q77" i="14"/>
  <c r="R77" i="14" s="1"/>
  <c r="Q59" i="14"/>
  <c r="N45" i="14"/>
  <c r="Q68" i="17"/>
  <c r="Q67" i="20"/>
  <c r="Q95" i="20" s="1"/>
  <c r="I54" i="20"/>
  <c r="I91" i="20" s="1"/>
  <c r="I102" i="20" s="1"/>
  <c r="N96" i="1"/>
  <c r="N96" i="9"/>
  <c r="N114" i="15"/>
  <c r="Q83" i="1"/>
  <c r="R83" i="1" s="1"/>
  <c r="Q73" i="10"/>
  <c r="R73" i="10" s="1"/>
  <c r="Q86" i="10"/>
  <c r="R86" i="10" s="1"/>
  <c r="N83" i="10"/>
  <c r="T79" i="24"/>
  <c r="N22" i="15"/>
  <c r="O22" i="15" s="1"/>
  <c r="M33" i="7"/>
  <c r="N33" i="7" s="1"/>
  <c r="N14" i="24"/>
  <c r="Q14" i="24"/>
  <c r="K17" i="24"/>
  <c r="L17" i="24" s="1"/>
  <c r="Q17" i="24"/>
  <c r="R17" i="24" s="1"/>
  <c r="N17" i="24"/>
  <c r="O17" i="24" s="1"/>
  <c r="M110" i="7"/>
  <c r="P112" i="15"/>
  <c r="Q112" i="15" s="1"/>
  <c r="Q97" i="15"/>
  <c r="M72" i="15"/>
  <c r="I61" i="15"/>
  <c r="I156" i="15" s="1"/>
  <c r="I43" i="15"/>
  <c r="I154" i="15" s="1"/>
  <c r="L11" i="15"/>
  <c r="J49" i="15" s="1"/>
  <c r="K49" i="15" s="1"/>
  <c r="L49" i="15" s="1"/>
  <c r="Q204" i="24"/>
  <c r="N204" i="24"/>
  <c r="P186" i="24"/>
  <c r="P198" i="24" s="1"/>
  <c r="P241" i="24" s="1"/>
  <c r="D146" i="24"/>
  <c r="D239" i="24" s="1"/>
  <c r="D246" i="24" s="1"/>
  <c r="P103" i="24"/>
  <c r="P105" i="24" s="1"/>
  <c r="P237" i="24" s="1"/>
  <c r="Q92" i="24"/>
  <c r="Q46" i="24"/>
  <c r="R46" i="24" s="1"/>
  <c r="S46" i="24" s="1"/>
  <c r="Q44" i="24"/>
  <c r="R44" i="24" s="1"/>
  <c r="Q37" i="24"/>
  <c r="N24" i="12"/>
  <c r="N28" i="12" s="1"/>
  <c r="N105" i="12" s="1"/>
  <c r="N23" i="14"/>
  <c r="R76" i="16"/>
  <c r="S76" i="16" s="1"/>
  <c r="T76" i="16" s="1"/>
  <c r="O71" i="16"/>
  <c r="P71" i="16" s="1"/>
  <c r="T71" i="16" s="1"/>
  <c r="Q99" i="17"/>
  <c r="N99" i="17"/>
  <c r="N91" i="17"/>
  <c r="O91" i="17" s="1"/>
  <c r="Q85" i="17"/>
  <c r="R85" i="17" s="1"/>
  <c r="N26" i="17"/>
  <c r="N13" i="17"/>
  <c r="O13" i="17" s="1"/>
  <c r="S13" i="17" s="1"/>
  <c r="Q91" i="18"/>
  <c r="R91" i="18" s="1"/>
  <c r="S91" i="18" s="1"/>
  <c r="Q81" i="18"/>
  <c r="R81" i="18" s="1"/>
  <c r="Q99" i="19"/>
  <c r="N99" i="19"/>
  <c r="I93" i="19"/>
  <c r="I118" i="19" s="1"/>
  <c r="Q85" i="19"/>
  <c r="R85" i="19" s="1"/>
  <c r="Q52" i="19"/>
  <c r="I44" i="19"/>
  <c r="I112" i="19" s="1"/>
  <c r="Q42" i="19"/>
  <c r="I28" i="19"/>
  <c r="I110" i="19" s="1"/>
  <c r="Q41" i="15"/>
  <c r="R41" i="15" s="1"/>
  <c r="N27" i="11"/>
  <c r="N26" i="10"/>
  <c r="O26" i="10" s="1"/>
  <c r="S58" i="12"/>
  <c r="S62" i="12"/>
  <c r="O24" i="12"/>
  <c r="O28" i="12" s="1"/>
  <c r="O105" i="12" s="1"/>
  <c r="S80" i="12"/>
  <c r="S71" i="12"/>
  <c r="S48" i="24"/>
  <c r="S103" i="24"/>
  <c r="S208" i="24"/>
  <c r="L8" i="24"/>
  <c r="P56" i="24" s="1"/>
  <c r="Q56" i="24" s="1"/>
  <c r="R56" i="24" s="1"/>
  <c r="R67" i="11"/>
  <c r="R110" i="11" s="1"/>
  <c r="S10" i="11"/>
  <c r="R114" i="11"/>
  <c r="M14" i="12"/>
  <c r="N14" i="12" s="1"/>
  <c r="O14" i="12" s="1"/>
  <c r="I16" i="12"/>
  <c r="I104" i="12" s="1"/>
  <c r="M63" i="12"/>
  <c r="N63" i="12" s="1"/>
  <c r="O63" i="12" s="1"/>
  <c r="I65" i="12"/>
  <c r="I112" i="12" s="1"/>
  <c r="M86" i="18"/>
  <c r="M71" i="14"/>
  <c r="M22" i="14"/>
  <c r="I26" i="14"/>
  <c r="I103" i="14" s="1"/>
  <c r="N29" i="16"/>
  <c r="O29" i="16" s="1"/>
  <c r="P29" i="16" s="1"/>
  <c r="J33" i="16"/>
  <c r="J104" i="16" s="1"/>
  <c r="I45" i="17"/>
  <c r="I113" i="17" s="1"/>
  <c r="M43" i="17"/>
  <c r="N43" i="17" s="1"/>
  <c r="O43" i="17" s="1"/>
  <c r="I94" i="19"/>
  <c r="I119" i="19" s="1"/>
  <c r="M86" i="19"/>
  <c r="M140" i="15"/>
  <c r="N140" i="15" s="1"/>
  <c r="O140" i="15" s="1"/>
  <c r="M43" i="18"/>
  <c r="N43" i="18" s="1"/>
  <c r="O43" i="18" s="1"/>
  <c r="I45" i="18"/>
  <c r="I113" i="18" s="1"/>
  <c r="H124" i="17"/>
  <c r="D247" i="24"/>
  <c r="D119" i="1"/>
  <c r="G168" i="15"/>
  <c r="G124" i="17"/>
  <c r="E168" i="15"/>
  <c r="E118" i="11"/>
  <c r="E119" i="9"/>
  <c r="E117" i="16"/>
  <c r="C124" i="19"/>
  <c r="C116" i="14"/>
  <c r="E119" i="12"/>
  <c r="S85" i="11"/>
  <c r="R87" i="11"/>
  <c r="R112" i="11" s="1"/>
  <c r="M15" i="13"/>
  <c r="M56" i="14"/>
  <c r="N56" i="14" s="1"/>
  <c r="O56" i="14" s="1"/>
  <c r="I62" i="14"/>
  <c r="I109" i="14" s="1"/>
  <c r="M86" i="17"/>
  <c r="N86" i="17" s="1"/>
  <c r="M94" i="14"/>
  <c r="N75" i="16"/>
  <c r="O75" i="16" s="1"/>
  <c r="P75" i="16" s="1"/>
  <c r="M25" i="17"/>
  <c r="M96" i="11"/>
  <c r="M25" i="18"/>
  <c r="I29" i="18"/>
  <c r="I111" i="18" s="1"/>
  <c r="I29" i="19"/>
  <c r="I111" i="19" s="1"/>
  <c r="M25" i="19"/>
  <c r="M115" i="15"/>
  <c r="N115" i="15" s="1"/>
  <c r="O115" i="15" s="1"/>
  <c r="C119" i="12"/>
  <c r="H124" i="19"/>
  <c r="H124" i="18"/>
  <c r="H116" i="14"/>
  <c r="H120" i="13"/>
  <c r="D119" i="10"/>
  <c r="D116" i="14"/>
  <c r="G247" i="24"/>
  <c r="D128" i="7"/>
  <c r="E247" i="24"/>
  <c r="E119" i="10"/>
  <c r="E119" i="1"/>
  <c r="D119" i="12"/>
  <c r="H119" i="12"/>
  <c r="G119" i="12"/>
  <c r="L96" i="12"/>
  <c r="L98" i="12" s="1"/>
  <c r="K98" i="12"/>
  <c r="K115" i="12" s="1"/>
  <c r="L83" i="12"/>
  <c r="L48" i="12"/>
  <c r="L50" i="12" s="1"/>
  <c r="L109" i="12" s="1"/>
  <c r="K50" i="12"/>
  <c r="K109" i="12" s="1"/>
  <c r="L26" i="12"/>
  <c r="K28" i="12"/>
  <c r="K105" i="12" s="1"/>
  <c r="L45" i="14"/>
  <c r="K47" i="14"/>
  <c r="K106" i="14" s="1"/>
  <c r="L96" i="1"/>
  <c r="L98" i="1" s="1"/>
  <c r="L115" i="1" s="1"/>
  <c r="K98" i="1"/>
  <c r="K115" i="1" s="1"/>
  <c r="L96" i="9"/>
  <c r="L98" i="9" s="1"/>
  <c r="K98" i="9"/>
  <c r="K115" i="9" s="1"/>
  <c r="L26" i="9"/>
  <c r="L28" i="9" s="1"/>
  <c r="L105" i="9" s="1"/>
  <c r="K28" i="9"/>
  <c r="K105" i="9" s="1"/>
  <c r="S196" i="24"/>
  <c r="S70" i="14"/>
  <c r="S74" i="13"/>
  <c r="R84" i="13"/>
  <c r="S90" i="24"/>
  <c r="S179" i="24"/>
  <c r="S190" i="24"/>
  <c r="L49" i="13"/>
  <c r="K51" i="13"/>
  <c r="K110" i="13" s="1"/>
  <c r="L23" i="14"/>
  <c r="K25" i="14"/>
  <c r="K102" i="14" s="1"/>
  <c r="M94" i="16"/>
  <c r="L96" i="16"/>
  <c r="L113" i="16" s="1"/>
  <c r="O96" i="10"/>
  <c r="S96" i="10" s="1"/>
  <c r="N98" i="10"/>
  <c r="N115" i="10" s="1"/>
  <c r="L77" i="11"/>
  <c r="L87" i="11" s="1"/>
  <c r="L112" i="11" s="1"/>
  <c r="K87" i="11"/>
  <c r="K112" i="11" s="1"/>
  <c r="L26" i="10"/>
  <c r="K28" i="10"/>
  <c r="K105" i="10" s="1"/>
  <c r="L22" i="15"/>
  <c r="K24" i="15"/>
  <c r="K152" i="15" s="1"/>
  <c r="S13" i="19"/>
  <c r="S88" i="19"/>
  <c r="S88" i="18"/>
  <c r="S88" i="17"/>
  <c r="S122" i="15"/>
  <c r="S76" i="10"/>
  <c r="S13" i="1"/>
  <c r="Q83" i="14"/>
  <c r="R83" i="14" s="1"/>
  <c r="Q45" i="14"/>
  <c r="I59" i="18"/>
  <c r="I115" i="18" s="1"/>
  <c r="O146" i="15"/>
  <c r="O164" i="15" s="1"/>
  <c r="I51" i="1"/>
  <c r="I110" i="1" s="1"/>
  <c r="Q48" i="10"/>
  <c r="S135" i="24"/>
  <c r="S13" i="9"/>
  <c r="Q83" i="12"/>
  <c r="I51" i="12"/>
  <c r="I110" i="12" s="1"/>
  <c r="I36" i="14"/>
  <c r="I105" i="14" s="1"/>
  <c r="J43" i="16"/>
  <c r="J106" i="16" s="1"/>
  <c r="Q91" i="17"/>
  <c r="R91" i="17" s="1"/>
  <c r="Q193" i="24"/>
  <c r="R193" i="24" s="1"/>
  <c r="Q83" i="9"/>
  <c r="R83" i="9" s="1"/>
  <c r="I39" i="1"/>
  <c r="I108" i="1" s="1"/>
  <c r="I39" i="10"/>
  <c r="I108" i="10" s="1"/>
  <c r="P85" i="7"/>
  <c r="Q85" i="7" s="1"/>
  <c r="R85" i="7" s="1"/>
  <c r="L51" i="7"/>
  <c r="M51" i="7" s="1"/>
  <c r="N51" i="7" s="1"/>
  <c r="N31" i="7"/>
  <c r="K12" i="7"/>
  <c r="J31" i="7" s="1"/>
  <c r="S10" i="7"/>
  <c r="R91" i="7"/>
  <c r="R95" i="7"/>
  <c r="O105" i="1"/>
  <c r="S71" i="1"/>
  <c r="L64" i="1"/>
  <c r="L15" i="1"/>
  <c r="S10" i="1"/>
  <c r="K15" i="1"/>
  <c r="K103" i="1" s="1"/>
  <c r="S46" i="10"/>
  <c r="S36" i="10"/>
  <c r="S38" i="10" s="1"/>
  <c r="S107" i="10" s="1"/>
  <c r="H10" i="21" s="1"/>
  <c r="R38" i="10"/>
  <c r="R107" i="10" s="1"/>
  <c r="Q28" i="10"/>
  <c r="Q105" i="10" s="1"/>
  <c r="R24" i="10"/>
  <c r="T5" i="10"/>
  <c r="S60" i="10"/>
  <c r="Q38" i="10"/>
  <c r="Q107" i="10" s="1"/>
  <c r="S78" i="10"/>
  <c r="O28" i="10"/>
  <c r="S71" i="10"/>
  <c r="S10" i="9"/>
  <c r="L15" i="9"/>
  <c r="K15" i="9"/>
  <c r="K103" i="9" s="1"/>
  <c r="P153" i="24"/>
  <c r="Q153" i="24" s="1"/>
  <c r="R153" i="24" s="1"/>
  <c r="M47" i="11"/>
  <c r="N47" i="11" s="1"/>
  <c r="O47" i="11" s="1"/>
  <c r="P44" i="9"/>
  <c r="Q44" i="9" s="1"/>
  <c r="R44" i="9" s="1"/>
  <c r="L41" i="7"/>
  <c r="M41" i="7" s="1"/>
  <c r="P38" i="20"/>
  <c r="Q38" i="20" s="1"/>
  <c r="R38" i="20" s="1"/>
  <c r="P33" i="20"/>
  <c r="Q33" i="20" s="1"/>
  <c r="R33" i="20" s="1"/>
  <c r="P28" i="20"/>
  <c r="Q28" i="20" s="1"/>
  <c r="R28" i="20" s="1"/>
  <c r="P21" i="17"/>
  <c r="Q22" i="17" s="1"/>
  <c r="R22" i="17" s="1"/>
  <c r="M50" i="18"/>
  <c r="N50" i="18" s="1"/>
  <c r="O50" i="18" s="1"/>
  <c r="P36" i="18"/>
  <c r="Q36" i="18" s="1"/>
  <c r="R36" i="18" s="1"/>
  <c r="P22" i="13"/>
  <c r="Q23" i="13" s="1"/>
  <c r="R23" i="13" s="1"/>
  <c r="P30" i="15"/>
  <c r="Q31" i="15" s="1"/>
  <c r="R31" i="15" s="1"/>
  <c r="M22" i="11"/>
  <c r="N22" i="16"/>
  <c r="O22" i="16" s="1"/>
  <c r="P22" i="16" s="1"/>
  <c r="M37" i="17"/>
  <c r="N37" i="17" s="1"/>
  <c r="O37" i="17" s="1"/>
  <c r="M37" i="19"/>
  <c r="N37" i="19" s="1"/>
  <c r="O37" i="19" s="1"/>
  <c r="P109" i="15"/>
  <c r="Q109" i="15" s="1"/>
  <c r="R109" i="15" s="1"/>
  <c r="P51" i="15"/>
  <c r="Q51" i="15" s="1"/>
  <c r="R51" i="15" s="1"/>
  <c r="J31" i="24"/>
  <c r="K31" i="24" s="1"/>
  <c r="L31" i="24" s="1"/>
  <c r="M34" i="24"/>
  <c r="N34" i="24" s="1"/>
  <c r="O34" i="24" s="1"/>
  <c r="P21" i="10"/>
  <c r="Q22" i="10" s="1"/>
  <c r="R22" i="10" s="1"/>
  <c r="P32" i="24"/>
  <c r="Q32" i="24" s="1"/>
  <c r="R32" i="24" s="1"/>
  <c r="M31" i="24"/>
  <c r="N31" i="24" s="1"/>
  <c r="O31" i="24" s="1"/>
  <c r="O41" i="7"/>
  <c r="P41" i="7" s="1"/>
  <c r="Q41" i="7" s="1"/>
  <c r="M25" i="24"/>
  <c r="M51" i="15"/>
  <c r="N51" i="15" s="1"/>
  <c r="O51" i="15" s="1"/>
  <c r="M36" i="19"/>
  <c r="N36" i="19" s="1"/>
  <c r="O36" i="19" s="1"/>
  <c r="N20" i="16"/>
  <c r="O20" i="16" s="1"/>
  <c r="P20" i="16" s="1"/>
  <c r="P44" i="12"/>
  <c r="Q44" i="12" s="1"/>
  <c r="R44" i="12" s="1"/>
  <c r="M45" i="13"/>
  <c r="P35" i="13"/>
  <c r="Q35" i="13" s="1"/>
  <c r="R35" i="13" s="1"/>
  <c r="P31" i="14"/>
  <c r="Q31" i="14" s="1"/>
  <c r="R31" i="14" s="1"/>
  <c r="J18" i="14"/>
  <c r="K18" i="14" s="1"/>
  <c r="L18" i="14" s="1"/>
  <c r="P39" i="17"/>
  <c r="Q39" i="17" s="1"/>
  <c r="R39" i="17" s="1"/>
  <c r="P36" i="17"/>
  <c r="Q36" i="17" s="1"/>
  <c r="R36" i="17" s="1"/>
  <c r="P34" i="17"/>
  <c r="Q34" i="17" s="1"/>
  <c r="R34" i="17" s="1"/>
  <c r="M37" i="18"/>
  <c r="N37" i="18" s="1"/>
  <c r="O37" i="18" s="1"/>
  <c r="P21" i="18"/>
  <c r="Q22" i="18" s="1"/>
  <c r="R22" i="18" s="1"/>
  <c r="M34" i="19"/>
  <c r="N34" i="19" s="1"/>
  <c r="M154" i="24"/>
  <c r="N154" i="24" s="1"/>
  <c r="O154" i="24" s="1"/>
  <c r="M108" i="15"/>
  <c r="N108" i="15" s="1"/>
  <c r="O108" i="15" s="1"/>
  <c r="M67" i="15"/>
  <c r="N67" i="15" s="1"/>
  <c r="O67" i="15" s="1"/>
  <c r="P44" i="1"/>
  <c r="Q44" i="1" s="1"/>
  <c r="R44" i="1" s="1"/>
  <c r="M44" i="10"/>
  <c r="N44" i="10" s="1"/>
  <c r="O44" i="10" s="1"/>
  <c r="M57" i="24"/>
  <c r="N57" i="24" s="1"/>
  <c r="O57" i="24" s="1"/>
  <c r="P35" i="11"/>
  <c r="Q35" i="11" s="1"/>
  <c r="R35" i="11" s="1"/>
  <c r="M34" i="10"/>
  <c r="N34" i="10" s="1"/>
  <c r="P34" i="9"/>
  <c r="Q34" i="9" s="1"/>
  <c r="R34" i="9" s="1"/>
  <c r="P39" i="20"/>
  <c r="Q39" i="20" s="1"/>
  <c r="R39" i="20" s="1"/>
  <c r="M29" i="24"/>
  <c r="M30" i="24" s="1"/>
  <c r="N30" i="24" s="1"/>
  <c r="O30" i="24" s="1"/>
  <c r="P32" i="15"/>
  <c r="Q33" i="15" s="1"/>
  <c r="R33" i="15" s="1"/>
  <c r="O28" i="7"/>
  <c r="P28" i="7" s="1"/>
  <c r="Q28" i="7" s="1"/>
  <c r="M23" i="11"/>
  <c r="N23" i="11" s="1"/>
  <c r="O23" i="11" s="1"/>
  <c r="P21" i="1"/>
  <c r="P21" i="9"/>
  <c r="Q22" i="9" s="1"/>
  <c r="R22" i="9" s="1"/>
  <c r="M32" i="24"/>
  <c r="N32" i="24" s="1"/>
  <c r="O32" i="24" s="1"/>
  <c r="I45" i="19"/>
  <c r="I113" i="19" s="1"/>
  <c r="P27" i="20"/>
  <c r="Q27" i="20" s="1"/>
  <c r="R27" i="20" s="1"/>
  <c r="P29" i="20"/>
  <c r="Q29" i="20" s="1"/>
  <c r="R29" i="20" s="1"/>
  <c r="P32" i="20"/>
  <c r="Q32" i="20" s="1"/>
  <c r="R32" i="20" s="1"/>
  <c r="P34" i="20"/>
  <c r="Q34" i="20" s="1"/>
  <c r="R34" i="20" s="1"/>
  <c r="P37" i="20"/>
  <c r="Q37" i="20" s="1"/>
  <c r="R37" i="20" s="1"/>
  <c r="P76" i="20"/>
  <c r="Q76" i="20" s="1"/>
  <c r="R76" i="20" s="1"/>
  <c r="M35" i="18"/>
  <c r="N35" i="18" s="1"/>
  <c r="O35" i="18" s="1"/>
  <c r="P49" i="15"/>
  <c r="Q49" i="15" s="1"/>
  <c r="R49" i="15" s="1"/>
  <c r="M18" i="14"/>
  <c r="N18" i="14" s="1"/>
  <c r="O18" i="14" s="1"/>
  <c r="J31" i="14"/>
  <c r="K31" i="14" s="1"/>
  <c r="L31" i="14" s="1"/>
  <c r="M31" i="14"/>
  <c r="P41" i="14"/>
  <c r="Q41" i="14" s="1"/>
  <c r="R41" i="14" s="1"/>
  <c r="M41" i="14"/>
  <c r="N41" i="14" s="1"/>
  <c r="J41" i="14"/>
  <c r="K41" i="14" s="1"/>
  <c r="L41" i="14" s="1"/>
  <c r="S65" i="11"/>
  <c r="R120" i="24"/>
  <c r="S170" i="24"/>
  <c r="S63" i="24"/>
  <c r="S139" i="15"/>
  <c r="S124" i="24"/>
  <c r="O138" i="24"/>
  <c r="S138" i="24" s="1"/>
  <c r="N146" i="24"/>
  <c r="N239" i="24" s="1"/>
  <c r="O172" i="24"/>
  <c r="S184" i="24"/>
  <c r="L122" i="24"/>
  <c r="S122" i="24" s="1"/>
  <c r="S57" i="15"/>
  <c r="S61" i="15" s="1"/>
  <c r="S156" i="15" s="1"/>
  <c r="H22" i="21" s="1"/>
  <c r="O97" i="24"/>
  <c r="S97" i="24" s="1"/>
  <c r="N105" i="24"/>
  <c r="N237" i="24" s="1"/>
  <c r="S172" i="24"/>
  <c r="S219" i="24"/>
  <c r="S73" i="12"/>
  <c r="S84" i="13"/>
  <c r="S215" i="24"/>
  <c r="S223" i="24"/>
  <c r="S76" i="9"/>
  <c r="S144" i="15"/>
  <c r="L146" i="15"/>
  <c r="L15" i="12"/>
  <c r="S13" i="12"/>
  <c r="R161" i="24"/>
  <c r="R198" i="24" s="1"/>
  <c r="R241" i="24" s="1"/>
  <c r="Q198" i="24"/>
  <c r="Q241" i="24" s="1"/>
  <c r="S210" i="24"/>
  <c r="L225" i="24"/>
  <c r="O70" i="15"/>
  <c r="N78" i="15"/>
  <c r="N158" i="15" s="1"/>
  <c r="R74" i="15"/>
  <c r="R78" i="15" s="1"/>
  <c r="R158" i="15" s="1"/>
  <c r="Q78" i="15"/>
  <c r="Q158" i="15" s="1"/>
  <c r="O70" i="16"/>
  <c r="P70" i="16" s="1"/>
  <c r="N57" i="12"/>
  <c r="S61" i="11"/>
  <c r="S39" i="11"/>
  <c r="S41" i="11" s="1"/>
  <c r="S106" i="11" s="1"/>
  <c r="C34" i="21" s="1"/>
  <c r="S65" i="24"/>
  <c r="S71" i="24" s="1"/>
  <c r="S235" i="24" s="1"/>
  <c r="M22" i="21" s="1"/>
  <c r="S87" i="15"/>
  <c r="L109" i="10"/>
  <c r="O48" i="13"/>
  <c r="S113" i="24"/>
  <c r="S63" i="11"/>
  <c r="L99" i="24"/>
  <c r="S99" i="24" s="1"/>
  <c r="K105" i="24"/>
  <c r="K237" i="24" s="1"/>
  <c r="L163" i="24"/>
  <c r="S50" i="20"/>
  <c r="S72" i="15"/>
  <c r="S118" i="15"/>
  <c r="O58" i="18"/>
  <c r="S52" i="18"/>
  <c r="O39" i="15"/>
  <c r="N43" i="15"/>
  <c r="N154" i="15" s="1"/>
  <c r="L93" i="18"/>
  <c r="L118" i="18" s="1"/>
  <c r="J44" i="12"/>
  <c r="K44" i="12" s="1"/>
  <c r="L44" i="12" s="1"/>
  <c r="J28" i="24"/>
  <c r="K28" i="24" s="1"/>
  <c r="L28" i="24" s="1"/>
  <c r="J29" i="24"/>
  <c r="K29" i="24" s="1"/>
  <c r="L29" i="24" s="1"/>
  <c r="J35" i="24"/>
  <c r="J36" i="11"/>
  <c r="K36" i="11" s="1"/>
  <c r="L36" i="11" s="1"/>
  <c r="J46" i="20"/>
  <c r="J37" i="11"/>
  <c r="K37" i="11" s="1"/>
  <c r="L37" i="11" s="1"/>
  <c r="J59" i="24"/>
  <c r="K59" i="24" s="1"/>
  <c r="L59" i="24" s="1"/>
  <c r="J27" i="24"/>
  <c r="K27" i="24" s="1"/>
  <c r="L27" i="24" s="1"/>
  <c r="J44" i="10"/>
  <c r="K44" i="10" s="1"/>
  <c r="L44" i="10" s="1"/>
  <c r="J68" i="15"/>
  <c r="K68" i="15" s="1"/>
  <c r="L68" i="15" s="1"/>
  <c r="J75" i="20"/>
  <c r="K75" i="20" s="1"/>
  <c r="L75" i="20" s="1"/>
  <c r="J40" i="18"/>
  <c r="K40" i="18" s="1"/>
  <c r="L40" i="18" s="1"/>
  <c r="J50" i="18"/>
  <c r="K50" i="18" s="1"/>
  <c r="L50" i="18" s="1"/>
  <c r="J21" i="19"/>
  <c r="J36" i="19"/>
  <c r="K36" i="19" s="1"/>
  <c r="L36" i="19" s="1"/>
  <c r="J39" i="19"/>
  <c r="K39" i="19" s="1"/>
  <c r="L39" i="19" s="1"/>
  <c r="J40" i="17"/>
  <c r="K40" i="17" s="1"/>
  <c r="L40" i="17" s="1"/>
  <c r="J50" i="17"/>
  <c r="K50" i="17" s="1"/>
  <c r="L50" i="17" s="1"/>
  <c r="K38" i="16"/>
  <c r="L38" i="16" s="1"/>
  <c r="M38" i="16" s="1"/>
  <c r="J45" i="13"/>
  <c r="K45" i="13" s="1"/>
  <c r="L45" i="13" s="1"/>
  <c r="J34" i="12"/>
  <c r="K34" i="12" s="1"/>
  <c r="L34" i="12" s="1"/>
  <c r="J22" i="11"/>
  <c r="J153" i="24"/>
  <c r="K153" i="24" s="1"/>
  <c r="L153" i="24" s="1"/>
  <c r="K48" i="16"/>
  <c r="L48" i="16" s="1"/>
  <c r="M48" i="16" s="1"/>
  <c r="J34" i="17"/>
  <c r="K34" i="17" s="1"/>
  <c r="L34" i="17" s="1"/>
  <c r="J39" i="20"/>
  <c r="K23" i="16"/>
  <c r="L23" i="16" s="1"/>
  <c r="M23" i="16" s="1"/>
  <c r="J50" i="19"/>
  <c r="K50" i="19" s="1"/>
  <c r="L50" i="19" s="1"/>
  <c r="J76" i="20"/>
  <c r="K76" i="20" s="1"/>
  <c r="L76" i="20" s="1"/>
  <c r="J74" i="20"/>
  <c r="J44" i="9"/>
  <c r="K44" i="9" s="1"/>
  <c r="L44" i="9" s="1"/>
  <c r="J20" i="22"/>
  <c r="J34" i="1"/>
  <c r="K34" i="1" s="1"/>
  <c r="L34" i="1" s="1"/>
  <c r="J34" i="9"/>
  <c r="K34" i="9" s="1"/>
  <c r="L34" i="9" s="1"/>
  <c r="J38" i="20"/>
  <c r="J36" i="20"/>
  <c r="J34" i="20"/>
  <c r="K34" i="20" s="1"/>
  <c r="L34" i="20" s="1"/>
  <c r="J33" i="20"/>
  <c r="K33" i="20" s="1"/>
  <c r="L33" i="20" s="1"/>
  <c r="J31" i="20"/>
  <c r="K31" i="20" s="1"/>
  <c r="L31" i="20" s="1"/>
  <c r="J29" i="20"/>
  <c r="K29" i="20" s="1"/>
  <c r="L29" i="20" s="1"/>
  <c r="J28" i="20"/>
  <c r="K28" i="20" s="1"/>
  <c r="L28" i="20" s="1"/>
  <c r="J30" i="15"/>
  <c r="J21" i="11"/>
  <c r="J21" i="10"/>
  <c r="J23" i="11"/>
  <c r="K23" i="11" s="1"/>
  <c r="L23" i="11" s="1"/>
  <c r="J26" i="24"/>
  <c r="K26" i="24" s="1"/>
  <c r="L26" i="24" s="1"/>
  <c r="J30" i="24"/>
  <c r="K30" i="24" s="1"/>
  <c r="L30" i="24" s="1"/>
  <c r="J33" i="24"/>
  <c r="K33" i="24" s="1"/>
  <c r="L33" i="24" s="1"/>
  <c r="J34" i="10"/>
  <c r="K34" i="10" s="1"/>
  <c r="L34" i="10" s="1"/>
  <c r="J47" i="20"/>
  <c r="K47" i="20" s="1"/>
  <c r="L47" i="20" s="1"/>
  <c r="J57" i="24"/>
  <c r="K57" i="24" s="1"/>
  <c r="L57" i="24" s="1"/>
  <c r="J58" i="24"/>
  <c r="K58" i="24" s="1"/>
  <c r="L58" i="24" s="1"/>
  <c r="J25" i="24"/>
  <c r="K25" i="24" s="1"/>
  <c r="L25" i="24" s="1"/>
  <c r="J47" i="11"/>
  <c r="K47" i="11" s="1"/>
  <c r="L47" i="11" s="1"/>
  <c r="J67" i="15"/>
  <c r="K67" i="15" s="1"/>
  <c r="L67" i="15" s="1"/>
  <c r="J35" i="19"/>
  <c r="K35" i="19" s="1"/>
  <c r="L35" i="19" s="1"/>
  <c r="J40" i="19"/>
  <c r="K40" i="19" s="1"/>
  <c r="L40" i="19" s="1"/>
  <c r="J35" i="18"/>
  <c r="K35" i="18" s="1"/>
  <c r="L35" i="18" s="1"/>
  <c r="J37" i="18"/>
  <c r="K37" i="18" s="1"/>
  <c r="L37" i="18" s="1"/>
  <c r="J108" i="15"/>
  <c r="K108" i="15" s="1"/>
  <c r="L108" i="15" s="1"/>
  <c r="J154" i="24"/>
  <c r="K154" i="24" s="1"/>
  <c r="L154" i="24" s="1"/>
  <c r="J34" i="19"/>
  <c r="K34" i="19" s="1"/>
  <c r="L34" i="19" s="1"/>
  <c r="J79" i="19"/>
  <c r="K79" i="19" s="1"/>
  <c r="L79" i="19" s="1"/>
  <c r="J39" i="18"/>
  <c r="K39" i="18" s="1"/>
  <c r="L39" i="18" s="1"/>
  <c r="J79" i="18"/>
  <c r="K79" i="18" s="1"/>
  <c r="L79" i="18" s="1"/>
  <c r="J35" i="17"/>
  <c r="K35" i="17" s="1"/>
  <c r="L35" i="17" s="1"/>
  <c r="J37" i="17"/>
  <c r="K37" i="17" s="1"/>
  <c r="L37" i="17" s="1"/>
  <c r="K18" i="16"/>
  <c r="L18" i="16" s="1"/>
  <c r="K20" i="16"/>
  <c r="L20" i="16" s="1"/>
  <c r="M20" i="16" s="1"/>
  <c r="K22" i="16"/>
  <c r="L22" i="16" s="1"/>
  <c r="M22" i="16" s="1"/>
  <c r="J79" i="17"/>
  <c r="K79" i="17" s="1"/>
  <c r="L79" i="17" s="1"/>
  <c r="J21" i="12"/>
  <c r="J51" i="15"/>
  <c r="K51" i="15" s="1"/>
  <c r="L51" i="15" s="1"/>
  <c r="J37" i="19"/>
  <c r="K37" i="19" s="1"/>
  <c r="L37" i="19" s="1"/>
  <c r="J35" i="13"/>
  <c r="K35" i="13" s="1"/>
  <c r="L35" i="13" s="1"/>
  <c r="J22" i="13"/>
  <c r="J21" i="17"/>
  <c r="J34" i="24"/>
  <c r="K34" i="24" s="1"/>
  <c r="L34" i="24" s="1"/>
  <c r="J50" i="15"/>
  <c r="K50" i="15" s="1"/>
  <c r="L50" i="15" s="1"/>
  <c r="J32" i="15"/>
  <c r="K19" i="16"/>
  <c r="L19" i="16" s="1"/>
  <c r="M19" i="16" s="1"/>
  <c r="K21" i="16"/>
  <c r="L21" i="16" s="1"/>
  <c r="M21" i="16" s="1"/>
  <c r="J39" i="17"/>
  <c r="K39" i="17" s="1"/>
  <c r="L39" i="17" s="1"/>
  <c r="J36" i="17"/>
  <c r="K36" i="17" s="1"/>
  <c r="L36" i="17" s="1"/>
  <c r="J34" i="18"/>
  <c r="K34" i="18" s="1"/>
  <c r="L34" i="18" s="1"/>
  <c r="J21" i="18"/>
  <c r="J109" i="15"/>
  <c r="K109" i="15" s="1"/>
  <c r="L109" i="15" s="1"/>
  <c r="J36" i="18"/>
  <c r="K36" i="18" s="1"/>
  <c r="L36" i="18" s="1"/>
  <c r="J44" i="1"/>
  <c r="K44" i="1" s="1"/>
  <c r="L44" i="1" s="1"/>
  <c r="J35" i="11"/>
  <c r="K35" i="11" s="1"/>
  <c r="L35" i="11" s="1"/>
  <c r="J37" i="20"/>
  <c r="J32" i="20"/>
  <c r="K32" i="20" s="1"/>
  <c r="L32" i="20" s="1"/>
  <c r="J27" i="20"/>
  <c r="K27" i="20" s="1"/>
  <c r="L27" i="20" s="1"/>
  <c r="J34" i="15"/>
  <c r="I28" i="7"/>
  <c r="J21" i="1"/>
  <c r="J21" i="9"/>
  <c r="S68" i="19"/>
  <c r="L72" i="19"/>
  <c r="S86" i="1"/>
  <c r="P60" i="16"/>
  <c r="S177" i="24"/>
  <c r="S62" i="1"/>
  <c r="S76" i="1"/>
  <c r="S13" i="10"/>
  <c r="S125" i="15"/>
  <c r="S82" i="11"/>
  <c r="S79" i="11"/>
  <c r="S56" i="17"/>
  <c r="T30" i="16"/>
  <c r="S140" i="24"/>
  <c r="S212" i="24"/>
  <c r="S221" i="24"/>
  <c r="S80" i="9"/>
  <c r="S18" i="20"/>
  <c r="O47" i="12"/>
  <c r="O65" i="19"/>
  <c r="F56" i="21"/>
  <c r="S99" i="15"/>
  <c r="N77" i="12"/>
  <c r="O109" i="12"/>
  <c r="S157" i="24"/>
  <c r="S49" i="11"/>
  <c r="S86" i="9"/>
  <c r="S83" i="19"/>
  <c r="S83" i="18"/>
  <c r="S70" i="17"/>
  <c r="T84" i="16"/>
  <c r="S133" i="24"/>
  <c r="L120" i="19"/>
  <c r="S83" i="17"/>
  <c r="Q54" i="18"/>
  <c r="R54" i="18" s="1"/>
  <c r="S54" i="18" s="1"/>
  <c r="Q54" i="17"/>
  <c r="R54" i="17" s="1"/>
  <c r="S54" i="17" s="1"/>
  <c r="S126" i="24"/>
  <c r="S142" i="24"/>
  <c r="S54" i="19"/>
  <c r="S62" i="9"/>
  <c r="S91" i="15"/>
  <c r="S60" i="1"/>
  <c r="P23" i="11"/>
  <c r="Q23" i="11" s="1"/>
  <c r="R23" i="11" s="1"/>
  <c r="P35" i="24"/>
  <c r="P36" i="11"/>
  <c r="Q36" i="11" s="1"/>
  <c r="R36" i="11" s="1"/>
  <c r="P47" i="20"/>
  <c r="Q47" i="20" s="1"/>
  <c r="R47" i="20" s="1"/>
  <c r="P57" i="24"/>
  <c r="P59" i="24"/>
  <c r="Q59" i="24" s="1"/>
  <c r="R59" i="24" s="1"/>
  <c r="P44" i="10"/>
  <c r="Q44" i="10" s="1"/>
  <c r="R44" i="10" s="1"/>
  <c r="P67" i="15"/>
  <c r="Q67" i="15" s="1"/>
  <c r="R67" i="15" s="1"/>
  <c r="P74" i="20"/>
  <c r="P154" i="24"/>
  <c r="Q154" i="24" s="1"/>
  <c r="R154" i="24" s="1"/>
  <c r="P40" i="19"/>
  <c r="Q40" i="19" s="1"/>
  <c r="R40" i="19" s="1"/>
  <c r="P37" i="18"/>
  <c r="Q37" i="18" s="1"/>
  <c r="R37" i="18" s="1"/>
  <c r="P50" i="18"/>
  <c r="Q50" i="18" s="1"/>
  <c r="R50" i="18" s="1"/>
  <c r="P34" i="19"/>
  <c r="Q34" i="19" s="1"/>
  <c r="R34" i="19" s="1"/>
  <c r="P39" i="19"/>
  <c r="Q39" i="19" s="1"/>
  <c r="R39" i="19" s="1"/>
  <c r="P39" i="18"/>
  <c r="Q39" i="18" s="1"/>
  <c r="R39" i="18" s="1"/>
  <c r="P35" i="17"/>
  <c r="Q35" i="17" s="1"/>
  <c r="R35" i="17" s="1"/>
  <c r="P40" i="17"/>
  <c r="Q40" i="17" s="1"/>
  <c r="R40" i="17" s="1"/>
  <c r="Q18" i="16"/>
  <c r="R18" i="16" s="1"/>
  <c r="Q20" i="16"/>
  <c r="R20" i="16" s="1"/>
  <c r="S20" i="16" s="1"/>
  <c r="Q38" i="16"/>
  <c r="R38" i="16" s="1"/>
  <c r="S38" i="16" s="1"/>
  <c r="P79" i="17"/>
  <c r="Q79" i="17" s="1"/>
  <c r="R79" i="17" s="1"/>
  <c r="P21" i="12"/>
  <c r="P34" i="15"/>
  <c r="P33" i="24"/>
  <c r="Q33" i="24" s="1"/>
  <c r="R33" i="24" s="1"/>
  <c r="P34" i="10"/>
  <c r="Q34" i="10" s="1"/>
  <c r="R34" i="10" s="1"/>
  <c r="P46" i="20"/>
  <c r="P37" i="11"/>
  <c r="Q37" i="11" s="1"/>
  <c r="R37" i="11" s="1"/>
  <c r="P58" i="24"/>
  <c r="Q58" i="24" s="1"/>
  <c r="R58" i="24" s="1"/>
  <c r="P29" i="24"/>
  <c r="P47" i="11"/>
  <c r="Q47" i="11" s="1"/>
  <c r="R47" i="11" s="1"/>
  <c r="P68" i="15"/>
  <c r="Q68" i="15" s="1"/>
  <c r="R68" i="15" s="1"/>
  <c r="P108" i="15"/>
  <c r="Q108" i="15" s="1"/>
  <c r="R108" i="15" s="1"/>
  <c r="P35" i="19"/>
  <c r="Q35" i="19" s="1"/>
  <c r="R35" i="19" s="1"/>
  <c r="P35" i="18"/>
  <c r="Q35" i="18" s="1"/>
  <c r="R35" i="18" s="1"/>
  <c r="P40" i="18"/>
  <c r="Q40" i="18" s="1"/>
  <c r="R40" i="18" s="1"/>
  <c r="P21" i="19"/>
  <c r="P36" i="19"/>
  <c r="Q36" i="19" s="1"/>
  <c r="R36" i="19" s="1"/>
  <c r="P79" i="19"/>
  <c r="Q79" i="19" s="1"/>
  <c r="R79" i="19" s="1"/>
  <c r="P79" i="18"/>
  <c r="Q79" i="18" s="1"/>
  <c r="R79" i="18" s="1"/>
  <c r="P37" i="17"/>
  <c r="Q37" i="17" s="1"/>
  <c r="R37" i="17" s="1"/>
  <c r="P50" i="17"/>
  <c r="Q50" i="17" s="1"/>
  <c r="R50" i="17" s="1"/>
  <c r="Q22" i="16"/>
  <c r="R22" i="16" s="1"/>
  <c r="S22" i="16" s="1"/>
  <c r="P45" i="13"/>
  <c r="Q45" i="13" s="1"/>
  <c r="R45" i="13" s="1"/>
  <c r="Q23" i="16"/>
  <c r="R23" i="16" s="1"/>
  <c r="S23" i="16" s="1"/>
  <c r="P34" i="12"/>
  <c r="Q34" i="12" s="1"/>
  <c r="R34" i="12" s="1"/>
  <c r="N49" i="20"/>
  <c r="T82" i="24"/>
  <c r="M21" i="9"/>
  <c r="M21" i="1"/>
  <c r="L28" i="7"/>
  <c r="M27" i="20"/>
  <c r="N27" i="20" s="1"/>
  <c r="M29" i="20"/>
  <c r="N29" i="20" s="1"/>
  <c r="O29" i="20" s="1"/>
  <c r="M32" i="20"/>
  <c r="N32" i="20" s="1"/>
  <c r="O32" i="20" s="1"/>
  <c r="M34" i="20"/>
  <c r="N34" i="20" s="1"/>
  <c r="O34" i="20" s="1"/>
  <c r="M37" i="20"/>
  <c r="N37" i="20" s="1"/>
  <c r="O37" i="20" s="1"/>
  <c r="M34" i="9"/>
  <c r="M35" i="11"/>
  <c r="N35" i="11" s="1"/>
  <c r="M33" i="24"/>
  <c r="M36" i="11"/>
  <c r="N36" i="11" s="1"/>
  <c r="O36" i="11" s="1"/>
  <c r="M47" i="20"/>
  <c r="N47" i="20" s="1"/>
  <c r="O47" i="20" s="1"/>
  <c r="M58" i="24"/>
  <c r="N58" i="24" s="1"/>
  <c r="O58" i="24" s="1"/>
  <c r="M44" i="9"/>
  <c r="M74" i="20"/>
  <c r="M21" i="19"/>
  <c r="M21" i="18"/>
  <c r="M36" i="18"/>
  <c r="N36" i="18" s="1"/>
  <c r="O36" i="18" s="1"/>
  <c r="M75" i="20"/>
  <c r="N75" i="20" s="1"/>
  <c r="O75" i="20" s="1"/>
  <c r="M40" i="19"/>
  <c r="N40" i="19" s="1"/>
  <c r="O40" i="19" s="1"/>
  <c r="M79" i="18"/>
  <c r="N79" i="18" s="1"/>
  <c r="O79" i="18" s="1"/>
  <c r="M34" i="17"/>
  <c r="M39" i="17"/>
  <c r="N39" i="17" s="1"/>
  <c r="O39" i="17" s="1"/>
  <c r="N19" i="16"/>
  <c r="O19" i="16" s="1"/>
  <c r="N23" i="16"/>
  <c r="O23" i="16" s="1"/>
  <c r="P23" i="16" s="1"/>
  <c r="M22" i="13"/>
  <c r="M44" i="12"/>
  <c r="M21" i="10"/>
  <c r="M21" i="11"/>
  <c r="M30" i="15"/>
  <c r="M28" i="20"/>
  <c r="N28" i="20" s="1"/>
  <c r="O28" i="20" s="1"/>
  <c r="M31" i="20"/>
  <c r="N31" i="20" s="1"/>
  <c r="O31" i="20" s="1"/>
  <c r="M33" i="20"/>
  <c r="N33" i="20" s="1"/>
  <c r="O33" i="20" s="1"/>
  <c r="M36" i="20"/>
  <c r="N36" i="20" s="1"/>
  <c r="O36" i="20" s="1"/>
  <c r="M38" i="20"/>
  <c r="N38" i="20" s="1"/>
  <c r="O38" i="20" s="1"/>
  <c r="M34" i="1"/>
  <c r="M20" i="22"/>
  <c r="M35" i="24"/>
  <c r="M46" i="20"/>
  <c r="M37" i="11"/>
  <c r="N37" i="11" s="1"/>
  <c r="O37" i="11" s="1"/>
  <c r="M59" i="24"/>
  <c r="N59" i="24" s="1"/>
  <c r="O59" i="24" s="1"/>
  <c r="M44" i="1"/>
  <c r="M76" i="20"/>
  <c r="N76" i="20" s="1"/>
  <c r="O76" i="20" s="1"/>
  <c r="M79" i="19"/>
  <c r="N79" i="19" s="1"/>
  <c r="O79" i="19" s="1"/>
  <c r="M34" i="18"/>
  <c r="M39" i="18"/>
  <c r="N39" i="18" s="1"/>
  <c r="O39" i="18" s="1"/>
  <c r="M35" i="19"/>
  <c r="N35" i="19" s="1"/>
  <c r="O35" i="19" s="1"/>
  <c r="M50" i="19"/>
  <c r="N50" i="19" s="1"/>
  <c r="O50" i="19" s="1"/>
  <c r="M21" i="17"/>
  <c r="M36" i="17"/>
  <c r="N36" i="17" s="1"/>
  <c r="O36" i="17" s="1"/>
  <c r="M79" i="17"/>
  <c r="N79" i="17" s="1"/>
  <c r="O79" i="17" s="1"/>
  <c r="N21" i="16"/>
  <c r="O21" i="16" s="1"/>
  <c r="P21" i="16" s="1"/>
  <c r="N48" i="16"/>
  <c r="O48" i="16" s="1"/>
  <c r="P48" i="16" s="1"/>
  <c r="M35" i="13"/>
  <c r="S128" i="15"/>
  <c r="T80" i="24"/>
  <c r="R20" i="7"/>
  <c r="N33" i="15" l="1"/>
  <c r="O33" i="15" s="1"/>
  <c r="I95" i="9"/>
  <c r="M95" i="9" s="1"/>
  <c r="N95" i="9" s="1"/>
  <c r="I117" i="15"/>
  <c r="M117" i="15" s="1"/>
  <c r="N117" i="15" s="1"/>
  <c r="O117" i="15" s="1"/>
  <c r="I74" i="10"/>
  <c r="M74" i="10" s="1"/>
  <c r="N74" i="10" s="1"/>
  <c r="O74" i="10" s="1"/>
  <c r="I27" i="10"/>
  <c r="M27" i="10" s="1"/>
  <c r="N27" i="10" s="1"/>
  <c r="O27" i="10" s="1"/>
  <c r="S52" i="17"/>
  <c r="U21" i="25"/>
  <c r="D66" i="25"/>
  <c r="D113" i="25" s="1"/>
  <c r="D90" i="25"/>
  <c r="D115" i="25" s="1"/>
  <c r="G16" i="25"/>
  <c r="G105" i="25" s="1"/>
  <c r="H226" i="24"/>
  <c r="H244" i="24" s="1"/>
  <c r="H79" i="7"/>
  <c r="H86" i="7"/>
  <c r="L86" i="7" s="1"/>
  <c r="M86" i="7" s="1"/>
  <c r="N86" i="7" s="1"/>
  <c r="Q28" i="19"/>
  <c r="Q110" i="19" s="1"/>
  <c r="U22" i="25"/>
  <c r="S41" i="15"/>
  <c r="H51" i="10"/>
  <c r="H110" i="10" s="1"/>
  <c r="H104" i="7"/>
  <c r="H108" i="7" s="1"/>
  <c r="H125" i="7" s="1"/>
  <c r="I83" i="11"/>
  <c r="M83" i="11" s="1"/>
  <c r="N83" i="11" s="1"/>
  <c r="O83" i="11" s="1"/>
  <c r="I143" i="24"/>
  <c r="M143" i="24" s="1"/>
  <c r="N143" i="24" s="1"/>
  <c r="O143" i="24" s="1"/>
  <c r="T35" i="25"/>
  <c r="T40" i="25" s="1"/>
  <c r="T109" i="25" s="1"/>
  <c r="U23" i="25"/>
  <c r="I167" i="15"/>
  <c r="H89" i="1"/>
  <c r="H114" i="1" s="1"/>
  <c r="I37" i="15"/>
  <c r="M37" i="15" s="1"/>
  <c r="N37" i="15" s="1"/>
  <c r="O37" i="15" s="1"/>
  <c r="I126" i="15"/>
  <c r="M126" i="15" s="1"/>
  <c r="N126" i="15" s="1"/>
  <c r="O126" i="15" s="1"/>
  <c r="I74" i="1"/>
  <c r="M74" i="1" s="1"/>
  <c r="I125" i="24"/>
  <c r="M125" i="24" s="1"/>
  <c r="N125" i="24" s="1"/>
  <c r="O125" i="24" s="1"/>
  <c r="T45" i="25"/>
  <c r="T52" i="25" s="1"/>
  <c r="T111" i="25" s="1"/>
  <c r="S21" i="20"/>
  <c r="S87" i="20" s="1"/>
  <c r="C44" i="21" s="1"/>
  <c r="S193" i="24"/>
  <c r="R24" i="15"/>
  <c r="R152" i="15" s="1"/>
  <c r="Q152" i="15"/>
  <c r="S26" i="19"/>
  <c r="L28" i="19"/>
  <c r="O93" i="18"/>
  <c r="S73" i="10"/>
  <c r="R88" i="10"/>
  <c r="R113" i="10" s="1"/>
  <c r="S80" i="10"/>
  <c r="L88" i="10"/>
  <c r="L113" i="10" s="1"/>
  <c r="S62" i="10"/>
  <c r="L64" i="9"/>
  <c r="L111" i="9" s="1"/>
  <c r="M35" i="7"/>
  <c r="M114" i="7" s="1"/>
  <c r="J63" i="7"/>
  <c r="I51" i="7"/>
  <c r="J51" i="7" s="1"/>
  <c r="K51" i="7" s="1"/>
  <c r="S46" i="1"/>
  <c r="N21" i="12"/>
  <c r="O21" i="12" s="1"/>
  <c r="T50" i="15"/>
  <c r="Q20" i="22"/>
  <c r="Q22" i="22" s="1"/>
  <c r="Q52" i="22" s="1"/>
  <c r="Q63" i="22" s="1"/>
  <c r="Q25" i="24"/>
  <c r="R25" i="24" s="1"/>
  <c r="Q22" i="11"/>
  <c r="R22" i="11" s="1"/>
  <c r="Q19" i="14"/>
  <c r="R19" i="14" s="1"/>
  <c r="O39" i="12"/>
  <c r="O108" i="12" s="1"/>
  <c r="N16" i="12"/>
  <c r="N104" i="12" s="1"/>
  <c r="O62" i="14"/>
  <c r="O72" i="19"/>
  <c r="O116" i="19" s="1"/>
  <c r="O52" i="16"/>
  <c r="O107" i="16" s="1"/>
  <c r="R33" i="7"/>
  <c r="O85" i="14"/>
  <c r="O110" i="14" s="1"/>
  <c r="S81" i="18"/>
  <c r="M101" i="15"/>
  <c r="M160" i="15" s="1"/>
  <c r="K72" i="19"/>
  <c r="K116" i="19" s="1"/>
  <c r="K123" i="19" s="1"/>
  <c r="O88" i="1"/>
  <c r="O113" i="1" s="1"/>
  <c r="S83" i="1"/>
  <c r="S85" i="17"/>
  <c r="L43" i="15"/>
  <c r="L154" i="15" s="1"/>
  <c r="S85" i="18"/>
  <c r="S44" i="24"/>
  <c r="S42" i="24"/>
  <c r="K64" i="9"/>
  <c r="K111" i="9" s="1"/>
  <c r="N72" i="19"/>
  <c r="N116" i="19" s="1"/>
  <c r="S80" i="1"/>
  <c r="O105" i="24"/>
  <c r="O237" i="24" s="1"/>
  <c r="U32" i="24"/>
  <c r="U153" i="24"/>
  <c r="N198" i="24"/>
  <c r="N241" i="24" s="1"/>
  <c r="Q21" i="10"/>
  <c r="R21" i="10" s="1"/>
  <c r="S36" i="1"/>
  <c r="S38" i="1" s="1"/>
  <c r="S107" i="1" s="1"/>
  <c r="M10" i="21" s="1"/>
  <c r="L85" i="14"/>
  <c r="L110" i="14" s="1"/>
  <c r="S116" i="15"/>
  <c r="O93" i="17"/>
  <c r="S22" i="20"/>
  <c r="S88" i="20" s="1"/>
  <c r="D44" i="21" s="1"/>
  <c r="G44" i="21" s="1"/>
  <c r="T106" i="24"/>
  <c r="T238" i="24" s="1"/>
  <c r="O23" i="21" s="1"/>
  <c r="S168" i="24"/>
  <c r="S61" i="24"/>
  <c r="N39" i="12"/>
  <c r="N108" i="12" s="1"/>
  <c r="T40" i="16"/>
  <c r="T42" i="16" s="1"/>
  <c r="T105" i="16" s="1"/>
  <c r="Q30" i="15"/>
  <c r="R30" i="15" s="1"/>
  <c r="S91" i="17"/>
  <c r="O88" i="9"/>
  <c r="S77" i="11"/>
  <c r="M39" i="12"/>
  <c r="M108" i="12" s="1"/>
  <c r="O16" i="12"/>
  <c r="O104" i="12" s="1"/>
  <c r="K119" i="13"/>
  <c r="L88" i="1"/>
  <c r="N35" i="7"/>
  <c r="N114" i="7" s="1"/>
  <c r="P86" i="16"/>
  <c r="S48" i="12"/>
  <c r="K198" i="24"/>
  <c r="K241" i="24" s="1"/>
  <c r="O198" i="24"/>
  <c r="O241" i="24" s="1"/>
  <c r="S85" i="19"/>
  <c r="S77" i="14"/>
  <c r="S58" i="17"/>
  <c r="S114" i="17" s="1"/>
  <c r="L19" i="24"/>
  <c r="L231" i="24" s="1"/>
  <c r="S17" i="24"/>
  <c r="L88" i="12"/>
  <c r="S97" i="11"/>
  <c r="S114" i="11" s="1"/>
  <c r="C38" i="21" s="1"/>
  <c r="S81" i="17"/>
  <c r="U39" i="19"/>
  <c r="M30" i="13"/>
  <c r="M107" i="13" s="1"/>
  <c r="K19" i="24"/>
  <c r="K231" i="24" s="1"/>
  <c r="S159" i="24"/>
  <c r="S86" i="10"/>
  <c r="S95" i="11"/>
  <c r="S78" i="12"/>
  <c r="S81" i="13"/>
  <c r="M65" i="12"/>
  <c r="M112" i="12" s="1"/>
  <c r="M62" i="14"/>
  <c r="M109" i="14" s="1"/>
  <c r="M29" i="1"/>
  <c r="M106" i="1" s="1"/>
  <c r="N62" i="14"/>
  <c r="N109" i="14" s="1"/>
  <c r="N63" i="16"/>
  <c r="N110" i="16" s="1"/>
  <c r="M44" i="14"/>
  <c r="N44" i="14" s="1"/>
  <c r="O44" i="14" s="1"/>
  <c r="I48" i="14"/>
  <c r="I107" i="14" s="1"/>
  <c r="M53" i="19"/>
  <c r="N53" i="19" s="1"/>
  <c r="O53" i="19" s="1"/>
  <c r="I59" i="19"/>
  <c r="I115" i="19" s="1"/>
  <c r="I44" i="15"/>
  <c r="I155" i="15" s="1"/>
  <c r="M40" i="15"/>
  <c r="N40" i="15" s="1"/>
  <c r="O40" i="15" s="1"/>
  <c r="M53" i="17"/>
  <c r="N53" i="17" s="1"/>
  <c r="O53" i="17" s="1"/>
  <c r="I59" i="17"/>
  <c r="I115" i="17" s="1"/>
  <c r="M11" i="18"/>
  <c r="I16" i="18"/>
  <c r="I109" i="18" s="1"/>
  <c r="O95" i="9"/>
  <c r="O99" i="9" s="1"/>
  <c r="O116" i="9" s="1"/>
  <c r="N99" i="9"/>
  <c r="N116" i="9" s="1"/>
  <c r="I16" i="17"/>
  <c r="I109" i="17" s="1"/>
  <c r="M14" i="17"/>
  <c r="O84" i="10"/>
  <c r="N77" i="16"/>
  <c r="O77" i="16" s="1"/>
  <c r="P77" i="16" s="1"/>
  <c r="J87" i="16"/>
  <c r="J112" i="16" s="1"/>
  <c r="K37" i="20"/>
  <c r="L37" i="20" s="1"/>
  <c r="U37" i="20" s="1"/>
  <c r="K36" i="20"/>
  <c r="L36" i="20" s="1"/>
  <c r="U36" i="20" s="1"/>
  <c r="Q21" i="17"/>
  <c r="R21" i="17" s="1"/>
  <c r="O98" i="10"/>
  <c r="O115" i="10" s="1"/>
  <c r="S14" i="13"/>
  <c r="D52" i="25"/>
  <c r="D111" i="25" s="1"/>
  <c r="H66" i="25"/>
  <c r="H113" i="25" s="1"/>
  <c r="H16" i="25"/>
  <c r="H105" i="25" s="1"/>
  <c r="S94" i="12"/>
  <c r="I102" i="11"/>
  <c r="I117" i="11" s="1"/>
  <c r="N15" i="11"/>
  <c r="Q15" i="11"/>
  <c r="O68" i="18"/>
  <c r="N72" i="18"/>
  <c r="N116" i="18" s="1"/>
  <c r="L72" i="18"/>
  <c r="L116" i="18" s="1"/>
  <c r="H199" i="24"/>
  <c r="H242" i="24" s="1"/>
  <c r="H131" i="15"/>
  <c r="H163" i="15" s="1"/>
  <c r="H106" i="24"/>
  <c r="H238" i="24" s="1"/>
  <c r="H72" i="24"/>
  <c r="H236" i="24" s="1"/>
  <c r="H89" i="9"/>
  <c r="H114" i="9" s="1"/>
  <c r="H79" i="15"/>
  <c r="H159" i="15" s="1"/>
  <c r="H65" i="9"/>
  <c r="H112" i="9" s="1"/>
  <c r="F73" i="18"/>
  <c r="F117" i="18" s="1"/>
  <c r="I65" i="18"/>
  <c r="I95" i="1"/>
  <c r="M95" i="1" s="1"/>
  <c r="N95" i="1" s="1"/>
  <c r="O95" i="1" s="1"/>
  <c r="F17" i="13"/>
  <c r="F105" i="13" s="1"/>
  <c r="F86" i="14"/>
  <c r="F111" i="14" s="1"/>
  <c r="I69" i="14"/>
  <c r="F199" i="24"/>
  <c r="F242" i="24" s="1"/>
  <c r="F79" i="15"/>
  <c r="F159" i="15" s="1"/>
  <c r="I71" i="15"/>
  <c r="I54" i="15"/>
  <c r="M54" i="15" s="1"/>
  <c r="N54" i="15" s="1"/>
  <c r="F62" i="15"/>
  <c r="F157" i="15" s="1"/>
  <c r="F20" i="24"/>
  <c r="F232" i="24" s="1"/>
  <c r="F13" i="14"/>
  <c r="F101" i="14" s="1"/>
  <c r="I11" i="14"/>
  <c r="F87" i="16"/>
  <c r="F112" i="16" s="1"/>
  <c r="F117" i="16" s="1"/>
  <c r="I94" i="11"/>
  <c r="F68" i="11"/>
  <c r="F111" i="11" s="1"/>
  <c r="I57" i="1"/>
  <c r="F65" i="1"/>
  <c r="F112" i="1" s="1"/>
  <c r="L13" i="11"/>
  <c r="K15" i="11"/>
  <c r="K102" i="11" s="1"/>
  <c r="I26" i="11"/>
  <c r="K38" i="20"/>
  <c r="L38" i="20" s="1"/>
  <c r="U38" i="20" s="1"/>
  <c r="G66" i="25"/>
  <c r="G113" i="25" s="1"/>
  <c r="O64" i="17"/>
  <c r="O72" i="17" s="1"/>
  <c r="O116" i="17" s="1"/>
  <c r="N72" i="17"/>
  <c r="N116" i="17" s="1"/>
  <c r="O37" i="24"/>
  <c r="O50" i="24" s="1"/>
  <c r="N50" i="24"/>
  <c r="N233" i="24" s="1"/>
  <c r="H54" i="11"/>
  <c r="H109" i="11" s="1"/>
  <c r="I50" i="11"/>
  <c r="H147" i="24"/>
  <c r="H240" i="24" s="1"/>
  <c r="M37" i="9"/>
  <c r="N37" i="9" s="1"/>
  <c r="O37" i="9" s="1"/>
  <c r="I39" i="9"/>
  <c r="I108" i="9" s="1"/>
  <c r="O41" i="16"/>
  <c r="N43" i="16"/>
  <c r="N106" i="16" s="1"/>
  <c r="I82" i="17"/>
  <c r="F94" i="17"/>
  <c r="F119" i="17" s="1"/>
  <c r="F104" i="19"/>
  <c r="F121" i="19" s="1"/>
  <c r="I100" i="19"/>
  <c r="I113" i="15"/>
  <c r="F131" i="15"/>
  <c r="F163" i="15" s="1"/>
  <c r="F106" i="24"/>
  <c r="F238" i="24" s="1"/>
  <c r="I85" i="24"/>
  <c r="M85" i="24" s="1"/>
  <c r="N85" i="24" s="1"/>
  <c r="O85" i="24" s="1"/>
  <c r="F73" i="19"/>
  <c r="F117" i="19" s="1"/>
  <c r="F89" i="1"/>
  <c r="F114" i="1" s="1"/>
  <c r="I72" i="1"/>
  <c r="I47" i="10"/>
  <c r="F51" i="10"/>
  <c r="F110" i="10" s="1"/>
  <c r="E23" i="7"/>
  <c r="E113" i="7" s="1"/>
  <c r="F29" i="18"/>
  <c r="F111" i="18" s="1"/>
  <c r="F68" i="20"/>
  <c r="F96" i="20" s="1"/>
  <c r="F103" i="20" s="1"/>
  <c r="I66" i="20"/>
  <c r="F65" i="10"/>
  <c r="F112" i="10" s="1"/>
  <c r="F119" i="10" s="1"/>
  <c r="I57" i="10"/>
  <c r="M57" i="10" s="1"/>
  <c r="N57" i="10" s="1"/>
  <c r="O57" i="10" s="1"/>
  <c r="F51" i="24"/>
  <c r="F234" i="24" s="1"/>
  <c r="F29" i="10"/>
  <c r="F106" i="10" s="1"/>
  <c r="F16" i="17"/>
  <c r="F109" i="17" s="1"/>
  <c r="I50" i="13"/>
  <c r="N50" i="9"/>
  <c r="N109" i="9" s="1"/>
  <c r="O56" i="10"/>
  <c r="O64" i="10" s="1"/>
  <c r="O111" i="10" s="1"/>
  <c r="N64" i="10"/>
  <c r="N111" i="10" s="1"/>
  <c r="I27" i="17"/>
  <c r="K39" i="20"/>
  <c r="L39" i="20" s="1"/>
  <c r="U39" i="20" s="1"/>
  <c r="F124" i="19"/>
  <c r="L64" i="17"/>
  <c r="K72" i="17"/>
  <c r="K116" i="17" s="1"/>
  <c r="O33" i="14"/>
  <c r="O35" i="14" s="1"/>
  <c r="O104" i="14" s="1"/>
  <c r="N35" i="14"/>
  <c r="N104" i="14" s="1"/>
  <c r="I41" i="24"/>
  <c r="H51" i="24"/>
  <c r="H234" i="24" s="1"/>
  <c r="H65" i="1"/>
  <c r="H112" i="1" s="1"/>
  <c r="I114" i="24"/>
  <c r="M114" i="24" s="1"/>
  <c r="N114" i="24" s="1"/>
  <c r="O114" i="24" s="1"/>
  <c r="H66" i="7"/>
  <c r="I78" i="11"/>
  <c r="M78" i="11" s="1"/>
  <c r="N78" i="11" s="1"/>
  <c r="O78" i="11" s="1"/>
  <c r="F102" i="15"/>
  <c r="F161" i="15" s="1"/>
  <c r="I100" i="15"/>
  <c r="I82" i="18"/>
  <c r="F94" i="18"/>
  <c r="F119" i="18" s="1"/>
  <c r="F88" i="11"/>
  <c r="F113" i="11" s="1"/>
  <c r="I75" i="11"/>
  <c r="M75" i="11" s="1"/>
  <c r="N75" i="11" s="1"/>
  <c r="O75" i="11" s="1"/>
  <c r="H54" i="7"/>
  <c r="H58" i="7" s="1"/>
  <c r="H119" i="7" s="1"/>
  <c r="E58" i="7"/>
  <c r="E119" i="7" s="1"/>
  <c r="H34" i="7"/>
  <c r="E36" i="7"/>
  <c r="E115" i="7" s="1"/>
  <c r="F16" i="1"/>
  <c r="F104" i="1" s="1"/>
  <c r="F73" i="17"/>
  <c r="F117" i="17" s="1"/>
  <c r="F226" i="24"/>
  <c r="F244" i="24" s="1"/>
  <c r="F89" i="9"/>
  <c r="F114" i="9" s="1"/>
  <c r="F65" i="9"/>
  <c r="F112" i="9" s="1"/>
  <c r="I57" i="9"/>
  <c r="M57" i="9" s="1"/>
  <c r="N57" i="9" s="1"/>
  <c r="I74" i="9"/>
  <c r="L56" i="10"/>
  <c r="K64" i="10"/>
  <c r="K111" i="10" s="1"/>
  <c r="K118" i="10" s="1"/>
  <c r="J11" i="16"/>
  <c r="Q72" i="19"/>
  <c r="Q116" i="19" s="1"/>
  <c r="I158" i="24"/>
  <c r="N93" i="16"/>
  <c r="J97" i="16"/>
  <c r="J114" i="16" s="1"/>
  <c r="I112" i="24"/>
  <c r="I65" i="17"/>
  <c r="M65" i="17" s="1"/>
  <c r="N65" i="17" s="1"/>
  <c r="O65" i="17" s="1"/>
  <c r="O73" i="17" s="1"/>
  <c r="O117" i="17" s="1"/>
  <c r="F119" i="1"/>
  <c r="S57" i="13"/>
  <c r="E100" i="25"/>
  <c r="E117" i="25" s="1"/>
  <c r="H52" i="25"/>
  <c r="H111" i="25" s="1"/>
  <c r="F100" i="25"/>
  <c r="F117" i="25" s="1"/>
  <c r="M198" i="24"/>
  <c r="M241" i="24" s="1"/>
  <c r="R51" i="11"/>
  <c r="R53" i="11" s="1"/>
  <c r="R108" i="11" s="1"/>
  <c r="Q53" i="11"/>
  <c r="Q108" i="11" s="1"/>
  <c r="L33" i="14"/>
  <c r="K35" i="14"/>
  <c r="K104" i="14" s="1"/>
  <c r="R64" i="18"/>
  <c r="R72" i="18" s="1"/>
  <c r="R116" i="18" s="1"/>
  <c r="Q72" i="18"/>
  <c r="Q116" i="18" s="1"/>
  <c r="H68" i="11"/>
  <c r="H111" i="11" s="1"/>
  <c r="I60" i="11"/>
  <c r="M60" i="11" s="1"/>
  <c r="N60" i="11" s="1"/>
  <c r="H65" i="10"/>
  <c r="H112" i="10" s="1"/>
  <c r="I89" i="24"/>
  <c r="M89" i="24" s="1"/>
  <c r="N89" i="24" s="1"/>
  <c r="O89" i="24" s="1"/>
  <c r="I98" i="15"/>
  <c r="M98" i="15" s="1"/>
  <c r="N98" i="15" s="1"/>
  <c r="O98" i="15" s="1"/>
  <c r="F48" i="14"/>
  <c r="F107" i="14" s="1"/>
  <c r="I72" i="10"/>
  <c r="H64" i="7"/>
  <c r="H72" i="7" s="1"/>
  <c r="H121" i="7" s="1"/>
  <c r="E72" i="7"/>
  <c r="E121" i="7" s="1"/>
  <c r="F72" i="24"/>
  <c r="F236" i="24" s="1"/>
  <c r="I62" i="24"/>
  <c r="M62" i="24" s="1"/>
  <c r="N62" i="24" s="1"/>
  <c r="O62" i="24" s="1"/>
  <c r="I92" i="14"/>
  <c r="F96" i="14"/>
  <c r="F113" i="14" s="1"/>
  <c r="F104" i="17"/>
  <c r="F121" i="17" s="1"/>
  <c r="I100" i="17"/>
  <c r="M100" i="17" s="1"/>
  <c r="M104" i="17" s="1"/>
  <c r="M121" i="17" s="1"/>
  <c r="F16" i="9"/>
  <c r="F104" i="9" s="1"/>
  <c r="F119" i="9" s="1"/>
  <c r="F62" i="14"/>
  <c r="F109" i="14" s="1"/>
  <c r="I73" i="13"/>
  <c r="F90" i="13"/>
  <c r="F115" i="13" s="1"/>
  <c r="F120" i="13" s="1"/>
  <c r="F104" i="18"/>
  <c r="F121" i="18" s="1"/>
  <c r="I137" i="15"/>
  <c r="F147" i="15"/>
  <c r="F165" i="15" s="1"/>
  <c r="I47" i="9"/>
  <c r="I43" i="24"/>
  <c r="M43" i="24" s="1"/>
  <c r="N43" i="24" s="1"/>
  <c r="O43" i="24" s="1"/>
  <c r="I12" i="13"/>
  <c r="Q50" i="9"/>
  <c r="Q109" i="9" s="1"/>
  <c r="I205" i="24"/>
  <c r="M205" i="24" s="1"/>
  <c r="N205" i="24" s="1"/>
  <c r="O205" i="24" s="1"/>
  <c r="J51" i="16"/>
  <c r="S161" i="24"/>
  <c r="M73" i="19"/>
  <c r="M117" i="19" s="1"/>
  <c r="S58" i="16"/>
  <c r="S62" i="16" s="1"/>
  <c r="S109" i="16" s="1"/>
  <c r="R62" i="16"/>
  <c r="R109" i="16" s="1"/>
  <c r="R99" i="18"/>
  <c r="R103" i="18" s="1"/>
  <c r="R120" i="18" s="1"/>
  <c r="Q103" i="18"/>
  <c r="Q120" i="18" s="1"/>
  <c r="D100" i="25"/>
  <c r="D117" i="25" s="1"/>
  <c r="M64" i="24"/>
  <c r="N64" i="24" s="1"/>
  <c r="O64" i="24" s="1"/>
  <c r="E66" i="25"/>
  <c r="E113" i="25" s="1"/>
  <c r="E16" i="25"/>
  <c r="E105" i="25" s="1"/>
  <c r="M59" i="9"/>
  <c r="I65" i="9"/>
  <c r="I112" i="9" s="1"/>
  <c r="O62" i="16"/>
  <c r="O109" i="16" s="1"/>
  <c r="O59" i="11"/>
  <c r="O67" i="11" s="1"/>
  <c r="O110" i="11" s="1"/>
  <c r="N67" i="11"/>
  <c r="N110" i="11" s="1"/>
  <c r="C16" i="25"/>
  <c r="C105" i="25" s="1"/>
  <c r="I11" i="25"/>
  <c r="I85" i="25"/>
  <c r="I62" i="25"/>
  <c r="I48" i="25"/>
  <c r="C52" i="25"/>
  <c r="C111" i="25" s="1"/>
  <c r="I98" i="25"/>
  <c r="F30" i="25"/>
  <c r="F107" i="25" s="1"/>
  <c r="F66" i="25"/>
  <c r="F113" i="25" s="1"/>
  <c r="F16" i="25"/>
  <c r="F105" i="25" s="1"/>
  <c r="M80" i="11"/>
  <c r="I88" i="11"/>
  <c r="I113" i="11" s="1"/>
  <c r="M209" i="24"/>
  <c r="N209" i="24" s="1"/>
  <c r="M102" i="18"/>
  <c r="I104" i="18"/>
  <c r="I121" i="18" s="1"/>
  <c r="Q38" i="9"/>
  <c r="Q107" i="9" s="1"/>
  <c r="R36" i="9"/>
  <c r="R38" i="9" s="1"/>
  <c r="R107" i="9" s="1"/>
  <c r="O44" i="18"/>
  <c r="O112" i="18" s="1"/>
  <c r="S42" i="18"/>
  <c r="S44" i="18" s="1"/>
  <c r="S112" i="18" s="1"/>
  <c r="L56" i="12"/>
  <c r="L64" i="12" s="1"/>
  <c r="L111" i="12" s="1"/>
  <c r="K64" i="12"/>
  <c r="K111" i="12" s="1"/>
  <c r="K118" i="12" s="1"/>
  <c r="R56" i="1"/>
  <c r="R64" i="1" s="1"/>
  <c r="R111" i="1" s="1"/>
  <c r="Q64" i="1"/>
  <c r="Q111" i="1" s="1"/>
  <c r="N28" i="9"/>
  <c r="N105" i="9" s="1"/>
  <c r="O24" i="9"/>
  <c r="O28" i="9" s="1"/>
  <c r="O105" i="9" s="1"/>
  <c r="O60" i="9"/>
  <c r="N64" i="9"/>
  <c r="N111" i="9" s="1"/>
  <c r="J63" i="16"/>
  <c r="J110" i="16" s="1"/>
  <c r="O146" i="24"/>
  <c r="O239" i="24" s="1"/>
  <c r="M56" i="24"/>
  <c r="N56" i="24" s="1"/>
  <c r="O56" i="24" s="1"/>
  <c r="N73" i="19"/>
  <c r="N117" i="19" s="1"/>
  <c r="S50" i="16"/>
  <c r="S52" i="16" s="1"/>
  <c r="R52" i="16"/>
  <c r="R107" i="16" s="1"/>
  <c r="K54" i="20"/>
  <c r="K91" i="20" s="1"/>
  <c r="L52" i="20"/>
  <c r="O99" i="18"/>
  <c r="O103" i="18" s="1"/>
  <c r="O120" i="18" s="1"/>
  <c r="N103" i="18"/>
  <c r="N120" i="18" s="1"/>
  <c r="G90" i="25"/>
  <c r="G115" i="25" s="1"/>
  <c r="G52" i="25"/>
  <c r="G111" i="25" s="1"/>
  <c r="E90" i="25"/>
  <c r="E115" i="25" s="1"/>
  <c r="H90" i="25"/>
  <c r="H115" i="25" s="1"/>
  <c r="M59" i="10"/>
  <c r="I65" i="10"/>
  <c r="I112" i="10" s="1"/>
  <c r="L59" i="11"/>
  <c r="K67" i="11"/>
  <c r="K110" i="11" s="1"/>
  <c r="I26" i="25"/>
  <c r="I38" i="25"/>
  <c r="C100" i="25"/>
  <c r="C117" i="25" s="1"/>
  <c r="I96" i="25"/>
  <c r="C90" i="25"/>
  <c r="C115" i="25" s="1"/>
  <c r="I73" i="25"/>
  <c r="I58" i="25"/>
  <c r="C66" i="25"/>
  <c r="C113" i="25" s="1"/>
  <c r="R15" i="12"/>
  <c r="R103" i="12" s="1"/>
  <c r="Q103" i="12"/>
  <c r="R24" i="9"/>
  <c r="R28" i="9" s="1"/>
  <c r="R105" i="9" s="1"/>
  <c r="Q28" i="9"/>
  <c r="Q105" i="9" s="1"/>
  <c r="O15" i="1"/>
  <c r="O103" i="1" s="1"/>
  <c r="N103" i="1"/>
  <c r="I68" i="11"/>
  <c r="I111" i="11" s="1"/>
  <c r="Q61" i="15"/>
  <c r="Q156" i="15" s="1"/>
  <c r="M27" i="12"/>
  <c r="I29" i="12"/>
  <c r="I106" i="12" s="1"/>
  <c r="N28" i="11"/>
  <c r="O28" i="11" s="1"/>
  <c r="M99" i="9"/>
  <c r="M116" i="9" s="1"/>
  <c r="J56" i="24"/>
  <c r="K56" i="24" s="1"/>
  <c r="M62" i="16"/>
  <c r="M109" i="16" s="1"/>
  <c r="L83" i="9"/>
  <c r="S83" i="9" s="1"/>
  <c r="L88" i="9"/>
  <c r="L113" i="9" s="1"/>
  <c r="O55" i="14"/>
  <c r="O61" i="14" s="1"/>
  <c r="O108" i="14" s="1"/>
  <c r="N61" i="14"/>
  <c r="N108" i="14" s="1"/>
  <c r="L91" i="14"/>
  <c r="K95" i="14"/>
  <c r="K112" i="14" s="1"/>
  <c r="L99" i="18"/>
  <c r="K103" i="18"/>
  <c r="K120" i="18" s="1"/>
  <c r="K123" i="18" s="1"/>
  <c r="M97" i="10"/>
  <c r="I99" i="10"/>
  <c r="I116" i="10" s="1"/>
  <c r="M97" i="1"/>
  <c r="I99" i="1"/>
  <c r="I116" i="1" s="1"/>
  <c r="H98" i="7"/>
  <c r="H123" i="7" s="1"/>
  <c r="R56" i="9"/>
  <c r="Q64" i="9"/>
  <c r="Q111" i="9" s="1"/>
  <c r="I60" i="25"/>
  <c r="I64" i="25"/>
  <c r="I50" i="25"/>
  <c r="I82" i="25"/>
  <c r="I78" i="25"/>
  <c r="F90" i="25"/>
  <c r="F115" i="25" s="1"/>
  <c r="F52" i="25"/>
  <c r="F111" i="25" s="1"/>
  <c r="I62" i="15"/>
  <c r="I157" i="15" s="1"/>
  <c r="M56" i="15"/>
  <c r="M14" i="19"/>
  <c r="I16" i="19"/>
  <c r="I109" i="19" s="1"/>
  <c r="N61" i="15"/>
  <c r="N156" i="15" s="1"/>
  <c r="O53" i="15"/>
  <c r="L50" i="9"/>
  <c r="L109" i="9" s="1"/>
  <c r="S46" i="9"/>
  <c r="I73" i="17"/>
  <c r="I117" i="17" s="1"/>
  <c r="M68" i="11"/>
  <c r="M111" i="11" s="1"/>
  <c r="M95" i="12"/>
  <c r="I99" i="12"/>
  <c r="I116" i="12" s="1"/>
  <c r="I29" i="1"/>
  <c r="I106" i="1" s="1"/>
  <c r="I99" i="9"/>
  <c r="I116" i="9" s="1"/>
  <c r="S11" i="13"/>
  <c r="T12" i="16"/>
  <c r="T101" i="16" s="1"/>
  <c r="K67" i="20"/>
  <c r="K95" i="20" s="1"/>
  <c r="L65" i="20"/>
  <c r="M50" i="16"/>
  <c r="L52" i="16"/>
  <c r="L107" i="16" s="1"/>
  <c r="L55" i="14"/>
  <c r="K61" i="14"/>
  <c r="K108" i="14" s="1"/>
  <c r="S73" i="14"/>
  <c r="D16" i="25"/>
  <c r="D105" i="25" s="1"/>
  <c r="D120" i="25" s="1"/>
  <c r="G100" i="25"/>
  <c r="G117" i="25" s="1"/>
  <c r="G30" i="25"/>
  <c r="G107" i="25" s="1"/>
  <c r="E52" i="25"/>
  <c r="E111" i="25" s="1"/>
  <c r="E30" i="25"/>
  <c r="E107" i="25" s="1"/>
  <c r="H100" i="25"/>
  <c r="H117" i="25" s="1"/>
  <c r="H120" i="25" s="1"/>
  <c r="Q95" i="14"/>
  <c r="Q112" i="14" s="1"/>
  <c r="I80" i="25"/>
  <c r="I75" i="25"/>
  <c r="C30" i="25"/>
  <c r="C107" i="25" s="1"/>
  <c r="I28" i="25"/>
  <c r="I14" i="25"/>
  <c r="I88" i="25"/>
  <c r="M25" i="10"/>
  <c r="I29" i="10"/>
  <c r="I106" i="10" s="1"/>
  <c r="I106" i="24"/>
  <c r="M87" i="24"/>
  <c r="O36" i="9"/>
  <c r="N38" i="9"/>
  <c r="N107" i="9" s="1"/>
  <c r="R56" i="12"/>
  <c r="R64" i="12" s="1"/>
  <c r="R111" i="12" s="1"/>
  <c r="Q64" i="12"/>
  <c r="Q111" i="12" s="1"/>
  <c r="R15" i="10"/>
  <c r="Q103" i="10"/>
  <c r="S24" i="9"/>
  <c r="R15" i="1"/>
  <c r="R103" i="1" s="1"/>
  <c r="Q103" i="1"/>
  <c r="I89" i="12"/>
  <c r="I114" i="12" s="1"/>
  <c r="M72" i="12"/>
  <c r="I104" i="17"/>
  <c r="I121" i="17" s="1"/>
  <c r="N15" i="19"/>
  <c r="I108" i="19"/>
  <c r="S48" i="9"/>
  <c r="R50" i="9"/>
  <c r="O48" i="10"/>
  <c r="O50" i="10" s="1"/>
  <c r="O109" i="10" s="1"/>
  <c r="N50" i="10"/>
  <c r="N109" i="10" s="1"/>
  <c r="N15" i="17"/>
  <c r="I108" i="17"/>
  <c r="I123" i="17" s="1"/>
  <c r="Q15" i="17"/>
  <c r="I119" i="12"/>
  <c r="T79" i="19"/>
  <c r="T94" i="19" s="1"/>
  <c r="T119" i="19" s="1"/>
  <c r="U31" i="20"/>
  <c r="U40" i="19"/>
  <c r="U34" i="20"/>
  <c r="T44" i="10"/>
  <c r="T51" i="10" s="1"/>
  <c r="T110" i="10" s="1"/>
  <c r="J11" i="21" s="1"/>
  <c r="U23" i="11"/>
  <c r="R41" i="20"/>
  <c r="R90" i="20" s="1"/>
  <c r="K43" i="15"/>
  <c r="K154" i="15" s="1"/>
  <c r="S94" i="16"/>
  <c r="S96" i="16" s="1"/>
  <c r="S113" i="16" s="1"/>
  <c r="R96" i="16"/>
  <c r="R113" i="16" s="1"/>
  <c r="R116" i="16" s="1"/>
  <c r="O51" i="11"/>
  <c r="N53" i="11"/>
  <c r="N108" i="11" s="1"/>
  <c r="G119" i="9"/>
  <c r="R15" i="19"/>
  <c r="R108" i="19" s="1"/>
  <c r="Q108" i="19"/>
  <c r="O48" i="1"/>
  <c r="N50" i="1"/>
  <c r="N109" i="1" s="1"/>
  <c r="P94" i="16"/>
  <c r="P96" i="16" s="1"/>
  <c r="P113" i="16" s="1"/>
  <c r="O96" i="16"/>
  <c r="O113" i="16" s="1"/>
  <c r="R96" i="1"/>
  <c r="R98" i="1" s="1"/>
  <c r="R115" i="1" s="1"/>
  <c r="Q98" i="1"/>
  <c r="Q115" i="1" s="1"/>
  <c r="Q35" i="24"/>
  <c r="R35" i="24" s="1"/>
  <c r="K35" i="24"/>
  <c r="L35" i="24" s="1"/>
  <c r="N15" i="18"/>
  <c r="I108" i="18"/>
  <c r="I123" i="18" s="1"/>
  <c r="Q15" i="18"/>
  <c r="L26" i="1"/>
  <c r="L28" i="1" s="1"/>
  <c r="L105" i="1" s="1"/>
  <c r="K28" i="1"/>
  <c r="K105" i="1" s="1"/>
  <c r="K118" i="1" s="1"/>
  <c r="N35" i="24"/>
  <c r="O35" i="24" s="1"/>
  <c r="M26" i="24"/>
  <c r="N25" i="24"/>
  <c r="R26" i="18"/>
  <c r="R28" i="18" s="1"/>
  <c r="R110" i="18" s="1"/>
  <c r="Q28" i="18"/>
  <c r="Q110" i="18" s="1"/>
  <c r="N67" i="18"/>
  <c r="U32" i="20"/>
  <c r="T50" i="17"/>
  <c r="T59" i="17" s="1"/>
  <c r="T115" i="17" s="1"/>
  <c r="U40" i="18"/>
  <c r="T68" i="15"/>
  <c r="T37" i="18"/>
  <c r="U34" i="24"/>
  <c r="T37" i="19"/>
  <c r="K19" i="14"/>
  <c r="L19" i="14" s="1"/>
  <c r="O25" i="24"/>
  <c r="V21" i="16"/>
  <c r="T36" i="17"/>
  <c r="T50" i="19"/>
  <c r="T59" i="19" s="1"/>
  <c r="T115" i="19" s="1"/>
  <c r="U37" i="11"/>
  <c r="U42" i="11" s="1"/>
  <c r="U107" i="11" s="1"/>
  <c r="F34" i="21" s="1"/>
  <c r="T47" i="20"/>
  <c r="U29" i="20"/>
  <c r="V22" i="16"/>
  <c r="T108" i="15"/>
  <c r="T47" i="11"/>
  <c r="T54" i="11" s="1"/>
  <c r="T109" i="11" s="1"/>
  <c r="E35" i="21" s="1"/>
  <c r="U38" i="16"/>
  <c r="U43" i="16" s="1"/>
  <c r="U106" i="16" s="1"/>
  <c r="T35" i="17"/>
  <c r="U48" i="16"/>
  <c r="U53" i="16" s="1"/>
  <c r="U108" i="16" s="1"/>
  <c r="F59" i="21" s="1"/>
  <c r="F8" i="23" s="1"/>
  <c r="U76" i="20"/>
  <c r="U33" i="20"/>
  <c r="U28" i="20"/>
  <c r="U39" i="17"/>
  <c r="U75" i="20"/>
  <c r="U58" i="24"/>
  <c r="T34" i="12"/>
  <c r="T39" i="12" s="1"/>
  <c r="T108" i="12" s="1"/>
  <c r="T36" i="19"/>
  <c r="V20" i="16"/>
  <c r="U40" i="17"/>
  <c r="U154" i="24"/>
  <c r="Q41" i="20"/>
  <c r="Q90" i="20" s="1"/>
  <c r="T109" i="15"/>
  <c r="U51" i="15"/>
  <c r="U62" i="15" s="1"/>
  <c r="K22" i="21" s="1"/>
  <c r="T49" i="15"/>
  <c r="Q22" i="13"/>
  <c r="R22" i="13" s="1"/>
  <c r="Q21" i="18"/>
  <c r="R21" i="18" s="1"/>
  <c r="N21" i="1"/>
  <c r="O21" i="1" s="1"/>
  <c r="N22" i="1"/>
  <c r="O22" i="1" s="1"/>
  <c r="Q22" i="1"/>
  <c r="R22" i="1" s="1"/>
  <c r="Q21" i="1"/>
  <c r="R21" i="1" s="1"/>
  <c r="L37" i="24"/>
  <c r="L50" i="24" s="1"/>
  <c r="L233" i="24" s="1"/>
  <c r="K50" i="24"/>
  <c r="K233" i="24" s="1"/>
  <c r="R36" i="15"/>
  <c r="S36" i="15" s="1"/>
  <c r="Q43" i="15"/>
  <c r="Q154" i="15" s="1"/>
  <c r="T67" i="15"/>
  <c r="L99" i="13"/>
  <c r="L116" i="13" s="1"/>
  <c r="S97" i="13"/>
  <c r="M28" i="16"/>
  <c r="L32" i="16"/>
  <c r="L103" i="16" s="1"/>
  <c r="T36" i="18"/>
  <c r="T35" i="18"/>
  <c r="T50" i="18"/>
  <c r="T59" i="18" s="1"/>
  <c r="T115" i="18" s="1"/>
  <c r="T37" i="17"/>
  <c r="R96" i="12"/>
  <c r="R98" i="12" s="1"/>
  <c r="R115" i="12" s="1"/>
  <c r="Q98" i="12"/>
  <c r="Q115" i="12" s="1"/>
  <c r="O26" i="18"/>
  <c r="N28" i="18"/>
  <c r="N110" i="18" s="1"/>
  <c r="N59" i="1"/>
  <c r="N60" i="13"/>
  <c r="M66" i="13"/>
  <c r="M113" i="13" s="1"/>
  <c r="I123" i="19"/>
  <c r="R93" i="18"/>
  <c r="R118" i="18" s="1"/>
  <c r="E124" i="17"/>
  <c r="S87" i="13"/>
  <c r="O27" i="20"/>
  <c r="O41" i="20" s="1"/>
  <c r="O90" i="20" s="1"/>
  <c r="N41" i="20"/>
  <c r="N90" i="20" s="1"/>
  <c r="R96" i="9"/>
  <c r="R98" i="9" s="1"/>
  <c r="R115" i="9" s="1"/>
  <c r="Q98" i="9"/>
  <c r="Q115" i="9" s="1"/>
  <c r="R26" i="17"/>
  <c r="R28" i="17" s="1"/>
  <c r="R110" i="17" s="1"/>
  <c r="Q28" i="17"/>
  <c r="Q110" i="17" s="1"/>
  <c r="L103" i="17"/>
  <c r="L120" i="17" s="1"/>
  <c r="S101" i="17"/>
  <c r="S107" i="16"/>
  <c r="S103" i="16"/>
  <c r="V23" i="16"/>
  <c r="L24" i="17"/>
  <c r="K28" i="17"/>
  <c r="K110" i="17" s="1"/>
  <c r="K123" i="17" s="1"/>
  <c r="R95" i="13"/>
  <c r="R99" i="13" s="1"/>
  <c r="R116" i="13" s="1"/>
  <c r="Q99" i="13"/>
  <c r="Q116" i="13" s="1"/>
  <c r="O59" i="13"/>
  <c r="N65" i="13"/>
  <c r="N112" i="13" s="1"/>
  <c r="R49" i="13"/>
  <c r="R51" i="13" s="1"/>
  <c r="R110" i="13" s="1"/>
  <c r="Q51" i="13"/>
  <c r="Q110" i="13" s="1"/>
  <c r="O37" i="13"/>
  <c r="O39" i="13" s="1"/>
  <c r="O108" i="13" s="1"/>
  <c r="N39" i="13"/>
  <c r="N108" i="13" s="1"/>
  <c r="R27" i="13"/>
  <c r="R29" i="13" s="1"/>
  <c r="R106" i="13" s="1"/>
  <c r="Q29" i="13"/>
  <c r="Q106" i="13" s="1"/>
  <c r="O27" i="13"/>
  <c r="N29" i="13"/>
  <c r="N106" i="13" s="1"/>
  <c r="N16" i="13"/>
  <c r="I104" i="13"/>
  <c r="I119" i="13" s="1"/>
  <c r="Q16" i="13"/>
  <c r="L104" i="13"/>
  <c r="M16" i="12"/>
  <c r="M104" i="12" s="1"/>
  <c r="S10" i="12"/>
  <c r="N29" i="24"/>
  <c r="O29" i="24" s="1"/>
  <c r="U39" i="18"/>
  <c r="L29" i="13"/>
  <c r="S25" i="13"/>
  <c r="N45" i="13"/>
  <c r="U18" i="14"/>
  <c r="R23" i="14"/>
  <c r="R25" i="14" s="1"/>
  <c r="R102" i="14" s="1"/>
  <c r="Q25" i="14"/>
  <c r="Q102" i="14" s="1"/>
  <c r="K118" i="9"/>
  <c r="S26" i="9"/>
  <c r="O27" i="11"/>
  <c r="N29" i="11"/>
  <c r="N104" i="11" s="1"/>
  <c r="R42" i="19"/>
  <c r="Q44" i="19"/>
  <c r="Q112" i="19" s="1"/>
  <c r="R52" i="19"/>
  <c r="Q58" i="19"/>
  <c r="Q114" i="19" s="1"/>
  <c r="R99" i="19"/>
  <c r="R103" i="19" s="1"/>
  <c r="R120" i="19" s="1"/>
  <c r="Q103" i="19"/>
  <c r="Q120" i="19" s="1"/>
  <c r="O26" i="17"/>
  <c r="N28" i="17"/>
  <c r="N110" i="17" s="1"/>
  <c r="R99" i="17"/>
  <c r="R103" i="17" s="1"/>
  <c r="R120" i="17" s="1"/>
  <c r="Q103" i="17"/>
  <c r="Q120" i="17" s="1"/>
  <c r="O23" i="14"/>
  <c r="O25" i="14" s="1"/>
  <c r="O102" i="14" s="1"/>
  <c r="N25" i="14"/>
  <c r="N102" i="14" s="1"/>
  <c r="R37" i="24"/>
  <c r="Q50" i="24"/>
  <c r="Q233" i="24" s="1"/>
  <c r="R204" i="24"/>
  <c r="R225" i="24" s="1"/>
  <c r="R243" i="24" s="1"/>
  <c r="Q225" i="24"/>
  <c r="Q243" i="24" s="1"/>
  <c r="Q130" i="15"/>
  <c r="Q162" i="15" s="1"/>
  <c r="R112" i="15"/>
  <c r="R130" i="15" s="1"/>
  <c r="R162" i="15" s="1"/>
  <c r="R14" i="24"/>
  <c r="Q19" i="24"/>
  <c r="O83" i="10"/>
  <c r="S83" i="10" s="1"/>
  <c r="O88" i="10"/>
  <c r="O114" i="15"/>
  <c r="N130" i="15"/>
  <c r="N162" i="15" s="1"/>
  <c r="O96" i="1"/>
  <c r="N98" i="1"/>
  <c r="N115" i="1" s="1"/>
  <c r="R59" i="14"/>
  <c r="Q61" i="14"/>
  <c r="Q108" i="14" s="1"/>
  <c r="O49" i="13"/>
  <c r="O51" i="13" s="1"/>
  <c r="O110" i="13" s="1"/>
  <c r="N51" i="13"/>
  <c r="N110" i="13" s="1"/>
  <c r="O72" i="13"/>
  <c r="S72" i="13" s="1"/>
  <c r="O89" i="13"/>
  <c r="R24" i="12"/>
  <c r="R28" i="12" s="1"/>
  <c r="R105" i="12" s="1"/>
  <c r="Q28" i="12"/>
  <c r="Q105" i="12" s="1"/>
  <c r="O56" i="12"/>
  <c r="N64" i="12"/>
  <c r="N111" i="12" s="1"/>
  <c r="O96" i="12"/>
  <c r="N98" i="12"/>
  <c r="N115" i="12" s="1"/>
  <c r="H16" i="1"/>
  <c r="H104" i="1" s="1"/>
  <c r="H119" i="1" s="1"/>
  <c r="I11" i="1"/>
  <c r="G23" i="7"/>
  <c r="G113" i="7" s="1"/>
  <c r="G128" i="7" s="1"/>
  <c r="H18" i="7"/>
  <c r="H20" i="24"/>
  <c r="H232" i="24" s="1"/>
  <c r="H247" i="24" s="1"/>
  <c r="I15" i="24"/>
  <c r="H29" i="9"/>
  <c r="H106" i="9" s="1"/>
  <c r="H119" i="9" s="1"/>
  <c r="I27" i="9"/>
  <c r="R94" i="10"/>
  <c r="Q98" i="10"/>
  <c r="Q115" i="10" s="1"/>
  <c r="M98" i="13"/>
  <c r="I100" i="13"/>
  <c r="I117" i="13" s="1"/>
  <c r="R15" i="9"/>
  <c r="R103" i="9" s="1"/>
  <c r="Q103" i="9"/>
  <c r="Q118" i="9" s="1"/>
  <c r="N53" i="20"/>
  <c r="M55" i="20"/>
  <c r="M92" i="20" s="1"/>
  <c r="N24" i="15"/>
  <c r="R89" i="13"/>
  <c r="R114" i="13" s="1"/>
  <c r="R88" i="1"/>
  <c r="R113" i="1" s="1"/>
  <c r="N28" i="10"/>
  <c r="N105" i="10" s="1"/>
  <c r="N118" i="10" s="1"/>
  <c r="R26" i="1"/>
  <c r="Q28" i="1"/>
  <c r="Q105" i="1" s="1"/>
  <c r="Q118" i="1" s="1"/>
  <c r="O99" i="19"/>
  <c r="N103" i="19"/>
  <c r="N120" i="19" s="1"/>
  <c r="O99" i="17"/>
  <c r="N103" i="17"/>
  <c r="N120" i="17" s="1"/>
  <c r="R92" i="24"/>
  <c r="Q105" i="24"/>
  <c r="Q237" i="24" s="1"/>
  <c r="O204" i="24"/>
  <c r="N225" i="24"/>
  <c r="N243" i="24" s="1"/>
  <c r="J85" i="15"/>
  <c r="K85" i="15" s="1"/>
  <c r="L85" i="15" s="1"/>
  <c r="S85" i="15" s="1"/>
  <c r="J93" i="15"/>
  <c r="J74" i="15"/>
  <c r="K74" i="15" s="1"/>
  <c r="L74" i="15" s="1"/>
  <c r="S74" i="15" s="1"/>
  <c r="J70" i="15"/>
  <c r="K70" i="15" s="1"/>
  <c r="J89" i="15"/>
  <c r="K89" i="15" s="1"/>
  <c r="L89" i="15" s="1"/>
  <c r="S89" i="15" s="1"/>
  <c r="R97" i="15"/>
  <c r="Q101" i="15"/>
  <c r="Q160" i="15" s="1"/>
  <c r="J78" i="7"/>
  <c r="K78" i="7" s="1"/>
  <c r="J65" i="7"/>
  <c r="K65" i="7" s="1"/>
  <c r="J53" i="7"/>
  <c r="J105" i="7"/>
  <c r="K105" i="7" s="1"/>
  <c r="J83" i="7"/>
  <c r="K83" i="7" s="1"/>
  <c r="J67" i="7"/>
  <c r="K67" i="7" s="1"/>
  <c r="J69" i="7"/>
  <c r="K69" i="7" s="1"/>
  <c r="J55" i="7"/>
  <c r="K55" i="7" s="1"/>
  <c r="J43" i="7"/>
  <c r="J87" i="7"/>
  <c r="K87" i="7" s="1"/>
  <c r="J80" i="7"/>
  <c r="K80" i="7" s="1"/>
  <c r="N19" i="24"/>
  <c r="O14" i="24"/>
  <c r="S14" i="24" s="1"/>
  <c r="O96" i="9"/>
  <c r="N98" i="9"/>
  <c r="N115" i="9" s="1"/>
  <c r="R68" i="17"/>
  <c r="Q72" i="17"/>
  <c r="Q116" i="17" s="1"/>
  <c r="O45" i="14"/>
  <c r="O47" i="14" s="1"/>
  <c r="O106" i="14" s="1"/>
  <c r="N47" i="14"/>
  <c r="N106" i="14" s="1"/>
  <c r="R37" i="13"/>
  <c r="Q39" i="13"/>
  <c r="Q108" i="13" s="1"/>
  <c r="R63" i="13"/>
  <c r="Q65" i="13"/>
  <c r="Q112" i="13" s="1"/>
  <c r="O95" i="13"/>
  <c r="N99" i="13"/>
  <c r="N116" i="13" s="1"/>
  <c r="R46" i="12"/>
  <c r="Q50" i="12"/>
  <c r="Q109" i="12" s="1"/>
  <c r="O83" i="12"/>
  <c r="O88" i="12"/>
  <c r="O113" i="12" s="1"/>
  <c r="H16" i="10"/>
  <c r="H104" i="10" s="1"/>
  <c r="H119" i="10" s="1"/>
  <c r="I11" i="10"/>
  <c r="H16" i="11"/>
  <c r="H103" i="11" s="1"/>
  <c r="H118" i="11" s="1"/>
  <c r="I11" i="11"/>
  <c r="H25" i="15"/>
  <c r="H153" i="15" s="1"/>
  <c r="H168" i="15" s="1"/>
  <c r="I20" i="15"/>
  <c r="O56" i="1"/>
  <c r="N64" i="1"/>
  <c r="N111" i="1" s="1"/>
  <c r="K111" i="24"/>
  <c r="J146" i="24"/>
  <c r="J239" i="24" s="1"/>
  <c r="N103" i="9"/>
  <c r="O15" i="9"/>
  <c r="O103" i="9" s="1"/>
  <c r="I16" i="9"/>
  <c r="I104" i="9" s="1"/>
  <c r="M11" i="9"/>
  <c r="J103" i="7"/>
  <c r="R93" i="19"/>
  <c r="R118" i="19" s="1"/>
  <c r="J59" i="15"/>
  <c r="K59" i="15" s="1"/>
  <c r="J112" i="15"/>
  <c r="K112" i="15" s="1"/>
  <c r="S86" i="16"/>
  <c r="S111" i="16" s="1"/>
  <c r="S116" i="16" s="1"/>
  <c r="I118" i="9"/>
  <c r="J69" i="24"/>
  <c r="K69" i="24" s="1"/>
  <c r="M69" i="24"/>
  <c r="N69" i="24" s="1"/>
  <c r="P69" i="24"/>
  <c r="Q69" i="24" s="1"/>
  <c r="S87" i="11"/>
  <c r="S112" i="11" s="1"/>
  <c r="C37" i="21" s="1"/>
  <c r="T36" i="11"/>
  <c r="R83" i="12"/>
  <c r="R88" i="12"/>
  <c r="R113" i="12" s="1"/>
  <c r="R45" i="14"/>
  <c r="R47" i="14" s="1"/>
  <c r="R106" i="14" s="1"/>
  <c r="Q47" i="14"/>
  <c r="Q106" i="14" s="1"/>
  <c r="L47" i="14"/>
  <c r="L28" i="12"/>
  <c r="S26" i="12"/>
  <c r="L115" i="12"/>
  <c r="N25" i="19"/>
  <c r="O25" i="19" s="1"/>
  <c r="M29" i="19"/>
  <c r="M111" i="19" s="1"/>
  <c r="N25" i="17"/>
  <c r="O25" i="17" s="1"/>
  <c r="N94" i="14"/>
  <c r="N74" i="1"/>
  <c r="N22" i="14"/>
  <c r="O22" i="14" s="1"/>
  <c r="M26" i="14"/>
  <c r="M103" i="14" s="1"/>
  <c r="N86" i="18"/>
  <c r="R88" i="9"/>
  <c r="R113" i="9" s="1"/>
  <c r="R93" i="17"/>
  <c r="R118" i="17" s="1"/>
  <c r="R48" i="10"/>
  <c r="Q50" i="10"/>
  <c r="Q109" i="10" s="1"/>
  <c r="Q118" i="10" s="1"/>
  <c r="S83" i="14"/>
  <c r="R85" i="14"/>
  <c r="L24" i="15"/>
  <c r="S22" i="15"/>
  <c r="L28" i="10"/>
  <c r="L105" i="10" s="1"/>
  <c r="S26" i="10"/>
  <c r="M96" i="16"/>
  <c r="L25" i="14"/>
  <c r="L51" i="13"/>
  <c r="L113" i="12"/>
  <c r="N25" i="18"/>
  <c r="O25" i="18" s="1"/>
  <c r="M29" i="18"/>
  <c r="M111" i="18" s="1"/>
  <c r="N96" i="11"/>
  <c r="O86" i="17"/>
  <c r="N15" i="13"/>
  <c r="N86" i="19"/>
  <c r="M94" i="19"/>
  <c r="M119" i="19" s="1"/>
  <c r="N71" i="14"/>
  <c r="Q31" i="7"/>
  <c r="Q35" i="7" s="1"/>
  <c r="Q114" i="7" s="1"/>
  <c r="P35" i="7"/>
  <c r="P114" i="7" s="1"/>
  <c r="P43" i="7"/>
  <c r="P53" i="7"/>
  <c r="P65" i="7"/>
  <c r="Q65" i="7" s="1"/>
  <c r="P67" i="7"/>
  <c r="Q67" i="7" s="1"/>
  <c r="P69" i="7"/>
  <c r="Q69" i="7" s="1"/>
  <c r="P80" i="7"/>
  <c r="Q80" i="7" s="1"/>
  <c r="P83" i="7"/>
  <c r="Q83" i="7" s="1"/>
  <c r="P87" i="7"/>
  <c r="Q87" i="7" s="1"/>
  <c r="P78" i="7"/>
  <c r="Q78" i="7" s="1"/>
  <c r="O51" i="7"/>
  <c r="P51" i="7" s="1"/>
  <c r="Q51" i="7" s="1"/>
  <c r="P55" i="7"/>
  <c r="Q55" i="7" s="1"/>
  <c r="P103" i="7"/>
  <c r="P105" i="7"/>
  <c r="Q105" i="7" s="1"/>
  <c r="P63" i="7"/>
  <c r="M63" i="7"/>
  <c r="M103" i="7"/>
  <c r="M78" i="7"/>
  <c r="N78" i="7" s="1"/>
  <c r="L81" i="7"/>
  <c r="M81" i="7" s="1"/>
  <c r="N81" i="7" s="1"/>
  <c r="L84" i="7"/>
  <c r="M84" i="7" s="1"/>
  <c r="N84" i="7" s="1"/>
  <c r="L44" i="7"/>
  <c r="M44" i="7" s="1"/>
  <c r="N44" i="7" s="1"/>
  <c r="L106" i="7"/>
  <c r="M106" i="7" s="1"/>
  <c r="N106" i="7" s="1"/>
  <c r="L70" i="7"/>
  <c r="M70" i="7" s="1"/>
  <c r="N70" i="7" s="1"/>
  <c r="L88" i="7"/>
  <c r="M88" i="7" s="1"/>
  <c r="L79" i="7"/>
  <c r="L54" i="7"/>
  <c r="M54" i="7" s="1"/>
  <c r="N54" i="7" s="1"/>
  <c r="L64" i="7"/>
  <c r="L104" i="7"/>
  <c r="M69" i="7"/>
  <c r="N69" i="7" s="1"/>
  <c r="M65" i="7"/>
  <c r="N65" i="7" s="1"/>
  <c r="M55" i="7"/>
  <c r="N55" i="7" s="1"/>
  <c r="M53" i="7"/>
  <c r="M43" i="7"/>
  <c r="M105" i="7"/>
  <c r="N105" i="7" s="1"/>
  <c r="M87" i="7"/>
  <c r="N87" i="7" s="1"/>
  <c r="M83" i="7"/>
  <c r="N83" i="7" s="1"/>
  <c r="R83" i="7" s="1"/>
  <c r="M80" i="7"/>
  <c r="N80" i="7" s="1"/>
  <c r="M67" i="7"/>
  <c r="N67" i="7" s="1"/>
  <c r="L68" i="7"/>
  <c r="M68" i="7" s="1"/>
  <c r="N68" i="7" s="1"/>
  <c r="L56" i="7"/>
  <c r="M56" i="7" s="1"/>
  <c r="L66" i="7"/>
  <c r="M66" i="7" s="1"/>
  <c r="N66" i="7" s="1"/>
  <c r="K63" i="7"/>
  <c r="K31" i="7"/>
  <c r="J35" i="7"/>
  <c r="J114" i="7" s="1"/>
  <c r="L111" i="1"/>
  <c r="L103" i="1"/>
  <c r="S15" i="1"/>
  <c r="S103" i="1" s="1"/>
  <c r="M8" i="21" s="1"/>
  <c r="S24" i="10"/>
  <c r="R28" i="10"/>
  <c r="R105" i="10" s="1"/>
  <c r="O105" i="10"/>
  <c r="L115" i="10"/>
  <c r="S15" i="9"/>
  <c r="S103" i="9" s="1"/>
  <c r="C8" i="21" s="1"/>
  <c r="L103" i="9"/>
  <c r="S28" i="9"/>
  <c r="S105" i="9" s="1"/>
  <c r="C9" i="21" s="1"/>
  <c r="N41" i="7"/>
  <c r="P29" i="7"/>
  <c r="Q29" i="7" s="1"/>
  <c r="U31" i="24"/>
  <c r="M39" i="10"/>
  <c r="M108" i="10" s="1"/>
  <c r="M45" i="19"/>
  <c r="M113" i="19" s="1"/>
  <c r="Q21" i="9"/>
  <c r="R21" i="9" s="1"/>
  <c r="Q32" i="15"/>
  <c r="R32" i="15" s="1"/>
  <c r="O34" i="10"/>
  <c r="O39" i="10" s="1"/>
  <c r="O108" i="10" s="1"/>
  <c r="N39" i="10"/>
  <c r="N108" i="10" s="1"/>
  <c r="O34" i="19"/>
  <c r="T34" i="19" s="1"/>
  <c r="N45" i="19"/>
  <c r="N113" i="19" s="1"/>
  <c r="T79" i="17"/>
  <c r="T94" i="17" s="1"/>
  <c r="T119" i="17" s="1"/>
  <c r="T35" i="19"/>
  <c r="U59" i="24"/>
  <c r="T79" i="18"/>
  <c r="T94" i="18" s="1"/>
  <c r="T119" i="18" s="1"/>
  <c r="N19" i="14"/>
  <c r="O19" i="14" s="1"/>
  <c r="N31" i="14"/>
  <c r="M36" i="14"/>
  <c r="M105" i="14" s="1"/>
  <c r="P27" i="24"/>
  <c r="Q26" i="24"/>
  <c r="R26" i="24" s="1"/>
  <c r="M48" i="14"/>
  <c r="M107" i="14" s="1"/>
  <c r="O41" i="14"/>
  <c r="T41" i="14" s="1"/>
  <c r="T48" i="14" s="1"/>
  <c r="T107" i="14" s="1"/>
  <c r="N48" i="14"/>
  <c r="N107" i="14" s="1"/>
  <c r="L115" i="9"/>
  <c r="R146" i="24"/>
  <c r="R239" i="24" s="1"/>
  <c r="S120" i="24"/>
  <c r="L105" i="24"/>
  <c r="L108" i="11"/>
  <c r="O78" i="15"/>
  <c r="L103" i="12"/>
  <c r="S15" i="12"/>
  <c r="S103" i="12" s="1"/>
  <c r="S163" i="24"/>
  <c r="L198" i="24"/>
  <c r="N65" i="12"/>
  <c r="N112" i="12" s="1"/>
  <c r="O57" i="12"/>
  <c r="O65" i="12" s="1"/>
  <c r="O112" i="12" s="1"/>
  <c r="O54" i="15"/>
  <c r="L243" i="24"/>
  <c r="L164" i="15"/>
  <c r="S146" i="15"/>
  <c r="S164" i="15" s="1"/>
  <c r="H26" i="21" s="1"/>
  <c r="O57" i="9"/>
  <c r="O63" i="16"/>
  <c r="O110" i="16" s="1"/>
  <c r="P59" i="16"/>
  <c r="P63" i="16" s="1"/>
  <c r="P110" i="16" s="1"/>
  <c r="O233" i="24"/>
  <c r="P62" i="16"/>
  <c r="T60" i="16"/>
  <c r="L113" i="1"/>
  <c r="S88" i="1"/>
  <c r="S113" i="1" s="1"/>
  <c r="K21" i="1"/>
  <c r="L21" i="1" s="1"/>
  <c r="K22" i="1"/>
  <c r="L22" i="1" s="1"/>
  <c r="K34" i="15"/>
  <c r="L34" i="15" s="1"/>
  <c r="N34" i="15"/>
  <c r="O34" i="15" s="1"/>
  <c r="Q34" i="15"/>
  <c r="R34" i="15" s="1"/>
  <c r="K21" i="17"/>
  <c r="L21" i="17" s="1"/>
  <c r="K22" i="17"/>
  <c r="L22" i="17" s="1"/>
  <c r="K22" i="12"/>
  <c r="L22" i="12" s="1"/>
  <c r="K21" i="12"/>
  <c r="L21" i="12" s="1"/>
  <c r="M18" i="16"/>
  <c r="M24" i="16" s="1"/>
  <c r="L24" i="16"/>
  <c r="K22" i="10"/>
  <c r="L22" i="10" s="1"/>
  <c r="K21" i="10"/>
  <c r="L21" i="10" s="1"/>
  <c r="K31" i="15"/>
  <c r="L31" i="15" s="1"/>
  <c r="K30" i="15"/>
  <c r="L30" i="15" s="1"/>
  <c r="K20" i="22"/>
  <c r="J22" i="22"/>
  <c r="J52" i="22" s="1"/>
  <c r="J63" i="22" s="1"/>
  <c r="K74" i="20"/>
  <c r="J78" i="20"/>
  <c r="J98" i="20" s="1"/>
  <c r="K46" i="20"/>
  <c r="J48" i="20"/>
  <c r="L116" i="19"/>
  <c r="K21" i="9"/>
  <c r="L21" i="9" s="1"/>
  <c r="K22" i="9"/>
  <c r="L22" i="9" s="1"/>
  <c r="J28" i="7"/>
  <c r="K28" i="7" s="1"/>
  <c r="J29" i="7"/>
  <c r="K29" i="7" s="1"/>
  <c r="K21" i="18"/>
  <c r="L21" i="18" s="1"/>
  <c r="K22" i="18"/>
  <c r="L22" i="18" s="1"/>
  <c r="K32" i="15"/>
  <c r="L32" i="15" s="1"/>
  <c r="K33" i="15"/>
  <c r="L33" i="15" s="1"/>
  <c r="U33" i="15" s="1"/>
  <c r="K22" i="13"/>
  <c r="L22" i="13" s="1"/>
  <c r="K23" i="13"/>
  <c r="L23" i="13" s="1"/>
  <c r="J14" i="12"/>
  <c r="K14" i="12" s="1"/>
  <c r="L14" i="12" s="1"/>
  <c r="J59" i="12"/>
  <c r="K59" i="12" s="1"/>
  <c r="L59" i="12" s="1"/>
  <c r="J63" i="12"/>
  <c r="K63" i="12" s="1"/>
  <c r="L63" i="12" s="1"/>
  <c r="J82" i="13"/>
  <c r="K82" i="13" s="1"/>
  <c r="L82" i="13" s="1"/>
  <c r="K82" i="16"/>
  <c r="L82" i="16" s="1"/>
  <c r="M82" i="16" s="1"/>
  <c r="K72" i="16"/>
  <c r="L72" i="16" s="1"/>
  <c r="M72" i="16" s="1"/>
  <c r="J71" i="18"/>
  <c r="K71" i="18" s="1"/>
  <c r="L71" i="18" s="1"/>
  <c r="J94" i="14"/>
  <c r="K94" i="14" s="1"/>
  <c r="L94" i="14" s="1"/>
  <c r="K85" i="16"/>
  <c r="L85" i="16" s="1"/>
  <c r="M85" i="16" s="1"/>
  <c r="K27" i="16"/>
  <c r="L27" i="16" s="1"/>
  <c r="M27" i="16" s="1"/>
  <c r="J84" i="17"/>
  <c r="K84" i="17" s="1"/>
  <c r="L84" i="17" s="1"/>
  <c r="J25" i="17"/>
  <c r="K25" i="17" s="1"/>
  <c r="L25" i="17" s="1"/>
  <c r="J102" i="18"/>
  <c r="K102" i="18" s="1"/>
  <c r="L102" i="18" s="1"/>
  <c r="J85" i="13"/>
  <c r="K85" i="13" s="1"/>
  <c r="L85" i="13" s="1"/>
  <c r="J75" i="13"/>
  <c r="K75" i="13" s="1"/>
  <c r="L75" i="13" s="1"/>
  <c r="J76" i="14"/>
  <c r="K76" i="14" s="1"/>
  <c r="L76" i="14" s="1"/>
  <c r="J58" i="14"/>
  <c r="K58" i="14" s="1"/>
  <c r="L58" i="14" s="1"/>
  <c r="K75" i="16"/>
  <c r="L75" i="16" s="1"/>
  <c r="M75" i="16" s="1"/>
  <c r="K61" i="16"/>
  <c r="L61" i="16" s="1"/>
  <c r="M61" i="16" s="1"/>
  <c r="J102" i="17"/>
  <c r="K102" i="17" s="1"/>
  <c r="L102" i="17" s="1"/>
  <c r="J67" i="17"/>
  <c r="K67" i="17" s="1"/>
  <c r="L67" i="17" s="1"/>
  <c r="J84" i="18"/>
  <c r="K84" i="18" s="1"/>
  <c r="L84" i="18" s="1"/>
  <c r="J69" i="19"/>
  <c r="K69" i="19" s="1"/>
  <c r="L69" i="19" s="1"/>
  <c r="J55" i="19"/>
  <c r="K55" i="19" s="1"/>
  <c r="L55" i="19" s="1"/>
  <c r="J14" i="19"/>
  <c r="K14" i="19" s="1"/>
  <c r="L14" i="19" s="1"/>
  <c r="J222" i="24"/>
  <c r="K222" i="24" s="1"/>
  <c r="L222" i="24" s="1"/>
  <c r="J213" i="24"/>
  <c r="K213" i="24" s="1"/>
  <c r="L213" i="24" s="1"/>
  <c r="J209" i="24"/>
  <c r="K209" i="24" s="1"/>
  <c r="L209" i="24" s="1"/>
  <c r="J89" i="19"/>
  <c r="K89" i="19" s="1"/>
  <c r="L89" i="19" s="1"/>
  <c r="J71" i="19"/>
  <c r="K71" i="19" s="1"/>
  <c r="L71" i="19" s="1"/>
  <c r="J57" i="19"/>
  <c r="J43" i="19"/>
  <c r="J119" i="15"/>
  <c r="K119" i="15" s="1"/>
  <c r="L119" i="15" s="1"/>
  <c r="J115" i="15"/>
  <c r="K115" i="15" s="1"/>
  <c r="L115" i="15" s="1"/>
  <c r="J86" i="11"/>
  <c r="K86" i="11" s="1"/>
  <c r="L86" i="11" s="1"/>
  <c r="J87" i="10"/>
  <c r="K87" i="10" s="1"/>
  <c r="L87" i="10" s="1"/>
  <c r="J92" i="15"/>
  <c r="K92" i="15" s="1"/>
  <c r="L92" i="15" s="1"/>
  <c r="I68" i="7"/>
  <c r="J68" i="7" s="1"/>
  <c r="K68" i="7" s="1"/>
  <c r="J64" i="11"/>
  <c r="K64" i="11" s="1"/>
  <c r="L64" i="11" s="1"/>
  <c r="J189" i="24"/>
  <c r="K189" i="24" s="1"/>
  <c r="L189" i="24" s="1"/>
  <c r="J176" i="24"/>
  <c r="K176" i="24" s="1"/>
  <c r="L176" i="24" s="1"/>
  <c r="J171" i="24"/>
  <c r="K171" i="24" s="1"/>
  <c r="L171" i="24" s="1"/>
  <c r="J167" i="24"/>
  <c r="K167" i="24" s="1"/>
  <c r="L167" i="24" s="1"/>
  <c r="J162" i="24"/>
  <c r="K162" i="24" s="1"/>
  <c r="L162" i="24" s="1"/>
  <c r="J81" i="1"/>
  <c r="K81" i="1" s="1"/>
  <c r="L81" i="1" s="1"/>
  <c r="J77" i="10"/>
  <c r="K77" i="10" s="1"/>
  <c r="L77" i="10" s="1"/>
  <c r="J81" i="9"/>
  <c r="K81" i="9" s="1"/>
  <c r="L81" i="9" s="1"/>
  <c r="J145" i="24"/>
  <c r="K145" i="24" s="1"/>
  <c r="L145" i="24" s="1"/>
  <c r="J136" i="24"/>
  <c r="J118" i="24"/>
  <c r="J62" i="11"/>
  <c r="K62" i="11" s="1"/>
  <c r="L62" i="11" s="1"/>
  <c r="J63" i="1"/>
  <c r="K63" i="1" s="1"/>
  <c r="L63" i="1" s="1"/>
  <c r="J93" i="24"/>
  <c r="K93" i="24" s="1"/>
  <c r="L93" i="24" s="1"/>
  <c r="J60" i="15"/>
  <c r="K60" i="15" s="1"/>
  <c r="L60" i="15" s="1"/>
  <c r="J68" i="24"/>
  <c r="K68" i="24" s="1"/>
  <c r="L68" i="24" s="1"/>
  <c r="J56" i="15"/>
  <c r="K56" i="15" s="1"/>
  <c r="L56" i="15" s="1"/>
  <c r="I44" i="7"/>
  <c r="J37" i="10"/>
  <c r="J26" i="11"/>
  <c r="K26" i="11" s="1"/>
  <c r="L26" i="11" s="1"/>
  <c r="J78" i="13"/>
  <c r="K78" i="13" s="1"/>
  <c r="L78" i="13" s="1"/>
  <c r="J64" i="13"/>
  <c r="K64" i="13" s="1"/>
  <c r="L64" i="13" s="1"/>
  <c r="J50" i="13"/>
  <c r="J78" i="14"/>
  <c r="K78" i="14" s="1"/>
  <c r="L78" i="14" s="1"/>
  <c r="M55" i="17"/>
  <c r="J14" i="17"/>
  <c r="K14" i="17" s="1"/>
  <c r="L14" i="17" s="1"/>
  <c r="J92" i="18"/>
  <c r="K92" i="18" s="1"/>
  <c r="L92" i="18" s="1"/>
  <c r="J80" i="13"/>
  <c r="K80" i="13" s="1"/>
  <c r="L80" i="13" s="1"/>
  <c r="J62" i="13"/>
  <c r="K62" i="13" s="1"/>
  <c r="L62" i="13" s="1"/>
  <c r="J22" i="14"/>
  <c r="K22" i="14" s="1"/>
  <c r="L22" i="14" s="1"/>
  <c r="K79" i="16"/>
  <c r="L79" i="16" s="1"/>
  <c r="M79" i="16" s="1"/>
  <c r="K41" i="16"/>
  <c r="J57" i="17"/>
  <c r="J43" i="17"/>
  <c r="J69" i="18"/>
  <c r="K69" i="18" s="1"/>
  <c r="L69" i="18" s="1"/>
  <c r="J220" i="24"/>
  <c r="K220" i="24" s="1"/>
  <c r="L220" i="24" s="1"/>
  <c r="J216" i="24"/>
  <c r="K216" i="24" s="1"/>
  <c r="L216" i="24" s="1"/>
  <c r="J145" i="15"/>
  <c r="K145" i="15" s="1"/>
  <c r="L145" i="15" s="1"/>
  <c r="J140" i="15"/>
  <c r="K140" i="15" s="1"/>
  <c r="L140" i="15" s="1"/>
  <c r="J97" i="1"/>
  <c r="K97" i="1" s="1"/>
  <c r="L97" i="1" s="1"/>
  <c r="J25" i="18"/>
  <c r="K25" i="18" s="1"/>
  <c r="L25" i="18" s="1"/>
  <c r="J84" i="19"/>
  <c r="K84" i="19" s="1"/>
  <c r="L84" i="19" s="1"/>
  <c r="J67" i="19"/>
  <c r="K67" i="19" s="1"/>
  <c r="L67" i="19" s="1"/>
  <c r="J25" i="19"/>
  <c r="K25" i="19" s="1"/>
  <c r="L25" i="19" s="1"/>
  <c r="J97" i="10"/>
  <c r="K97" i="10" s="1"/>
  <c r="L97" i="10" s="1"/>
  <c r="J78" i="11"/>
  <c r="K78" i="11" s="1"/>
  <c r="L78" i="11" s="1"/>
  <c r="J84" i="10"/>
  <c r="K84" i="10" s="1"/>
  <c r="L84" i="10" s="1"/>
  <c r="J134" i="24"/>
  <c r="K134" i="24" s="1"/>
  <c r="L134" i="24" s="1"/>
  <c r="J125" i="24"/>
  <c r="K125" i="24" s="1"/>
  <c r="L125" i="24" s="1"/>
  <c r="J90" i="15"/>
  <c r="K90" i="15" s="1"/>
  <c r="L90" i="15" s="1"/>
  <c r="J94" i="15"/>
  <c r="K94" i="15" s="1"/>
  <c r="L94" i="15" s="1"/>
  <c r="I66" i="7"/>
  <c r="J66" i="7" s="1"/>
  <c r="K66" i="7" s="1"/>
  <c r="J191" i="24"/>
  <c r="K191" i="24" s="1"/>
  <c r="L191" i="24" s="1"/>
  <c r="J187" i="24"/>
  <c r="K187" i="24" s="1"/>
  <c r="L187" i="24" s="1"/>
  <c r="J173" i="24"/>
  <c r="K173" i="24" s="1"/>
  <c r="L173" i="24" s="1"/>
  <c r="J169" i="24"/>
  <c r="K169" i="24" s="1"/>
  <c r="L169" i="24" s="1"/>
  <c r="I88" i="7"/>
  <c r="J88" i="7" s="1"/>
  <c r="K88" i="7" s="1"/>
  <c r="J77" i="9"/>
  <c r="K77" i="9" s="1"/>
  <c r="L77" i="9" s="1"/>
  <c r="J141" i="24"/>
  <c r="K141" i="24" s="1"/>
  <c r="L141" i="24" s="1"/>
  <c r="J132" i="24"/>
  <c r="K132" i="24" s="1"/>
  <c r="L132" i="24" s="1"/>
  <c r="J61" i="1"/>
  <c r="K61" i="1" s="1"/>
  <c r="L61" i="1" s="1"/>
  <c r="J61" i="10"/>
  <c r="K61" i="10" s="1"/>
  <c r="L61" i="10" s="1"/>
  <c r="J61" i="9"/>
  <c r="K61" i="9" s="1"/>
  <c r="L61" i="9" s="1"/>
  <c r="J100" i="24"/>
  <c r="K100" i="24" s="1"/>
  <c r="L100" i="24" s="1"/>
  <c r="J91" i="24"/>
  <c r="K91" i="24" s="1"/>
  <c r="L91" i="24" s="1"/>
  <c r="J75" i="15"/>
  <c r="J52" i="11"/>
  <c r="J49" i="10"/>
  <c r="J89" i="24"/>
  <c r="K89" i="24" s="1"/>
  <c r="L89" i="24" s="1"/>
  <c r="J49" i="9"/>
  <c r="J37" i="9"/>
  <c r="J64" i="24"/>
  <c r="K64" i="24" s="1"/>
  <c r="L64" i="24" s="1"/>
  <c r="J49" i="24"/>
  <c r="K49" i="24" s="1"/>
  <c r="L49" i="24" s="1"/>
  <c r="J25" i="9"/>
  <c r="K25" i="9" s="1"/>
  <c r="L25" i="9" s="1"/>
  <c r="J54" i="14"/>
  <c r="J12" i="13"/>
  <c r="J48" i="13"/>
  <c r="K48" i="13" s="1"/>
  <c r="L48" i="13" s="1"/>
  <c r="J92" i="14"/>
  <c r="J77" i="15"/>
  <c r="K77" i="15" s="1"/>
  <c r="L77" i="15" s="1"/>
  <c r="J81" i="12"/>
  <c r="K81" i="12" s="1"/>
  <c r="L81" i="12" s="1"/>
  <c r="J72" i="9"/>
  <c r="J72" i="1"/>
  <c r="J100" i="15"/>
  <c r="J75" i="11"/>
  <c r="J95" i="9"/>
  <c r="J37" i="12"/>
  <c r="J49" i="12"/>
  <c r="J98" i="13"/>
  <c r="K98" i="13" s="1"/>
  <c r="L98" i="13" s="1"/>
  <c r="J60" i="13"/>
  <c r="K60" i="13" s="1"/>
  <c r="L60" i="13" s="1"/>
  <c r="J38" i="13"/>
  <c r="J15" i="13"/>
  <c r="K15" i="13" s="1"/>
  <c r="L15" i="13" s="1"/>
  <c r="J84" i="14"/>
  <c r="K84" i="14" s="1"/>
  <c r="L84" i="14" s="1"/>
  <c r="J74" i="14"/>
  <c r="K74" i="14" s="1"/>
  <c r="L74" i="14" s="1"/>
  <c r="J60" i="14"/>
  <c r="K60" i="14" s="1"/>
  <c r="L60" i="14" s="1"/>
  <c r="J46" i="14"/>
  <c r="J92" i="17"/>
  <c r="K92" i="17" s="1"/>
  <c r="L92" i="17" s="1"/>
  <c r="J86" i="18"/>
  <c r="K86" i="18" s="1"/>
  <c r="L86" i="18" s="1"/>
  <c r="J26" i="13"/>
  <c r="K26" i="13" s="1"/>
  <c r="L26" i="13" s="1"/>
  <c r="J86" i="19"/>
  <c r="K86" i="19" s="1"/>
  <c r="L86" i="19" s="1"/>
  <c r="P55" i="19"/>
  <c r="Q55" i="19" s="1"/>
  <c r="R55" i="19" s="1"/>
  <c r="M55" i="19"/>
  <c r="N55" i="19" s="1"/>
  <c r="O55" i="19" s="1"/>
  <c r="J218" i="24"/>
  <c r="K218" i="24" s="1"/>
  <c r="L218" i="24" s="1"/>
  <c r="J143" i="15"/>
  <c r="K143" i="15" s="1"/>
  <c r="L143" i="15" s="1"/>
  <c r="J97" i="9"/>
  <c r="K97" i="9" s="1"/>
  <c r="L97" i="9" s="1"/>
  <c r="J57" i="18"/>
  <c r="J43" i="18"/>
  <c r="J129" i="15"/>
  <c r="K129" i="15" s="1"/>
  <c r="L129" i="15" s="1"/>
  <c r="J123" i="15"/>
  <c r="K123" i="15" s="1"/>
  <c r="L123" i="15" s="1"/>
  <c r="I81" i="7"/>
  <c r="J81" i="7" s="1"/>
  <c r="K81" i="7" s="1"/>
  <c r="I92" i="7"/>
  <c r="J92" i="7" s="1"/>
  <c r="K92" i="7" s="1"/>
  <c r="J80" i="11"/>
  <c r="K80" i="11" s="1"/>
  <c r="L80" i="11" s="1"/>
  <c r="J79" i="1"/>
  <c r="K79" i="1" s="1"/>
  <c r="L79" i="1" s="1"/>
  <c r="J87" i="1"/>
  <c r="K87" i="1" s="1"/>
  <c r="L87" i="1" s="1"/>
  <c r="J79" i="10"/>
  <c r="K79" i="10" s="1"/>
  <c r="L79" i="10" s="1"/>
  <c r="J79" i="9"/>
  <c r="K79" i="9" s="1"/>
  <c r="L79" i="9" s="1"/>
  <c r="J87" i="9"/>
  <c r="K87" i="9" s="1"/>
  <c r="L87" i="9" s="1"/>
  <c r="J139" i="24"/>
  <c r="K139" i="24" s="1"/>
  <c r="L139" i="24" s="1"/>
  <c r="J130" i="24"/>
  <c r="K130" i="24" s="1"/>
  <c r="L130" i="24" s="1"/>
  <c r="J121" i="24"/>
  <c r="K121" i="24" s="1"/>
  <c r="L121" i="24" s="1"/>
  <c r="J88" i="15"/>
  <c r="K88" i="15" s="1"/>
  <c r="L88" i="15" s="1"/>
  <c r="J96" i="15"/>
  <c r="K96" i="15" s="1"/>
  <c r="L96" i="15" s="1"/>
  <c r="J185" i="24"/>
  <c r="K185" i="24" s="1"/>
  <c r="L185" i="24" s="1"/>
  <c r="J180" i="24"/>
  <c r="K180" i="24" s="1"/>
  <c r="L180" i="24" s="1"/>
  <c r="I84" i="7"/>
  <c r="J84" i="7" s="1"/>
  <c r="K84" i="7" s="1"/>
  <c r="J127" i="24"/>
  <c r="J59" i="1"/>
  <c r="K59" i="1" s="1"/>
  <c r="L59" i="1" s="1"/>
  <c r="J63" i="10"/>
  <c r="K63" i="10" s="1"/>
  <c r="L63" i="10" s="1"/>
  <c r="J59" i="10"/>
  <c r="K59" i="10" s="1"/>
  <c r="L59" i="10" s="1"/>
  <c r="J63" i="9"/>
  <c r="K63" i="9" s="1"/>
  <c r="L63" i="9" s="1"/>
  <c r="J59" i="9"/>
  <c r="K59" i="9" s="1"/>
  <c r="L59" i="9" s="1"/>
  <c r="J104" i="24"/>
  <c r="K104" i="24" s="1"/>
  <c r="L104" i="24" s="1"/>
  <c r="J96" i="24"/>
  <c r="K96" i="24" s="1"/>
  <c r="L96" i="24" s="1"/>
  <c r="J87" i="24"/>
  <c r="K87" i="24" s="1"/>
  <c r="L87" i="24" s="1"/>
  <c r="J102" i="24"/>
  <c r="K102" i="24" s="1"/>
  <c r="L102" i="24" s="1"/>
  <c r="I56" i="7"/>
  <c r="J49" i="1"/>
  <c r="J53" i="20"/>
  <c r="J66" i="24"/>
  <c r="K66" i="24" s="1"/>
  <c r="L66" i="24" s="1"/>
  <c r="J37" i="1"/>
  <c r="J45" i="24"/>
  <c r="K45" i="24" s="1"/>
  <c r="L45" i="24" s="1"/>
  <c r="J43" i="24"/>
  <c r="K43" i="24" s="1"/>
  <c r="L43" i="24" s="1"/>
  <c r="J42" i="15"/>
  <c r="K42" i="15" s="1"/>
  <c r="L42" i="15" s="1"/>
  <c r="I32" i="7"/>
  <c r="J32" i="7" s="1"/>
  <c r="K32" i="7" s="1"/>
  <c r="J25" i="1"/>
  <c r="K25" i="1" s="1"/>
  <c r="L25" i="1" s="1"/>
  <c r="J18" i="24"/>
  <c r="K18" i="24" s="1"/>
  <c r="L18" i="24" s="1"/>
  <c r="J23" i="15"/>
  <c r="K23" i="15" s="1"/>
  <c r="L23" i="15" s="1"/>
  <c r="I21" i="7"/>
  <c r="J21" i="7" s="1"/>
  <c r="K21" i="7" s="1"/>
  <c r="J14" i="11"/>
  <c r="K14" i="11" s="1"/>
  <c r="L14" i="11" s="1"/>
  <c r="J14" i="1"/>
  <c r="K14" i="1" s="1"/>
  <c r="L14" i="1" s="1"/>
  <c r="J14" i="10"/>
  <c r="K14" i="10" s="1"/>
  <c r="L14" i="10" s="1"/>
  <c r="J14" i="9"/>
  <c r="K14" i="9" s="1"/>
  <c r="L14" i="9" s="1"/>
  <c r="J25" i="10"/>
  <c r="K25" i="10" s="1"/>
  <c r="L25" i="10" s="1"/>
  <c r="J88" i="13"/>
  <c r="K88" i="13" s="1"/>
  <c r="L88" i="13" s="1"/>
  <c r="J56" i="14"/>
  <c r="K56" i="14" s="1"/>
  <c r="L56" i="14" s="1"/>
  <c r="J34" i="14"/>
  <c r="K95" i="16"/>
  <c r="L95" i="16" s="1"/>
  <c r="M95" i="16" s="1"/>
  <c r="K77" i="16"/>
  <c r="L77" i="16" s="1"/>
  <c r="M77" i="16" s="1"/>
  <c r="J86" i="17"/>
  <c r="K86" i="17" s="1"/>
  <c r="L86" i="17" s="1"/>
  <c r="J69" i="17"/>
  <c r="K69" i="17" s="1"/>
  <c r="L69" i="17" s="1"/>
  <c r="J55" i="17"/>
  <c r="K55" i="17" s="1"/>
  <c r="L55" i="17" s="1"/>
  <c r="P55" i="17"/>
  <c r="Q55" i="17" s="1"/>
  <c r="R55" i="17" s="1"/>
  <c r="J67" i="18"/>
  <c r="K67" i="18" s="1"/>
  <c r="L67" i="18" s="1"/>
  <c r="J81" i="14"/>
  <c r="K81" i="14" s="1"/>
  <c r="L81" i="14" s="1"/>
  <c r="J71" i="14"/>
  <c r="K71" i="14" s="1"/>
  <c r="L71" i="14" s="1"/>
  <c r="K29" i="16"/>
  <c r="L29" i="16" s="1"/>
  <c r="M29" i="16" s="1"/>
  <c r="J89" i="17"/>
  <c r="K89" i="17" s="1"/>
  <c r="L89" i="17" s="1"/>
  <c r="J71" i="17"/>
  <c r="K71" i="17" s="1"/>
  <c r="L71" i="17" s="1"/>
  <c r="J89" i="18"/>
  <c r="K89" i="18" s="1"/>
  <c r="L89" i="18" s="1"/>
  <c r="J55" i="18"/>
  <c r="K55" i="18" s="1"/>
  <c r="L55" i="18" s="1"/>
  <c r="P55" i="18"/>
  <c r="Q55" i="18" s="1"/>
  <c r="R55" i="18" s="1"/>
  <c r="M55" i="18"/>
  <c r="J14" i="18"/>
  <c r="K14" i="18" s="1"/>
  <c r="L14" i="18" s="1"/>
  <c r="J92" i="19"/>
  <c r="K92" i="19" s="1"/>
  <c r="L92" i="19" s="1"/>
  <c r="J224" i="24"/>
  <c r="K224" i="24" s="1"/>
  <c r="L224" i="24" s="1"/>
  <c r="J211" i="24"/>
  <c r="K211" i="24" s="1"/>
  <c r="L211" i="24" s="1"/>
  <c r="J207" i="24"/>
  <c r="K207" i="24" s="1"/>
  <c r="L207" i="24" s="1"/>
  <c r="I106" i="7"/>
  <c r="J106" i="7" s="1"/>
  <c r="K106" i="7" s="1"/>
  <c r="J96" i="11"/>
  <c r="K96" i="11" s="1"/>
  <c r="L96" i="11" s="1"/>
  <c r="J197" i="24"/>
  <c r="K197" i="24" s="1"/>
  <c r="L197" i="24" s="1"/>
  <c r="J102" i="19"/>
  <c r="K102" i="19" s="1"/>
  <c r="L102" i="19" s="1"/>
  <c r="J194" i="24"/>
  <c r="K194" i="24" s="1"/>
  <c r="L194" i="24" s="1"/>
  <c r="J126" i="15"/>
  <c r="K126" i="15" s="1"/>
  <c r="L126" i="15" s="1"/>
  <c r="J121" i="15"/>
  <c r="K121" i="15" s="1"/>
  <c r="L121" i="15" s="1"/>
  <c r="J117" i="15"/>
  <c r="K117" i="15" s="1"/>
  <c r="L117" i="15" s="1"/>
  <c r="I86" i="7"/>
  <c r="J86" i="7" s="1"/>
  <c r="K86" i="7" s="1"/>
  <c r="I96" i="7"/>
  <c r="J96" i="7" s="1"/>
  <c r="K96" i="7" s="1"/>
  <c r="J83" i="11"/>
  <c r="K83" i="11" s="1"/>
  <c r="L83" i="11" s="1"/>
  <c r="J74" i="1"/>
  <c r="K74" i="1" s="1"/>
  <c r="L74" i="1" s="1"/>
  <c r="J84" i="1"/>
  <c r="K84" i="1" s="1"/>
  <c r="L84" i="1" s="1"/>
  <c r="J74" i="10"/>
  <c r="K74" i="10" s="1"/>
  <c r="L74" i="10" s="1"/>
  <c r="J74" i="9"/>
  <c r="K74" i="9" s="1"/>
  <c r="L74" i="9" s="1"/>
  <c r="J84" i="9"/>
  <c r="K84" i="9" s="1"/>
  <c r="L84" i="9" s="1"/>
  <c r="J143" i="24"/>
  <c r="K143" i="24" s="1"/>
  <c r="L143" i="24" s="1"/>
  <c r="J116" i="24"/>
  <c r="K116" i="24" s="1"/>
  <c r="L116" i="24" s="1"/>
  <c r="J86" i="15"/>
  <c r="K86" i="15" s="1"/>
  <c r="L86" i="15" s="1"/>
  <c r="J98" i="15"/>
  <c r="K98" i="15" s="1"/>
  <c r="L98" i="15" s="1"/>
  <c r="I70" i="7"/>
  <c r="J70" i="7" s="1"/>
  <c r="K70" i="7" s="1"/>
  <c r="J66" i="11"/>
  <c r="K66" i="11" s="1"/>
  <c r="L66" i="11" s="1"/>
  <c r="J182" i="24"/>
  <c r="K182" i="24" s="1"/>
  <c r="L182" i="24" s="1"/>
  <c r="J178" i="24"/>
  <c r="K178" i="24" s="1"/>
  <c r="L178" i="24" s="1"/>
  <c r="J164" i="24"/>
  <c r="K164" i="24" s="1"/>
  <c r="L164" i="24" s="1"/>
  <c r="J160" i="24"/>
  <c r="K160" i="24" s="1"/>
  <c r="L160" i="24" s="1"/>
  <c r="J77" i="1"/>
  <c r="K77" i="1" s="1"/>
  <c r="L77" i="1" s="1"/>
  <c r="J81" i="10"/>
  <c r="K81" i="10" s="1"/>
  <c r="L81" i="10" s="1"/>
  <c r="J123" i="24"/>
  <c r="K123" i="24" s="1"/>
  <c r="L123" i="24" s="1"/>
  <c r="J114" i="24"/>
  <c r="J98" i="24"/>
  <c r="K98" i="24" s="1"/>
  <c r="L98" i="24" s="1"/>
  <c r="J70" i="24"/>
  <c r="K70" i="24" s="1"/>
  <c r="L70" i="24" s="1"/>
  <c r="J58" i="15"/>
  <c r="K58" i="15" s="1"/>
  <c r="L58" i="15" s="1"/>
  <c r="J40" i="11"/>
  <c r="J47" i="24"/>
  <c r="K47" i="24" s="1"/>
  <c r="L47" i="24" s="1"/>
  <c r="J38" i="24"/>
  <c r="J37" i="15"/>
  <c r="J97" i="12"/>
  <c r="K97" i="12" s="1"/>
  <c r="L97" i="12" s="1"/>
  <c r="J28" i="11"/>
  <c r="J66" i="20"/>
  <c r="J72" i="10"/>
  <c r="J95" i="10"/>
  <c r="J47" i="12"/>
  <c r="K47" i="12" s="1"/>
  <c r="L47" i="12" s="1"/>
  <c r="J27" i="10"/>
  <c r="J205" i="24"/>
  <c r="K205" i="24" s="1"/>
  <c r="J100" i="19"/>
  <c r="K31" i="16"/>
  <c r="L31" i="16" s="1"/>
  <c r="M31" i="16" s="1"/>
  <c r="J58" i="13"/>
  <c r="J73" i="13"/>
  <c r="J54" i="15"/>
  <c r="J60" i="11"/>
  <c r="K70" i="16"/>
  <c r="J73" i="15"/>
  <c r="K73" i="15" s="1"/>
  <c r="L73" i="15" s="1"/>
  <c r="J84" i="12"/>
  <c r="K84" i="12" s="1"/>
  <c r="L84" i="12" s="1"/>
  <c r="J74" i="12"/>
  <c r="K74" i="12" s="1"/>
  <c r="L74" i="12" s="1"/>
  <c r="J61" i="12"/>
  <c r="K61" i="12" s="1"/>
  <c r="L61" i="12" s="1"/>
  <c r="J57" i="12"/>
  <c r="J11" i="9"/>
  <c r="J11" i="10"/>
  <c r="J27" i="1"/>
  <c r="I34" i="7"/>
  <c r="J41" i="24"/>
  <c r="K41" i="24" s="1"/>
  <c r="L41" i="24" s="1"/>
  <c r="J62" i="24"/>
  <c r="K62" i="24" s="1"/>
  <c r="L62" i="24" s="1"/>
  <c r="J47" i="10"/>
  <c r="K47" i="10" s="1"/>
  <c r="L47" i="10" s="1"/>
  <c r="J50" i="11"/>
  <c r="K50" i="11" s="1"/>
  <c r="L50" i="11" s="1"/>
  <c r="J71" i="15"/>
  <c r="K71" i="15" s="1"/>
  <c r="L71" i="15" s="1"/>
  <c r="J53" i="19"/>
  <c r="K53" i="19" s="1"/>
  <c r="L53" i="19" s="1"/>
  <c r="J53" i="18"/>
  <c r="K53" i="18" s="1"/>
  <c r="J11" i="17"/>
  <c r="K11" i="16"/>
  <c r="K93" i="16"/>
  <c r="J11" i="12"/>
  <c r="J77" i="12"/>
  <c r="K77" i="12" s="1"/>
  <c r="L77" i="12" s="1"/>
  <c r="J85" i="24"/>
  <c r="J47" i="1"/>
  <c r="K47" i="1" s="1"/>
  <c r="L47" i="1" s="1"/>
  <c r="J158" i="24"/>
  <c r="J11" i="19"/>
  <c r="J11" i="18"/>
  <c r="J65" i="18"/>
  <c r="J11" i="14"/>
  <c r="J44" i="14"/>
  <c r="K44" i="14" s="1"/>
  <c r="L44" i="14" s="1"/>
  <c r="J100" i="18"/>
  <c r="J65" i="17"/>
  <c r="J82" i="17"/>
  <c r="K51" i="16"/>
  <c r="J24" i="14"/>
  <c r="J79" i="12"/>
  <c r="K79" i="12" s="1"/>
  <c r="L79" i="12" s="1"/>
  <c r="J57" i="10"/>
  <c r="I79" i="7"/>
  <c r="J65" i="19"/>
  <c r="J82" i="19"/>
  <c r="J100" i="17"/>
  <c r="J25" i="12"/>
  <c r="K25" i="12" s="1"/>
  <c r="L25" i="12" s="1"/>
  <c r="J27" i="9"/>
  <c r="J11" i="1"/>
  <c r="J11" i="11"/>
  <c r="I18" i="7"/>
  <c r="J20" i="15"/>
  <c r="J15" i="24"/>
  <c r="J57" i="9"/>
  <c r="J57" i="1"/>
  <c r="J113" i="15"/>
  <c r="J27" i="19"/>
  <c r="J82" i="18"/>
  <c r="K59" i="16"/>
  <c r="J69" i="14"/>
  <c r="J28" i="13"/>
  <c r="J87" i="12"/>
  <c r="K87" i="12" s="1"/>
  <c r="L87" i="12" s="1"/>
  <c r="J40" i="15"/>
  <c r="K40" i="15" s="1"/>
  <c r="L40" i="15" s="1"/>
  <c r="J47" i="9"/>
  <c r="K47" i="9" s="1"/>
  <c r="L47" i="9" s="1"/>
  <c r="I54" i="7"/>
  <c r="J54" i="7" s="1"/>
  <c r="K54" i="7" s="1"/>
  <c r="I64" i="7"/>
  <c r="J112" i="24"/>
  <c r="J95" i="1"/>
  <c r="J94" i="11"/>
  <c r="I104" i="7"/>
  <c r="J137" i="15"/>
  <c r="K137" i="15" s="1"/>
  <c r="J27" i="18"/>
  <c r="J53" i="17"/>
  <c r="K53" i="17" s="1"/>
  <c r="L53" i="17" s="1"/>
  <c r="J27" i="17"/>
  <c r="J96" i="13"/>
  <c r="J72" i="12"/>
  <c r="J27" i="12"/>
  <c r="J95" i="12"/>
  <c r="K21" i="11"/>
  <c r="L21" i="11" s="1"/>
  <c r="K22" i="11"/>
  <c r="L22" i="11" s="1"/>
  <c r="K22" i="19"/>
  <c r="L22" i="19" s="1"/>
  <c r="K21" i="19"/>
  <c r="L21" i="19" s="1"/>
  <c r="O43" i="15"/>
  <c r="S39" i="15"/>
  <c r="O114" i="18"/>
  <c r="S58" i="18"/>
  <c r="S114" i="18" s="1"/>
  <c r="N35" i="13"/>
  <c r="M40" i="13"/>
  <c r="M109" i="13" s="1"/>
  <c r="N44" i="1"/>
  <c r="M51" i="1"/>
  <c r="M110" i="1" s="1"/>
  <c r="N34" i="1"/>
  <c r="M39" i="1"/>
  <c r="M108" i="1" s="1"/>
  <c r="N21" i="10"/>
  <c r="O21" i="10" s="1"/>
  <c r="N22" i="10"/>
  <c r="O22" i="10" s="1"/>
  <c r="P19" i="16"/>
  <c r="O24" i="16"/>
  <c r="N21" i="19"/>
  <c r="O21" i="19" s="1"/>
  <c r="N22" i="19"/>
  <c r="O22" i="19" s="1"/>
  <c r="N44" i="9"/>
  <c r="N33" i="24"/>
  <c r="N34" i="9"/>
  <c r="M28" i="7"/>
  <c r="N28" i="7" s="1"/>
  <c r="M29" i="7"/>
  <c r="N29" i="7" s="1"/>
  <c r="P14" i="12"/>
  <c r="Q14" i="12" s="1"/>
  <c r="R14" i="12" s="1"/>
  <c r="P37" i="12"/>
  <c r="P59" i="12"/>
  <c r="Q59" i="12" s="1"/>
  <c r="R59" i="12" s="1"/>
  <c r="P98" i="13"/>
  <c r="Q98" i="13" s="1"/>
  <c r="R98" i="13" s="1"/>
  <c r="P82" i="13"/>
  <c r="Q82" i="13" s="1"/>
  <c r="R82" i="13" s="1"/>
  <c r="P60" i="13"/>
  <c r="Q60" i="13" s="1"/>
  <c r="R60" i="13" s="1"/>
  <c r="P15" i="13"/>
  <c r="Q15" i="13" s="1"/>
  <c r="R15" i="13" s="1"/>
  <c r="P74" i="14"/>
  <c r="Q74" i="14" s="1"/>
  <c r="R74" i="14" s="1"/>
  <c r="P46" i="14"/>
  <c r="Q82" i="16"/>
  <c r="R82" i="16" s="1"/>
  <c r="S82" i="16" s="1"/>
  <c r="P86" i="18"/>
  <c r="Q86" i="18" s="1"/>
  <c r="R86" i="18" s="1"/>
  <c r="P75" i="13"/>
  <c r="Q75" i="13" s="1"/>
  <c r="R75" i="13" s="1"/>
  <c r="P26" i="13"/>
  <c r="Q26" i="13" s="1"/>
  <c r="R26" i="13" s="1"/>
  <c r="P94" i="14"/>
  <c r="Q94" i="14" s="1"/>
  <c r="R94" i="14" s="1"/>
  <c r="Q85" i="16"/>
  <c r="R85" i="16" s="1"/>
  <c r="S85" i="16" s="1"/>
  <c r="Q75" i="16"/>
  <c r="R75" i="16" s="1"/>
  <c r="S75" i="16" s="1"/>
  <c r="Q27" i="16"/>
  <c r="R27" i="16" s="1"/>
  <c r="S27" i="16" s="1"/>
  <c r="P102" i="17"/>
  <c r="Q102" i="17" s="1"/>
  <c r="R102" i="17" s="1"/>
  <c r="P84" i="17"/>
  <c r="Q84" i="17" s="1"/>
  <c r="R84" i="17" s="1"/>
  <c r="P25" i="17"/>
  <c r="Q25" i="17" s="1"/>
  <c r="R25" i="17" s="1"/>
  <c r="P86" i="19"/>
  <c r="Q86" i="19" s="1"/>
  <c r="R86" i="19" s="1"/>
  <c r="P218" i="24"/>
  <c r="Q218" i="24" s="1"/>
  <c r="R218" i="24" s="1"/>
  <c r="P209" i="24"/>
  <c r="Q209" i="24" s="1"/>
  <c r="R209" i="24" s="1"/>
  <c r="P143" i="15"/>
  <c r="Q143" i="15" s="1"/>
  <c r="R143" i="15" s="1"/>
  <c r="P97" i="9"/>
  <c r="Q97" i="9" s="1"/>
  <c r="R97" i="9" s="1"/>
  <c r="P57" i="18"/>
  <c r="P57" i="19"/>
  <c r="P123" i="15"/>
  <c r="Q123" i="15" s="1"/>
  <c r="R123" i="15" s="1"/>
  <c r="P115" i="15"/>
  <c r="Q115" i="15" s="1"/>
  <c r="R115" i="15" s="1"/>
  <c r="O81" i="7"/>
  <c r="P81" i="7" s="1"/>
  <c r="Q81" i="7" s="1"/>
  <c r="P86" i="11"/>
  <c r="Q86" i="11" s="1"/>
  <c r="R86" i="11" s="1"/>
  <c r="P87" i="1"/>
  <c r="Q87" i="1" s="1"/>
  <c r="R87" i="1" s="1"/>
  <c r="P87" i="10"/>
  <c r="Q87" i="10" s="1"/>
  <c r="R87" i="10" s="1"/>
  <c r="P87" i="9"/>
  <c r="Q87" i="9" s="1"/>
  <c r="R87" i="9" s="1"/>
  <c r="P139" i="24"/>
  <c r="Q139" i="24" s="1"/>
  <c r="R139" i="24" s="1"/>
  <c r="P121" i="24"/>
  <c r="Q121" i="24" s="1"/>
  <c r="R121" i="24" s="1"/>
  <c r="P92" i="15"/>
  <c r="Q92" i="15" s="1"/>
  <c r="R92" i="15" s="1"/>
  <c r="P189" i="24"/>
  <c r="Q189" i="24" s="1"/>
  <c r="R189" i="24" s="1"/>
  <c r="P180" i="24"/>
  <c r="Q180" i="24" s="1"/>
  <c r="R180" i="24" s="1"/>
  <c r="P176" i="24"/>
  <c r="Q176" i="24" s="1"/>
  <c r="R176" i="24" s="1"/>
  <c r="P162" i="24"/>
  <c r="Q162" i="24" s="1"/>
  <c r="R162" i="24" s="1"/>
  <c r="O84" i="7"/>
  <c r="P84" i="7" s="1"/>
  <c r="Q84" i="7" s="1"/>
  <c r="P81" i="1"/>
  <c r="Q81" i="1" s="1"/>
  <c r="R81" i="1" s="1"/>
  <c r="P136" i="24"/>
  <c r="P49" i="12"/>
  <c r="P63" i="12"/>
  <c r="Q63" i="12" s="1"/>
  <c r="R63" i="12" s="1"/>
  <c r="P38" i="13"/>
  <c r="P84" i="14"/>
  <c r="Q84" i="14" s="1"/>
  <c r="R84" i="14" s="1"/>
  <c r="P60" i="14"/>
  <c r="Q60" i="14" s="1"/>
  <c r="R60" i="14" s="1"/>
  <c r="Q72" i="16"/>
  <c r="R72" i="16" s="1"/>
  <c r="S72" i="16" s="1"/>
  <c r="P92" i="17"/>
  <c r="Q92" i="17" s="1"/>
  <c r="R92" i="17" s="1"/>
  <c r="P76" i="14"/>
  <c r="Q76" i="14" s="1"/>
  <c r="R76" i="14" s="1"/>
  <c r="S76" i="14" s="1"/>
  <c r="P58" i="14"/>
  <c r="Q58" i="14" s="1"/>
  <c r="R58" i="14" s="1"/>
  <c r="P67" i="17"/>
  <c r="Q67" i="17" s="1"/>
  <c r="R67" i="17" s="1"/>
  <c r="P213" i="24"/>
  <c r="Q213" i="24" s="1"/>
  <c r="R213" i="24" s="1"/>
  <c r="P43" i="18"/>
  <c r="P89" i="19"/>
  <c r="Q89" i="19" s="1"/>
  <c r="R89" i="19" s="1"/>
  <c r="P71" i="19"/>
  <c r="Q71" i="19" s="1"/>
  <c r="R71" i="19" s="1"/>
  <c r="P43" i="19"/>
  <c r="P119" i="15"/>
  <c r="Q119" i="15" s="1"/>
  <c r="R119" i="15" s="1"/>
  <c r="O92" i="7"/>
  <c r="P92" i="7" s="1"/>
  <c r="Q92" i="7" s="1"/>
  <c r="P79" i="1"/>
  <c r="Q79" i="1" s="1"/>
  <c r="R79" i="1" s="1"/>
  <c r="P79" i="9"/>
  <c r="Q79" i="9" s="1"/>
  <c r="R79" i="9" s="1"/>
  <c r="P130" i="24"/>
  <c r="Q130" i="24" s="1"/>
  <c r="R130" i="24" s="1"/>
  <c r="P88" i="15"/>
  <c r="Q88" i="15" s="1"/>
  <c r="R88" i="15" s="1"/>
  <c r="O68" i="7"/>
  <c r="P68" i="7" s="1"/>
  <c r="Q68" i="7" s="1"/>
  <c r="P185" i="24"/>
  <c r="Q185" i="24" s="1"/>
  <c r="R185" i="24" s="1"/>
  <c r="P77" i="10"/>
  <c r="Q77" i="10" s="1"/>
  <c r="R77" i="10" s="1"/>
  <c r="P118" i="24"/>
  <c r="Q118" i="24" s="1"/>
  <c r="R118" i="24" s="1"/>
  <c r="P62" i="11"/>
  <c r="Q62" i="11" s="1"/>
  <c r="R62" i="11" s="1"/>
  <c r="P63" i="1"/>
  <c r="Q63" i="1" s="1"/>
  <c r="R63" i="1" s="1"/>
  <c r="P59" i="1"/>
  <c r="Q59" i="1" s="1"/>
  <c r="R59" i="1" s="1"/>
  <c r="P59" i="10"/>
  <c r="Q59" i="10" s="1"/>
  <c r="R59" i="10" s="1"/>
  <c r="P59" i="9"/>
  <c r="Q59" i="9" s="1"/>
  <c r="R59" i="9" s="1"/>
  <c r="P96" i="24"/>
  <c r="Q96" i="24" s="1"/>
  <c r="R96" i="24" s="1"/>
  <c r="P102" i="24"/>
  <c r="Q102" i="24" s="1"/>
  <c r="R102" i="24" s="1"/>
  <c r="P49" i="1"/>
  <c r="P53" i="20"/>
  <c r="P66" i="24"/>
  <c r="Q66" i="24" s="1"/>
  <c r="R66" i="24" s="1"/>
  <c r="P37" i="1"/>
  <c r="P68" i="24"/>
  <c r="Q68" i="24" s="1"/>
  <c r="R68" i="24" s="1"/>
  <c r="P37" i="10"/>
  <c r="P45" i="24"/>
  <c r="Q45" i="24" s="1"/>
  <c r="R45" i="24" s="1"/>
  <c r="P26" i="11"/>
  <c r="Q26" i="11" s="1"/>
  <c r="R26" i="11" s="1"/>
  <c r="P42" i="15"/>
  <c r="Q42" i="15" s="1"/>
  <c r="R42" i="15" s="1"/>
  <c r="P25" i="1"/>
  <c r="P18" i="24"/>
  <c r="Q18" i="24" s="1"/>
  <c r="R18" i="24" s="1"/>
  <c r="O21" i="7"/>
  <c r="P21" i="7" s="1"/>
  <c r="Q21" i="7" s="1"/>
  <c r="P14" i="1"/>
  <c r="P14" i="9"/>
  <c r="Q14" i="9" s="1"/>
  <c r="R14" i="9" s="1"/>
  <c r="P64" i="13"/>
  <c r="Q64" i="13" s="1"/>
  <c r="R64" i="13" s="1"/>
  <c r="P78" i="14"/>
  <c r="Q78" i="14" s="1"/>
  <c r="R78" i="14" s="1"/>
  <c r="P56" i="14"/>
  <c r="Q56" i="14" s="1"/>
  <c r="R56" i="14" s="1"/>
  <c r="Q95" i="16"/>
  <c r="R95" i="16" s="1"/>
  <c r="S95" i="16" s="1"/>
  <c r="P86" i="17"/>
  <c r="Q86" i="17" s="1"/>
  <c r="R86" i="17" s="1"/>
  <c r="P92" i="18"/>
  <c r="Q92" i="18" s="1"/>
  <c r="R92" i="18" s="1"/>
  <c r="P67" i="18"/>
  <c r="Q67" i="18" s="1"/>
  <c r="R67" i="18" s="1"/>
  <c r="P80" i="13"/>
  <c r="Q80" i="13" s="1"/>
  <c r="R80" i="13" s="1"/>
  <c r="P62" i="13"/>
  <c r="Q62" i="13" s="1"/>
  <c r="R62" i="13" s="1"/>
  <c r="P71" i="18"/>
  <c r="Q71" i="18" s="1"/>
  <c r="R71" i="18" s="1"/>
  <c r="P85" i="13"/>
  <c r="Q85" i="13" s="1"/>
  <c r="R85" i="13" s="1"/>
  <c r="Q61" i="16"/>
  <c r="R61" i="16" s="1"/>
  <c r="S61" i="16" s="1"/>
  <c r="P102" i="18"/>
  <c r="Q102" i="18" s="1"/>
  <c r="R102" i="18" s="1"/>
  <c r="P84" i="18"/>
  <c r="Q84" i="18" s="1"/>
  <c r="R84" i="18" s="1"/>
  <c r="P69" i="19"/>
  <c r="Q69" i="19" s="1"/>
  <c r="R69" i="19" s="1"/>
  <c r="P14" i="19"/>
  <c r="Q14" i="19" s="1"/>
  <c r="R14" i="19" s="1"/>
  <c r="P222" i="24"/>
  <c r="Q222" i="24" s="1"/>
  <c r="R222" i="24" s="1"/>
  <c r="P129" i="15"/>
  <c r="Q129" i="15" s="1"/>
  <c r="R129" i="15" s="1"/>
  <c r="P80" i="11"/>
  <c r="Q80" i="11" s="1"/>
  <c r="R80" i="11" s="1"/>
  <c r="P79" i="10"/>
  <c r="Q79" i="10" s="1"/>
  <c r="R79" i="10" s="1"/>
  <c r="P96" i="15"/>
  <c r="Q96" i="15" s="1"/>
  <c r="R96" i="15" s="1"/>
  <c r="P64" i="11"/>
  <c r="Q64" i="11" s="1"/>
  <c r="R64" i="11" s="1"/>
  <c r="P171" i="24"/>
  <c r="Q171" i="24" s="1"/>
  <c r="R171" i="24" s="1"/>
  <c r="P167" i="24"/>
  <c r="Q167" i="24" s="1"/>
  <c r="R167" i="24" s="1"/>
  <c r="P81" i="9"/>
  <c r="Q81" i="9" s="1"/>
  <c r="R81" i="9" s="1"/>
  <c r="P145" i="24"/>
  <c r="Q145" i="24" s="1"/>
  <c r="R145" i="24" s="1"/>
  <c r="S145" i="24" s="1"/>
  <c r="P127" i="24"/>
  <c r="Q127" i="24" s="1"/>
  <c r="R127" i="24" s="1"/>
  <c r="P63" i="10"/>
  <c r="Q63" i="10" s="1"/>
  <c r="R63" i="10" s="1"/>
  <c r="P63" i="9"/>
  <c r="Q63" i="9" s="1"/>
  <c r="R63" i="9" s="1"/>
  <c r="P104" i="24"/>
  <c r="Q104" i="24" s="1"/>
  <c r="R104" i="24" s="1"/>
  <c r="P87" i="24"/>
  <c r="Q87" i="24" s="1"/>
  <c r="R87" i="24" s="1"/>
  <c r="P93" i="24"/>
  <c r="Q93" i="24" s="1"/>
  <c r="R93" i="24" s="1"/>
  <c r="O56" i="7"/>
  <c r="Q70" i="24"/>
  <c r="R70" i="24" s="1"/>
  <c r="O44" i="7"/>
  <c r="P43" i="24"/>
  <c r="Q43" i="24" s="1"/>
  <c r="R43" i="24" s="1"/>
  <c r="O32" i="7"/>
  <c r="P32" i="7" s="1"/>
  <c r="Q32" i="7" s="1"/>
  <c r="P23" i="15"/>
  <c r="Q23" i="15" s="1"/>
  <c r="R23" i="15" s="1"/>
  <c r="P14" i="11"/>
  <c r="Q14" i="11" s="1"/>
  <c r="R14" i="11" s="1"/>
  <c r="P14" i="10"/>
  <c r="Q14" i="10" s="1"/>
  <c r="R14" i="10" s="1"/>
  <c r="P25" i="10"/>
  <c r="Q25" i="10" s="1"/>
  <c r="R25" i="10" s="1"/>
  <c r="P88" i="13"/>
  <c r="Q88" i="13" s="1"/>
  <c r="R88" i="13" s="1"/>
  <c r="P78" i="13"/>
  <c r="Q78" i="13" s="1"/>
  <c r="R78" i="13" s="1"/>
  <c r="P50" i="13"/>
  <c r="P34" i="14"/>
  <c r="Q77" i="16"/>
  <c r="R77" i="16" s="1"/>
  <c r="S77" i="16" s="1"/>
  <c r="P69" i="17"/>
  <c r="Q69" i="17" s="1"/>
  <c r="R69" i="17" s="1"/>
  <c r="P14" i="17"/>
  <c r="Q14" i="17" s="1"/>
  <c r="R14" i="17" s="1"/>
  <c r="P81" i="14"/>
  <c r="Q81" i="14" s="1"/>
  <c r="R81" i="14" s="1"/>
  <c r="P71" i="14"/>
  <c r="Q71" i="14" s="1"/>
  <c r="R71" i="14" s="1"/>
  <c r="P22" i="14"/>
  <c r="Q22" i="14" s="1"/>
  <c r="R22" i="14" s="1"/>
  <c r="P89" i="17"/>
  <c r="Q89" i="17" s="1"/>
  <c r="R89" i="17" s="1"/>
  <c r="P57" i="17"/>
  <c r="P69" i="18"/>
  <c r="Q69" i="18" s="1"/>
  <c r="R69" i="18" s="1"/>
  <c r="P92" i="19"/>
  <c r="Q92" i="19" s="1"/>
  <c r="R92" i="19" s="1"/>
  <c r="P224" i="24"/>
  <c r="Q224" i="24" s="1"/>
  <c r="R224" i="24" s="1"/>
  <c r="P216" i="24"/>
  <c r="Q216" i="24" s="1"/>
  <c r="R216" i="24" s="1"/>
  <c r="P207" i="24"/>
  <c r="Q207" i="24" s="1"/>
  <c r="R207" i="24" s="1"/>
  <c r="P140" i="15"/>
  <c r="Q140" i="15" s="1"/>
  <c r="R140" i="15" s="1"/>
  <c r="P96" i="11"/>
  <c r="Q96" i="11" s="1"/>
  <c r="R96" i="11" s="1"/>
  <c r="P102" i="19"/>
  <c r="Q102" i="19" s="1"/>
  <c r="R102" i="19" s="1"/>
  <c r="P84" i="19"/>
  <c r="Q84" i="19" s="1"/>
  <c r="R84" i="19" s="1"/>
  <c r="P25" i="19"/>
  <c r="Q25" i="19" s="1"/>
  <c r="R25" i="19" s="1"/>
  <c r="P97" i="10"/>
  <c r="Q97" i="10" s="1"/>
  <c r="R97" i="10" s="1"/>
  <c r="P121" i="15"/>
  <c r="Q121" i="15" s="1"/>
  <c r="R121" i="15" s="1"/>
  <c r="O96" i="7"/>
  <c r="P96" i="7" s="1"/>
  <c r="Q96" i="7" s="1"/>
  <c r="P78" i="11"/>
  <c r="Q78" i="11" s="1"/>
  <c r="R78" i="11" s="1"/>
  <c r="P84" i="1"/>
  <c r="Q84" i="1" s="1"/>
  <c r="R84" i="1" s="1"/>
  <c r="P84" i="10"/>
  <c r="Q84" i="10" s="1"/>
  <c r="R84" i="10" s="1"/>
  <c r="P84" i="9"/>
  <c r="Q84" i="9" s="1"/>
  <c r="R84" i="9" s="1"/>
  <c r="P143" i="24"/>
  <c r="Q143" i="24" s="1"/>
  <c r="R143" i="24" s="1"/>
  <c r="P125" i="24"/>
  <c r="Q125" i="24" s="1"/>
  <c r="R125" i="24" s="1"/>
  <c r="P86" i="15"/>
  <c r="Q86" i="15" s="1"/>
  <c r="R86" i="15" s="1"/>
  <c r="P94" i="15"/>
  <c r="Q94" i="15" s="1"/>
  <c r="R94" i="15" s="1"/>
  <c r="O70" i="7"/>
  <c r="P70" i="7" s="1"/>
  <c r="Q70" i="7" s="1"/>
  <c r="Q41" i="16"/>
  <c r="P89" i="18"/>
  <c r="Q89" i="18" s="1"/>
  <c r="R89" i="18" s="1"/>
  <c r="P220" i="24"/>
  <c r="Q220" i="24" s="1"/>
  <c r="R220" i="24" s="1"/>
  <c r="P145" i="15"/>
  <c r="Q145" i="15" s="1"/>
  <c r="R145" i="15" s="1"/>
  <c r="P97" i="1"/>
  <c r="Q97" i="1" s="1"/>
  <c r="R97" i="1" s="1"/>
  <c r="P25" i="18"/>
  <c r="Q25" i="18" s="1"/>
  <c r="R25" i="18" s="1"/>
  <c r="P117" i="15"/>
  <c r="Q117" i="15" s="1"/>
  <c r="R117" i="15" s="1"/>
  <c r="P83" i="11"/>
  <c r="Q83" i="11" s="1"/>
  <c r="R83" i="11" s="1"/>
  <c r="P74" i="10"/>
  <c r="Q74" i="10" s="1"/>
  <c r="R74" i="10" s="1"/>
  <c r="P116" i="24"/>
  <c r="Q116" i="24" s="1"/>
  <c r="R116" i="24" s="1"/>
  <c r="P98" i="15"/>
  <c r="Q98" i="15" s="1"/>
  <c r="R98" i="15" s="1"/>
  <c r="P66" i="11"/>
  <c r="Q66" i="11" s="1"/>
  <c r="R66" i="11" s="1"/>
  <c r="P191" i="24"/>
  <c r="Q191" i="24" s="1"/>
  <c r="R191" i="24" s="1"/>
  <c r="P187" i="24"/>
  <c r="Q187" i="24" s="1"/>
  <c r="R187" i="24" s="1"/>
  <c r="P173" i="24"/>
  <c r="Q173" i="24" s="1"/>
  <c r="R173" i="24" s="1"/>
  <c r="P169" i="24"/>
  <c r="Q169" i="24" s="1"/>
  <c r="R169" i="24" s="1"/>
  <c r="P77" i="1"/>
  <c r="Q77" i="1" s="1"/>
  <c r="R77" i="1" s="1"/>
  <c r="P81" i="10"/>
  <c r="Q81" i="10" s="1"/>
  <c r="R81" i="10" s="1"/>
  <c r="P141" i="24"/>
  <c r="Q141" i="24" s="1"/>
  <c r="R141" i="24" s="1"/>
  <c r="P132" i="24"/>
  <c r="Q132" i="24" s="1"/>
  <c r="R132" i="24" s="1"/>
  <c r="P100" i="24"/>
  <c r="Q100" i="24" s="1"/>
  <c r="R100" i="24" s="1"/>
  <c r="P75" i="15"/>
  <c r="P49" i="10"/>
  <c r="P89" i="24"/>
  <c r="Q89" i="24" s="1"/>
  <c r="R89" i="24" s="1"/>
  <c r="P54" i="15"/>
  <c r="P60" i="15"/>
  <c r="Q60" i="15" s="1"/>
  <c r="R60" i="15" s="1"/>
  <c r="P64" i="24"/>
  <c r="Q64" i="24" s="1"/>
  <c r="R64" i="24" s="1"/>
  <c r="P40" i="11"/>
  <c r="P49" i="24"/>
  <c r="Q49" i="24" s="1"/>
  <c r="R49" i="24" s="1"/>
  <c r="P47" i="24"/>
  <c r="Q47" i="24" s="1"/>
  <c r="R47" i="24" s="1"/>
  <c r="P25" i="9"/>
  <c r="Q25" i="9" s="1"/>
  <c r="R25" i="9" s="1"/>
  <c r="P72" i="10"/>
  <c r="P54" i="14"/>
  <c r="P48" i="13"/>
  <c r="Q48" i="13" s="1"/>
  <c r="R48" i="13" s="1"/>
  <c r="P72" i="1"/>
  <c r="P75" i="11"/>
  <c r="P11" i="19"/>
  <c r="P205" i="24"/>
  <c r="Q205" i="24" s="1"/>
  <c r="P44" i="14"/>
  <c r="Q44" i="14" s="1"/>
  <c r="R44" i="14" s="1"/>
  <c r="S44" i="14" s="1"/>
  <c r="P65" i="17"/>
  <c r="Q51" i="16"/>
  <c r="P79" i="12"/>
  <c r="Q79" i="12" s="1"/>
  <c r="R79" i="12" s="1"/>
  <c r="P57" i="10"/>
  <c r="O79" i="7"/>
  <c r="P82" i="19"/>
  <c r="Q70" i="16"/>
  <c r="P100" i="17"/>
  <c r="P25" i="12"/>
  <c r="Q25" i="12" s="1"/>
  <c r="R25" i="12" s="1"/>
  <c r="P73" i="15"/>
  <c r="Q73" i="15" s="1"/>
  <c r="R73" i="15" s="1"/>
  <c r="P74" i="12"/>
  <c r="Q74" i="12" s="1"/>
  <c r="R74" i="12" s="1"/>
  <c r="P57" i="12"/>
  <c r="P27" i="9"/>
  <c r="P11" i="10"/>
  <c r="P11" i="1"/>
  <c r="Q11" i="1" s="1"/>
  <c r="O18" i="7"/>
  <c r="Q79" i="16"/>
  <c r="R79" i="16" s="1"/>
  <c r="S79" i="16" s="1"/>
  <c r="Q29" i="16"/>
  <c r="R29" i="16" s="1"/>
  <c r="S29" i="16" s="1"/>
  <c r="P71" i="17"/>
  <c r="Q71" i="17" s="1"/>
  <c r="R71" i="17" s="1"/>
  <c r="P43" i="17"/>
  <c r="P14" i="18"/>
  <c r="Q14" i="18" s="1"/>
  <c r="R14" i="18" s="1"/>
  <c r="P211" i="24"/>
  <c r="Q211" i="24" s="1"/>
  <c r="R211" i="24" s="1"/>
  <c r="O106" i="7"/>
  <c r="P106" i="7" s="1"/>
  <c r="Q106" i="7" s="1"/>
  <c r="P197" i="24"/>
  <c r="Q197" i="24" s="1"/>
  <c r="R197" i="24" s="1"/>
  <c r="P67" i="19"/>
  <c r="Q67" i="19" s="1"/>
  <c r="R67" i="19" s="1"/>
  <c r="P194" i="24"/>
  <c r="Q194" i="24" s="1"/>
  <c r="R194" i="24" s="1"/>
  <c r="P126" i="15"/>
  <c r="Q126" i="15" s="1"/>
  <c r="R126" i="15" s="1"/>
  <c r="O86" i="7"/>
  <c r="P86" i="7" s="1"/>
  <c r="Q86" i="7" s="1"/>
  <c r="P74" i="1"/>
  <c r="Q74" i="1" s="1"/>
  <c r="R74" i="1" s="1"/>
  <c r="P74" i="9"/>
  <c r="Q74" i="9" s="1"/>
  <c r="R74" i="9" s="1"/>
  <c r="P134" i="24"/>
  <c r="Q134" i="24" s="1"/>
  <c r="R134" i="24" s="1"/>
  <c r="P90" i="15"/>
  <c r="Q90" i="15" s="1"/>
  <c r="R90" i="15" s="1"/>
  <c r="O66" i="7"/>
  <c r="P66" i="7" s="1"/>
  <c r="Q66" i="7" s="1"/>
  <c r="P182" i="24"/>
  <c r="Q182" i="24" s="1"/>
  <c r="R182" i="24" s="1"/>
  <c r="P178" i="24"/>
  <c r="Q178" i="24" s="1"/>
  <c r="R178" i="24" s="1"/>
  <c r="P164" i="24"/>
  <c r="Q164" i="24" s="1"/>
  <c r="R164" i="24" s="1"/>
  <c r="P160" i="24"/>
  <c r="Q160" i="24" s="1"/>
  <c r="R160" i="24" s="1"/>
  <c r="O88" i="7"/>
  <c r="P88" i="7" s="1"/>
  <c r="Q88" i="7" s="1"/>
  <c r="P77" i="9"/>
  <c r="Q77" i="9" s="1"/>
  <c r="R77" i="9" s="1"/>
  <c r="P123" i="24"/>
  <c r="Q123" i="24" s="1"/>
  <c r="R123" i="24" s="1"/>
  <c r="P114" i="24"/>
  <c r="Q114" i="24" s="1"/>
  <c r="R114" i="24" s="1"/>
  <c r="P61" i="1"/>
  <c r="Q61" i="1" s="1"/>
  <c r="R61" i="1" s="1"/>
  <c r="P61" i="10"/>
  <c r="Q61" i="10" s="1"/>
  <c r="R61" i="10" s="1"/>
  <c r="P61" i="9"/>
  <c r="Q61" i="9" s="1"/>
  <c r="R61" i="9" s="1"/>
  <c r="P91" i="24"/>
  <c r="Q91" i="24" s="1"/>
  <c r="R91" i="24" s="1"/>
  <c r="P52" i="11"/>
  <c r="P98" i="24"/>
  <c r="Q98" i="24" s="1"/>
  <c r="R98" i="24" s="1"/>
  <c r="P49" i="9"/>
  <c r="P56" i="15"/>
  <c r="Q56" i="15" s="1"/>
  <c r="R56" i="15" s="1"/>
  <c r="P58" i="15"/>
  <c r="Q58" i="15" s="1"/>
  <c r="R58" i="15" s="1"/>
  <c r="P37" i="9"/>
  <c r="P38" i="24"/>
  <c r="P37" i="15"/>
  <c r="Q37" i="15" s="1"/>
  <c r="P97" i="12"/>
  <c r="Q97" i="12" s="1"/>
  <c r="R97" i="12" s="1"/>
  <c r="P28" i="11"/>
  <c r="P66" i="20"/>
  <c r="P95" i="10"/>
  <c r="P12" i="13"/>
  <c r="P92" i="14"/>
  <c r="P77" i="15"/>
  <c r="Q77" i="15" s="1"/>
  <c r="R77" i="15" s="1"/>
  <c r="P81" i="12"/>
  <c r="Q81" i="12" s="1"/>
  <c r="R81" i="12" s="1"/>
  <c r="P47" i="12"/>
  <c r="Q47" i="12" s="1"/>
  <c r="R47" i="12" s="1"/>
  <c r="P27" i="10"/>
  <c r="P72" i="9"/>
  <c r="P100" i="15"/>
  <c r="P95" i="9"/>
  <c r="P11" i="18"/>
  <c r="P100" i="19"/>
  <c r="P65" i="18"/>
  <c r="Q31" i="16"/>
  <c r="R31" i="16" s="1"/>
  <c r="S31" i="16" s="1"/>
  <c r="P11" i="14"/>
  <c r="P58" i="13"/>
  <c r="P100" i="18"/>
  <c r="P82" i="17"/>
  <c r="P24" i="14"/>
  <c r="P73" i="13"/>
  <c r="P60" i="11"/>
  <c r="P65" i="19"/>
  <c r="P84" i="12"/>
  <c r="Q84" i="12" s="1"/>
  <c r="R84" i="12" s="1"/>
  <c r="P61" i="12"/>
  <c r="Q61" i="12" s="1"/>
  <c r="R61" i="12" s="1"/>
  <c r="P11" i="9"/>
  <c r="P11" i="11"/>
  <c r="P20" i="15"/>
  <c r="P27" i="1"/>
  <c r="P41" i="24"/>
  <c r="Q41" i="24" s="1"/>
  <c r="R41" i="24" s="1"/>
  <c r="P50" i="11"/>
  <c r="Q50" i="11" s="1"/>
  <c r="R50" i="11" s="1"/>
  <c r="P57" i="9"/>
  <c r="P113" i="15"/>
  <c r="P53" i="18"/>
  <c r="Q53" i="18" s="1"/>
  <c r="R53" i="18" s="1"/>
  <c r="P27" i="19"/>
  <c r="P11" i="17"/>
  <c r="Q59" i="16"/>
  <c r="P28" i="13"/>
  <c r="P11" i="12"/>
  <c r="P87" i="12"/>
  <c r="Q87" i="12" s="1"/>
  <c r="R87" i="12" s="1"/>
  <c r="P40" i="15"/>
  <c r="Q40" i="15" s="1"/>
  <c r="R40" i="15" s="1"/>
  <c r="P47" i="1"/>
  <c r="O64" i="7"/>
  <c r="P112" i="24"/>
  <c r="P94" i="11"/>
  <c r="P137" i="15"/>
  <c r="Q137" i="15" s="1"/>
  <c r="P27" i="17"/>
  <c r="P96" i="13"/>
  <c r="P72" i="12"/>
  <c r="P95" i="12"/>
  <c r="P15" i="24"/>
  <c r="P71" i="15"/>
  <c r="Q71" i="15" s="1"/>
  <c r="R71" i="15" s="1"/>
  <c r="P53" i="19"/>
  <c r="Q53" i="19" s="1"/>
  <c r="R53" i="19" s="1"/>
  <c r="Q93" i="16"/>
  <c r="P82" i="18"/>
  <c r="P77" i="12"/>
  <c r="Q77" i="12" s="1"/>
  <c r="R77" i="12" s="1"/>
  <c r="P47" i="9"/>
  <c r="Q47" i="9" s="1"/>
  <c r="R47" i="9" s="1"/>
  <c r="P85" i="24"/>
  <c r="O104" i="7"/>
  <c r="P27" i="12"/>
  <c r="O34" i="7"/>
  <c r="P62" i="24"/>
  <c r="Q62" i="24" s="1"/>
  <c r="R62" i="24" s="1"/>
  <c r="P47" i="10"/>
  <c r="Q47" i="10" s="1"/>
  <c r="R47" i="10" s="1"/>
  <c r="P57" i="1"/>
  <c r="Q11" i="16"/>
  <c r="P69" i="14"/>
  <c r="O54" i="7"/>
  <c r="P54" i="7" s="1"/>
  <c r="Q54" i="7" s="1"/>
  <c r="P158" i="24"/>
  <c r="P95" i="1"/>
  <c r="P27" i="18"/>
  <c r="P53" i="17"/>
  <c r="Q53" i="17" s="1"/>
  <c r="R53" i="17" s="1"/>
  <c r="Q21" i="19"/>
  <c r="R21" i="19" s="1"/>
  <c r="Q22" i="19"/>
  <c r="R22" i="19" s="1"/>
  <c r="P48" i="20"/>
  <c r="Q46" i="20"/>
  <c r="Q22" i="12"/>
  <c r="R22" i="12" s="1"/>
  <c r="Q21" i="12"/>
  <c r="R21" i="12" s="1"/>
  <c r="S18" i="16"/>
  <c r="R24" i="16"/>
  <c r="Q74" i="20"/>
  <c r="P78" i="20"/>
  <c r="P98" i="20" s="1"/>
  <c r="Q57" i="24"/>
  <c r="O118" i="17"/>
  <c r="P111" i="16"/>
  <c r="O118" i="18"/>
  <c r="S93" i="18"/>
  <c r="S118" i="18" s="1"/>
  <c r="S93" i="19"/>
  <c r="S118" i="19" s="1"/>
  <c r="O118" i="19"/>
  <c r="O113" i="9"/>
  <c r="S88" i="9"/>
  <c r="S113" i="9" s="1"/>
  <c r="O109" i="14"/>
  <c r="M42" i="11"/>
  <c r="M107" i="11" s="1"/>
  <c r="N30" i="15"/>
  <c r="N31" i="15"/>
  <c r="O31" i="15" s="1"/>
  <c r="M44" i="15"/>
  <c r="M155" i="15" s="1"/>
  <c r="N22" i="13"/>
  <c r="O22" i="13" s="1"/>
  <c r="N23" i="13"/>
  <c r="O23" i="13" s="1"/>
  <c r="N34" i="17"/>
  <c r="M45" i="17"/>
  <c r="M113" i="17" s="1"/>
  <c r="N21" i="9"/>
  <c r="O21" i="9" s="1"/>
  <c r="N22" i="9"/>
  <c r="O22" i="9" s="1"/>
  <c r="N21" i="17"/>
  <c r="O21" i="17" s="1"/>
  <c r="N22" i="17"/>
  <c r="O22" i="17" s="1"/>
  <c r="N34" i="18"/>
  <c r="M45" i="18"/>
  <c r="M113" i="18" s="1"/>
  <c r="N46" i="20"/>
  <c r="M48" i="20"/>
  <c r="N20" i="22"/>
  <c r="M22" i="22"/>
  <c r="M52" i="22" s="1"/>
  <c r="M63" i="22" s="1"/>
  <c r="N21" i="11"/>
  <c r="O21" i="11" s="1"/>
  <c r="N22" i="11"/>
  <c r="O22" i="11" s="1"/>
  <c r="N44" i="12"/>
  <c r="M51" i="12"/>
  <c r="M110" i="12" s="1"/>
  <c r="N21" i="18"/>
  <c r="O21" i="18" s="1"/>
  <c r="N22" i="18"/>
  <c r="O22" i="18" s="1"/>
  <c r="M78" i="20"/>
  <c r="M98" i="20" s="1"/>
  <c r="N74" i="20"/>
  <c r="O35" i="11"/>
  <c r="N42" i="11"/>
  <c r="N107" i="11" s="1"/>
  <c r="O49" i="20"/>
  <c r="N54" i="20"/>
  <c r="N91" i="20" s="1"/>
  <c r="N102" i="20" s="1"/>
  <c r="P30" i="24"/>
  <c r="Q30" i="24" s="1"/>
  <c r="R30" i="24" s="1"/>
  <c r="U30" i="24" s="1"/>
  <c r="Q29" i="24"/>
  <c r="R29" i="24" s="1"/>
  <c r="O77" i="12"/>
  <c r="F5" i="23"/>
  <c r="O73" i="19"/>
  <c r="S51" i="7" l="1"/>
  <c r="S58" i="7" s="1"/>
  <c r="S119" i="7" s="1"/>
  <c r="E23" i="21" s="1"/>
  <c r="E128" i="7"/>
  <c r="F118" i="11"/>
  <c r="T120" i="25"/>
  <c r="G120" i="25"/>
  <c r="I72" i="24"/>
  <c r="I236" i="24" s="1"/>
  <c r="U30" i="25"/>
  <c r="U107" i="25" s="1"/>
  <c r="U120" i="25" s="1"/>
  <c r="I226" i="24"/>
  <c r="I244" i="24" s="1"/>
  <c r="S72" i="19"/>
  <c r="S116" i="19" s="1"/>
  <c r="L110" i="19"/>
  <c r="L123" i="19" s="1"/>
  <c r="S28" i="19"/>
  <c r="S110" i="19" s="1"/>
  <c r="T86" i="16"/>
  <c r="T111" i="16" s="1"/>
  <c r="T58" i="16"/>
  <c r="R78" i="7"/>
  <c r="R20" i="22"/>
  <c r="R22" i="22" s="1"/>
  <c r="R52" i="22" s="1"/>
  <c r="R63" i="22" s="1"/>
  <c r="T62" i="15"/>
  <c r="T157" i="15" s="1"/>
  <c r="J22" i="21" s="1"/>
  <c r="U25" i="24"/>
  <c r="U199" i="24"/>
  <c r="U242" i="24" s="1"/>
  <c r="P25" i="21" s="1"/>
  <c r="S48" i="13"/>
  <c r="S62" i="13"/>
  <c r="S18" i="24"/>
  <c r="S63" i="1"/>
  <c r="S139" i="24"/>
  <c r="S63" i="9"/>
  <c r="S61" i="1"/>
  <c r="S49" i="24"/>
  <c r="S191" i="24"/>
  <c r="S125" i="24"/>
  <c r="S189" i="24"/>
  <c r="S102" i="17"/>
  <c r="S216" i="24"/>
  <c r="S96" i="15"/>
  <c r="S91" i="24"/>
  <c r="S25" i="12"/>
  <c r="S143" i="24"/>
  <c r="S92" i="19"/>
  <c r="S78" i="13"/>
  <c r="S162" i="24"/>
  <c r="S82" i="13"/>
  <c r="O59" i="19"/>
  <c r="O115" i="19" s="1"/>
  <c r="S100" i="24"/>
  <c r="S167" i="24"/>
  <c r="T61" i="16"/>
  <c r="S80" i="13"/>
  <c r="T95" i="16"/>
  <c r="S62" i="11"/>
  <c r="S79" i="1"/>
  <c r="S63" i="12"/>
  <c r="S67" i="19"/>
  <c r="T79" i="16"/>
  <c r="S83" i="11"/>
  <c r="S140" i="15"/>
  <c r="S69" i="17"/>
  <c r="S171" i="24"/>
  <c r="S85" i="13"/>
  <c r="S115" i="15"/>
  <c r="T27" i="16"/>
  <c r="N100" i="17"/>
  <c r="O100" i="17" s="1"/>
  <c r="O104" i="17" s="1"/>
  <c r="O121" i="17" s="1"/>
  <c r="M59" i="19"/>
  <c r="M115" i="19" s="1"/>
  <c r="K41" i="20"/>
  <c r="K90" i="20" s="1"/>
  <c r="N59" i="19"/>
  <c r="N115" i="19" s="1"/>
  <c r="U45" i="19"/>
  <c r="U113" i="19" s="1"/>
  <c r="L41" i="20"/>
  <c r="L90" i="20" s="1"/>
  <c r="S84" i="12"/>
  <c r="S61" i="10"/>
  <c r="S77" i="9"/>
  <c r="S126" i="15"/>
  <c r="S187" i="24"/>
  <c r="S116" i="24"/>
  <c r="S66" i="24"/>
  <c r="S185" i="24"/>
  <c r="S81" i="1"/>
  <c r="M39" i="9"/>
  <c r="M108" i="9" s="1"/>
  <c r="U27" i="20"/>
  <c r="R106" i="7"/>
  <c r="R70" i="7"/>
  <c r="S86" i="17"/>
  <c r="S58" i="15"/>
  <c r="S194" i="24"/>
  <c r="T29" i="16"/>
  <c r="S73" i="15"/>
  <c r="S84" i="1"/>
  <c r="R81" i="7"/>
  <c r="S123" i="24"/>
  <c r="S164" i="24"/>
  <c r="R86" i="7"/>
  <c r="N73" i="17"/>
  <c r="N117" i="17" s="1"/>
  <c r="O26" i="14"/>
  <c r="O103" i="14" s="1"/>
  <c r="M46" i="7"/>
  <c r="M117" i="7" s="1"/>
  <c r="S98" i="24"/>
  <c r="S71" i="17"/>
  <c r="S25" i="18"/>
  <c r="P44" i="15"/>
  <c r="P155" i="15" s="1"/>
  <c r="S53" i="17"/>
  <c r="R54" i="7"/>
  <c r="T31" i="16"/>
  <c r="S47" i="12"/>
  <c r="S182" i="24"/>
  <c r="S211" i="24"/>
  <c r="S77" i="1"/>
  <c r="S63" i="10"/>
  <c r="S14" i="9"/>
  <c r="R68" i="7"/>
  <c r="S71" i="19"/>
  <c r="T72" i="16"/>
  <c r="S25" i="17"/>
  <c r="P87" i="16"/>
  <c r="P112" i="16" s="1"/>
  <c r="K117" i="11"/>
  <c r="S60" i="15"/>
  <c r="S169" i="24"/>
  <c r="S25" i="19"/>
  <c r="S69" i="19"/>
  <c r="S97" i="9"/>
  <c r="U45" i="18"/>
  <c r="U113" i="18" s="1"/>
  <c r="L116" i="16"/>
  <c r="R66" i="7"/>
  <c r="S14" i="18"/>
  <c r="S14" i="11"/>
  <c r="S68" i="24"/>
  <c r="S88" i="15"/>
  <c r="S61" i="12"/>
  <c r="S77" i="15"/>
  <c r="S61" i="9"/>
  <c r="S197" i="24"/>
  <c r="S64" i="24"/>
  <c r="S141" i="24"/>
  <c r="S173" i="24"/>
  <c r="S98" i="15"/>
  <c r="S117" i="15"/>
  <c r="S220" i="24"/>
  <c r="S94" i="15"/>
  <c r="S207" i="24"/>
  <c r="S104" i="24"/>
  <c r="S64" i="11"/>
  <c r="S129" i="15"/>
  <c r="S71" i="18"/>
  <c r="S92" i="18"/>
  <c r="S78" i="14"/>
  <c r="R21" i="7"/>
  <c r="S77" i="10"/>
  <c r="S121" i="24"/>
  <c r="S143" i="15"/>
  <c r="T75" i="16"/>
  <c r="S75" i="13"/>
  <c r="J71" i="7"/>
  <c r="J120" i="7" s="1"/>
  <c r="K115" i="14"/>
  <c r="S81" i="12"/>
  <c r="S132" i="24"/>
  <c r="S178" i="24"/>
  <c r="S134" i="24"/>
  <c r="S74" i="12"/>
  <c r="S79" i="12"/>
  <c r="S47" i="24"/>
  <c r="S81" i="10"/>
  <c r="S89" i="18"/>
  <c r="S84" i="10"/>
  <c r="S102" i="19"/>
  <c r="S81" i="14"/>
  <c r="R32" i="7"/>
  <c r="S81" i="9"/>
  <c r="S222" i="24"/>
  <c r="S45" i="24"/>
  <c r="S96" i="24"/>
  <c r="S79" i="9"/>
  <c r="S213" i="24"/>
  <c r="S92" i="17"/>
  <c r="S180" i="24"/>
  <c r="S86" i="11"/>
  <c r="S84" i="17"/>
  <c r="S59" i="12"/>
  <c r="U117" i="16"/>
  <c r="L46" i="7"/>
  <c r="L117" i="7" s="1"/>
  <c r="T94" i="16"/>
  <c r="T79" i="15"/>
  <c r="T159" i="15" s="1"/>
  <c r="J23" i="21" s="1"/>
  <c r="R105" i="7"/>
  <c r="O115" i="14"/>
  <c r="T131" i="15"/>
  <c r="K25" i="21" s="1"/>
  <c r="U41" i="20"/>
  <c r="U90" i="20" s="1"/>
  <c r="F45" i="21" s="1"/>
  <c r="S74" i="14"/>
  <c r="R80" i="7"/>
  <c r="R69" i="7"/>
  <c r="S83" i="12"/>
  <c r="N118" i="1"/>
  <c r="O116" i="16"/>
  <c r="T82" i="16"/>
  <c r="S224" i="24"/>
  <c r="S14" i="10"/>
  <c r="S93" i="24"/>
  <c r="S67" i="17"/>
  <c r="S218" i="24"/>
  <c r="S62" i="24"/>
  <c r="S160" i="24"/>
  <c r="S89" i="24"/>
  <c r="S56" i="14"/>
  <c r="R92" i="7"/>
  <c r="S89" i="19"/>
  <c r="S58" i="14"/>
  <c r="S60" i="14"/>
  <c r="S92" i="15"/>
  <c r="S14" i="12"/>
  <c r="N87" i="16"/>
  <c r="N112" i="16" s="1"/>
  <c r="S97" i="12"/>
  <c r="S74" i="10"/>
  <c r="S89" i="17"/>
  <c r="S43" i="24"/>
  <c r="S79" i="10"/>
  <c r="R84" i="7"/>
  <c r="S66" i="11"/>
  <c r="S145" i="15"/>
  <c r="S78" i="11"/>
  <c r="S22" i="14"/>
  <c r="S77" i="12"/>
  <c r="S90" i="15"/>
  <c r="S84" i="19"/>
  <c r="T77" i="16"/>
  <c r="S70" i="24"/>
  <c r="S102" i="24"/>
  <c r="S130" i="24"/>
  <c r="S119" i="15"/>
  <c r="S176" i="24"/>
  <c r="S123" i="15"/>
  <c r="M73" i="17"/>
  <c r="M117" i="17" s="1"/>
  <c r="M47" i="9"/>
  <c r="I51" i="9"/>
  <c r="I110" i="9" s="1"/>
  <c r="M72" i="10"/>
  <c r="I89" i="10"/>
  <c r="I114" i="10" s="1"/>
  <c r="M158" i="24"/>
  <c r="I199" i="24"/>
  <c r="I242" i="24" s="1"/>
  <c r="S56" i="10"/>
  <c r="L64" i="10"/>
  <c r="M100" i="15"/>
  <c r="I102" i="15"/>
  <c r="I161" i="15" s="1"/>
  <c r="I51" i="10"/>
  <c r="I110" i="10" s="1"/>
  <c r="M47" i="10"/>
  <c r="I104" i="19"/>
  <c r="I121" i="19" s="1"/>
  <c r="I124" i="19" s="1"/>
  <c r="M100" i="19"/>
  <c r="L15" i="11"/>
  <c r="S13" i="11"/>
  <c r="M94" i="11"/>
  <c r="I98" i="11"/>
  <c r="I115" i="11" s="1"/>
  <c r="F247" i="24"/>
  <c r="S64" i="18"/>
  <c r="O15" i="11"/>
  <c r="O102" i="11" s="1"/>
  <c r="N102" i="11"/>
  <c r="N117" i="11" s="1"/>
  <c r="O45" i="19"/>
  <c r="O113" i="19" s="1"/>
  <c r="M73" i="13"/>
  <c r="I90" i="13"/>
  <c r="I115" i="13" s="1"/>
  <c r="M112" i="24"/>
  <c r="I147" i="24"/>
  <c r="I240" i="24" s="1"/>
  <c r="M74" i="9"/>
  <c r="I89" i="9"/>
  <c r="I114" i="9" s="1"/>
  <c r="H36" i="7"/>
  <c r="H115" i="7" s="1"/>
  <c r="L34" i="7"/>
  <c r="M27" i="17"/>
  <c r="I29" i="17"/>
  <c r="I111" i="17" s="1"/>
  <c r="M50" i="13"/>
  <c r="I52" i="13"/>
  <c r="I111" i="13" s="1"/>
  <c r="F124" i="18"/>
  <c r="M72" i="1"/>
  <c r="I89" i="1"/>
  <c r="I114" i="1" s="1"/>
  <c r="P41" i="16"/>
  <c r="P43" i="16" s="1"/>
  <c r="P106" i="16" s="1"/>
  <c r="O43" i="16"/>
  <c r="O106" i="16" s="1"/>
  <c r="M50" i="11"/>
  <c r="I54" i="11"/>
  <c r="I109" i="11" s="1"/>
  <c r="F168" i="15"/>
  <c r="M12" i="13"/>
  <c r="I17" i="13"/>
  <c r="I105" i="13" s="1"/>
  <c r="I120" i="13" s="1"/>
  <c r="M137" i="15"/>
  <c r="N137" i="15" s="1"/>
  <c r="I147" i="15"/>
  <c r="I165" i="15" s="1"/>
  <c r="L35" i="14"/>
  <c r="L104" i="14" s="1"/>
  <c r="S33" i="14"/>
  <c r="S35" i="14" s="1"/>
  <c r="S104" i="14" s="1"/>
  <c r="J13" i="16"/>
  <c r="J102" i="16" s="1"/>
  <c r="N11" i="16"/>
  <c r="F124" i="17"/>
  <c r="M26" i="11"/>
  <c r="I30" i="11"/>
  <c r="I105" i="11" s="1"/>
  <c r="M57" i="1"/>
  <c r="I65" i="1"/>
  <c r="I112" i="1" s="1"/>
  <c r="M11" i="14"/>
  <c r="I13" i="14"/>
  <c r="I101" i="14" s="1"/>
  <c r="M69" i="14"/>
  <c r="I86" i="14"/>
  <c r="I111" i="14" s="1"/>
  <c r="M65" i="18"/>
  <c r="I73" i="18"/>
  <c r="I117" i="18" s="1"/>
  <c r="O72" i="18"/>
  <c r="S68" i="18"/>
  <c r="N14" i="17"/>
  <c r="M16" i="17"/>
  <c r="M109" i="17" s="1"/>
  <c r="J53" i="16"/>
  <c r="J108" i="16" s="1"/>
  <c r="N51" i="16"/>
  <c r="M92" i="14"/>
  <c r="I96" i="14"/>
  <c r="I113" i="14" s="1"/>
  <c r="N97" i="16"/>
  <c r="N114" i="16" s="1"/>
  <c r="O93" i="16"/>
  <c r="M82" i="18"/>
  <c r="I94" i="18"/>
  <c r="I119" i="18" s="1"/>
  <c r="M41" i="24"/>
  <c r="N41" i="24" s="1"/>
  <c r="O41" i="24" s="1"/>
  <c r="S41" i="24" s="1"/>
  <c r="I51" i="24"/>
  <c r="I234" i="24" s="1"/>
  <c r="L72" i="17"/>
  <c r="L116" i="17" s="1"/>
  <c r="S64" i="17"/>
  <c r="I68" i="20"/>
  <c r="I96" i="20" s="1"/>
  <c r="I103" i="20" s="1"/>
  <c r="M66" i="20"/>
  <c r="M113" i="15"/>
  <c r="I131" i="15"/>
  <c r="I163" i="15" s="1"/>
  <c r="M82" i="17"/>
  <c r="I94" i="17"/>
  <c r="I119" i="17" s="1"/>
  <c r="F116" i="14"/>
  <c r="I79" i="15"/>
  <c r="I159" i="15" s="1"/>
  <c r="M71" i="15"/>
  <c r="R15" i="11"/>
  <c r="R102" i="11" s="1"/>
  <c r="R117" i="11" s="1"/>
  <c r="Q102" i="11"/>
  <c r="Q117" i="11" s="1"/>
  <c r="N11" i="18"/>
  <c r="M16" i="18"/>
  <c r="M109" i="18" s="1"/>
  <c r="O48" i="14"/>
  <c r="O107" i="14" s="1"/>
  <c r="L58" i="7"/>
  <c r="L119" i="7" s="1"/>
  <c r="R65" i="7"/>
  <c r="R43" i="15"/>
  <c r="R154" i="15" s="1"/>
  <c r="N72" i="12"/>
  <c r="M89" i="12"/>
  <c r="M114" i="12" s="1"/>
  <c r="P14" i="25"/>
  <c r="Q14" i="25" s="1"/>
  <c r="R14" i="25" s="1"/>
  <c r="M14" i="25"/>
  <c r="N14" i="25" s="1"/>
  <c r="O14" i="25" s="1"/>
  <c r="J14" i="25"/>
  <c r="K14" i="25" s="1"/>
  <c r="L14" i="25" s="1"/>
  <c r="P80" i="25"/>
  <c r="Q80" i="25" s="1"/>
  <c r="R80" i="25" s="1"/>
  <c r="J80" i="25"/>
  <c r="K80" i="25" s="1"/>
  <c r="L80" i="25" s="1"/>
  <c r="M80" i="25"/>
  <c r="N80" i="25" s="1"/>
  <c r="O80" i="25" s="1"/>
  <c r="M52" i="16"/>
  <c r="T50" i="16"/>
  <c r="P82" i="25"/>
  <c r="Q82" i="25" s="1"/>
  <c r="R82" i="25" s="1"/>
  <c r="J82" i="25"/>
  <c r="K82" i="25" s="1"/>
  <c r="L82" i="25" s="1"/>
  <c r="M82" i="25"/>
  <c r="N82" i="25" s="1"/>
  <c r="O82" i="25" s="1"/>
  <c r="S91" i="14"/>
  <c r="L95" i="14"/>
  <c r="P58" i="25"/>
  <c r="M58" i="25"/>
  <c r="J58" i="25"/>
  <c r="I66" i="25"/>
  <c r="I113" i="25" s="1"/>
  <c r="L67" i="11"/>
  <c r="S59" i="11"/>
  <c r="N102" i="18"/>
  <c r="M104" i="18"/>
  <c r="M121" i="18" s="1"/>
  <c r="N80" i="11"/>
  <c r="M88" i="11"/>
  <c r="M113" i="11" s="1"/>
  <c r="P98" i="25"/>
  <c r="Q98" i="25" s="1"/>
  <c r="R98" i="25" s="1"/>
  <c r="J98" i="25"/>
  <c r="K98" i="25" s="1"/>
  <c r="L98" i="25" s="1"/>
  <c r="M98" i="25"/>
  <c r="N98" i="25" s="1"/>
  <c r="O98" i="25" s="1"/>
  <c r="J85" i="25"/>
  <c r="K85" i="25" s="1"/>
  <c r="L85" i="25" s="1"/>
  <c r="M85" i="25"/>
  <c r="N85" i="25" s="1"/>
  <c r="O85" i="25" s="1"/>
  <c r="P85" i="25"/>
  <c r="Q85" i="25" s="1"/>
  <c r="R85" i="25" s="1"/>
  <c r="E120" i="25"/>
  <c r="P28" i="25"/>
  <c r="J28" i="25"/>
  <c r="M28" i="25"/>
  <c r="I30" i="25"/>
  <c r="I107" i="25" s="1"/>
  <c r="L67" i="20"/>
  <c r="S65" i="20"/>
  <c r="N95" i="12"/>
  <c r="M99" i="12"/>
  <c r="M116" i="12" s="1"/>
  <c r="P50" i="25"/>
  <c r="M50" i="25"/>
  <c r="J50" i="25"/>
  <c r="I52" i="25"/>
  <c r="I111" i="25" s="1"/>
  <c r="R64" i="9"/>
  <c r="R111" i="9" s="1"/>
  <c r="S56" i="9"/>
  <c r="N97" i="1"/>
  <c r="M99" i="1"/>
  <c r="M116" i="1" s="1"/>
  <c r="M73" i="25"/>
  <c r="J73" i="25"/>
  <c r="I90" i="25"/>
  <c r="I115" i="25" s="1"/>
  <c r="P73" i="25"/>
  <c r="M38" i="25"/>
  <c r="J38" i="25"/>
  <c r="P38" i="25"/>
  <c r="I40" i="25"/>
  <c r="I109" i="25" s="1"/>
  <c r="L54" i="20"/>
  <c r="L91" i="20" s="1"/>
  <c r="S52" i="20"/>
  <c r="F120" i="25"/>
  <c r="J11" i="25"/>
  <c r="M11" i="25"/>
  <c r="I16" i="25"/>
  <c r="I105" i="25" s="1"/>
  <c r="P11" i="25"/>
  <c r="R103" i="10"/>
  <c r="S15" i="10"/>
  <c r="S103" i="10" s="1"/>
  <c r="H8" i="21" s="1"/>
  <c r="O38" i="9"/>
  <c r="O107" i="9" s="1"/>
  <c r="S36" i="9"/>
  <c r="S38" i="9" s="1"/>
  <c r="S107" i="9" s="1"/>
  <c r="C10" i="21" s="1"/>
  <c r="N25" i="10"/>
  <c r="O25" i="10" s="1"/>
  <c r="S25" i="10" s="1"/>
  <c r="M29" i="10"/>
  <c r="M106" i="10" s="1"/>
  <c r="S55" i="14"/>
  <c r="L61" i="14"/>
  <c r="L108" i="14" s="1"/>
  <c r="N14" i="19"/>
  <c r="M16" i="19"/>
  <c r="M109" i="19" s="1"/>
  <c r="P64" i="25"/>
  <c r="Q64" i="25" s="1"/>
  <c r="R64" i="25" s="1"/>
  <c r="M64" i="25"/>
  <c r="N64" i="25" s="1"/>
  <c r="O64" i="25" s="1"/>
  <c r="J64" i="25"/>
  <c r="K64" i="25" s="1"/>
  <c r="L64" i="25" s="1"/>
  <c r="S99" i="18"/>
  <c r="L103" i="18"/>
  <c r="M29" i="12"/>
  <c r="M106" i="12" s="1"/>
  <c r="N27" i="12"/>
  <c r="O27" i="12" s="1"/>
  <c r="O29" i="12" s="1"/>
  <c r="O106" i="12" s="1"/>
  <c r="P26" i="25"/>
  <c r="Q26" i="25" s="1"/>
  <c r="M26" i="25"/>
  <c r="N26" i="25" s="1"/>
  <c r="J26" i="25"/>
  <c r="K26" i="25" s="1"/>
  <c r="N59" i="10"/>
  <c r="M65" i="10"/>
  <c r="M112" i="10" s="1"/>
  <c r="K102" i="20"/>
  <c r="O209" i="24"/>
  <c r="O226" i="24" s="1"/>
  <c r="O244" i="24" s="1"/>
  <c r="N226" i="24"/>
  <c r="N244" i="24" s="1"/>
  <c r="M48" i="25"/>
  <c r="N48" i="25" s="1"/>
  <c r="O48" i="25" s="1"/>
  <c r="P48" i="25"/>
  <c r="Q48" i="25" s="1"/>
  <c r="R48" i="25" s="1"/>
  <c r="J48" i="25"/>
  <c r="K48" i="25" s="1"/>
  <c r="L48" i="25" s="1"/>
  <c r="C120" i="25"/>
  <c r="N87" i="24"/>
  <c r="M106" i="24"/>
  <c r="M238" i="24" s="1"/>
  <c r="M88" i="25"/>
  <c r="N88" i="25" s="1"/>
  <c r="O88" i="25" s="1"/>
  <c r="J88" i="25"/>
  <c r="K88" i="25" s="1"/>
  <c r="L88" i="25" s="1"/>
  <c r="P88" i="25"/>
  <c r="Q88" i="25" s="1"/>
  <c r="R88" i="25" s="1"/>
  <c r="P75" i="25"/>
  <c r="Q75" i="25" s="1"/>
  <c r="R75" i="25" s="1"/>
  <c r="M75" i="25"/>
  <c r="N75" i="25" s="1"/>
  <c r="O75" i="25" s="1"/>
  <c r="J75" i="25"/>
  <c r="K75" i="25" s="1"/>
  <c r="L75" i="25" s="1"/>
  <c r="N68" i="11"/>
  <c r="N111" i="11" s="1"/>
  <c r="O60" i="11"/>
  <c r="O68" i="11" s="1"/>
  <c r="O111" i="11" s="1"/>
  <c r="S53" i="15"/>
  <c r="O61" i="15"/>
  <c r="O156" i="15" s="1"/>
  <c r="N56" i="15"/>
  <c r="M62" i="15"/>
  <c r="M157" i="15" s="1"/>
  <c r="M78" i="25"/>
  <c r="N78" i="25" s="1"/>
  <c r="O78" i="25" s="1"/>
  <c r="J78" i="25"/>
  <c r="K78" i="25" s="1"/>
  <c r="L78" i="25" s="1"/>
  <c r="P78" i="25"/>
  <c r="Q78" i="25" s="1"/>
  <c r="R78" i="25" s="1"/>
  <c r="P60" i="25"/>
  <c r="Q60" i="25" s="1"/>
  <c r="R60" i="25" s="1"/>
  <c r="M60" i="25"/>
  <c r="N60" i="25" s="1"/>
  <c r="O60" i="25" s="1"/>
  <c r="J60" i="25"/>
  <c r="K60" i="25" s="1"/>
  <c r="L60" i="25" s="1"/>
  <c r="N97" i="10"/>
  <c r="M99" i="10"/>
  <c r="M116" i="10" s="1"/>
  <c r="J96" i="25"/>
  <c r="M96" i="25"/>
  <c r="P96" i="25"/>
  <c r="I100" i="25"/>
  <c r="I117" i="25" s="1"/>
  <c r="S60" i="9"/>
  <c r="O64" i="9"/>
  <c r="P62" i="25"/>
  <c r="Q62" i="25" s="1"/>
  <c r="R62" i="25" s="1"/>
  <c r="M62" i="25"/>
  <c r="N62" i="25" s="1"/>
  <c r="O62" i="25" s="1"/>
  <c r="J62" i="25"/>
  <c r="K62" i="25" s="1"/>
  <c r="L62" i="25" s="1"/>
  <c r="N59" i="9"/>
  <c r="M65" i="9"/>
  <c r="M112" i="9" s="1"/>
  <c r="R15" i="17"/>
  <c r="R108" i="17" s="1"/>
  <c r="Q108" i="17"/>
  <c r="O15" i="17"/>
  <c r="N108" i="17"/>
  <c r="N108" i="19"/>
  <c r="O15" i="19"/>
  <c r="R109" i="9"/>
  <c r="S50" i="9"/>
  <c r="S109" i="9" s="1"/>
  <c r="C11" i="21" s="1"/>
  <c r="N123" i="19"/>
  <c r="Q167" i="15"/>
  <c r="S84" i="9"/>
  <c r="R55" i="7"/>
  <c r="S25" i="9"/>
  <c r="S23" i="15"/>
  <c r="S86" i="15"/>
  <c r="S121" i="15"/>
  <c r="S51" i="11"/>
  <c r="O53" i="11"/>
  <c r="N118" i="9"/>
  <c r="K97" i="7"/>
  <c r="K122" i="7" s="1"/>
  <c r="S48" i="1"/>
  <c r="O50" i="1"/>
  <c r="U35" i="24"/>
  <c r="K114" i="24"/>
  <c r="L114" i="24" s="1"/>
  <c r="S114" i="24" s="1"/>
  <c r="K136" i="24"/>
  <c r="L136" i="24" s="1"/>
  <c r="R15" i="18"/>
  <c r="R108" i="18" s="1"/>
  <c r="R123" i="18" s="1"/>
  <c r="Q108" i="18"/>
  <c r="Q123" i="18" s="1"/>
  <c r="N108" i="18"/>
  <c r="N123" i="18" s="1"/>
  <c r="O15" i="18"/>
  <c r="Q136" i="24"/>
  <c r="R136" i="24" s="1"/>
  <c r="K127" i="24"/>
  <c r="L127" i="24" s="1"/>
  <c r="S127" i="24" s="1"/>
  <c r="K118" i="24"/>
  <c r="L118" i="24" s="1"/>
  <c r="S118" i="24" s="1"/>
  <c r="O67" i="18"/>
  <c r="N26" i="24"/>
  <c r="O26" i="24" s="1"/>
  <c r="U26" i="24" s="1"/>
  <c r="M27" i="24"/>
  <c r="U22" i="12"/>
  <c r="U32" i="15"/>
  <c r="U45" i="17"/>
  <c r="U113" i="17" s="1"/>
  <c r="U21" i="12"/>
  <c r="U29" i="24"/>
  <c r="Q25" i="1"/>
  <c r="R25" i="1" s="1"/>
  <c r="S25" i="1" s="1"/>
  <c r="Q47" i="1"/>
  <c r="R47" i="1" s="1"/>
  <c r="S47" i="1" s="1"/>
  <c r="Q14" i="1"/>
  <c r="R14" i="1" s="1"/>
  <c r="S14" i="1" s="1"/>
  <c r="S24" i="12"/>
  <c r="S64" i="13"/>
  <c r="S26" i="13"/>
  <c r="S49" i="13"/>
  <c r="M32" i="16"/>
  <c r="T28" i="16"/>
  <c r="S69" i="18"/>
  <c r="S84" i="18"/>
  <c r="S93" i="17"/>
  <c r="S118" i="17" s="1"/>
  <c r="N72" i="24"/>
  <c r="N236" i="24" s="1"/>
  <c r="O60" i="13"/>
  <c r="O66" i="13" s="1"/>
  <c r="O113" i="13" s="1"/>
  <c r="N66" i="13"/>
  <c r="N113" i="13" s="1"/>
  <c r="O59" i="1"/>
  <c r="S59" i="1" s="1"/>
  <c r="S26" i="18"/>
  <c r="O28" i="18"/>
  <c r="S28" i="10"/>
  <c r="S105" i="10" s="1"/>
  <c r="H9" i="21" s="1"/>
  <c r="S45" i="14"/>
  <c r="S24" i="17"/>
  <c r="L28" i="17"/>
  <c r="L110" i="17" s="1"/>
  <c r="L123" i="17" s="1"/>
  <c r="O65" i="13"/>
  <c r="O112" i="13" s="1"/>
  <c r="S59" i="13"/>
  <c r="S27" i="13"/>
  <c r="O29" i="13"/>
  <c r="O106" i="13" s="1"/>
  <c r="R16" i="13"/>
  <c r="R104" i="13" s="1"/>
  <c r="Q104" i="13"/>
  <c r="Q119" i="13" s="1"/>
  <c r="N104" i="13"/>
  <c r="N119" i="13" s="1"/>
  <c r="O16" i="13"/>
  <c r="L106" i="13"/>
  <c r="T28" i="7"/>
  <c r="O45" i="13"/>
  <c r="U19" i="14"/>
  <c r="U26" i="14" s="1"/>
  <c r="U103" i="14" s="1"/>
  <c r="U116" i="14" s="1"/>
  <c r="S23" i="14"/>
  <c r="Q115" i="14"/>
  <c r="S88" i="12"/>
  <c r="S113" i="12" s="1"/>
  <c r="L59" i="15"/>
  <c r="K61" i="15"/>
  <c r="K156" i="15" s="1"/>
  <c r="K103" i="7"/>
  <c r="K107" i="7" s="1"/>
  <c r="K124" i="7" s="1"/>
  <c r="J107" i="7"/>
  <c r="J124" i="7" s="1"/>
  <c r="N11" i="9"/>
  <c r="M16" i="9"/>
  <c r="M104" i="9" s="1"/>
  <c r="M20" i="15"/>
  <c r="I25" i="15"/>
  <c r="I153" i="15" s="1"/>
  <c r="I16" i="11"/>
  <c r="I103" i="11" s="1"/>
  <c r="M11" i="11"/>
  <c r="M11" i="10"/>
  <c r="I16" i="10"/>
  <c r="I104" i="10" s="1"/>
  <c r="J45" i="7"/>
  <c r="J116" i="7" s="1"/>
  <c r="K43" i="7"/>
  <c r="K45" i="7" s="1"/>
  <c r="K116" i="7" s="1"/>
  <c r="J57" i="7"/>
  <c r="J118" i="7" s="1"/>
  <c r="K53" i="7"/>
  <c r="K57" i="7" s="1"/>
  <c r="K118" i="7" s="1"/>
  <c r="S97" i="15"/>
  <c r="R101" i="15"/>
  <c r="R160" i="15" s="1"/>
  <c r="R167" i="15" s="1"/>
  <c r="L70" i="15"/>
  <c r="K78" i="15"/>
  <c r="K158" i="15" s="1"/>
  <c r="K93" i="15"/>
  <c r="J101" i="15"/>
  <c r="J160" i="15" s="1"/>
  <c r="O53" i="20"/>
  <c r="O55" i="20" s="1"/>
  <c r="O92" i="20" s="1"/>
  <c r="N55" i="20"/>
  <c r="N92" i="20" s="1"/>
  <c r="N98" i="13"/>
  <c r="M100" i="13"/>
  <c r="M117" i="13" s="1"/>
  <c r="S94" i="10"/>
  <c r="R98" i="10"/>
  <c r="S96" i="12"/>
  <c r="O98" i="12"/>
  <c r="S56" i="12"/>
  <c r="O64" i="12"/>
  <c r="S59" i="14"/>
  <c r="R61" i="14"/>
  <c r="O98" i="1"/>
  <c r="S96" i="1"/>
  <c r="O130" i="15"/>
  <c r="O162" i="15" s="1"/>
  <c r="S114" i="15"/>
  <c r="R50" i="24"/>
  <c r="S37" i="24"/>
  <c r="S26" i="17"/>
  <c r="O28" i="17"/>
  <c r="R58" i="19"/>
  <c r="S52" i="19"/>
  <c r="R44" i="19"/>
  <c r="R112" i="19" s="1"/>
  <c r="S42" i="19"/>
  <c r="S44" i="19" s="1"/>
  <c r="S112" i="19" s="1"/>
  <c r="O29" i="11"/>
  <c r="S27" i="11"/>
  <c r="L112" i="15"/>
  <c r="K130" i="15"/>
  <c r="K162" i="15" s="1"/>
  <c r="L111" i="24"/>
  <c r="K146" i="24"/>
  <c r="K239" i="24" s="1"/>
  <c r="O64" i="1"/>
  <c r="S56" i="1"/>
  <c r="R50" i="12"/>
  <c r="S46" i="12"/>
  <c r="O99" i="13"/>
  <c r="S95" i="13"/>
  <c r="S63" i="13"/>
  <c r="R65" i="13"/>
  <c r="R39" i="13"/>
  <c r="R108" i="13" s="1"/>
  <c r="S37" i="13"/>
  <c r="S39" i="13" s="1"/>
  <c r="S108" i="13" s="1"/>
  <c r="S68" i="17"/>
  <c r="R72" i="17"/>
  <c r="S96" i="9"/>
  <c r="O98" i="9"/>
  <c r="N231" i="24"/>
  <c r="O19" i="24"/>
  <c r="S204" i="24"/>
  <c r="O225" i="24"/>
  <c r="R105" i="24"/>
  <c r="R237" i="24" s="1"/>
  <c r="S92" i="24"/>
  <c r="S99" i="17"/>
  <c r="O103" i="17"/>
  <c r="S99" i="19"/>
  <c r="O103" i="19"/>
  <c r="R28" i="1"/>
  <c r="S26" i="1"/>
  <c r="O24" i="15"/>
  <c r="O152" i="15" s="1"/>
  <c r="N152" i="15"/>
  <c r="N167" i="15" s="1"/>
  <c r="I29" i="9"/>
  <c r="I106" i="9" s="1"/>
  <c r="M27" i="9"/>
  <c r="M15" i="24"/>
  <c r="I20" i="24"/>
  <c r="I232" i="24" s="1"/>
  <c r="H23" i="7"/>
  <c r="H113" i="7" s="1"/>
  <c r="H128" i="7" s="1"/>
  <c r="L18" i="7"/>
  <c r="M11" i="1"/>
  <c r="N11" i="1" s="1"/>
  <c r="I16" i="1"/>
  <c r="I104" i="1" s="1"/>
  <c r="I119" i="1" s="1"/>
  <c r="O114" i="13"/>
  <c r="S89" i="13"/>
  <c r="S114" i="13" s="1"/>
  <c r="O113" i="10"/>
  <c r="O118" i="10" s="1"/>
  <c r="S88" i="10"/>
  <c r="S113" i="10" s="1"/>
  <c r="H13" i="21" s="1"/>
  <c r="Q231" i="24"/>
  <c r="R19" i="24"/>
  <c r="R231" i="24" s="1"/>
  <c r="N118" i="12"/>
  <c r="Q118" i="12"/>
  <c r="N115" i="14"/>
  <c r="Q123" i="17"/>
  <c r="N123" i="17"/>
  <c r="Q123" i="19"/>
  <c r="U21" i="11"/>
  <c r="N71" i="24"/>
  <c r="N235" i="24" s="1"/>
  <c r="N246" i="24" s="1"/>
  <c r="O69" i="24"/>
  <c r="O71" i="24" s="1"/>
  <c r="O235" i="24" s="1"/>
  <c r="L69" i="24"/>
  <c r="K71" i="24"/>
  <c r="K235" i="24" s="1"/>
  <c r="O72" i="24"/>
  <c r="O236" i="24" s="1"/>
  <c r="M72" i="24"/>
  <c r="M236" i="24" s="1"/>
  <c r="R69" i="24"/>
  <c r="R71" i="24" s="1"/>
  <c r="R235" i="24" s="1"/>
  <c r="Q71" i="24"/>
  <c r="Q235" i="24" s="1"/>
  <c r="S51" i="13"/>
  <c r="S110" i="13" s="1"/>
  <c r="L110" i="13"/>
  <c r="S25" i="14"/>
  <c r="S102" i="14" s="1"/>
  <c r="L102" i="14"/>
  <c r="T96" i="16"/>
  <c r="T113" i="16" s="1"/>
  <c r="M113" i="16"/>
  <c r="R110" i="14"/>
  <c r="S85" i="14"/>
  <c r="S110" i="14" s="1"/>
  <c r="O86" i="18"/>
  <c r="O74" i="1"/>
  <c r="S74" i="1" s="1"/>
  <c r="O94" i="14"/>
  <c r="L105" i="12"/>
  <c r="L118" i="12" s="1"/>
  <c r="S28" i="12"/>
  <c r="S105" i="12" s="1"/>
  <c r="O71" i="14"/>
  <c r="S71" i="14" s="1"/>
  <c r="O86" i="19"/>
  <c r="O94" i="19" s="1"/>
  <c r="O119" i="19" s="1"/>
  <c r="N94" i="19"/>
  <c r="N119" i="19" s="1"/>
  <c r="O15" i="13"/>
  <c r="O96" i="11"/>
  <c r="L152" i="15"/>
  <c r="R50" i="10"/>
  <c r="S48" i="10"/>
  <c r="S47" i="14"/>
  <c r="S106" i="14" s="1"/>
  <c r="L106" i="14"/>
  <c r="N46" i="7"/>
  <c r="N117" i="7" s="1"/>
  <c r="Q97" i="7"/>
  <c r="Q122" i="7" s="1"/>
  <c r="R67" i="7"/>
  <c r="Q43" i="7"/>
  <c r="Q45" i="7" s="1"/>
  <c r="Q116" i="7" s="1"/>
  <c r="P45" i="7"/>
  <c r="P116" i="7" s="1"/>
  <c r="Q63" i="7"/>
  <c r="Q71" i="7" s="1"/>
  <c r="Q120" i="7" s="1"/>
  <c r="P71" i="7"/>
  <c r="P120" i="7" s="1"/>
  <c r="Q103" i="7"/>
  <c r="Q107" i="7" s="1"/>
  <c r="Q124" i="7" s="1"/>
  <c r="P107" i="7"/>
  <c r="P124" i="7" s="1"/>
  <c r="Q53" i="7"/>
  <c r="Q57" i="7" s="1"/>
  <c r="Q118" i="7" s="1"/>
  <c r="Q127" i="7" s="1"/>
  <c r="P57" i="7"/>
  <c r="P118" i="7" s="1"/>
  <c r="R87" i="7"/>
  <c r="N97" i="7"/>
  <c r="N43" i="7"/>
  <c r="M45" i="7"/>
  <c r="M116" i="7" s="1"/>
  <c r="L72" i="7"/>
  <c r="L121" i="7" s="1"/>
  <c r="M64" i="7"/>
  <c r="M79" i="7"/>
  <c r="N79" i="7" s="1"/>
  <c r="L98" i="7"/>
  <c r="L123" i="7" s="1"/>
  <c r="N103" i="7"/>
  <c r="M107" i="7"/>
  <c r="M124" i="7" s="1"/>
  <c r="N56" i="7"/>
  <c r="N58" i="7" s="1"/>
  <c r="N119" i="7" s="1"/>
  <c r="M58" i="7"/>
  <c r="M119" i="7" s="1"/>
  <c r="N53" i="7"/>
  <c r="M57" i="7"/>
  <c r="M118" i="7" s="1"/>
  <c r="M104" i="7"/>
  <c r="L108" i="7"/>
  <c r="L125" i="7" s="1"/>
  <c r="N88" i="7"/>
  <c r="R88" i="7" s="1"/>
  <c r="N63" i="7"/>
  <c r="N71" i="7" s="1"/>
  <c r="N120" i="7" s="1"/>
  <c r="M71" i="7"/>
  <c r="M120" i="7" s="1"/>
  <c r="K71" i="7"/>
  <c r="R31" i="7"/>
  <c r="K35" i="7"/>
  <c r="L118" i="1"/>
  <c r="P72" i="24"/>
  <c r="P236" i="24" s="1"/>
  <c r="L118" i="9"/>
  <c r="S41" i="7"/>
  <c r="S46" i="7" s="1"/>
  <c r="S117" i="7" s="1"/>
  <c r="T45" i="19"/>
  <c r="T113" i="19" s="1"/>
  <c r="T124" i="19" s="1"/>
  <c r="T34" i="10"/>
  <c r="T39" i="10" s="1"/>
  <c r="T108" i="10" s="1"/>
  <c r="U21" i="1"/>
  <c r="U21" i="18"/>
  <c r="U21" i="17"/>
  <c r="U21" i="9"/>
  <c r="U22" i="13"/>
  <c r="U31" i="15"/>
  <c r="M33" i="16"/>
  <c r="M104" i="16" s="1"/>
  <c r="O31" i="14"/>
  <c r="N36" i="14"/>
  <c r="N105" i="14" s="1"/>
  <c r="Q27" i="24"/>
  <c r="R27" i="24" s="1"/>
  <c r="Q28" i="24"/>
  <c r="R28" i="24" s="1"/>
  <c r="P28" i="24"/>
  <c r="P51" i="24" s="1"/>
  <c r="P234" i="24" s="1"/>
  <c r="U22" i="1"/>
  <c r="U21" i="10"/>
  <c r="L237" i="24"/>
  <c r="S198" i="24"/>
  <c r="S241" i="24" s="1"/>
  <c r="L241" i="24"/>
  <c r="O158" i="15"/>
  <c r="J99" i="12"/>
  <c r="J116" i="12" s="1"/>
  <c r="K95" i="12"/>
  <c r="J89" i="12"/>
  <c r="J114" i="12" s="1"/>
  <c r="K72" i="12"/>
  <c r="J29" i="17"/>
  <c r="J111" i="17" s="1"/>
  <c r="K27" i="17"/>
  <c r="L27" i="17" s="1"/>
  <c r="L29" i="17" s="1"/>
  <c r="L111" i="17" s="1"/>
  <c r="K27" i="18"/>
  <c r="L27" i="18" s="1"/>
  <c r="L29" i="18" s="1"/>
  <c r="L111" i="18" s="1"/>
  <c r="J29" i="18"/>
  <c r="J111" i="18" s="1"/>
  <c r="J104" i="7"/>
  <c r="I108" i="7"/>
  <c r="I125" i="7" s="1"/>
  <c r="K95" i="1"/>
  <c r="J99" i="1"/>
  <c r="J116" i="1" s="1"/>
  <c r="J64" i="7"/>
  <c r="I72" i="7"/>
  <c r="I121" i="7" s="1"/>
  <c r="J86" i="14"/>
  <c r="J111" i="14" s="1"/>
  <c r="K69" i="14"/>
  <c r="L69" i="14" s="1"/>
  <c r="J94" i="18"/>
  <c r="J119" i="18" s="1"/>
  <c r="K82" i="18"/>
  <c r="J131" i="15"/>
  <c r="J163" i="15" s="1"/>
  <c r="K113" i="15"/>
  <c r="K57" i="9"/>
  <c r="J65" i="9"/>
  <c r="J112" i="9" s="1"/>
  <c r="J25" i="15"/>
  <c r="J153" i="15" s="1"/>
  <c r="K20" i="15"/>
  <c r="K11" i="11"/>
  <c r="J16" i="11"/>
  <c r="J103" i="11" s="1"/>
  <c r="K27" i="9"/>
  <c r="L27" i="9" s="1"/>
  <c r="L29" i="9" s="1"/>
  <c r="L106" i="9" s="1"/>
  <c r="J29" i="9"/>
  <c r="J106" i="9" s="1"/>
  <c r="J104" i="17"/>
  <c r="J121" i="17" s="1"/>
  <c r="K100" i="17"/>
  <c r="J73" i="19"/>
  <c r="J117" i="19" s="1"/>
  <c r="K65" i="19"/>
  <c r="K57" i="10"/>
  <c r="J65" i="10"/>
  <c r="J112" i="10" s="1"/>
  <c r="K24" i="14"/>
  <c r="L24" i="14" s="1"/>
  <c r="L26" i="14" s="1"/>
  <c r="L103" i="14" s="1"/>
  <c r="J26" i="14"/>
  <c r="J103" i="14" s="1"/>
  <c r="J94" i="17"/>
  <c r="J119" i="17" s="1"/>
  <c r="K82" i="17"/>
  <c r="J104" i="18"/>
  <c r="J121" i="18" s="1"/>
  <c r="K100" i="18"/>
  <c r="K11" i="14"/>
  <c r="J13" i="14"/>
  <c r="J101" i="14" s="1"/>
  <c r="J16" i="18"/>
  <c r="J109" i="18" s="1"/>
  <c r="K11" i="18"/>
  <c r="K158" i="24"/>
  <c r="J199" i="24"/>
  <c r="J242" i="24" s="1"/>
  <c r="K85" i="24"/>
  <c r="J106" i="24"/>
  <c r="I238" i="24" s="1"/>
  <c r="I247" i="24" s="1"/>
  <c r="K11" i="12"/>
  <c r="J16" i="12"/>
  <c r="J104" i="12" s="1"/>
  <c r="L11" i="16"/>
  <c r="K13" i="16"/>
  <c r="K102" i="16" s="1"/>
  <c r="L53" i="18"/>
  <c r="S53" i="18" s="1"/>
  <c r="J29" i="1"/>
  <c r="J106" i="1" s="1"/>
  <c r="K27" i="1"/>
  <c r="L27" i="1" s="1"/>
  <c r="L29" i="1" s="1"/>
  <c r="L106" i="1" s="1"/>
  <c r="K11" i="9"/>
  <c r="J16" i="9"/>
  <c r="J104" i="9" s="1"/>
  <c r="K87" i="16"/>
  <c r="K112" i="16" s="1"/>
  <c r="L70" i="16"/>
  <c r="K54" i="15"/>
  <c r="J62" i="15"/>
  <c r="J157" i="15" s="1"/>
  <c r="K58" i="13"/>
  <c r="J66" i="13"/>
  <c r="J113" i="13" s="1"/>
  <c r="J104" i="19"/>
  <c r="J121" i="19" s="1"/>
  <c r="K100" i="19"/>
  <c r="J29" i="10"/>
  <c r="J106" i="10" s="1"/>
  <c r="K27" i="10"/>
  <c r="L27" i="10" s="1"/>
  <c r="L29" i="10" s="1"/>
  <c r="L106" i="10" s="1"/>
  <c r="K95" i="10"/>
  <c r="J99" i="10"/>
  <c r="J116" i="10" s="1"/>
  <c r="K66" i="20"/>
  <c r="J68" i="20"/>
  <c r="J96" i="20" s="1"/>
  <c r="K38" i="24"/>
  <c r="J51" i="24"/>
  <c r="J234" i="24" s="1"/>
  <c r="J42" i="11"/>
  <c r="J107" i="11" s="1"/>
  <c r="K40" i="11"/>
  <c r="K49" i="1"/>
  <c r="J51" i="1"/>
  <c r="J110" i="1" s="1"/>
  <c r="K43" i="18"/>
  <c r="J45" i="18"/>
  <c r="J113" i="18" s="1"/>
  <c r="J40" i="13"/>
  <c r="J109" i="13" s="1"/>
  <c r="K38" i="13"/>
  <c r="K37" i="12"/>
  <c r="J39" i="12"/>
  <c r="J108" i="12" s="1"/>
  <c r="J88" i="11"/>
  <c r="J113" i="11" s="1"/>
  <c r="K75" i="11"/>
  <c r="J89" i="1"/>
  <c r="J114" i="1" s="1"/>
  <c r="K72" i="1"/>
  <c r="L72" i="1" s="1"/>
  <c r="J96" i="14"/>
  <c r="J113" i="14" s="1"/>
  <c r="K92" i="14"/>
  <c r="J17" i="13"/>
  <c r="J105" i="13" s="1"/>
  <c r="K12" i="13"/>
  <c r="K49" i="9"/>
  <c r="J51" i="9"/>
  <c r="J110" i="9" s="1"/>
  <c r="K49" i="10"/>
  <c r="J51" i="10"/>
  <c r="J110" i="10" s="1"/>
  <c r="K75" i="15"/>
  <c r="J79" i="15"/>
  <c r="J159" i="15" s="1"/>
  <c r="J45" i="17"/>
  <c r="J113" i="17" s="1"/>
  <c r="K43" i="17"/>
  <c r="K43" i="16"/>
  <c r="K106" i="16" s="1"/>
  <c r="L41" i="16"/>
  <c r="I46" i="7"/>
  <c r="I117" i="7" s="1"/>
  <c r="J44" i="7"/>
  <c r="K57" i="19"/>
  <c r="J59" i="19"/>
  <c r="J115" i="19" s="1"/>
  <c r="P109" i="16"/>
  <c r="P116" i="16" s="1"/>
  <c r="T62" i="16"/>
  <c r="T109" i="16" s="1"/>
  <c r="J72" i="24"/>
  <c r="J236" i="24" s="1"/>
  <c r="U34" i="15"/>
  <c r="O154" i="15"/>
  <c r="S43" i="15"/>
  <c r="S154" i="15" s="1"/>
  <c r="H21" i="21" s="1"/>
  <c r="K27" i="12"/>
  <c r="L27" i="12" s="1"/>
  <c r="L29" i="12" s="1"/>
  <c r="L106" i="12" s="1"/>
  <c r="J29" i="12"/>
  <c r="J106" i="12" s="1"/>
  <c r="K96" i="13"/>
  <c r="J100" i="13"/>
  <c r="J117" i="13" s="1"/>
  <c r="L137" i="15"/>
  <c r="L147" i="15" s="1"/>
  <c r="L165" i="15" s="1"/>
  <c r="K147" i="15"/>
  <c r="K165" i="15" s="1"/>
  <c r="J98" i="11"/>
  <c r="J115" i="11" s="1"/>
  <c r="K94" i="11"/>
  <c r="K112" i="24"/>
  <c r="J147" i="24"/>
  <c r="J240" i="24" s="1"/>
  <c r="J30" i="13"/>
  <c r="J107" i="13" s="1"/>
  <c r="K28" i="13"/>
  <c r="L28" i="13" s="1"/>
  <c r="L30" i="13" s="1"/>
  <c r="L107" i="13" s="1"/>
  <c r="K63" i="16"/>
  <c r="K110" i="16" s="1"/>
  <c r="L59" i="16"/>
  <c r="J29" i="19"/>
  <c r="J111" i="19" s="1"/>
  <c r="K27" i="19"/>
  <c r="L27" i="19" s="1"/>
  <c r="L29" i="19" s="1"/>
  <c r="L111" i="19" s="1"/>
  <c r="J65" i="1"/>
  <c r="J112" i="1" s="1"/>
  <c r="K57" i="1"/>
  <c r="K15" i="24"/>
  <c r="J20" i="24"/>
  <c r="J232" i="24" s="1"/>
  <c r="J18" i="7"/>
  <c r="I23" i="7"/>
  <c r="I113" i="7" s="1"/>
  <c r="K11" i="1"/>
  <c r="J16" i="1"/>
  <c r="J104" i="1" s="1"/>
  <c r="J94" i="19"/>
  <c r="J119" i="19" s="1"/>
  <c r="K82" i="19"/>
  <c r="J79" i="7"/>
  <c r="K79" i="7" s="1"/>
  <c r="I98" i="7"/>
  <c r="I123" i="7" s="1"/>
  <c r="K53" i="16"/>
  <c r="K108" i="16" s="1"/>
  <c r="L51" i="16"/>
  <c r="J73" i="17"/>
  <c r="J117" i="17" s="1"/>
  <c r="K65" i="17"/>
  <c r="K65" i="18"/>
  <c r="J73" i="18"/>
  <c r="J117" i="18" s="1"/>
  <c r="K11" i="19"/>
  <c r="J16" i="19"/>
  <c r="J109" i="19" s="1"/>
  <c r="L93" i="16"/>
  <c r="K97" i="16"/>
  <c r="K114" i="16" s="1"/>
  <c r="K11" i="17"/>
  <c r="J16" i="17"/>
  <c r="J109" i="17" s="1"/>
  <c r="J34" i="7"/>
  <c r="K34" i="7" s="1"/>
  <c r="K36" i="7" s="1"/>
  <c r="K115" i="7" s="1"/>
  <c r="I36" i="7"/>
  <c r="I115" i="7" s="1"/>
  <c r="K11" i="10"/>
  <c r="J16" i="10"/>
  <c r="J104" i="10" s="1"/>
  <c r="J65" i="12"/>
  <c r="J112" i="12" s="1"/>
  <c r="K57" i="12"/>
  <c r="K60" i="11"/>
  <c r="J68" i="11"/>
  <c r="J111" i="11" s="1"/>
  <c r="J90" i="13"/>
  <c r="J115" i="13" s="1"/>
  <c r="K73" i="13"/>
  <c r="L73" i="13" s="1"/>
  <c r="L205" i="24"/>
  <c r="L226" i="24" s="1"/>
  <c r="L244" i="24" s="1"/>
  <c r="K226" i="24"/>
  <c r="K244" i="24" s="1"/>
  <c r="J89" i="10"/>
  <c r="J114" i="10" s="1"/>
  <c r="K72" i="10"/>
  <c r="K28" i="11"/>
  <c r="L28" i="11" s="1"/>
  <c r="L30" i="11" s="1"/>
  <c r="L105" i="11" s="1"/>
  <c r="J30" i="11"/>
  <c r="J105" i="11" s="1"/>
  <c r="K37" i="15"/>
  <c r="J44" i="15"/>
  <c r="J155" i="15" s="1"/>
  <c r="N55" i="18"/>
  <c r="M59" i="18"/>
  <c r="M115" i="18" s="1"/>
  <c r="K34" i="14"/>
  <c r="J36" i="14"/>
  <c r="J105" i="14" s="1"/>
  <c r="J39" i="1"/>
  <c r="J108" i="1" s="1"/>
  <c r="K37" i="1"/>
  <c r="K53" i="20"/>
  <c r="J55" i="20"/>
  <c r="J92" i="20" s="1"/>
  <c r="J56" i="7"/>
  <c r="I58" i="7"/>
  <c r="I119" i="7" s="1"/>
  <c r="J59" i="18"/>
  <c r="J115" i="18" s="1"/>
  <c r="K57" i="18"/>
  <c r="L57" i="18" s="1"/>
  <c r="L59" i="18" s="1"/>
  <c r="L115" i="18" s="1"/>
  <c r="J48" i="14"/>
  <c r="J107" i="14" s="1"/>
  <c r="K46" i="14"/>
  <c r="K49" i="12"/>
  <c r="J51" i="12"/>
  <c r="J110" i="12" s="1"/>
  <c r="J99" i="9"/>
  <c r="J116" i="9" s="1"/>
  <c r="K95" i="9"/>
  <c r="J102" i="15"/>
  <c r="J161" i="15" s="1"/>
  <c r="K100" i="15"/>
  <c r="J89" i="9"/>
  <c r="J114" i="9" s="1"/>
  <c r="K72" i="9"/>
  <c r="L72" i="9" s="1"/>
  <c r="K54" i="14"/>
  <c r="J62" i="14"/>
  <c r="J109" i="14" s="1"/>
  <c r="K37" i="9"/>
  <c r="J39" i="9"/>
  <c r="J108" i="9" s="1"/>
  <c r="K52" i="11"/>
  <c r="J54" i="11"/>
  <c r="J109" i="11" s="1"/>
  <c r="K57" i="17"/>
  <c r="J59" i="17"/>
  <c r="J115" i="17" s="1"/>
  <c r="N55" i="17"/>
  <c r="M59" i="17"/>
  <c r="M115" i="17" s="1"/>
  <c r="K50" i="13"/>
  <c r="J52" i="13"/>
  <c r="J111" i="13" s="1"/>
  <c r="J39" i="10"/>
  <c r="J108" i="10" s="1"/>
  <c r="K37" i="10"/>
  <c r="J45" i="19"/>
  <c r="J113" i="19" s="1"/>
  <c r="K43" i="19"/>
  <c r="L46" i="20"/>
  <c r="L48" i="20" s="1"/>
  <c r="K48" i="20"/>
  <c r="K78" i="20"/>
  <c r="K98" i="20" s="1"/>
  <c r="L74" i="20"/>
  <c r="L78" i="20" s="1"/>
  <c r="L98" i="20" s="1"/>
  <c r="L20" i="22"/>
  <c r="L22" i="22" s="1"/>
  <c r="L52" i="22" s="1"/>
  <c r="L63" i="22" s="1"/>
  <c r="K22" i="22"/>
  <c r="K52" i="22" s="1"/>
  <c r="K63" i="22" s="1"/>
  <c r="L56" i="24"/>
  <c r="K72" i="24"/>
  <c r="K236" i="24" s="1"/>
  <c r="M13" i="21"/>
  <c r="S55" i="19"/>
  <c r="S40" i="15"/>
  <c r="N78" i="20"/>
  <c r="N98" i="20" s="1"/>
  <c r="O74" i="20"/>
  <c r="U22" i="18"/>
  <c r="O29" i="18"/>
  <c r="O111" i="18" s="1"/>
  <c r="U22" i="11"/>
  <c r="U22" i="17"/>
  <c r="U22" i="9"/>
  <c r="U23" i="13"/>
  <c r="O30" i="13"/>
  <c r="O107" i="13" s="1"/>
  <c r="O30" i="15"/>
  <c r="N44" i="15"/>
  <c r="N155" i="15" s="1"/>
  <c r="R57" i="24"/>
  <c r="Q72" i="24"/>
  <c r="Q236" i="24" s="1"/>
  <c r="R74" i="20"/>
  <c r="R78" i="20" s="1"/>
  <c r="R98" i="20" s="1"/>
  <c r="U98" i="20" s="1"/>
  <c r="F49" i="21" s="1"/>
  <c r="G49" i="21" s="1"/>
  <c r="Q78" i="20"/>
  <c r="Q98" i="20" s="1"/>
  <c r="S24" i="16"/>
  <c r="S33" i="16" s="1"/>
  <c r="S104" i="16" s="1"/>
  <c r="V18" i="16"/>
  <c r="Q27" i="18"/>
  <c r="R27" i="18" s="1"/>
  <c r="P29" i="18"/>
  <c r="P111" i="18" s="1"/>
  <c r="P199" i="24"/>
  <c r="P242" i="24" s="1"/>
  <c r="Q158" i="24"/>
  <c r="Q69" i="14"/>
  <c r="R69" i="14" s="1"/>
  <c r="P86" i="14"/>
  <c r="P111" i="14" s="1"/>
  <c r="Q57" i="1"/>
  <c r="P65" i="1"/>
  <c r="P112" i="1" s="1"/>
  <c r="Q27" i="12"/>
  <c r="R27" i="12" s="1"/>
  <c r="P29" i="12"/>
  <c r="P106" i="12" s="1"/>
  <c r="P106" i="24"/>
  <c r="P238" i="24" s="1"/>
  <c r="Q85" i="24"/>
  <c r="R93" i="16"/>
  <c r="Q97" i="16"/>
  <c r="Q114" i="16" s="1"/>
  <c r="Q95" i="12"/>
  <c r="P99" i="12"/>
  <c r="P116" i="12" s="1"/>
  <c r="Q96" i="13"/>
  <c r="P100" i="13"/>
  <c r="P117" i="13" s="1"/>
  <c r="Q147" i="15"/>
  <c r="Q165" i="15" s="1"/>
  <c r="R137" i="15"/>
  <c r="Q112" i="24"/>
  <c r="P147" i="24"/>
  <c r="P240" i="24" s="1"/>
  <c r="S87" i="12"/>
  <c r="Q28" i="13"/>
  <c r="R28" i="13" s="1"/>
  <c r="P30" i="13"/>
  <c r="P107" i="13" s="1"/>
  <c r="Q11" i="17"/>
  <c r="R11" i="17" s="1"/>
  <c r="P16" i="17"/>
  <c r="Q57" i="9"/>
  <c r="P65" i="9"/>
  <c r="P112" i="9" s="1"/>
  <c r="P25" i="15"/>
  <c r="P153" i="15" s="1"/>
  <c r="Q20" i="15"/>
  <c r="Q11" i="9"/>
  <c r="R11" i="9" s="1"/>
  <c r="P16" i="9"/>
  <c r="Q60" i="11"/>
  <c r="P68" i="11"/>
  <c r="P111" i="11" s="1"/>
  <c r="Q24" i="14"/>
  <c r="R24" i="14" s="1"/>
  <c r="P26" i="14"/>
  <c r="P103" i="14" s="1"/>
  <c r="P104" i="18"/>
  <c r="P121" i="18" s="1"/>
  <c r="Q100" i="18"/>
  <c r="Q11" i="14"/>
  <c r="P13" i="14"/>
  <c r="P101" i="14" s="1"/>
  <c r="P73" i="18"/>
  <c r="P117" i="18" s="1"/>
  <c r="Q65" i="18"/>
  <c r="Q11" i="18"/>
  <c r="R11" i="18" s="1"/>
  <c r="P16" i="18"/>
  <c r="Q100" i="15"/>
  <c r="P102" i="15"/>
  <c r="P161" i="15" s="1"/>
  <c r="Q27" i="10"/>
  <c r="R27" i="10" s="1"/>
  <c r="P29" i="10"/>
  <c r="P106" i="10" s="1"/>
  <c r="P96" i="14"/>
  <c r="P113" i="14" s="1"/>
  <c r="Q92" i="14"/>
  <c r="P99" i="10"/>
  <c r="P116" i="10" s="1"/>
  <c r="Q95" i="10"/>
  <c r="Q28" i="11"/>
  <c r="R28" i="11" s="1"/>
  <c r="P30" i="11"/>
  <c r="P105" i="11" s="1"/>
  <c r="R37" i="15"/>
  <c r="R44" i="15" s="1"/>
  <c r="R155" i="15" s="1"/>
  <c r="Q44" i="15"/>
  <c r="Q155" i="15" s="1"/>
  <c r="P39" i="9"/>
  <c r="P108" i="9" s="1"/>
  <c r="Q37" i="9"/>
  <c r="R11" i="1"/>
  <c r="P16" i="1"/>
  <c r="Q27" i="9"/>
  <c r="R27" i="9" s="1"/>
  <c r="P29" i="9"/>
  <c r="P106" i="9" s="1"/>
  <c r="Q87" i="16"/>
  <c r="Q112" i="16" s="1"/>
  <c r="R70" i="16"/>
  <c r="S70" i="16" s="1"/>
  <c r="P79" i="7"/>
  <c r="Q79" i="7" s="1"/>
  <c r="O98" i="7"/>
  <c r="O123" i="7" s="1"/>
  <c r="P73" i="17"/>
  <c r="P117" i="17" s="1"/>
  <c r="Q65" i="17"/>
  <c r="Q226" i="24"/>
  <c r="Q244" i="24" s="1"/>
  <c r="R205" i="24"/>
  <c r="Q75" i="11"/>
  <c r="P88" i="11"/>
  <c r="P113" i="11" s="1"/>
  <c r="P89" i="10"/>
  <c r="P114" i="10" s="1"/>
  <c r="Q72" i="10"/>
  <c r="R72" i="10" s="1"/>
  <c r="Q40" i="11"/>
  <c r="P42" i="11"/>
  <c r="P107" i="11" s="1"/>
  <c r="Q75" i="15"/>
  <c r="P79" i="15"/>
  <c r="P159" i="15" s="1"/>
  <c r="Q57" i="17"/>
  <c r="P59" i="17"/>
  <c r="P115" i="17" s="1"/>
  <c r="P36" i="14"/>
  <c r="P105" i="14" s="1"/>
  <c r="Q34" i="14"/>
  <c r="O46" i="7"/>
  <c r="O117" i="7" s="1"/>
  <c r="P44" i="7"/>
  <c r="P56" i="7"/>
  <c r="O58" i="7"/>
  <c r="O119" i="7" s="1"/>
  <c r="S42" i="15"/>
  <c r="Q49" i="1"/>
  <c r="P51" i="1"/>
  <c r="P110" i="1" s="1"/>
  <c r="P45" i="19"/>
  <c r="P113" i="19" s="1"/>
  <c r="Q43" i="19"/>
  <c r="P40" i="13"/>
  <c r="P109" i="13" s="1"/>
  <c r="Q38" i="13"/>
  <c r="P51" i="12"/>
  <c r="P110" i="12" s="1"/>
  <c r="Q49" i="12"/>
  <c r="S87" i="10"/>
  <c r="Q57" i="19"/>
  <c r="P59" i="19"/>
  <c r="P115" i="19" s="1"/>
  <c r="T85" i="16"/>
  <c r="S87" i="16"/>
  <c r="Q46" i="14"/>
  <c r="P48" i="14"/>
  <c r="P107" i="14" s="1"/>
  <c r="O34" i="9"/>
  <c r="N39" i="9"/>
  <c r="N108" i="9" s="1"/>
  <c r="O33" i="24"/>
  <c r="O44" i="9"/>
  <c r="P24" i="16"/>
  <c r="V19" i="16"/>
  <c r="O34" i="1"/>
  <c r="N39" i="1"/>
  <c r="N108" i="1" s="1"/>
  <c r="O44" i="1"/>
  <c r="N51" i="1"/>
  <c r="N110" i="1" s="1"/>
  <c r="O35" i="13"/>
  <c r="N40" i="13"/>
  <c r="N109" i="13" s="1"/>
  <c r="S53" i="19"/>
  <c r="U21" i="19"/>
  <c r="O117" i="19"/>
  <c r="Q49" i="20"/>
  <c r="O54" i="20"/>
  <c r="O42" i="11"/>
  <c r="O107" i="11" s="1"/>
  <c r="T35" i="11"/>
  <c r="T42" i="11" s="1"/>
  <c r="T107" i="11" s="1"/>
  <c r="O44" i="12"/>
  <c r="N51" i="12"/>
  <c r="N110" i="12" s="1"/>
  <c r="O20" i="22"/>
  <c r="N22" i="22"/>
  <c r="N52" i="22" s="1"/>
  <c r="N63" i="22" s="1"/>
  <c r="O46" i="20"/>
  <c r="N48" i="20"/>
  <c r="O34" i="18"/>
  <c r="N45" i="18"/>
  <c r="N113" i="18" s="1"/>
  <c r="O34" i="17"/>
  <c r="N45" i="17"/>
  <c r="N113" i="17" s="1"/>
  <c r="C13" i="21"/>
  <c r="R46" i="20"/>
  <c r="R48" i="20" s="1"/>
  <c r="Q48" i="20"/>
  <c r="P99" i="1"/>
  <c r="P116" i="1" s="1"/>
  <c r="Q95" i="1"/>
  <c r="Q13" i="16"/>
  <c r="Q102" i="16" s="1"/>
  <c r="R11" i="16"/>
  <c r="P34" i="7"/>
  <c r="Q34" i="7" s="1"/>
  <c r="O36" i="7"/>
  <c r="O115" i="7" s="1"/>
  <c r="O108" i="7"/>
  <c r="O125" i="7" s="1"/>
  <c r="P104" i="7"/>
  <c r="P94" i="18"/>
  <c r="P119" i="18" s="1"/>
  <c r="Q82" i="18"/>
  <c r="P20" i="24"/>
  <c r="P232" i="24" s="1"/>
  <c r="Q15" i="24"/>
  <c r="Q72" i="12"/>
  <c r="R72" i="12" s="1"/>
  <c r="P89" i="12"/>
  <c r="P114" i="12" s="1"/>
  <c r="Q27" i="17"/>
  <c r="R27" i="17" s="1"/>
  <c r="P29" i="17"/>
  <c r="P111" i="17" s="1"/>
  <c r="P98" i="11"/>
  <c r="P115" i="11" s="1"/>
  <c r="Q94" i="11"/>
  <c r="O72" i="7"/>
  <c r="O121" i="7" s="1"/>
  <c r="P64" i="7"/>
  <c r="Q11" i="12"/>
  <c r="R11" i="12" s="1"/>
  <c r="P16" i="12"/>
  <c r="Q63" i="16"/>
  <c r="Q110" i="16" s="1"/>
  <c r="R59" i="16"/>
  <c r="Q27" i="19"/>
  <c r="R27" i="19" s="1"/>
  <c r="P29" i="19"/>
  <c r="P111" i="19" s="1"/>
  <c r="Q113" i="15"/>
  <c r="P131" i="15"/>
  <c r="P163" i="15" s="1"/>
  <c r="Q27" i="1"/>
  <c r="R27" i="1" s="1"/>
  <c r="P29" i="1"/>
  <c r="P106" i="1" s="1"/>
  <c r="Q11" i="11"/>
  <c r="R11" i="11" s="1"/>
  <c r="P16" i="11"/>
  <c r="P73" i="19"/>
  <c r="P117" i="19" s="1"/>
  <c r="Q65" i="19"/>
  <c r="P90" i="13"/>
  <c r="P115" i="13" s="1"/>
  <c r="Q73" i="13"/>
  <c r="R73" i="13" s="1"/>
  <c r="P94" i="17"/>
  <c r="P119" i="17" s="1"/>
  <c r="Q82" i="17"/>
  <c r="Q58" i="13"/>
  <c r="P66" i="13"/>
  <c r="P113" i="13" s="1"/>
  <c r="P104" i="19"/>
  <c r="P121" i="19" s="1"/>
  <c r="Q100" i="19"/>
  <c r="Q95" i="9"/>
  <c r="P99" i="9"/>
  <c r="P116" i="9" s="1"/>
  <c r="Q72" i="9"/>
  <c r="R72" i="9" s="1"/>
  <c r="P89" i="9"/>
  <c r="P114" i="9" s="1"/>
  <c r="Q12" i="13"/>
  <c r="R12" i="13" s="1"/>
  <c r="P17" i="13"/>
  <c r="P68" i="20"/>
  <c r="P96" i="20" s="1"/>
  <c r="Q66" i="20"/>
  <c r="Q38" i="24"/>
  <c r="Q49" i="9"/>
  <c r="P51" i="9"/>
  <c r="P110" i="9" s="1"/>
  <c r="Q52" i="11"/>
  <c r="P54" i="11"/>
  <c r="P109" i="11" s="1"/>
  <c r="P45" i="17"/>
  <c r="P113" i="17" s="1"/>
  <c r="Q43" i="17"/>
  <c r="P18" i="7"/>
  <c r="Q18" i="7" s="1"/>
  <c r="O23" i="7"/>
  <c r="Q11" i="10"/>
  <c r="R11" i="10" s="1"/>
  <c r="P16" i="10"/>
  <c r="P65" i="12"/>
  <c r="P112" i="12" s="1"/>
  <c r="Q57" i="12"/>
  <c r="P104" i="17"/>
  <c r="P121" i="17" s="1"/>
  <c r="Q100" i="17"/>
  <c r="P94" i="19"/>
  <c r="P119" i="19" s="1"/>
  <c r="Q82" i="19"/>
  <c r="Q57" i="10"/>
  <c r="P65" i="10"/>
  <c r="P112" i="10" s="1"/>
  <c r="Q53" i="16"/>
  <c r="Q108" i="16" s="1"/>
  <c r="R51" i="16"/>
  <c r="P16" i="19"/>
  <c r="Q11" i="19"/>
  <c r="R11" i="19" s="1"/>
  <c r="Q72" i="1"/>
  <c r="R72" i="1" s="1"/>
  <c r="P89" i="1"/>
  <c r="P114" i="1" s="1"/>
  <c r="Q54" i="14"/>
  <c r="P62" i="14"/>
  <c r="P109" i="14" s="1"/>
  <c r="P62" i="15"/>
  <c r="P157" i="15" s="1"/>
  <c r="Q54" i="15"/>
  <c r="Q49" i="10"/>
  <c r="P51" i="10"/>
  <c r="P110" i="10" s="1"/>
  <c r="R41" i="16"/>
  <c r="Q43" i="16"/>
  <c r="Q106" i="16" s="1"/>
  <c r="R96" i="7"/>
  <c r="P52" i="13"/>
  <c r="P111" i="13" s="1"/>
  <c r="Q50" i="13"/>
  <c r="S88" i="13"/>
  <c r="P39" i="10"/>
  <c r="P108" i="10" s="1"/>
  <c r="Q37" i="10"/>
  <c r="P39" i="1"/>
  <c r="P108" i="1" s="1"/>
  <c r="Q37" i="1"/>
  <c r="Q53" i="20"/>
  <c r="P55" i="20"/>
  <c r="P92" i="20" s="1"/>
  <c r="Q43" i="18"/>
  <c r="P45" i="18"/>
  <c r="P113" i="18" s="1"/>
  <c r="S84" i="14"/>
  <c r="S87" i="9"/>
  <c r="S87" i="1"/>
  <c r="Q57" i="18"/>
  <c r="P59" i="18"/>
  <c r="P115" i="18" s="1"/>
  <c r="P39" i="12"/>
  <c r="P108" i="12" s="1"/>
  <c r="Q37" i="12"/>
  <c r="T29" i="7"/>
  <c r="U22" i="19"/>
  <c r="O29" i="19"/>
  <c r="O111" i="19" s="1"/>
  <c r="U22" i="10"/>
  <c r="O29" i="1"/>
  <c r="O106" i="1" s="1"/>
  <c r="I124" i="18" l="1"/>
  <c r="I116" i="14"/>
  <c r="R118" i="9"/>
  <c r="K246" i="24"/>
  <c r="I168" i="15"/>
  <c r="J27" i="21"/>
  <c r="I119" i="9"/>
  <c r="I118" i="11"/>
  <c r="I119" i="10"/>
  <c r="T33" i="16"/>
  <c r="T104" i="16" s="1"/>
  <c r="N104" i="17"/>
  <c r="N121" i="17" s="1"/>
  <c r="F61" i="21"/>
  <c r="F10" i="23" s="1"/>
  <c r="P34" i="21"/>
  <c r="U29" i="18"/>
  <c r="U111" i="18" s="1"/>
  <c r="U124" i="18" s="1"/>
  <c r="S105" i="24"/>
  <c r="S237" i="24" s="1"/>
  <c r="M23" i="21" s="1"/>
  <c r="S72" i="9"/>
  <c r="O29" i="10"/>
  <c r="O106" i="10" s="1"/>
  <c r="U30" i="11"/>
  <c r="U105" i="11" s="1"/>
  <c r="U118" i="11" s="1"/>
  <c r="R86" i="14"/>
  <c r="R111" i="14" s="1"/>
  <c r="J127" i="7"/>
  <c r="M119" i="12"/>
  <c r="S72" i="24"/>
  <c r="S236" i="24" s="1"/>
  <c r="N22" i="21" s="1"/>
  <c r="L89" i="1"/>
  <c r="L114" i="1" s="1"/>
  <c r="S24" i="15"/>
  <c r="S152" i="15" s="1"/>
  <c r="H20" i="21" s="1"/>
  <c r="T163" i="15"/>
  <c r="T168" i="15" s="1"/>
  <c r="S60" i="13"/>
  <c r="U29" i="12"/>
  <c r="U106" i="12" s="1"/>
  <c r="S136" i="24"/>
  <c r="S60" i="25"/>
  <c r="S78" i="25"/>
  <c r="S75" i="25"/>
  <c r="R79" i="7"/>
  <c r="S98" i="25"/>
  <c r="S82" i="25"/>
  <c r="S62" i="25"/>
  <c r="N66" i="20"/>
  <c r="M68" i="20"/>
  <c r="M96" i="20" s="1"/>
  <c r="M103" i="20" s="1"/>
  <c r="O97" i="16"/>
  <c r="O114" i="16" s="1"/>
  <c r="P93" i="16"/>
  <c r="P97" i="16" s="1"/>
  <c r="P114" i="16" s="1"/>
  <c r="N53" i="16"/>
  <c r="N108" i="16" s="1"/>
  <c r="O51" i="16"/>
  <c r="O14" i="17"/>
  <c r="N16" i="17"/>
  <c r="N109" i="17" s="1"/>
  <c r="N65" i="18"/>
  <c r="M73" i="18"/>
  <c r="M117" i="18" s="1"/>
  <c r="M13" i="14"/>
  <c r="M101" i="14" s="1"/>
  <c r="N11" i="14"/>
  <c r="N26" i="11"/>
  <c r="O26" i="11" s="1"/>
  <c r="M30" i="11"/>
  <c r="M105" i="11" s="1"/>
  <c r="N50" i="13"/>
  <c r="M52" i="13"/>
  <c r="M111" i="13" s="1"/>
  <c r="M147" i="24"/>
  <c r="M240" i="24" s="1"/>
  <c r="N112" i="24"/>
  <c r="N47" i="10"/>
  <c r="M51" i="10"/>
  <c r="M110" i="10" s="1"/>
  <c r="L111" i="10"/>
  <c r="L118" i="10" s="1"/>
  <c r="S64" i="10"/>
  <c r="S111" i="10" s="1"/>
  <c r="H12" i="21" s="1"/>
  <c r="N71" i="15"/>
  <c r="M79" i="15"/>
  <c r="M159" i="15" s="1"/>
  <c r="N82" i="17"/>
  <c r="M94" i="17"/>
  <c r="M119" i="17" s="1"/>
  <c r="N12" i="13"/>
  <c r="M17" i="13"/>
  <c r="M105" i="13" s="1"/>
  <c r="N50" i="11"/>
  <c r="M54" i="11"/>
  <c r="M109" i="11" s="1"/>
  <c r="N72" i="1"/>
  <c r="M89" i="1"/>
  <c r="M114" i="1" s="1"/>
  <c r="I124" i="17"/>
  <c r="L102" i="11"/>
  <c r="S15" i="11"/>
  <c r="S102" i="11" s="1"/>
  <c r="C32" i="21" s="1"/>
  <c r="N72" i="10"/>
  <c r="M89" i="10"/>
  <c r="M114" i="10" s="1"/>
  <c r="S80" i="25"/>
  <c r="O11" i="18"/>
  <c r="O16" i="18" s="1"/>
  <c r="O109" i="18" s="1"/>
  <c r="N16" i="18"/>
  <c r="N109" i="18" s="1"/>
  <c r="O116" i="18"/>
  <c r="S72" i="18"/>
  <c r="S116" i="18" s="1"/>
  <c r="N69" i="14"/>
  <c r="M86" i="14"/>
  <c r="M111" i="14" s="1"/>
  <c r="N57" i="1"/>
  <c r="M65" i="1"/>
  <c r="M112" i="1" s="1"/>
  <c r="N13" i="16"/>
  <c r="N102" i="16" s="1"/>
  <c r="O11" i="16"/>
  <c r="N27" i="17"/>
  <c r="O27" i="17" s="1"/>
  <c r="O29" i="17" s="1"/>
  <c r="O111" i="17" s="1"/>
  <c r="M29" i="17"/>
  <c r="M111" i="17" s="1"/>
  <c r="M124" i="17" s="1"/>
  <c r="M89" i="9"/>
  <c r="M114" i="9" s="1"/>
  <c r="N74" i="9"/>
  <c r="N73" i="13"/>
  <c r="M90" i="13"/>
  <c r="M115" i="13" s="1"/>
  <c r="N100" i="19"/>
  <c r="M104" i="19"/>
  <c r="M121" i="19" s="1"/>
  <c r="M124" i="19" s="1"/>
  <c r="M131" i="15"/>
  <c r="M163" i="15" s="1"/>
  <c r="N113" i="15"/>
  <c r="N82" i="18"/>
  <c r="M94" i="18"/>
  <c r="M119" i="18" s="1"/>
  <c r="N92" i="14"/>
  <c r="M96" i="14"/>
  <c r="M113" i="14" s="1"/>
  <c r="J117" i="16"/>
  <c r="O137" i="15"/>
  <c r="O147" i="15" s="1"/>
  <c r="O165" i="15" s="1"/>
  <c r="N147" i="15"/>
  <c r="N165" i="15" s="1"/>
  <c r="M34" i="7"/>
  <c r="N34" i="7" s="1"/>
  <c r="N36" i="7" s="1"/>
  <c r="N115" i="7" s="1"/>
  <c r="L36" i="7"/>
  <c r="L115" i="7" s="1"/>
  <c r="N94" i="11"/>
  <c r="M98" i="11"/>
  <c r="M115" i="11" s="1"/>
  <c r="N100" i="15"/>
  <c r="M102" i="15"/>
  <c r="M161" i="15" s="1"/>
  <c r="N158" i="24"/>
  <c r="M199" i="24"/>
  <c r="M242" i="24" s="1"/>
  <c r="N47" i="9"/>
  <c r="M51" i="9"/>
  <c r="M110" i="9" s="1"/>
  <c r="Q246" i="24"/>
  <c r="S29" i="13"/>
  <c r="S106" i="13" s="1"/>
  <c r="P100" i="25"/>
  <c r="P117" i="25" s="1"/>
  <c r="Q96" i="25"/>
  <c r="O97" i="10"/>
  <c r="N99" i="10"/>
  <c r="N116" i="10" s="1"/>
  <c r="O56" i="15"/>
  <c r="N62" i="15"/>
  <c r="N157" i="15" s="1"/>
  <c r="S88" i="25"/>
  <c r="O87" i="24"/>
  <c r="N106" i="24"/>
  <c r="N238" i="24" s="1"/>
  <c r="O59" i="10"/>
  <c r="N65" i="10"/>
  <c r="N112" i="10" s="1"/>
  <c r="S64" i="25"/>
  <c r="O14" i="19"/>
  <c r="N16" i="19"/>
  <c r="N109" i="19" s="1"/>
  <c r="Q11" i="25"/>
  <c r="R11" i="25" s="1"/>
  <c r="P16" i="25"/>
  <c r="Q38" i="25"/>
  <c r="P40" i="25"/>
  <c r="P109" i="25" s="1"/>
  <c r="N99" i="1"/>
  <c r="N116" i="1" s="1"/>
  <c r="O97" i="1"/>
  <c r="K50" i="25"/>
  <c r="J52" i="25"/>
  <c r="J111" i="25" s="1"/>
  <c r="O95" i="12"/>
  <c r="O99" i="12" s="1"/>
  <c r="O116" i="12" s="1"/>
  <c r="N99" i="12"/>
  <c r="N116" i="12" s="1"/>
  <c r="N119" i="12" s="1"/>
  <c r="N28" i="25"/>
  <c r="O28" i="25" s="1"/>
  <c r="M30" i="25"/>
  <c r="M107" i="25" s="1"/>
  <c r="O80" i="11"/>
  <c r="N88" i="11"/>
  <c r="N113" i="11" s="1"/>
  <c r="L110" i="11"/>
  <c r="S67" i="11"/>
  <c r="S110" i="11" s="1"/>
  <c r="C36" i="21" s="1"/>
  <c r="P66" i="25"/>
  <c r="P113" i="25" s="1"/>
  <c r="Q58" i="25"/>
  <c r="O59" i="9"/>
  <c r="N65" i="9"/>
  <c r="N112" i="9" s="1"/>
  <c r="O111" i="9"/>
  <c r="S64" i="9"/>
  <c r="S111" i="9" s="1"/>
  <c r="C12" i="21" s="1"/>
  <c r="M100" i="25"/>
  <c r="M117" i="25" s="1"/>
  <c r="N96" i="25"/>
  <c r="L26" i="25"/>
  <c r="S209" i="24"/>
  <c r="I120" i="25"/>
  <c r="K38" i="25"/>
  <c r="J40" i="25"/>
  <c r="J109" i="25" s="1"/>
  <c r="J90" i="25"/>
  <c r="J115" i="25" s="1"/>
  <c r="K73" i="25"/>
  <c r="L73" i="25" s="1"/>
  <c r="N50" i="25"/>
  <c r="M52" i="25"/>
  <c r="M111" i="25" s="1"/>
  <c r="K28" i="25"/>
  <c r="L28" i="25" s="1"/>
  <c r="J30" i="25"/>
  <c r="J107" i="25" s="1"/>
  <c r="S95" i="14"/>
  <c r="S112" i="14" s="1"/>
  <c r="L112" i="14"/>
  <c r="L115" i="14" s="1"/>
  <c r="K96" i="25"/>
  <c r="J100" i="25"/>
  <c r="J117" i="25" s="1"/>
  <c r="O26" i="25"/>
  <c r="L120" i="18"/>
  <c r="L123" i="18" s="1"/>
  <c r="S103" i="18"/>
  <c r="S120" i="18" s="1"/>
  <c r="N11" i="25"/>
  <c r="M16" i="25"/>
  <c r="M105" i="25" s="1"/>
  <c r="M40" i="25"/>
  <c r="M109" i="25" s="1"/>
  <c r="N38" i="25"/>
  <c r="N73" i="25"/>
  <c r="O73" i="25" s="1"/>
  <c r="M90" i="25"/>
  <c r="M115" i="25" s="1"/>
  <c r="P52" i="25"/>
  <c r="P111" i="25" s="1"/>
  <c r="Q50" i="25"/>
  <c r="L95" i="20"/>
  <c r="L102" i="20" s="1"/>
  <c r="S67" i="20"/>
  <c r="S95" i="20" s="1"/>
  <c r="C48" i="21" s="1"/>
  <c r="Q28" i="25"/>
  <c r="R28" i="25" s="1"/>
  <c r="P30" i="25"/>
  <c r="P107" i="25" s="1"/>
  <c r="O102" i="18"/>
  <c r="N104" i="18"/>
  <c r="N121" i="18" s="1"/>
  <c r="K58" i="25"/>
  <c r="J66" i="25"/>
  <c r="J113" i="25" s="1"/>
  <c r="S48" i="25"/>
  <c r="R26" i="25"/>
  <c r="J16" i="25"/>
  <c r="J105" i="25" s="1"/>
  <c r="K11" i="25"/>
  <c r="P90" i="25"/>
  <c r="P115" i="25" s="1"/>
  <c r="Q73" i="25"/>
  <c r="R73" i="25" s="1"/>
  <c r="S85" i="25"/>
  <c r="M66" i="25"/>
  <c r="M113" i="25" s="1"/>
  <c r="N58" i="25"/>
  <c r="M107" i="16"/>
  <c r="T52" i="16"/>
  <c r="T107" i="16" s="1"/>
  <c r="S14" i="25"/>
  <c r="O72" i="12"/>
  <c r="O89" i="12"/>
  <c r="O114" i="12" s="1"/>
  <c r="O108" i="17"/>
  <c r="S15" i="17"/>
  <c r="S108" i="17" s="1"/>
  <c r="S15" i="19"/>
  <c r="S108" i="19" s="1"/>
  <c r="O108" i="19"/>
  <c r="T36" i="7"/>
  <c r="T115" i="7" s="1"/>
  <c r="T128" i="7" s="1"/>
  <c r="U29" i="17"/>
  <c r="U111" i="17" s="1"/>
  <c r="U124" i="17" s="1"/>
  <c r="O109" i="1"/>
  <c r="S50" i="1"/>
  <c r="S109" i="1" s="1"/>
  <c r="M11" i="21" s="1"/>
  <c r="O108" i="11"/>
  <c r="S53" i="11"/>
  <c r="S108" i="11" s="1"/>
  <c r="C35" i="21" s="1"/>
  <c r="N27" i="24"/>
  <c r="M28" i="24"/>
  <c r="M51" i="24" s="1"/>
  <c r="M234" i="24" s="1"/>
  <c r="N28" i="24"/>
  <c r="O28" i="24" s="1"/>
  <c r="U28" i="24" s="1"/>
  <c r="O108" i="18"/>
  <c r="S15" i="18"/>
  <c r="S108" i="18" s="1"/>
  <c r="S67" i="18"/>
  <c r="M37" i="21"/>
  <c r="M34" i="21"/>
  <c r="S86" i="18"/>
  <c r="Q16" i="1"/>
  <c r="O167" i="15"/>
  <c r="M103" i="16"/>
  <c r="T32" i="16"/>
  <c r="T103" i="16" s="1"/>
  <c r="O110" i="18"/>
  <c r="S28" i="18"/>
  <c r="S110" i="18" s="1"/>
  <c r="L90" i="13"/>
  <c r="L115" i="13" s="1"/>
  <c r="O104" i="13"/>
  <c r="S16" i="13"/>
  <c r="S104" i="13" s="1"/>
  <c r="U30" i="13"/>
  <c r="U107" i="13" s="1"/>
  <c r="U120" i="13" s="1"/>
  <c r="S94" i="14"/>
  <c r="L86" i="14"/>
  <c r="L111" i="14" s="1"/>
  <c r="R90" i="13"/>
  <c r="R115" i="13" s="1"/>
  <c r="L119" i="13"/>
  <c r="T45" i="13"/>
  <c r="T52" i="13" s="1"/>
  <c r="T111" i="13" s="1"/>
  <c r="O36" i="14"/>
  <c r="O105" i="14" s="1"/>
  <c r="T31" i="14"/>
  <c r="T36" i="14" s="1"/>
  <c r="T105" i="14" s="1"/>
  <c r="T116" i="14" s="1"/>
  <c r="U119" i="12"/>
  <c r="M16" i="1"/>
  <c r="M104" i="1" s="1"/>
  <c r="M20" i="24"/>
  <c r="M232" i="24" s="1"/>
  <c r="N15" i="24"/>
  <c r="R105" i="1"/>
  <c r="R118" i="1" s="1"/>
  <c r="S28" i="1"/>
  <c r="S105" i="1" s="1"/>
  <c r="O116" i="13"/>
  <c r="S99" i="13"/>
  <c r="S116" i="13" s="1"/>
  <c r="R109" i="12"/>
  <c r="R118" i="12" s="1"/>
  <c r="S50" i="12"/>
  <c r="S109" i="12" s="1"/>
  <c r="O111" i="1"/>
  <c r="S64" i="1"/>
  <c r="S111" i="1" s="1"/>
  <c r="M12" i="21" s="1"/>
  <c r="S111" i="24"/>
  <c r="S146" i="24" s="1"/>
  <c r="S239" i="24" s="1"/>
  <c r="M24" i="21" s="1"/>
  <c r="L146" i="24"/>
  <c r="L239" i="24" s="1"/>
  <c r="L130" i="15"/>
  <c r="S112" i="15"/>
  <c r="O104" i="11"/>
  <c r="O117" i="11" s="1"/>
  <c r="S29" i="11"/>
  <c r="S104" i="11" s="1"/>
  <c r="R114" i="19"/>
  <c r="R123" i="19" s="1"/>
  <c r="S58" i="19"/>
  <c r="S114" i="19" s="1"/>
  <c r="R233" i="24"/>
  <c r="R246" i="24" s="1"/>
  <c r="S50" i="24"/>
  <c r="S233" i="24" s="1"/>
  <c r="M21" i="21" s="1"/>
  <c r="O115" i="1"/>
  <c r="S98" i="1"/>
  <c r="S115" i="1" s="1"/>
  <c r="M14" i="21" s="1"/>
  <c r="O98" i="13"/>
  <c r="N100" i="13"/>
  <c r="N117" i="13" s="1"/>
  <c r="L93" i="15"/>
  <c r="K101" i="15"/>
  <c r="K160" i="15" s="1"/>
  <c r="K167" i="15" s="1"/>
  <c r="L78" i="15"/>
  <c r="S70" i="15"/>
  <c r="M16" i="10"/>
  <c r="M104" i="10" s="1"/>
  <c r="N11" i="10"/>
  <c r="M25" i="15"/>
  <c r="M153" i="15" s="1"/>
  <c r="N20" i="15"/>
  <c r="O11" i="9"/>
  <c r="O16" i="9" s="1"/>
  <c r="O104" i="9" s="1"/>
  <c r="N16" i="9"/>
  <c r="N104" i="9" s="1"/>
  <c r="S59" i="15"/>
  <c r="L61" i="15"/>
  <c r="L156" i="15" s="1"/>
  <c r="S15" i="13"/>
  <c r="S86" i="19"/>
  <c r="M18" i="7"/>
  <c r="L23" i="7"/>
  <c r="L113" i="7" s="1"/>
  <c r="N27" i="9"/>
  <c r="O27" i="9" s="1"/>
  <c r="O29" i="9" s="1"/>
  <c r="O106" i="9" s="1"/>
  <c r="M29" i="9"/>
  <c r="M106" i="9" s="1"/>
  <c r="O120" i="19"/>
  <c r="O123" i="19" s="1"/>
  <c r="S103" i="19"/>
  <c r="S120" i="19" s="1"/>
  <c r="O120" i="17"/>
  <c r="S103" i="17"/>
  <c r="S120" i="17" s="1"/>
  <c r="O243" i="24"/>
  <c r="S225" i="24"/>
  <c r="S243" i="24" s="1"/>
  <c r="M26" i="21" s="1"/>
  <c r="O231" i="24"/>
  <c r="S19" i="24"/>
  <c r="S231" i="24" s="1"/>
  <c r="M20" i="21" s="1"/>
  <c r="O115" i="9"/>
  <c r="S98" i="9"/>
  <c r="S115" i="9" s="1"/>
  <c r="R116" i="17"/>
  <c r="R123" i="17" s="1"/>
  <c r="S72" i="17"/>
  <c r="S116" i="17" s="1"/>
  <c r="R112" i="13"/>
  <c r="R119" i="13" s="1"/>
  <c r="S65" i="13"/>
  <c r="S112" i="13" s="1"/>
  <c r="O110" i="17"/>
  <c r="S28" i="17"/>
  <c r="S110" i="17" s="1"/>
  <c r="R108" i="14"/>
  <c r="R115" i="14" s="1"/>
  <c r="S61" i="14"/>
  <c r="S108" i="14" s="1"/>
  <c r="S115" i="14" s="1"/>
  <c r="O111" i="12"/>
  <c r="S64" i="12"/>
  <c r="S111" i="12" s="1"/>
  <c r="O115" i="12"/>
  <c r="S98" i="12"/>
  <c r="S115" i="12" s="1"/>
  <c r="R115" i="10"/>
  <c r="S98" i="10"/>
  <c r="S115" i="10" s="1"/>
  <c r="H14" i="21" s="1"/>
  <c r="M16" i="11"/>
  <c r="M103" i="11" s="1"/>
  <c r="N11" i="11"/>
  <c r="L71" i="24"/>
  <c r="L235" i="24" s="1"/>
  <c r="S69" i="24"/>
  <c r="R109" i="10"/>
  <c r="S50" i="10"/>
  <c r="S109" i="10" s="1"/>
  <c r="S96" i="11"/>
  <c r="N98" i="7"/>
  <c r="N123" i="7" s="1"/>
  <c r="P127" i="7"/>
  <c r="Q98" i="7"/>
  <c r="Q123" i="7" s="1"/>
  <c r="R103" i="7"/>
  <c r="N107" i="7"/>
  <c r="N45" i="7"/>
  <c r="N116" i="7" s="1"/>
  <c r="R43" i="7"/>
  <c r="R45" i="7" s="1"/>
  <c r="R116" i="7" s="1"/>
  <c r="C22" i="21" s="1"/>
  <c r="R63" i="7"/>
  <c r="M108" i="7"/>
  <c r="M125" i="7" s="1"/>
  <c r="N104" i="7"/>
  <c r="N108" i="7" s="1"/>
  <c r="N125" i="7" s="1"/>
  <c r="R53" i="7"/>
  <c r="N57" i="7"/>
  <c r="N64" i="7"/>
  <c r="N72" i="7" s="1"/>
  <c r="N121" i="7" s="1"/>
  <c r="M72" i="7"/>
  <c r="M121" i="7" s="1"/>
  <c r="N122" i="7"/>
  <c r="R97" i="7"/>
  <c r="R122" i="7" s="1"/>
  <c r="C25" i="21" s="1"/>
  <c r="M127" i="7"/>
  <c r="K120" i="7"/>
  <c r="R71" i="7"/>
  <c r="R120" i="7" s="1"/>
  <c r="C24" i="21" s="1"/>
  <c r="K114" i="7"/>
  <c r="R35" i="7"/>
  <c r="R114" i="7" s="1"/>
  <c r="R89" i="10"/>
  <c r="S128" i="7"/>
  <c r="E22" i="21"/>
  <c r="E27" i="21" s="1"/>
  <c r="U29" i="9"/>
  <c r="U106" i="9" s="1"/>
  <c r="F9" i="21" s="1"/>
  <c r="J10" i="21"/>
  <c r="J15" i="21" s="1"/>
  <c r="T119" i="10"/>
  <c r="U29" i="1"/>
  <c r="U106" i="1" s="1"/>
  <c r="P9" i="21" s="1"/>
  <c r="P15" i="21" s="1"/>
  <c r="U29" i="10"/>
  <c r="U106" i="10" s="1"/>
  <c r="U119" i="10" s="1"/>
  <c r="J118" i="11"/>
  <c r="M25" i="21"/>
  <c r="L43" i="19"/>
  <c r="L45" i="19" s="1"/>
  <c r="L113" i="19" s="1"/>
  <c r="K45" i="19"/>
  <c r="K113" i="19" s="1"/>
  <c r="K39" i="10"/>
  <c r="K108" i="10" s="1"/>
  <c r="L37" i="10"/>
  <c r="L39" i="10" s="1"/>
  <c r="L108" i="10" s="1"/>
  <c r="L100" i="15"/>
  <c r="L102" i="15" s="1"/>
  <c r="L161" i="15" s="1"/>
  <c r="K102" i="15"/>
  <c r="K161" i="15" s="1"/>
  <c r="L95" i="9"/>
  <c r="L99" i="9" s="1"/>
  <c r="L116" i="9" s="1"/>
  <c r="K99" i="9"/>
  <c r="K116" i="9" s="1"/>
  <c r="L46" i="14"/>
  <c r="L48" i="14" s="1"/>
  <c r="L107" i="14" s="1"/>
  <c r="K48" i="14"/>
  <c r="K107" i="14" s="1"/>
  <c r="L37" i="1"/>
  <c r="L39" i="1" s="1"/>
  <c r="L108" i="1" s="1"/>
  <c r="K39" i="1"/>
  <c r="K108" i="1" s="1"/>
  <c r="L89" i="10"/>
  <c r="L114" i="10" s="1"/>
  <c r="L72" i="10"/>
  <c r="L57" i="12"/>
  <c r="L65" i="12" s="1"/>
  <c r="L112" i="12" s="1"/>
  <c r="K65" i="12"/>
  <c r="K112" i="12" s="1"/>
  <c r="K73" i="17"/>
  <c r="K117" i="17" s="1"/>
  <c r="L65" i="17"/>
  <c r="L73" i="17" s="1"/>
  <c r="L117" i="17" s="1"/>
  <c r="M51" i="16"/>
  <c r="M53" i="16" s="1"/>
  <c r="M108" i="16" s="1"/>
  <c r="L53" i="16"/>
  <c r="L108" i="16" s="1"/>
  <c r="K94" i="19"/>
  <c r="K119" i="19" s="1"/>
  <c r="L82" i="19"/>
  <c r="L94" i="19" s="1"/>
  <c r="L119" i="19" s="1"/>
  <c r="L57" i="1"/>
  <c r="L65" i="1" s="1"/>
  <c r="L112" i="1" s="1"/>
  <c r="K65" i="1"/>
  <c r="K112" i="1" s="1"/>
  <c r="L63" i="16"/>
  <c r="L110" i="16" s="1"/>
  <c r="M59" i="16"/>
  <c r="M63" i="16" s="1"/>
  <c r="M110" i="16" s="1"/>
  <c r="L94" i="11"/>
  <c r="L98" i="11" s="1"/>
  <c r="L115" i="11" s="1"/>
  <c r="K98" i="11"/>
  <c r="K115" i="11" s="1"/>
  <c r="L57" i="19"/>
  <c r="L59" i="19" s="1"/>
  <c r="L115" i="19" s="1"/>
  <c r="K59" i="19"/>
  <c r="K115" i="19" s="1"/>
  <c r="L75" i="15"/>
  <c r="L79" i="15" s="1"/>
  <c r="L159" i="15" s="1"/>
  <c r="K79" i="15"/>
  <c r="K159" i="15" s="1"/>
  <c r="K51" i="10"/>
  <c r="K110" i="10" s="1"/>
  <c r="L49" i="10"/>
  <c r="L51" i="10" s="1"/>
  <c r="L110" i="10" s="1"/>
  <c r="L49" i="9"/>
  <c r="L51" i="9" s="1"/>
  <c r="L110" i="9" s="1"/>
  <c r="K51" i="9"/>
  <c r="K110" i="9" s="1"/>
  <c r="K39" i="12"/>
  <c r="K108" i="12" s="1"/>
  <c r="L37" i="12"/>
  <c r="L39" i="12" s="1"/>
  <c r="L108" i="12" s="1"/>
  <c r="L43" i="18"/>
  <c r="L45" i="18" s="1"/>
  <c r="L113" i="18" s="1"/>
  <c r="K45" i="18"/>
  <c r="K113" i="18" s="1"/>
  <c r="L49" i="1"/>
  <c r="L51" i="1" s="1"/>
  <c r="L110" i="1" s="1"/>
  <c r="K51" i="1"/>
  <c r="K110" i="1" s="1"/>
  <c r="L38" i="24"/>
  <c r="L51" i="24" s="1"/>
  <c r="L234" i="24" s="1"/>
  <c r="K51" i="24"/>
  <c r="K234" i="24" s="1"/>
  <c r="K68" i="20"/>
  <c r="K96" i="20" s="1"/>
  <c r="L66" i="20"/>
  <c r="L68" i="20" s="1"/>
  <c r="L96" i="20" s="1"/>
  <c r="L95" i="10"/>
  <c r="L99" i="10" s="1"/>
  <c r="L116" i="10" s="1"/>
  <c r="K99" i="10"/>
  <c r="K116" i="10" s="1"/>
  <c r="K66" i="13"/>
  <c r="K113" i="13" s="1"/>
  <c r="L58" i="13"/>
  <c r="L66" i="13" s="1"/>
  <c r="L113" i="13" s="1"/>
  <c r="L54" i="15"/>
  <c r="L62" i="15" s="1"/>
  <c r="L157" i="15" s="1"/>
  <c r="K62" i="15"/>
  <c r="K157" i="15" s="1"/>
  <c r="K16" i="9"/>
  <c r="K104" i="9" s="1"/>
  <c r="L11" i="9"/>
  <c r="L16" i="9" s="1"/>
  <c r="L104" i="9" s="1"/>
  <c r="L13" i="16"/>
  <c r="L102" i="16" s="1"/>
  <c r="M11" i="16"/>
  <c r="M13" i="16" s="1"/>
  <c r="M102" i="16" s="1"/>
  <c r="K16" i="12"/>
  <c r="K104" i="12" s="1"/>
  <c r="L11" i="12"/>
  <c r="L16" i="12" s="1"/>
  <c r="L104" i="12" s="1"/>
  <c r="L85" i="24"/>
  <c r="L106" i="24" s="1"/>
  <c r="L238" i="24" s="1"/>
  <c r="K106" i="24"/>
  <c r="K238" i="24" s="1"/>
  <c r="K199" i="24"/>
  <c r="K242" i="24" s="1"/>
  <c r="L158" i="24"/>
  <c r="L199" i="24" s="1"/>
  <c r="L242" i="24" s="1"/>
  <c r="K13" i="14"/>
  <c r="K101" i="14" s="1"/>
  <c r="L11" i="14"/>
  <c r="L13" i="14" s="1"/>
  <c r="L101" i="14" s="1"/>
  <c r="L57" i="10"/>
  <c r="L65" i="10" s="1"/>
  <c r="L112" i="10" s="1"/>
  <c r="K65" i="10"/>
  <c r="K112" i="10" s="1"/>
  <c r="K16" i="11"/>
  <c r="K103" i="11" s="1"/>
  <c r="L11" i="11"/>
  <c r="L16" i="11" s="1"/>
  <c r="L103" i="11" s="1"/>
  <c r="L57" i="9"/>
  <c r="L65" i="9" s="1"/>
  <c r="L112" i="9" s="1"/>
  <c r="K65" i="9"/>
  <c r="K112" i="9" s="1"/>
  <c r="K64" i="7"/>
  <c r="K72" i="7" s="1"/>
  <c r="K121" i="7" s="1"/>
  <c r="J72" i="7"/>
  <c r="J121" i="7" s="1"/>
  <c r="K99" i="1"/>
  <c r="K116" i="1" s="1"/>
  <c r="L95" i="1"/>
  <c r="L99" i="1" s="1"/>
  <c r="L116" i="1" s="1"/>
  <c r="J108" i="7"/>
  <c r="J125" i="7" s="1"/>
  <c r="K104" i="7"/>
  <c r="K108" i="7" s="1"/>
  <c r="K125" i="7" s="1"/>
  <c r="R89" i="1"/>
  <c r="R114" i="1" s="1"/>
  <c r="R89" i="9"/>
  <c r="R114" i="9" s="1"/>
  <c r="P103" i="20"/>
  <c r="J119" i="12"/>
  <c r="J119" i="10"/>
  <c r="I128" i="7"/>
  <c r="J120" i="13"/>
  <c r="J119" i="1"/>
  <c r="K59" i="18"/>
  <c r="K115" i="18" s="1"/>
  <c r="J124" i="18"/>
  <c r="J124" i="17"/>
  <c r="T56" i="24"/>
  <c r="T72" i="24" s="1"/>
  <c r="T236" i="24" s="1"/>
  <c r="L72" i="24"/>
  <c r="L236" i="24" s="1"/>
  <c r="K52" i="13"/>
  <c r="K111" i="13" s="1"/>
  <c r="L50" i="13"/>
  <c r="L52" i="13" s="1"/>
  <c r="L111" i="13" s="1"/>
  <c r="O55" i="17"/>
  <c r="N59" i="17"/>
  <c r="N115" i="17" s="1"/>
  <c r="K59" i="17"/>
  <c r="K115" i="17" s="1"/>
  <c r="L57" i="17"/>
  <c r="L59" i="17" s="1"/>
  <c r="L115" i="17" s="1"/>
  <c r="L52" i="11"/>
  <c r="L54" i="11" s="1"/>
  <c r="L109" i="11" s="1"/>
  <c r="K54" i="11"/>
  <c r="K109" i="11" s="1"/>
  <c r="L37" i="9"/>
  <c r="L39" i="9" s="1"/>
  <c r="L108" i="9" s="1"/>
  <c r="K39" i="9"/>
  <c r="K108" i="9" s="1"/>
  <c r="K62" i="14"/>
  <c r="K109" i="14" s="1"/>
  <c r="L54" i="14"/>
  <c r="L62" i="14" s="1"/>
  <c r="L109" i="14" s="1"/>
  <c r="L49" i="12"/>
  <c r="L51" i="12" s="1"/>
  <c r="L110" i="12" s="1"/>
  <c r="K51" i="12"/>
  <c r="K110" i="12" s="1"/>
  <c r="J58" i="7"/>
  <c r="J119" i="7" s="1"/>
  <c r="K56" i="7"/>
  <c r="K58" i="7" s="1"/>
  <c r="K119" i="7" s="1"/>
  <c r="L53" i="20"/>
  <c r="L55" i="20" s="1"/>
  <c r="L92" i="20" s="1"/>
  <c r="K55" i="20"/>
  <c r="K92" i="20" s="1"/>
  <c r="L34" i="14"/>
  <c r="L36" i="14" s="1"/>
  <c r="K36" i="14"/>
  <c r="K105" i="14" s="1"/>
  <c r="O55" i="18"/>
  <c r="N59" i="18"/>
  <c r="N115" i="18" s="1"/>
  <c r="L37" i="15"/>
  <c r="L44" i="15" s="1"/>
  <c r="L155" i="15" s="1"/>
  <c r="K44" i="15"/>
  <c r="K155" i="15" s="1"/>
  <c r="L60" i="11"/>
  <c r="L68" i="11" s="1"/>
  <c r="L111" i="11" s="1"/>
  <c r="K68" i="11"/>
  <c r="K111" i="11" s="1"/>
  <c r="L11" i="10"/>
  <c r="L16" i="10" s="1"/>
  <c r="L104" i="10" s="1"/>
  <c r="K16" i="10"/>
  <c r="K104" i="10" s="1"/>
  <c r="K16" i="17"/>
  <c r="K109" i="17" s="1"/>
  <c r="L11" i="17"/>
  <c r="L16" i="17" s="1"/>
  <c r="L109" i="17" s="1"/>
  <c r="L97" i="16"/>
  <c r="L114" i="16" s="1"/>
  <c r="M93" i="16"/>
  <c r="M97" i="16" s="1"/>
  <c r="M114" i="16" s="1"/>
  <c r="L11" i="19"/>
  <c r="L16" i="19" s="1"/>
  <c r="L109" i="19" s="1"/>
  <c r="K16" i="19"/>
  <c r="K109" i="19" s="1"/>
  <c r="L65" i="18"/>
  <c r="L73" i="18" s="1"/>
  <c r="L117" i="18" s="1"/>
  <c r="K73" i="18"/>
  <c r="K117" i="18" s="1"/>
  <c r="L11" i="1"/>
  <c r="L16" i="1" s="1"/>
  <c r="L104" i="1" s="1"/>
  <c r="K16" i="1"/>
  <c r="K104" i="1" s="1"/>
  <c r="K18" i="7"/>
  <c r="K23" i="7" s="1"/>
  <c r="K113" i="7" s="1"/>
  <c r="J23" i="7"/>
  <c r="J113" i="7" s="1"/>
  <c r="L15" i="24"/>
  <c r="L20" i="24" s="1"/>
  <c r="L232" i="24" s="1"/>
  <c r="K20" i="24"/>
  <c r="K232" i="24" s="1"/>
  <c r="K147" i="24"/>
  <c r="K240" i="24" s="1"/>
  <c r="L112" i="24"/>
  <c r="L147" i="24" s="1"/>
  <c r="L240" i="24" s="1"/>
  <c r="K100" i="13"/>
  <c r="K117" i="13" s="1"/>
  <c r="L96" i="13"/>
  <c r="L100" i="13" s="1"/>
  <c r="L117" i="13" s="1"/>
  <c r="K44" i="7"/>
  <c r="K46" i="7" s="1"/>
  <c r="K117" i="7" s="1"/>
  <c r="J46" i="7"/>
  <c r="J117" i="7" s="1"/>
  <c r="L43" i="16"/>
  <c r="L106" i="16" s="1"/>
  <c r="M41" i="16"/>
  <c r="M43" i="16" s="1"/>
  <c r="M106" i="16" s="1"/>
  <c r="L43" i="17"/>
  <c r="L45" i="17" s="1"/>
  <c r="L113" i="17" s="1"/>
  <c r="K45" i="17"/>
  <c r="K113" i="17" s="1"/>
  <c r="L12" i="13"/>
  <c r="L17" i="13" s="1"/>
  <c r="L105" i="13" s="1"/>
  <c r="K17" i="13"/>
  <c r="K105" i="13" s="1"/>
  <c r="K96" i="14"/>
  <c r="K113" i="14" s="1"/>
  <c r="L92" i="14"/>
  <c r="L96" i="14" s="1"/>
  <c r="L113" i="14" s="1"/>
  <c r="K88" i="11"/>
  <c r="K113" i="11" s="1"/>
  <c r="L75" i="11"/>
  <c r="L88" i="11" s="1"/>
  <c r="L113" i="11" s="1"/>
  <c r="L38" i="13"/>
  <c r="L40" i="13" s="1"/>
  <c r="L109" i="13" s="1"/>
  <c r="K40" i="13"/>
  <c r="K109" i="13" s="1"/>
  <c r="K42" i="11"/>
  <c r="K107" i="11" s="1"/>
  <c r="L40" i="11"/>
  <c r="L42" i="11" s="1"/>
  <c r="L107" i="11" s="1"/>
  <c r="K104" i="19"/>
  <c r="K121" i="19" s="1"/>
  <c r="L100" i="19"/>
  <c r="L104" i="19" s="1"/>
  <c r="L121" i="19" s="1"/>
  <c r="M87" i="16"/>
  <c r="M112" i="16" s="1"/>
  <c r="M70" i="16"/>
  <c r="T70" i="16" s="1"/>
  <c r="L11" i="18"/>
  <c r="L16" i="18" s="1"/>
  <c r="L109" i="18" s="1"/>
  <c r="K16" i="18"/>
  <c r="K109" i="18" s="1"/>
  <c r="K104" i="18"/>
  <c r="K121" i="18" s="1"/>
  <c r="L100" i="18"/>
  <c r="L104" i="18" s="1"/>
  <c r="L121" i="18" s="1"/>
  <c r="L82" i="17"/>
  <c r="L94" i="17" s="1"/>
  <c r="L119" i="17" s="1"/>
  <c r="K94" i="17"/>
  <c r="K119" i="17" s="1"/>
  <c r="K73" i="19"/>
  <c r="K117" i="19" s="1"/>
  <c r="L65" i="19"/>
  <c r="L73" i="19" s="1"/>
  <c r="L117" i="19" s="1"/>
  <c r="L100" i="17"/>
  <c r="L104" i="17" s="1"/>
  <c r="L121" i="17" s="1"/>
  <c r="K104" i="17"/>
  <c r="K121" i="17" s="1"/>
  <c r="K25" i="15"/>
  <c r="K153" i="15" s="1"/>
  <c r="L20" i="15"/>
  <c r="L25" i="15" s="1"/>
  <c r="L153" i="15" s="1"/>
  <c r="L113" i="15"/>
  <c r="L131" i="15" s="1"/>
  <c r="L163" i="15" s="1"/>
  <c r="K131" i="15"/>
  <c r="K163" i="15" s="1"/>
  <c r="L82" i="18"/>
  <c r="L94" i="18" s="1"/>
  <c r="L119" i="18" s="1"/>
  <c r="K94" i="18"/>
  <c r="K119" i="18" s="1"/>
  <c r="L72" i="12"/>
  <c r="L89" i="12"/>
  <c r="L114" i="12" s="1"/>
  <c r="K99" i="12"/>
  <c r="K116" i="12" s="1"/>
  <c r="L95" i="12"/>
  <c r="L99" i="12" s="1"/>
  <c r="L116" i="12" s="1"/>
  <c r="J124" i="19"/>
  <c r="K117" i="16"/>
  <c r="L89" i="9"/>
  <c r="L114" i="9" s="1"/>
  <c r="K98" i="7"/>
  <c r="K123" i="7" s="1"/>
  <c r="J103" i="20"/>
  <c r="J116" i="14"/>
  <c r="J119" i="9"/>
  <c r="R57" i="18"/>
  <c r="Q59" i="18"/>
  <c r="Q115" i="18" s="1"/>
  <c r="R43" i="18"/>
  <c r="Q45" i="18"/>
  <c r="Q113" i="18" s="1"/>
  <c r="Q55" i="20"/>
  <c r="Q92" i="20" s="1"/>
  <c r="R53" i="20"/>
  <c r="R43" i="16"/>
  <c r="R106" i="16" s="1"/>
  <c r="S41" i="16"/>
  <c r="Q51" i="10"/>
  <c r="Q110" i="10" s="1"/>
  <c r="R49" i="10"/>
  <c r="Q62" i="14"/>
  <c r="Q109" i="14" s="1"/>
  <c r="R54" i="14"/>
  <c r="P109" i="19"/>
  <c r="P124" i="19" s="1"/>
  <c r="Q16" i="19"/>
  <c r="Q65" i="10"/>
  <c r="Q112" i="10" s="1"/>
  <c r="R57" i="10"/>
  <c r="Q54" i="11"/>
  <c r="Q109" i="11" s="1"/>
  <c r="R52" i="11"/>
  <c r="R49" i="9"/>
  <c r="Q51" i="9"/>
  <c r="Q110" i="9" s="1"/>
  <c r="Q51" i="24"/>
  <c r="Q234" i="24" s="1"/>
  <c r="R38" i="24"/>
  <c r="Q99" i="9"/>
  <c r="Q116" i="9" s="1"/>
  <c r="R95" i="9"/>
  <c r="Q66" i="13"/>
  <c r="Q113" i="13" s="1"/>
  <c r="R58" i="13"/>
  <c r="R29" i="1"/>
  <c r="R106" i="1" s="1"/>
  <c r="S27" i="1"/>
  <c r="S29" i="1" s="1"/>
  <c r="S106" i="1" s="1"/>
  <c r="N9" i="21" s="1"/>
  <c r="R113" i="15"/>
  <c r="Q131" i="15"/>
  <c r="Q163" i="15" s="1"/>
  <c r="R29" i="19"/>
  <c r="R111" i="19" s="1"/>
  <c r="S27" i="19"/>
  <c r="S29" i="19" s="1"/>
  <c r="S111" i="19" s="1"/>
  <c r="R29" i="17"/>
  <c r="R111" i="17" s="1"/>
  <c r="S27" i="17"/>
  <c r="S29" i="17" s="1"/>
  <c r="S111" i="17" s="1"/>
  <c r="Q36" i="7"/>
  <c r="Q115" i="7" s="1"/>
  <c r="T34" i="17"/>
  <c r="T45" i="17" s="1"/>
  <c r="T113" i="17" s="1"/>
  <c r="T124" i="17" s="1"/>
  <c r="O45" i="17"/>
  <c r="O113" i="17" s="1"/>
  <c r="O45" i="18"/>
  <c r="O113" i="18" s="1"/>
  <c r="T34" i="18"/>
  <c r="T45" i="18" s="1"/>
  <c r="T113" i="18" s="1"/>
  <c r="T124" i="18" s="1"/>
  <c r="T46" i="20"/>
  <c r="T48" i="20" s="1"/>
  <c r="T92" i="20" s="1"/>
  <c r="O48" i="20"/>
  <c r="O22" i="22"/>
  <c r="O52" i="22" s="1"/>
  <c r="O63" i="22" s="1"/>
  <c r="U20" i="22"/>
  <c r="U22" i="22" s="1"/>
  <c r="U52" i="22" s="1"/>
  <c r="T44" i="12"/>
  <c r="T51" i="12" s="1"/>
  <c r="T110" i="12" s="1"/>
  <c r="O51" i="12"/>
  <c r="O110" i="12" s="1"/>
  <c r="O91" i="20"/>
  <c r="O102" i="20" s="1"/>
  <c r="T35" i="13"/>
  <c r="T40" i="13" s="1"/>
  <c r="T109" i="13" s="1"/>
  <c r="O40" i="13"/>
  <c r="T44" i="1"/>
  <c r="T51" i="1" s="1"/>
  <c r="T110" i="1" s="1"/>
  <c r="O11" i="21" s="1"/>
  <c r="O51" i="1"/>
  <c r="O110" i="1" s="1"/>
  <c r="O39" i="1"/>
  <c r="T34" i="1"/>
  <c r="T39" i="1" s="1"/>
  <c r="T108" i="1" s="1"/>
  <c r="P33" i="16"/>
  <c r="P104" i="16" s="1"/>
  <c r="V24" i="16"/>
  <c r="V33" i="16" s="1"/>
  <c r="V104" i="16" s="1"/>
  <c r="V117" i="16" s="1"/>
  <c r="T44" i="9"/>
  <c r="T51" i="9" s="1"/>
  <c r="T110" i="9" s="1"/>
  <c r="E11" i="21" s="1"/>
  <c r="U33" i="24"/>
  <c r="O39" i="9"/>
  <c r="T34" i="9"/>
  <c r="T39" i="9" s="1"/>
  <c r="T108" i="9" s="1"/>
  <c r="R46" i="14"/>
  <c r="Q48" i="14"/>
  <c r="Q107" i="14" s="1"/>
  <c r="R57" i="19"/>
  <c r="Q59" i="19"/>
  <c r="Q115" i="19" s="1"/>
  <c r="R49" i="1"/>
  <c r="Q51" i="1"/>
  <c r="Q110" i="1" s="1"/>
  <c r="Q56" i="7"/>
  <c r="P58" i="7"/>
  <c r="P119" i="7" s="1"/>
  <c r="Q59" i="17"/>
  <c r="Q115" i="17" s="1"/>
  <c r="R57" i="17"/>
  <c r="R75" i="15"/>
  <c r="Q79" i="15"/>
  <c r="Q159" i="15" s="1"/>
  <c r="Q42" i="11"/>
  <c r="Q107" i="11" s="1"/>
  <c r="R40" i="11"/>
  <c r="Q88" i="11"/>
  <c r="Q113" i="11" s="1"/>
  <c r="R75" i="11"/>
  <c r="R29" i="9"/>
  <c r="R106" i="9" s="1"/>
  <c r="R30" i="11"/>
  <c r="R105" i="11" s="1"/>
  <c r="S28" i="11"/>
  <c r="R29" i="10"/>
  <c r="R106" i="10" s="1"/>
  <c r="S27" i="10"/>
  <c r="S29" i="10" s="1"/>
  <c r="S106" i="10" s="1"/>
  <c r="I9" i="21" s="1"/>
  <c r="Q102" i="15"/>
  <c r="Q161" i="15" s="1"/>
  <c r="R100" i="15"/>
  <c r="Q13" i="14"/>
  <c r="Q101" i="14" s="1"/>
  <c r="R11" i="14"/>
  <c r="R26" i="14"/>
  <c r="R103" i="14" s="1"/>
  <c r="S24" i="14"/>
  <c r="S26" i="14" s="1"/>
  <c r="S103" i="14" s="1"/>
  <c r="Q68" i="11"/>
  <c r="Q111" i="11" s="1"/>
  <c r="R60" i="11"/>
  <c r="R57" i="9"/>
  <c r="Q65" i="9"/>
  <c r="Q112" i="9" s="1"/>
  <c r="R30" i="13"/>
  <c r="R107" i="13" s="1"/>
  <c r="S28" i="13"/>
  <c r="S30" i="13" s="1"/>
  <c r="S107" i="13" s="1"/>
  <c r="Q147" i="24"/>
  <c r="Q240" i="24" s="1"/>
  <c r="R112" i="24"/>
  <c r="Q100" i="13"/>
  <c r="Q117" i="13" s="1"/>
  <c r="R96" i="13"/>
  <c r="Q99" i="12"/>
  <c r="Q116" i="12" s="1"/>
  <c r="R95" i="12"/>
  <c r="R97" i="16"/>
  <c r="R114" i="16" s="1"/>
  <c r="S93" i="16"/>
  <c r="R29" i="12"/>
  <c r="R106" i="12" s="1"/>
  <c r="S27" i="12"/>
  <c r="S29" i="12" s="1"/>
  <c r="S106" i="12" s="1"/>
  <c r="R57" i="1"/>
  <c r="Q65" i="1"/>
  <c r="Q112" i="1" s="1"/>
  <c r="R29" i="18"/>
  <c r="R111" i="18" s="1"/>
  <c r="S27" i="18"/>
  <c r="S29" i="18" s="1"/>
  <c r="S111" i="18" s="1"/>
  <c r="U57" i="24"/>
  <c r="U72" i="24" s="1"/>
  <c r="U236" i="24" s="1"/>
  <c r="P22" i="21" s="1"/>
  <c r="R72" i="24"/>
  <c r="R236" i="24" s="1"/>
  <c r="U30" i="15"/>
  <c r="U44" i="15" s="1"/>
  <c r="U155" i="15" s="1"/>
  <c r="O44" i="15"/>
  <c r="O155" i="15" s="1"/>
  <c r="Q117" i="16"/>
  <c r="R89" i="12"/>
  <c r="R37" i="12"/>
  <c r="Q39" i="12"/>
  <c r="Q108" i="12" s="1"/>
  <c r="Q39" i="1"/>
  <c r="Q108" i="1" s="1"/>
  <c r="R37" i="1"/>
  <c r="Q39" i="10"/>
  <c r="Q108" i="10" s="1"/>
  <c r="R37" i="10"/>
  <c r="Q52" i="13"/>
  <c r="Q111" i="13" s="1"/>
  <c r="R50" i="13"/>
  <c r="R54" i="15"/>
  <c r="Q62" i="15"/>
  <c r="Q157" i="15" s="1"/>
  <c r="S51" i="16"/>
  <c r="R53" i="16"/>
  <c r="R108" i="16" s="1"/>
  <c r="Q94" i="19"/>
  <c r="Q119" i="19" s="1"/>
  <c r="R82" i="19"/>
  <c r="R100" i="17"/>
  <c r="Q104" i="17"/>
  <c r="Q121" i="17" s="1"/>
  <c r="R57" i="12"/>
  <c r="Q65" i="12"/>
  <c r="Q112" i="12" s="1"/>
  <c r="Q16" i="10"/>
  <c r="P104" i="10"/>
  <c r="P119" i="10" s="1"/>
  <c r="P23" i="7"/>
  <c r="O113" i="7"/>
  <c r="O128" i="7" s="1"/>
  <c r="Q45" i="17"/>
  <c r="Q113" i="17" s="1"/>
  <c r="R43" i="17"/>
  <c r="R66" i="20"/>
  <c r="Q68" i="20"/>
  <c r="Q96" i="20" s="1"/>
  <c r="P105" i="13"/>
  <c r="P120" i="13" s="1"/>
  <c r="Q17" i="13"/>
  <c r="Q104" i="19"/>
  <c r="Q121" i="19" s="1"/>
  <c r="R100" i="19"/>
  <c r="Q94" i="17"/>
  <c r="Q119" i="17" s="1"/>
  <c r="R82" i="17"/>
  <c r="R65" i="19"/>
  <c r="Q73" i="19"/>
  <c r="Q117" i="19" s="1"/>
  <c r="P103" i="11"/>
  <c r="P118" i="11" s="1"/>
  <c r="Q16" i="11"/>
  <c r="S59" i="16"/>
  <c r="R63" i="16"/>
  <c r="R110" i="16" s="1"/>
  <c r="P104" i="12"/>
  <c r="P119" i="12" s="1"/>
  <c r="Q16" i="12"/>
  <c r="Q64" i="7"/>
  <c r="P72" i="7"/>
  <c r="P121" i="7" s="1"/>
  <c r="R94" i="11"/>
  <c r="Q98" i="11"/>
  <c r="Q115" i="11" s="1"/>
  <c r="Q20" i="24"/>
  <c r="Q232" i="24" s="1"/>
  <c r="R15" i="24"/>
  <c r="Q94" i="18"/>
  <c r="Q119" i="18" s="1"/>
  <c r="R82" i="18"/>
  <c r="P108" i="7"/>
  <c r="P125" i="7" s="1"/>
  <c r="Q104" i="7"/>
  <c r="R13" i="16"/>
  <c r="R102" i="16" s="1"/>
  <c r="S11" i="16"/>
  <c r="R95" i="1"/>
  <c r="Q99" i="1"/>
  <c r="Q116" i="1" s="1"/>
  <c r="E34" i="21"/>
  <c r="E39" i="21" s="1"/>
  <c r="T118" i="11"/>
  <c r="R49" i="20"/>
  <c r="Q54" i="20"/>
  <c r="Q91" i="20" s="1"/>
  <c r="Q102" i="20" s="1"/>
  <c r="S112" i="16"/>
  <c r="R114" i="10"/>
  <c r="R49" i="12"/>
  <c r="Q51" i="12"/>
  <c r="Q110" i="12" s="1"/>
  <c r="R38" i="13"/>
  <c r="Q40" i="13"/>
  <c r="Q109" i="13" s="1"/>
  <c r="R43" i="19"/>
  <c r="Q45" i="19"/>
  <c r="Q113" i="19" s="1"/>
  <c r="P46" i="7"/>
  <c r="P117" i="7" s="1"/>
  <c r="Q44" i="7"/>
  <c r="Q36" i="14"/>
  <c r="Q105" i="14" s="1"/>
  <c r="R34" i="14"/>
  <c r="R226" i="24"/>
  <c r="S205" i="24"/>
  <c r="R65" i="17"/>
  <c r="Q73" i="17"/>
  <c r="Q117" i="17" s="1"/>
  <c r="P104" i="1"/>
  <c r="P119" i="1" s="1"/>
  <c r="R37" i="9"/>
  <c r="Q39" i="9"/>
  <c r="Q108" i="9" s="1"/>
  <c r="R95" i="10"/>
  <c r="Q99" i="10"/>
  <c r="Q116" i="10" s="1"/>
  <c r="Q96" i="14"/>
  <c r="Q113" i="14" s="1"/>
  <c r="R92" i="14"/>
  <c r="Q16" i="18"/>
  <c r="P109" i="18"/>
  <c r="P124" i="18" s="1"/>
  <c r="Q73" i="18"/>
  <c r="Q117" i="18" s="1"/>
  <c r="R65" i="18"/>
  <c r="Q104" i="18"/>
  <c r="Q121" i="18" s="1"/>
  <c r="R100" i="18"/>
  <c r="P104" i="9"/>
  <c r="P119" i="9" s="1"/>
  <c r="Q16" i="9"/>
  <c r="R20" i="15"/>
  <c r="Q25" i="15"/>
  <c r="Q153" i="15" s="1"/>
  <c r="Q16" i="17"/>
  <c r="P109" i="17"/>
  <c r="P124" i="17" s="1"/>
  <c r="R147" i="15"/>
  <c r="Q106" i="24"/>
  <c r="Q238" i="24" s="1"/>
  <c r="R85" i="24"/>
  <c r="R158" i="24"/>
  <c r="Q199" i="24"/>
  <c r="Q242" i="24" s="1"/>
  <c r="G45" i="21"/>
  <c r="F51" i="21"/>
  <c r="O78" i="20"/>
  <c r="O98" i="20" s="1"/>
  <c r="U74" i="20"/>
  <c r="U78" i="20" s="1"/>
  <c r="U103" i="20" s="1"/>
  <c r="U29" i="19"/>
  <c r="U111" i="19" s="1"/>
  <c r="U124" i="19" s="1"/>
  <c r="P116" i="14"/>
  <c r="F33" i="21" l="1"/>
  <c r="F39" i="21" s="1"/>
  <c r="M119" i="9"/>
  <c r="L128" i="7"/>
  <c r="F21" i="21"/>
  <c r="F27" i="21" s="1"/>
  <c r="T87" i="16"/>
  <c r="T112" i="16" s="1"/>
  <c r="O37" i="21" s="1"/>
  <c r="E61" i="21" s="1"/>
  <c r="E10" i="23" s="1"/>
  <c r="K9" i="21"/>
  <c r="K15" i="21" s="1"/>
  <c r="R34" i="7"/>
  <c r="R36" i="7" s="1"/>
  <c r="R115" i="7" s="1"/>
  <c r="D21" i="21" s="1"/>
  <c r="L246" i="24"/>
  <c r="O246" i="24"/>
  <c r="Q30" i="25"/>
  <c r="Q107" i="25" s="1"/>
  <c r="O118" i="9"/>
  <c r="M116" i="16"/>
  <c r="O119" i="12"/>
  <c r="M33" i="21"/>
  <c r="J120" i="25"/>
  <c r="N124" i="17"/>
  <c r="S11" i="12"/>
  <c r="S72" i="12"/>
  <c r="U119" i="9"/>
  <c r="S11" i="9"/>
  <c r="T116" i="16"/>
  <c r="S137" i="15"/>
  <c r="L103" i="20"/>
  <c r="M32" i="21"/>
  <c r="C56" i="21" s="1"/>
  <c r="C5" i="23" s="1"/>
  <c r="M119" i="10"/>
  <c r="M120" i="13"/>
  <c r="N30" i="25"/>
  <c r="N107" i="25" s="1"/>
  <c r="M124" i="18"/>
  <c r="O65" i="18"/>
  <c r="O73" i="18" s="1"/>
  <c r="O117" i="18" s="1"/>
  <c r="N73" i="18"/>
  <c r="N117" i="18" s="1"/>
  <c r="N124" i="18" s="1"/>
  <c r="O123" i="17"/>
  <c r="L117" i="11"/>
  <c r="O47" i="9"/>
  <c r="N51" i="9"/>
  <c r="N110" i="9" s="1"/>
  <c r="N119" i="9" s="1"/>
  <c r="O100" i="15"/>
  <c r="O102" i="15" s="1"/>
  <c r="O161" i="15" s="1"/>
  <c r="N102" i="15"/>
  <c r="N161" i="15" s="1"/>
  <c r="N131" i="15"/>
  <c r="N163" i="15" s="1"/>
  <c r="O113" i="15"/>
  <c r="O131" i="15" s="1"/>
  <c r="O163" i="15" s="1"/>
  <c r="O73" i="13"/>
  <c r="S73" i="13" s="1"/>
  <c r="O90" i="13"/>
  <c r="O57" i="1"/>
  <c r="O65" i="1" s="1"/>
  <c r="O112" i="1" s="1"/>
  <c r="N65" i="1"/>
  <c r="N112" i="1" s="1"/>
  <c r="O50" i="11"/>
  <c r="N54" i="11"/>
  <c r="N109" i="11" s="1"/>
  <c r="O82" i="17"/>
  <c r="O94" i="17" s="1"/>
  <c r="O119" i="17" s="1"/>
  <c r="N94" i="17"/>
  <c r="N119" i="17" s="1"/>
  <c r="N13" i="14"/>
  <c r="N101" i="14" s="1"/>
  <c r="O11" i="14"/>
  <c r="O13" i="14" s="1"/>
  <c r="O101" i="14" s="1"/>
  <c r="O82" i="18"/>
  <c r="O94" i="18" s="1"/>
  <c r="O119" i="18" s="1"/>
  <c r="N94" i="18"/>
  <c r="N119" i="18" s="1"/>
  <c r="S26" i="11"/>
  <c r="S30" i="11" s="1"/>
  <c r="S105" i="11" s="1"/>
  <c r="D33" i="21" s="1"/>
  <c r="O30" i="11"/>
  <c r="O105" i="11" s="1"/>
  <c r="O119" i="13"/>
  <c r="O92" i="14"/>
  <c r="O96" i="14" s="1"/>
  <c r="O113" i="14" s="1"/>
  <c r="N96" i="14"/>
  <c r="N113" i="14" s="1"/>
  <c r="O74" i="9"/>
  <c r="S74" i="9" s="1"/>
  <c r="O89" i="9"/>
  <c r="O114" i="9" s="1"/>
  <c r="P11" i="16"/>
  <c r="P13" i="16" s="1"/>
  <c r="P102" i="16" s="1"/>
  <c r="O13" i="16"/>
  <c r="O102" i="16" s="1"/>
  <c r="O72" i="10"/>
  <c r="S72" i="10" s="1"/>
  <c r="O89" i="10"/>
  <c r="O47" i="10"/>
  <c r="N51" i="10"/>
  <c r="N110" i="10" s="1"/>
  <c r="O50" i="13"/>
  <c r="O52" i="13" s="1"/>
  <c r="O111" i="13" s="1"/>
  <c r="N52" i="13"/>
  <c r="N111" i="13" s="1"/>
  <c r="M116" i="14"/>
  <c r="O16" i="17"/>
  <c r="O109" i="17" s="1"/>
  <c r="S14" i="17"/>
  <c r="O66" i="20"/>
  <c r="O68" i="20" s="1"/>
  <c r="O96" i="20" s="1"/>
  <c r="O103" i="20" s="1"/>
  <c r="N68" i="20"/>
  <c r="N96" i="20" s="1"/>
  <c r="N103" i="20" s="1"/>
  <c r="R118" i="10"/>
  <c r="M118" i="11"/>
  <c r="M119" i="1"/>
  <c r="S123" i="18"/>
  <c r="N199" i="24"/>
  <c r="N242" i="24" s="1"/>
  <c r="O158" i="24"/>
  <c r="O199" i="24" s="1"/>
  <c r="O242" i="24" s="1"/>
  <c r="O94" i="11"/>
  <c r="O98" i="11" s="1"/>
  <c r="O115" i="11" s="1"/>
  <c r="N98" i="11"/>
  <c r="N115" i="11" s="1"/>
  <c r="N104" i="19"/>
  <c r="N121" i="19" s="1"/>
  <c r="N124" i="19" s="1"/>
  <c r="O100" i="19"/>
  <c r="O104" i="19" s="1"/>
  <c r="O121" i="19" s="1"/>
  <c r="N117" i="16"/>
  <c r="O69" i="14"/>
  <c r="S69" i="14" s="1"/>
  <c r="O86" i="14"/>
  <c r="O72" i="1"/>
  <c r="S72" i="1" s="1"/>
  <c r="O89" i="1"/>
  <c r="O12" i="13"/>
  <c r="O17" i="13" s="1"/>
  <c r="O105" i="13" s="1"/>
  <c r="N17" i="13"/>
  <c r="N105" i="13" s="1"/>
  <c r="O71" i="15"/>
  <c r="N79" i="15"/>
  <c r="N159" i="15" s="1"/>
  <c r="O112" i="24"/>
  <c r="O147" i="24" s="1"/>
  <c r="O240" i="24" s="1"/>
  <c r="N147" i="24"/>
  <c r="N240" i="24" s="1"/>
  <c r="O53" i="16"/>
  <c r="O108" i="16" s="1"/>
  <c r="P51" i="16"/>
  <c r="P53" i="16" s="1"/>
  <c r="P108" i="16" s="1"/>
  <c r="O58" i="25"/>
  <c r="O66" i="25" s="1"/>
  <c r="O113" i="25" s="1"/>
  <c r="N66" i="25"/>
  <c r="N113" i="25" s="1"/>
  <c r="S73" i="25"/>
  <c r="L90" i="25"/>
  <c r="Q66" i="25"/>
  <c r="Q113" i="25" s="1"/>
  <c r="R58" i="25"/>
  <c r="R66" i="25" s="1"/>
  <c r="R113" i="25" s="1"/>
  <c r="O99" i="1"/>
  <c r="O116" i="1" s="1"/>
  <c r="S97" i="1"/>
  <c r="P105" i="25"/>
  <c r="P120" i="25" s="1"/>
  <c r="Q16" i="25"/>
  <c r="O106" i="24"/>
  <c r="O238" i="24" s="1"/>
  <c r="S87" i="24"/>
  <c r="S56" i="15"/>
  <c r="O62" i="15"/>
  <c r="O157" i="15" s="1"/>
  <c r="L11" i="25"/>
  <c r="K16" i="25"/>
  <c r="K105" i="25" s="1"/>
  <c r="O104" i="18"/>
  <c r="O121" i="18" s="1"/>
  <c r="S102" i="18"/>
  <c r="M120" i="25"/>
  <c r="L96" i="25"/>
  <c r="K100" i="25"/>
  <c r="K117" i="25" s="1"/>
  <c r="L30" i="25"/>
  <c r="L107" i="25" s="1"/>
  <c r="S28" i="25"/>
  <c r="O96" i="25"/>
  <c r="O100" i="25" s="1"/>
  <c r="O117" i="25" s="1"/>
  <c r="N100" i="25"/>
  <c r="N117" i="25" s="1"/>
  <c r="O88" i="11"/>
  <c r="O113" i="11" s="1"/>
  <c r="S80" i="11"/>
  <c r="R90" i="25"/>
  <c r="R115" i="25" s="1"/>
  <c r="R50" i="25"/>
  <c r="R52" i="25" s="1"/>
  <c r="R111" i="25" s="1"/>
  <c r="Q52" i="25"/>
  <c r="Q111" i="25" s="1"/>
  <c r="O38" i="25"/>
  <c r="O40" i="25" s="1"/>
  <c r="O109" i="25" s="1"/>
  <c r="N40" i="25"/>
  <c r="N109" i="25" s="1"/>
  <c r="O11" i="25"/>
  <c r="O16" i="25" s="1"/>
  <c r="O105" i="25" s="1"/>
  <c r="N16" i="25"/>
  <c r="N105" i="25" s="1"/>
  <c r="S26" i="25"/>
  <c r="S59" i="9"/>
  <c r="O65" i="9"/>
  <c r="O112" i="9" s="1"/>
  <c r="O65" i="10"/>
  <c r="O112" i="10" s="1"/>
  <c r="S59" i="10"/>
  <c r="O99" i="10"/>
  <c r="O116" i="10" s="1"/>
  <c r="S97" i="10"/>
  <c r="K127" i="7"/>
  <c r="K66" i="25"/>
  <c r="K113" i="25" s="1"/>
  <c r="L58" i="25"/>
  <c r="R30" i="25"/>
  <c r="R107" i="25" s="1"/>
  <c r="O90" i="25"/>
  <c r="O115" i="25" s="1"/>
  <c r="O50" i="25"/>
  <c r="O52" i="25" s="1"/>
  <c r="O111" i="25" s="1"/>
  <c r="N52" i="25"/>
  <c r="N111" i="25" s="1"/>
  <c r="L38" i="25"/>
  <c r="K40" i="25"/>
  <c r="K109" i="25" s="1"/>
  <c r="K30" i="25"/>
  <c r="K107" i="25" s="1"/>
  <c r="O30" i="25"/>
  <c r="O107" i="25" s="1"/>
  <c r="K52" i="25"/>
  <c r="K111" i="25" s="1"/>
  <c r="L50" i="25"/>
  <c r="R38" i="25"/>
  <c r="R40" i="25" s="1"/>
  <c r="R109" i="25" s="1"/>
  <c r="Q40" i="25"/>
  <c r="Q109" i="25" s="1"/>
  <c r="O16" i="19"/>
  <c r="O109" i="19" s="1"/>
  <c r="S14" i="19"/>
  <c r="R96" i="25"/>
  <c r="R100" i="25" s="1"/>
  <c r="R117" i="25" s="1"/>
  <c r="Q100" i="25"/>
  <c r="Q117" i="25" s="1"/>
  <c r="O123" i="18"/>
  <c r="O27" i="24"/>
  <c r="N51" i="24"/>
  <c r="N234" i="24" s="1"/>
  <c r="M35" i="21"/>
  <c r="M38" i="21"/>
  <c r="M36" i="21"/>
  <c r="K103" i="20"/>
  <c r="U119" i="1"/>
  <c r="S246" i="24"/>
  <c r="S27" i="9"/>
  <c r="S29" i="9" s="1"/>
  <c r="S106" i="9" s="1"/>
  <c r="D9" i="21" s="1"/>
  <c r="G9" i="21" s="1"/>
  <c r="S119" i="13"/>
  <c r="P33" i="21"/>
  <c r="P39" i="21" s="1"/>
  <c r="Q168" i="15"/>
  <c r="T120" i="13"/>
  <c r="T119" i="12"/>
  <c r="S118" i="12"/>
  <c r="O11" i="11"/>
  <c r="N16" i="11"/>
  <c r="N103" i="11" s="1"/>
  <c r="C14" i="21"/>
  <c r="C15" i="21" s="1"/>
  <c r="S118" i="9"/>
  <c r="M27" i="21"/>
  <c r="N25" i="15"/>
  <c r="N153" i="15" s="1"/>
  <c r="O20" i="15"/>
  <c r="O25" i="15" s="1"/>
  <c r="O153" i="15" s="1"/>
  <c r="O11" i="10"/>
  <c r="N16" i="10"/>
  <c r="N104" i="10" s="1"/>
  <c r="C33" i="21"/>
  <c r="C39" i="21" s="1"/>
  <c r="S117" i="11"/>
  <c r="M9" i="21"/>
  <c r="M15" i="21" s="1"/>
  <c r="S118" i="1"/>
  <c r="N20" i="24"/>
  <c r="N232" i="24" s="1"/>
  <c r="O15" i="24"/>
  <c r="O20" i="24" s="1"/>
  <c r="O232" i="24" s="1"/>
  <c r="O11" i="1"/>
  <c r="O16" i="1" s="1"/>
  <c r="O104" i="1" s="1"/>
  <c r="N16" i="1"/>
  <c r="N104" i="1" s="1"/>
  <c r="S123" i="17"/>
  <c r="S123" i="19"/>
  <c r="N18" i="7"/>
  <c r="N23" i="7" s="1"/>
  <c r="N113" i="7" s="1"/>
  <c r="N128" i="7" s="1"/>
  <c r="M23" i="7"/>
  <c r="M113" i="7" s="1"/>
  <c r="M128" i="7" s="1"/>
  <c r="L158" i="15"/>
  <c r="S78" i="15"/>
  <c r="S158" i="15" s="1"/>
  <c r="S93" i="15"/>
  <c r="L101" i="15"/>
  <c r="O100" i="13"/>
  <c r="O117" i="13" s="1"/>
  <c r="S98" i="13"/>
  <c r="L162" i="15"/>
  <c r="S130" i="15"/>
  <c r="S162" i="15" s="1"/>
  <c r="H25" i="21" s="1"/>
  <c r="C61" i="21" s="1"/>
  <c r="C10" i="23" s="1"/>
  <c r="O118" i="12"/>
  <c r="O118" i="1"/>
  <c r="H11" i="21"/>
  <c r="H15" i="21" s="1"/>
  <c r="S118" i="10"/>
  <c r="N118" i="7"/>
  <c r="R57" i="7"/>
  <c r="R118" i="7" s="1"/>
  <c r="C23" i="21" s="1"/>
  <c r="N124" i="7"/>
  <c r="R107" i="7"/>
  <c r="R124" i="7" s="1"/>
  <c r="C26" i="21" s="1"/>
  <c r="C21" i="21"/>
  <c r="R98" i="7"/>
  <c r="R123" i="7" s="1"/>
  <c r="D25" i="21" s="1"/>
  <c r="G25" i="21" s="1"/>
  <c r="S12" i="13"/>
  <c r="K119" i="1"/>
  <c r="M117" i="16"/>
  <c r="K119" i="10"/>
  <c r="L119" i="10"/>
  <c r="L119" i="1"/>
  <c r="L124" i="17"/>
  <c r="L247" i="24"/>
  <c r="L124" i="19"/>
  <c r="K124" i="17"/>
  <c r="Q9" i="21"/>
  <c r="L119" i="12"/>
  <c r="K124" i="18"/>
  <c r="K120" i="13"/>
  <c r="K247" i="24"/>
  <c r="J128" i="7"/>
  <c r="K168" i="15"/>
  <c r="K118" i="11"/>
  <c r="S11" i="17"/>
  <c r="S11" i="18"/>
  <c r="L119" i="9"/>
  <c r="K116" i="14"/>
  <c r="K119" i="12"/>
  <c r="L117" i="16"/>
  <c r="O59" i="18"/>
  <c r="O115" i="18" s="1"/>
  <c r="S55" i="18"/>
  <c r="L105" i="14"/>
  <c r="L116" i="14" s="1"/>
  <c r="O59" i="17"/>
  <c r="O115" i="17" s="1"/>
  <c r="S55" i="17"/>
  <c r="O22" i="21"/>
  <c r="O27" i="21" s="1"/>
  <c r="T247" i="24"/>
  <c r="L124" i="18"/>
  <c r="L120" i="13"/>
  <c r="K128" i="7"/>
  <c r="L168" i="15"/>
  <c r="L118" i="11"/>
  <c r="S37" i="15"/>
  <c r="S44" i="15" s="1"/>
  <c r="S155" i="15" s="1"/>
  <c r="I21" i="21" s="1"/>
  <c r="S11" i="19"/>
  <c r="K119" i="9"/>
  <c r="K124" i="19"/>
  <c r="R106" i="24"/>
  <c r="R238" i="24" s="1"/>
  <c r="S85" i="24"/>
  <c r="R16" i="9"/>
  <c r="Q104" i="9"/>
  <c r="Q119" i="9" s="1"/>
  <c r="R104" i="18"/>
  <c r="S100" i="18"/>
  <c r="R73" i="18"/>
  <c r="R96" i="14"/>
  <c r="Q104" i="1"/>
  <c r="Q119" i="1" s="1"/>
  <c r="R16" i="1"/>
  <c r="R36" i="14"/>
  <c r="R105" i="14" s="1"/>
  <c r="S34" i="14"/>
  <c r="Q46" i="7"/>
  <c r="Q117" i="7" s="1"/>
  <c r="R44" i="7"/>
  <c r="R46" i="7" s="1"/>
  <c r="R117" i="7" s="1"/>
  <c r="D22" i="21" s="1"/>
  <c r="G22" i="21" s="1"/>
  <c r="S13" i="16"/>
  <c r="Q108" i="7"/>
  <c r="R104" i="7"/>
  <c r="R94" i="18"/>
  <c r="R20" i="24"/>
  <c r="R16" i="12"/>
  <c r="Q104" i="12"/>
  <c r="Q119" i="12" s="1"/>
  <c r="R16" i="11"/>
  <c r="Q103" i="11"/>
  <c r="Q118" i="11" s="1"/>
  <c r="R94" i="17"/>
  <c r="R104" i="19"/>
  <c r="Q105" i="13"/>
  <c r="Q120" i="13" s="1"/>
  <c r="R17" i="13"/>
  <c r="R45" i="17"/>
  <c r="R113" i="17" s="1"/>
  <c r="S43" i="17"/>
  <c r="S45" i="17" s="1"/>
  <c r="S113" i="17" s="1"/>
  <c r="R94" i="19"/>
  <c r="S82" i="19"/>
  <c r="R52" i="13"/>
  <c r="R111" i="13" s="1"/>
  <c r="R39" i="10"/>
  <c r="S37" i="10"/>
  <c r="R39" i="1"/>
  <c r="R108" i="1" s="1"/>
  <c r="S37" i="1"/>
  <c r="K21" i="21"/>
  <c r="K27" i="21" s="1"/>
  <c r="U168" i="15"/>
  <c r="R65" i="1"/>
  <c r="R65" i="9"/>
  <c r="S57" i="9"/>
  <c r="S75" i="15"/>
  <c r="R79" i="15"/>
  <c r="R159" i="15" s="1"/>
  <c r="Q58" i="7"/>
  <c r="Q119" i="7" s="1"/>
  <c r="R56" i="7"/>
  <c r="R58" i="7" s="1"/>
  <c r="R119" i="7" s="1"/>
  <c r="D23" i="21" s="1"/>
  <c r="G23" i="21" s="1"/>
  <c r="S49" i="1"/>
  <c r="S51" i="1" s="1"/>
  <c r="S110" i="1" s="1"/>
  <c r="N11" i="21" s="1"/>
  <c r="Q11" i="21" s="1"/>
  <c r="R51" i="1"/>
  <c r="R110" i="1" s="1"/>
  <c r="R59" i="19"/>
  <c r="R115" i="19" s="1"/>
  <c r="S57" i="19"/>
  <c r="S59" i="19" s="1"/>
  <c r="S115" i="19" s="1"/>
  <c r="R48" i="14"/>
  <c r="R107" i="14" s="1"/>
  <c r="S46" i="14"/>
  <c r="S48" i="14" s="1"/>
  <c r="S107" i="14" s="1"/>
  <c r="O108" i="9"/>
  <c r="O108" i="1"/>
  <c r="E46" i="21"/>
  <c r="E51" i="21" s="1"/>
  <c r="T103" i="20"/>
  <c r="R131" i="15"/>
  <c r="R51" i="9"/>
  <c r="R110" i="9" s="1"/>
  <c r="S49" i="9"/>
  <c r="S43" i="18"/>
  <c r="S45" i="18" s="1"/>
  <c r="S113" i="18" s="1"/>
  <c r="R45" i="18"/>
  <c r="R113" i="18" s="1"/>
  <c r="R59" i="18"/>
  <c r="R115" i="18" s="1"/>
  <c r="S57" i="18"/>
  <c r="Q116" i="14"/>
  <c r="Q103" i="20"/>
  <c r="R199" i="24"/>
  <c r="R242" i="24" s="1"/>
  <c r="R165" i="15"/>
  <c r="S147" i="15"/>
  <c r="S165" i="15" s="1"/>
  <c r="I26" i="21" s="1"/>
  <c r="L26" i="21" s="1"/>
  <c r="Q109" i="17"/>
  <c r="Q124" i="17" s="1"/>
  <c r="R16" i="17"/>
  <c r="R25" i="15"/>
  <c r="Q109" i="18"/>
  <c r="Q124" i="18" s="1"/>
  <c r="R16" i="18"/>
  <c r="R99" i="10"/>
  <c r="S95" i="10"/>
  <c r="R39" i="9"/>
  <c r="R108" i="9" s="1"/>
  <c r="S37" i="9"/>
  <c r="R73" i="17"/>
  <c r="S65" i="17"/>
  <c r="R244" i="24"/>
  <c r="S226" i="24"/>
  <c r="S244" i="24" s="1"/>
  <c r="N26" i="21" s="1"/>
  <c r="Q26" i="21" s="1"/>
  <c r="S43" i="19"/>
  <c r="S45" i="19" s="1"/>
  <c r="S113" i="19" s="1"/>
  <c r="R45" i="19"/>
  <c r="R113" i="19" s="1"/>
  <c r="R40" i="13"/>
  <c r="R109" i="13" s="1"/>
  <c r="S38" i="13"/>
  <c r="R51" i="12"/>
  <c r="R110" i="12" s="1"/>
  <c r="S49" i="12"/>
  <c r="S51" i="12" s="1"/>
  <c r="S110" i="12" s="1"/>
  <c r="R54" i="20"/>
  <c r="S49" i="20"/>
  <c r="R99" i="1"/>
  <c r="S95" i="1"/>
  <c r="R98" i="11"/>
  <c r="S94" i="11"/>
  <c r="Q72" i="7"/>
  <c r="R64" i="7"/>
  <c r="S63" i="16"/>
  <c r="T59" i="16"/>
  <c r="R73" i="19"/>
  <c r="S65" i="19"/>
  <c r="R68" i="20"/>
  <c r="P113" i="7"/>
  <c r="P128" i="7" s="1"/>
  <c r="Q23" i="7"/>
  <c r="Q104" i="10"/>
  <c r="Q119" i="10" s="1"/>
  <c r="R16" i="10"/>
  <c r="R65" i="12"/>
  <c r="S57" i="12"/>
  <c r="R104" i="17"/>
  <c r="S100" i="17"/>
  <c r="S53" i="16"/>
  <c r="S108" i="16" s="1"/>
  <c r="R62" i="15"/>
  <c r="R157" i="15" s="1"/>
  <c r="S54" i="15"/>
  <c r="R39" i="12"/>
  <c r="S37" i="12"/>
  <c r="R114" i="12"/>
  <c r="S89" i="12"/>
  <c r="S114" i="12" s="1"/>
  <c r="S97" i="16"/>
  <c r="T93" i="16"/>
  <c r="R99" i="12"/>
  <c r="S95" i="12"/>
  <c r="S96" i="13"/>
  <c r="R100" i="13"/>
  <c r="R147" i="24"/>
  <c r="R240" i="24" s="1"/>
  <c r="R68" i="11"/>
  <c r="S60" i="11"/>
  <c r="R13" i="14"/>
  <c r="R102" i="15"/>
  <c r="R88" i="11"/>
  <c r="S75" i="11"/>
  <c r="R42" i="11"/>
  <c r="R107" i="11" s="1"/>
  <c r="S40" i="11"/>
  <c r="S42" i="11" s="1"/>
  <c r="S107" i="11" s="1"/>
  <c r="D34" i="21" s="1"/>
  <c r="G34" i="21" s="1"/>
  <c r="R59" i="17"/>
  <c r="R115" i="17" s="1"/>
  <c r="S57" i="17"/>
  <c r="T119" i="9"/>
  <c r="E10" i="21"/>
  <c r="O10" i="21"/>
  <c r="O15" i="21" s="1"/>
  <c r="T119" i="1"/>
  <c r="O109" i="13"/>
  <c r="U63" i="22"/>
  <c r="K34" i="21"/>
  <c r="R66" i="13"/>
  <c r="S58" i="13"/>
  <c r="R99" i="9"/>
  <c r="S95" i="9"/>
  <c r="R51" i="24"/>
  <c r="R234" i="24" s="1"/>
  <c r="S38" i="24"/>
  <c r="S51" i="24" s="1"/>
  <c r="S234" i="24" s="1"/>
  <c r="N21" i="21" s="1"/>
  <c r="R54" i="11"/>
  <c r="R109" i="11" s="1"/>
  <c r="S52" i="11"/>
  <c r="R65" i="10"/>
  <c r="S57" i="10"/>
  <c r="Q109" i="19"/>
  <c r="Q124" i="19" s="1"/>
  <c r="R16" i="19"/>
  <c r="R62" i="14"/>
  <c r="S54" i="14"/>
  <c r="R51" i="10"/>
  <c r="R110" i="10" s="1"/>
  <c r="S49" i="10"/>
  <c r="S43" i="16"/>
  <c r="T41" i="16"/>
  <c r="R55" i="20"/>
  <c r="S53" i="20"/>
  <c r="F15" i="21"/>
  <c r="R117" i="16"/>
  <c r="Q247" i="24"/>
  <c r="S66" i="20" l="1"/>
  <c r="S106" i="24"/>
  <c r="S238" i="24" s="1"/>
  <c r="N23" i="21" s="1"/>
  <c r="Q23" i="21" s="1"/>
  <c r="G33" i="21"/>
  <c r="S11" i="14"/>
  <c r="S112" i="24"/>
  <c r="S147" i="24" s="1"/>
  <c r="S240" i="24" s="1"/>
  <c r="N24" i="21" s="1"/>
  <c r="Q24" i="21" s="1"/>
  <c r="S62" i="15"/>
  <c r="S157" i="15" s="1"/>
  <c r="I22" i="21" s="1"/>
  <c r="L22" i="21" s="1"/>
  <c r="L9" i="21"/>
  <c r="G21" i="21"/>
  <c r="S100" i="15"/>
  <c r="T51" i="16"/>
  <c r="T53" i="16" s="1"/>
  <c r="T108" i="16" s="1"/>
  <c r="S20" i="15"/>
  <c r="S113" i="15"/>
  <c r="S15" i="24"/>
  <c r="N119" i="1"/>
  <c r="O124" i="18"/>
  <c r="S82" i="17"/>
  <c r="S82" i="18"/>
  <c r="S65" i="18"/>
  <c r="N120" i="13"/>
  <c r="S57" i="1"/>
  <c r="S40" i="13"/>
  <c r="S109" i="13" s="1"/>
  <c r="S89" i="9"/>
  <c r="S114" i="9" s="1"/>
  <c r="D13" i="21" s="1"/>
  <c r="G13" i="21" s="1"/>
  <c r="N247" i="24"/>
  <c r="O124" i="17"/>
  <c r="N119" i="10"/>
  <c r="O117" i="16"/>
  <c r="N116" i="14"/>
  <c r="S158" i="24"/>
  <c r="S199" i="24" s="1"/>
  <c r="S242" i="24" s="1"/>
  <c r="N25" i="21" s="1"/>
  <c r="Q25" i="21" s="1"/>
  <c r="S50" i="13"/>
  <c r="S52" i="13" s="1"/>
  <c r="S111" i="13" s="1"/>
  <c r="P117" i="16"/>
  <c r="O51" i="10"/>
  <c r="O110" i="10" s="1"/>
  <c r="S47" i="10"/>
  <c r="S51" i="10" s="1"/>
  <c r="S110" i="10" s="1"/>
  <c r="I11" i="21" s="1"/>
  <c r="L11" i="21" s="1"/>
  <c r="O115" i="13"/>
  <c r="O120" i="13" s="1"/>
  <c r="S90" i="13"/>
  <c r="S115" i="13" s="1"/>
  <c r="S100" i="19"/>
  <c r="O111" i="14"/>
  <c r="O116" i="14" s="1"/>
  <c r="S86" i="14"/>
  <c r="S111" i="14" s="1"/>
  <c r="O114" i="10"/>
  <c r="S89" i="10"/>
  <c r="S114" i="10" s="1"/>
  <c r="I13" i="21" s="1"/>
  <c r="L13" i="21" s="1"/>
  <c r="O54" i="11"/>
  <c r="O109" i="11" s="1"/>
  <c r="S50" i="11"/>
  <c r="S54" i="11" s="1"/>
  <c r="S109" i="11" s="1"/>
  <c r="D35" i="21" s="1"/>
  <c r="G35" i="21" s="1"/>
  <c r="O79" i="15"/>
  <c r="O159" i="15" s="1"/>
  <c r="O168" i="15" s="1"/>
  <c r="S71" i="15"/>
  <c r="S79" i="15" s="1"/>
  <c r="S159" i="15" s="1"/>
  <c r="I23" i="21" s="1"/>
  <c r="L23" i="21" s="1"/>
  <c r="N168" i="15"/>
  <c r="O124" i="19"/>
  <c r="S59" i="17"/>
  <c r="S115" i="17" s="1"/>
  <c r="T11" i="16"/>
  <c r="S92" i="14"/>
  <c r="N118" i="11"/>
  <c r="O114" i="1"/>
  <c r="O119" i="1" s="1"/>
  <c r="S89" i="1"/>
  <c r="S114" i="1" s="1"/>
  <c r="N13" i="21" s="1"/>
  <c r="Q13" i="21" s="1"/>
  <c r="S47" i="9"/>
  <c r="S51" i="9" s="1"/>
  <c r="S110" i="9" s="1"/>
  <c r="D11" i="21" s="1"/>
  <c r="G11" i="21" s="1"/>
  <c r="O51" i="9"/>
  <c r="O110" i="9" s="1"/>
  <c r="O119" i="9" s="1"/>
  <c r="S58" i="25"/>
  <c r="L66" i="25"/>
  <c r="S96" i="25"/>
  <c r="L100" i="25"/>
  <c r="K120" i="25"/>
  <c r="S90" i="25"/>
  <c r="S115" i="25" s="1"/>
  <c r="L115" i="25"/>
  <c r="S30" i="25"/>
  <c r="S107" i="25" s="1"/>
  <c r="N33" i="21" s="1"/>
  <c r="Q33" i="21" s="1"/>
  <c r="L16" i="25"/>
  <c r="S11" i="25"/>
  <c r="L52" i="25"/>
  <c r="L111" i="25" s="1"/>
  <c r="S50" i="25"/>
  <c r="S52" i="25" s="1"/>
  <c r="S111" i="25" s="1"/>
  <c r="N120" i="25"/>
  <c r="R16" i="25"/>
  <c r="R105" i="25" s="1"/>
  <c r="R120" i="25" s="1"/>
  <c r="Q105" i="25"/>
  <c r="Q120" i="25" s="1"/>
  <c r="L40" i="25"/>
  <c r="S38" i="25"/>
  <c r="O120" i="25"/>
  <c r="U27" i="24"/>
  <c r="U51" i="24" s="1"/>
  <c r="U234" i="24" s="1"/>
  <c r="O51" i="24"/>
  <c r="O234" i="24" s="1"/>
  <c r="O247" i="24" s="1"/>
  <c r="S11" i="1"/>
  <c r="R18" i="7"/>
  <c r="O35" i="21"/>
  <c r="E59" i="21" s="1"/>
  <c r="E8" i="23" s="1"/>
  <c r="L21" i="21"/>
  <c r="S59" i="18"/>
  <c r="S115" i="18" s="1"/>
  <c r="C62" i="21"/>
  <c r="C11" i="23" s="1"/>
  <c r="M39" i="21"/>
  <c r="S36" i="14"/>
  <c r="S105" i="14" s="1"/>
  <c r="O16" i="10"/>
  <c r="O104" i="10" s="1"/>
  <c r="S11" i="10"/>
  <c r="O16" i="11"/>
  <c r="O103" i="11" s="1"/>
  <c r="S11" i="11"/>
  <c r="L160" i="15"/>
  <c r="L167" i="15" s="1"/>
  <c r="S101" i="15"/>
  <c r="S160" i="15" s="1"/>
  <c r="H24" i="21" s="1"/>
  <c r="C60" i="21" s="1"/>
  <c r="C9" i="23" s="1"/>
  <c r="H23" i="21"/>
  <c r="C59" i="21" s="1"/>
  <c r="C8" i="23" s="1"/>
  <c r="R127" i="7"/>
  <c r="N127" i="7"/>
  <c r="C27" i="21"/>
  <c r="C57" i="21"/>
  <c r="S39" i="1"/>
  <c r="S108" i="1" s="1"/>
  <c r="N10" i="21" s="1"/>
  <c r="Q10" i="21" s="1"/>
  <c r="Q22" i="21"/>
  <c r="R109" i="19"/>
  <c r="S16" i="19"/>
  <c r="S109" i="19" s="1"/>
  <c r="L34" i="21"/>
  <c r="L39" i="21" s="1"/>
  <c r="K39" i="21"/>
  <c r="F58" i="21"/>
  <c r="F7" i="23" s="1"/>
  <c r="E15" i="21"/>
  <c r="R117" i="13"/>
  <c r="S100" i="13"/>
  <c r="S117" i="13" s="1"/>
  <c r="R104" i="10"/>
  <c r="Q113" i="7"/>
  <c r="R23" i="7"/>
  <c r="R113" i="7" s="1"/>
  <c r="R96" i="20"/>
  <c r="S68" i="20"/>
  <c r="S96" i="20" s="1"/>
  <c r="D48" i="21" s="1"/>
  <c r="G48" i="21" s="1"/>
  <c r="R109" i="18"/>
  <c r="S16" i="18"/>
  <c r="S109" i="18" s="1"/>
  <c r="R109" i="17"/>
  <c r="S16" i="17"/>
  <c r="S109" i="17" s="1"/>
  <c r="R112" i="9"/>
  <c r="S65" i="9"/>
  <c r="S112" i="9" s="1"/>
  <c r="D12" i="21" s="1"/>
  <c r="R112" i="1"/>
  <c r="S65" i="1"/>
  <c r="S112" i="1" s="1"/>
  <c r="N12" i="21" s="1"/>
  <c r="Q12" i="21" s="1"/>
  <c r="R108" i="10"/>
  <c r="S39" i="10"/>
  <c r="S108" i="10" s="1"/>
  <c r="I10" i="21" s="1"/>
  <c r="L10" i="21" s="1"/>
  <c r="R119" i="19"/>
  <c r="S94" i="19"/>
  <c r="S119" i="19" s="1"/>
  <c r="R121" i="19"/>
  <c r="S104" i="19"/>
  <c r="S121" i="19" s="1"/>
  <c r="R119" i="17"/>
  <c r="S94" i="17"/>
  <c r="S119" i="17" s="1"/>
  <c r="R103" i="11"/>
  <c r="R104" i="12"/>
  <c r="S16" i="12"/>
  <c r="S104" i="12" s="1"/>
  <c r="R232" i="24"/>
  <c r="R247" i="24" s="1"/>
  <c r="S20" i="24"/>
  <c r="S232" i="24" s="1"/>
  <c r="R119" i="18"/>
  <c r="S94" i="18"/>
  <c r="S119" i="18" s="1"/>
  <c r="Q125" i="7"/>
  <c r="R108" i="7"/>
  <c r="R125" i="7" s="1"/>
  <c r="D26" i="21" s="1"/>
  <c r="G26" i="21" s="1"/>
  <c r="S102" i="16"/>
  <c r="T13" i="16"/>
  <c r="T102" i="16" s="1"/>
  <c r="R113" i="14"/>
  <c r="S96" i="14"/>
  <c r="S113" i="14" s="1"/>
  <c r="R117" i="18"/>
  <c r="S73" i="18"/>
  <c r="S117" i="18" s="1"/>
  <c r="R121" i="18"/>
  <c r="S104" i="18"/>
  <c r="S121" i="18" s="1"/>
  <c r="R104" i="9"/>
  <c r="S16" i="9"/>
  <c r="S104" i="9" s="1"/>
  <c r="R92" i="20"/>
  <c r="S55" i="20"/>
  <c r="S92" i="20" s="1"/>
  <c r="S106" i="16"/>
  <c r="T43" i="16"/>
  <c r="T106" i="16" s="1"/>
  <c r="O34" i="21" s="1"/>
  <c r="R109" i="14"/>
  <c r="S62" i="14"/>
  <c r="S109" i="14" s="1"/>
  <c r="R112" i="10"/>
  <c r="S65" i="10"/>
  <c r="S112" i="10" s="1"/>
  <c r="I12" i="21" s="1"/>
  <c r="L12" i="21" s="1"/>
  <c r="R116" i="9"/>
  <c r="S99" i="9"/>
  <c r="S116" i="9" s="1"/>
  <c r="D14" i="21" s="1"/>
  <c r="R113" i="13"/>
  <c r="S66" i="13"/>
  <c r="S113" i="13" s="1"/>
  <c r="R113" i="11"/>
  <c r="S88" i="11"/>
  <c r="S113" i="11" s="1"/>
  <c r="D37" i="21" s="1"/>
  <c r="R161" i="15"/>
  <c r="S102" i="15"/>
  <c r="S161" i="15" s="1"/>
  <c r="I24" i="21" s="1"/>
  <c r="L24" i="21" s="1"/>
  <c r="R101" i="14"/>
  <c r="R116" i="14" s="1"/>
  <c r="S13" i="14"/>
  <c r="S101" i="14" s="1"/>
  <c r="R111" i="11"/>
  <c r="S68" i="11"/>
  <c r="S111" i="11" s="1"/>
  <c r="D36" i="21" s="1"/>
  <c r="G36" i="21" s="1"/>
  <c r="R116" i="12"/>
  <c r="S99" i="12"/>
  <c r="S116" i="12" s="1"/>
  <c r="S114" i="16"/>
  <c r="T97" i="16"/>
  <c r="T114" i="16" s="1"/>
  <c r="R108" i="12"/>
  <c r="S39" i="12"/>
  <c r="S108" i="12" s="1"/>
  <c r="R121" i="17"/>
  <c r="S104" i="17"/>
  <c r="S121" i="17" s="1"/>
  <c r="R112" i="12"/>
  <c r="S65" i="12"/>
  <c r="S112" i="12" s="1"/>
  <c r="R117" i="19"/>
  <c r="S73" i="19"/>
  <c r="S117" i="19" s="1"/>
  <c r="S110" i="16"/>
  <c r="T63" i="16"/>
  <c r="T110" i="16" s="1"/>
  <c r="Q121" i="7"/>
  <c r="R72" i="7"/>
  <c r="R121" i="7" s="1"/>
  <c r="D24" i="21" s="1"/>
  <c r="G24" i="21" s="1"/>
  <c r="R115" i="11"/>
  <c r="S98" i="11"/>
  <c r="S115" i="11" s="1"/>
  <c r="D38" i="21" s="1"/>
  <c r="G38" i="21" s="1"/>
  <c r="R116" i="1"/>
  <c r="S99" i="1"/>
  <c r="S116" i="1" s="1"/>
  <c r="N14" i="21" s="1"/>
  <c r="Q14" i="21" s="1"/>
  <c r="R91" i="20"/>
  <c r="R102" i="20" s="1"/>
  <c r="S54" i="20"/>
  <c r="S91" i="20" s="1"/>
  <c r="R117" i="17"/>
  <c r="S73" i="17"/>
  <c r="S117" i="17" s="1"/>
  <c r="R116" i="10"/>
  <c r="S99" i="10"/>
  <c r="S116" i="10" s="1"/>
  <c r="I14" i="21" s="1"/>
  <c r="L14" i="21" s="1"/>
  <c r="R153" i="15"/>
  <c r="S25" i="15"/>
  <c r="S153" i="15" s="1"/>
  <c r="R163" i="15"/>
  <c r="S131" i="15"/>
  <c r="S163" i="15" s="1"/>
  <c r="I25" i="21" s="1"/>
  <c r="L25" i="21" s="1"/>
  <c r="R105" i="13"/>
  <c r="S17" i="13"/>
  <c r="S105" i="13" s="1"/>
  <c r="R104" i="1"/>
  <c r="S16" i="1"/>
  <c r="S104" i="1" s="1"/>
  <c r="S39" i="9"/>
  <c r="S108" i="9" s="1"/>
  <c r="D10" i="21" s="1"/>
  <c r="R103" i="20" l="1"/>
  <c r="S16" i="10"/>
  <c r="S104" i="10" s="1"/>
  <c r="S16" i="11"/>
  <c r="S103" i="11" s="1"/>
  <c r="S118" i="11" s="1"/>
  <c r="O119" i="10"/>
  <c r="N35" i="21"/>
  <c r="Q35" i="21" s="1"/>
  <c r="D57" i="21"/>
  <c r="D6" i="23" s="1"/>
  <c r="I6" i="23" s="1"/>
  <c r="O118" i="11"/>
  <c r="S40" i="25"/>
  <c r="S109" i="25" s="1"/>
  <c r="N34" i="21" s="1"/>
  <c r="L109" i="25"/>
  <c r="L117" i="25"/>
  <c r="S100" i="25"/>
  <c r="S117" i="25" s="1"/>
  <c r="N38" i="21" s="1"/>
  <c r="L113" i="25"/>
  <c r="S66" i="25"/>
  <c r="S113" i="25" s="1"/>
  <c r="N36" i="21" s="1"/>
  <c r="L105" i="25"/>
  <c r="S16" i="25"/>
  <c r="S105" i="25" s="1"/>
  <c r="S167" i="15"/>
  <c r="U247" i="24"/>
  <c r="P21" i="21"/>
  <c r="N37" i="21"/>
  <c r="Q37" i="21" s="1"/>
  <c r="R120" i="13"/>
  <c r="R119" i="1"/>
  <c r="E58" i="21"/>
  <c r="E7" i="23" s="1"/>
  <c r="E12" i="23" s="1"/>
  <c r="O39" i="21"/>
  <c r="S120" i="13"/>
  <c r="S116" i="14"/>
  <c r="H27" i="21"/>
  <c r="C6" i="23"/>
  <c r="N8" i="21"/>
  <c r="S119" i="1"/>
  <c r="I20" i="21"/>
  <c r="S168" i="15"/>
  <c r="C46" i="21"/>
  <c r="S102" i="20"/>
  <c r="G37" i="21"/>
  <c r="G14" i="21"/>
  <c r="D46" i="21"/>
  <c r="S103" i="20"/>
  <c r="D8" i="21"/>
  <c r="S119" i="9"/>
  <c r="N20" i="21"/>
  <c r="S247" i="24"/>
  <c r="G12" i="21"/>
  <c r="D20" i="21"/>
  <c r="R128" i="7"/>
  <c r="I8" i="21"/>
  <c r="S119" i="10"/>
  <c r="T117" i="16"/>
  <c r="S119" i="12"/>
  <c r="S124" i="17"/>
  <c r="S124" i="18"/>
  <c r="R124" i="19"/>
  <c r="G10" i="21"/>
  <c r="R168" i="15"/>
  <c r="R119" i="9"/>
  <c r="S117" i="16"/>
  <c r="R119" i="12"/>
  <c r="R118" i="11"/>
  <c r="R124" i="17"/>
  <c r="R124" i="18"/>
  <c r="Q128" i="7"/>
  <c r="R119" i="10"/>
  <c r="S124" i="19"/>
  <c r="D59" i="21" l="1"/>
  <c r="D8" i="23" s="1"/>
  <c r="D32" i="21"/>
  <c r="S120" i="25"/>
  <c r="L120" i="25"/>
  <c r="Q38" i="21"/>
  <c r="D62" i="21"/>
  <c r="D11" i="23" s="1"/>
  <c r="N32" i="21"/>
  <c r="Q32" i="21" s="1"/>
  <c r="S251" i="24"/>
  <c r="P27" i="21"/>
  <c r="F57" i="21"/>
  <c r="Q21" i="21"/>
  <c r="D61" i="21"/>
  <c r="D10" i="23" s="1"/>
  <c r="E63" i="21"/>
  <c r="D60" i="21"/>
  <c r="G60" i="21" s="1"/>
  <c r="Q36" i="21"/>
  <c r="D58" i="21"/>
  <c r="D7" i="23" s="1"/>
  <c r="Q34" i="21"/>
  <c r="L8" i="21"/>
  <c r="L15" i="21" s="1"/>
  <c r="I15" i="21"/>
  <c r="G20" i="21"/>
  <c r="G27" i="21" s="1"/>
  <c r="D27" i="21"/>
  <c r="D39" i="21"/>
  <c r="G32" i="21"/>
  <c r="G39" i="21" s="1"/>
  <c r="Q20" i="21"/>
  <c r="N27" i="21"/>
  <c r="G8" i="21"/>
  <c r="G15" i="21" s="1"/>
  <c r="D15" i="21"/>
  <c r="G46" i="21"/>
  <c r="G51" i="21" s="1"/>
  <c r="D51" i="21"/>
  <c r="C51" i="21"/>
  <c r="C58" i="21"/>
  <c r="L20" i="21"/>
  <c r="L27" i="21" s="1"/>
  <c r="I27" i="21"/>
  <c r="Q8" i="21"/>
  <c r="Q15" i="21" s="1"/>
  <c r="N15" i="21"/>
  <c r="G10" i="23" l="1"/>
  <c r="I10" i="23"/>
  <c r="G7" i="23"/>
  <c r="I7" i="23"/>
  <c r="G11" i="23"/>
  <c r="I11" i="23"/>
  <c r="G8" i="23"/>
  <c r="I8" i="23"/>
  <c r="G59" i="21"/>
  <c r="D9" i="23"/>
  <c r="N39" i="21"/>
  <c r="Q39" i="21" s="1"/>
  <c r="D56" i="21"/>
  <c r="D5" i="23" s="1"/>
  <c r="I5" i="23" s="1"/>
  <c r="G62" i="21"/>
  <c r="G61" i="21"/>
  <c r="Q27" i="21"/>
  <c r="F6" i="23"/>
  <c r="G57" i="21"/>
  <c r="F63" i="21"/>
  <c r="G58" i="21"/>
  <c r="C7" i="23"/>
  <c r="C12" i="23" s="1"/>
  <c r="J12" i="23" s="1"/>
  <c r="C63" i="21"/>
  <c r="G9" i="23" l="1"/>
  <c r="I9" i="23"/>
  <c r="D63" i="21"/>
  <c r="G56" i="21"/>
  <c r="G63" i="21" s="1"/>
  <c r="F12" i="23"/>
  <c r="G6" i="23"/>
  <c r="G5" i="23"/>
  <c r="D12" i="23"/>
  <c r="I12" i="23" s="1"/>
  <c r="G12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</author>
  </authors>
  <commentList>
    <comment ref="B58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Why 1119 sites with microbalances but only 114 clean rooms?</t>
        </r>
      </text>
    </comment>
    <comment ref="B65" authorId="0" shapeId="0" xr:uid="{00000000-0006-0000-0800-000002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Are there 538 or 577 continuous samplers? We're installing 538, but visiting 577 of them.</t>
        </r>
      </text>
    </comment>
    <comment ref="B113" authorId="0" shapeId="0" xr:uid="{00000000-0006-0000-0800-000003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22" authorId="0" shapeId="0" xr:uid="{00000000-0006-0000-0800-000004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31" authorId="0" shapeId="0" xr:uid="{00000000-0006-0000-0800-000005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40" authorId="0" shapeId="0" xr:uid="{00000000-0006-0000-0800-000006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54" authorId="0" shapeId="0" xr:uid="{00000000-0006-0000-0800-000007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Question on number of continuous analyzers.</t>
        </r>
      </text>
    </comment>
    <comment ref="B159" authorId="0" shapeId="0" xr:uid="{00000000-0006-0000-0800-000008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68" authorId="0" shapeId="0" xr:uid="{00000000-0006-0000-0800-000009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77" authorId="0" shapeId="0" xr:uid="{00000000-0006-0000-0800-00000A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86" authorId="0" shapeId="0" xr:uid="{00000000-0006-0000-0800-00000B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</author>
  </authors>
  <commentList>
    <comment ref="B74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Where is the capital cost for Audit/Calibration kits (in report, not in ss)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</author>
  </authors>
  <commentList>
    <comment ref="B31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</author>
  </authors>
  <commentList>
    <comment ref="B31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</author>
  </authors>
  <commentList>
    <comment ref="B31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sharedStrings.xml><?xml version="1.0" encoding="utf-8"?>
<sst xmlns="http://schemas.openxmlformats.org/spreadsheetml/2006/main" count="10407" uniqueCount="389">
  <si>
    <t>Data Entry for</t>
  </si>
  <si>
    <t>NO2</t>
  </si>
  <si>
    <t>Overall Comment</t>
  </si>
  <si>
    <t>Element 1 - Network Design</t>
  </si>
  <si>
    <t>Hours per site</t>
  </si>
  <si>
    <t>Year 1</t>
  </si>
  <si>
    <t>Comment</t>
  </si>
  <si>
    <t>b) Site Selection (Reporting Organization)</t>
  </si>
  <si>
    <t>Cost per site</t>
  </si>
  <si>
    <t>Inflation Adjustment for</t>
  </si>
  <si>
    <t>Year 2</t>
  </si>
  <si>
    <t>Year 3</t>
  </si>
  <si>
    <t>NA</t>
  </si>
  <si>
    <t>Total</t>
  </si>
  <si>
    <t>Analyzers</t>
  </si>
  <si>
    <t>Spare Analyzers</t>
  </si>
  <si>
    <t>Element 2 - Site Installation</t>
  </si>
  <si>
    <t>Labor</t>
  </si>
  <si>
    <t>Supplies</t>
  </si>
  <si>
    <t>Spare parts/supplies</t>
  </si>
  <si>
    <t>Coordination/implementation</t>
  </si>
  <si>
    <t>Planning/coordination</t>
  </si>
  <si>
    <t>Element 3 - Supplies and Site Visits</t>
  </si>
  <si>
    <t>Routine visits</t>
  </si>
  <si>
    <t>Element 4 - Maintenance</t>
  </si>
  <si>
    <t>Remedial Repairs</t>
  </si>
  <si>
    <t>Element 5 - Data Management</t>
  </si>
  <si>
    <t>Data aquisition/processing</t>
  </si>
  <si>
    <t>Element 6 - Quality Assurance</t>
  </si>
  <si>
    <t>QA Plan review (annual)</t>
  </si>
  <si>
    <t>Element 7 - Supervision</t>
  </si>
  <si>
    <t>Updated on</t>
  </si>
  <si>
    <t>Professional/Technical Level</t>
  </si>
  <si>
    <t>Overhead Multiplier</t>
  </si>
  <si>
    <t>Labor Rate ($/hr)</t>
  </si>
  <si>
    <t>Loaded Labor Rate ($/hr)</t>
  </si>
  <si>
    <t>Labor rates based on year</t>
  </si>
  <si>
    <t>Junior Technician (TEC1)</t>
  </si>
  <si>
    <t>Senior Technician (TEC2)</t>
  </si>
  <si>
    <t>Junior Professional (PRO1)</t>
  </si>
  <si>
    <t>Mid-level Professional (PRO2)</t>
  </si>
  <si>
    <t>Staff Professional (PRO3)</t>
  </si>
  <si>
    <t>Senior Professional (PRO4)</t>
  </si>
  <si>
    <t>Labor Rates</t>
  </si>
  <si>
    <t>a) Network Design (by Reporting Organization)</t>
  </si>
  <si>
    <t>TEC1</t>
  </si>
  <si>
    <t>TEC2</t>
  </si>
  <si>
    <t>PRO1</t>
  </si>
  <si>
    <t>PRO2</t>
  </si>
  <si>
    <t>PRO3</t>
  </si>
  <si>
    <t>PRO4</t>
  </si>
  <si>
    <t>Hours per RO</t>
  </si>
  <si>
    <t>Costs per RO</t>
  </si>
  <si>
    <t>Labor Category</t>
  </si>
  <si>
    <t>Years Amoritized</t>
  </si>
  <si>
    <t>Per RO</t>
  </si>
  <si>
    <t>Adjusted</t>
  </si>
  <si>
    <t>Entire Network</t>
  </si>
  <si>
    <t>Materials</t>
  </si>
  <si>
    <t>Spare Factor</t>
  </si>
  <si>
    <t>Unit cost</t>
  </si>
  <si>
    <t>Per Site</t>
  </si>
  <si>
    <t>Year</t>
  </si>
  <si>
    <t>Hours per reporting organization</t>
  </si>
  <si>
    <t>Cost per reporting organization</t>
  </si>
  <si>
    <t>QA Plan preparation</t>
  </si>
  <si>
    <t>Sub Total - Hours</t>
  </si>
  <si>
    <t>Sub Total - Costs</t>
  </si>
  <si>
    <t>Yearly Cost</t>
  </si>
  <si>
    <t>Sites</t>
  </si>
  <si>
    <t>Spares</t>
  </si>
  <si>
    <t>Report Org</t>
  </si>
  <si>
    <t xml:space="preserve"> Sites</t>
  </si>
  <si>
    <t>General Costs</t>
  </si>
  <si>
    <t>Per Site Total</t>
  </si>
  <si>
    <t>Hours</t>
  </si>
  <si>
    <t>Costs</t>
  </si>
  <si>
    <t>Average Yearly Costs</t>
  </si>
  <si>
    <t>Non Labor O &amp; M</t>
  </si>
  <si>
    <t>Equipment</t>
  </si>
  <si>
    <t>O3</t>
  </si>
  <si>
    <t>4 month</t>
  </si>
  <si>
    <t>7 month</t>
  </si>
  <si>
    <t>5 month</t>
  </si>
  <si>
    <t>6 month</t>
  </si>
  <si>
    <t>8 month</t>
  </si>
  <si>
    <t>9 month</t>
  </si>
  <si>
    <t>12 month</t>
  </si>
  <si>
    <t xml:space="preserve"> Total Sites</t>
  </si>
  <si>
    <t>Total Sites</t>
  </si>
  <si>
    <t>Pollutant</t>
  </si>
  <si>
    <t>Analyzer</t>
  </si>
  <si>
    <t>SO2</t>
  </si>
  <si>
    <t>CO</t>
  </si>
  <si>
    <t>Maintenance</t>
  </si>
  <si>
    <t>Routine Visits</t>
  </si>
  <si>
    <r>
      <t xml:space="preserve">3 - Supplies &amp; site visits         </t>
    </r>
    <r>
      <rPr>
        <sz val="10"/>
        <rFont val="Arial"/>
        <family val="2"/>
      </rPr>
      <t>Hours</t>
    </r>
  </si>
  <si>
    <r>
      <t xml:space="preserve">1 - Network Design               </t>
    </r>
    <r>
      <rPr>
        <sz val="10"/>
        <rFont val="Arial"/>
        <family val="2"/>
      </rPr>
      <t>Hours</t>
    </r>
  </si>
  <si>
    <r>
      <t xml:space="preserve">2 - Site Installation               </t>
    </r>
    <r>
      <rPr>
        <sz val="10"/>
        <rFont val="Arial"/>
        <family val="2"/>
      </rPr>
      <t>Hours</t>
    </r>
  </si>
  <si>
    <r>
      <t xml:space="preserve">4 - Maintenance                    </t>
    </r>
    <r>
      <rPr>
        <sz val="10"/>
        <rFont val="Arial"/>
        <family val="2"/>
      </rPr>
      <t>Hours</t>
    </r>
  </si>
  <si>
    <r>
      <t xml:space="preserve">5 - Data Managment              </t>
    </r>
    <r>
      <rPr>
        <sz val="10"/>
        <rFont val="Arial"/>
        <family val="2"/>
      </rPr>
      <t>Hours</t>
    </r>
  </si>
  <si>
    <r>
      <t xml:space="preserve">6 - Quality Assurance            </t>
    </r>
    <r>
      <rPr>
        <sz val="10"/>
        <rFont val="Arial"/>
        <family val="2"/>
      </rPr>
      <t>Hours</t>
    </r>
  </si>
  <si>
    <r>
      <t xml:space="preserve">7 - Supervision                     </t>
    </r>
    <r>
      <rPr>
        <sz val="10"/>
        <rFont val="Arial"/>
        <family val="2"/>
      </rPr>
      <t>Hours</t>
    </r>
  </si>
  <si>
    <t>Non Labor
 O &amp; M</t>
  </si>
  <si>
    <r>
      <t xml:space="preserve">Supervision/review   </t>
    </r>
    <r>
      <rPr>
        <sz val="10"/>
        <rFont val="Arial"/>
        <family val="2"/>
      </rPr>
      <t>Hours per site</t>
    </r>
  </si>
  <si>
    <t>Cost per RO</t>
  </si>
  <si>
    <t xml:space="preserve">QA Plan preparation </t>
  </si>
  <si>
    <t>Cost</t>
  </si>
  <si>
    <r>
      <t xml:space="preserve">Reporting </t>
    </r>
    <r>
      <rPr>
        <sz val="10"/>
        <rFont val="Arial"/>
        <family val="2"/>
      </rPr>
      <t xml:space="preserve">                 Hours per site</t>
    </r>
  </si>
  <si>
    <r>
      <t>Training</t>
    </r>
    <r>
      <rPr>
        <sz val="10"/>
        <rFont val="Arial"/>
        <family val="2"/>
      </rPr>
      <t xml:space="preserve">                    Hours per site</t>
    </r>
  </si>
  <si>
    <r>
      <t xml:space="preserve">Routine Calibrations </t>
    </r>
    <r>
      <rPr>
        <sz val="10"/>
        <rFont val="Arial"/>
        <family val="2"/>
      </rPr>
      <t>Hours per site</t>
    </r>
  </si>
  <si>
    <r>
      <t>Audits</t>
    </r>
    <r>
      <rPr>
        <sz val="10"/>
        <rFont val="Arial"/>
        <family val="2"/>
      </rPr>
      <t xml:space="preserve">                        Hours per site</t>
    </r>
  </si>
  <si>
    <t>Labor per RO</t>
  </si>
  <si>
    <t>Adjusted per RO</t>
  </si>
  <si>
    <r>
      <t xml:space="preserve">Data reporting </t>
    </r>
    <r>
      <rPr>
        <sz val="10"/>
        <rFont val="Arial"/>
        <family val="2"/>
      </rPr>
      <t xml:space="preserve">          Hours per site</t>
    </r>
  </si>
  <si>
    <r>
      <t xml:space="preserve">Data validation         </t>
    </r>
    <r>
      <rPr>
        <sz val="10"/>
        <rFont val="Arial"/>
        <family val="2"/>
      </rPr>
      <t xml:space="preserve"> Hours per site</t>
    </r>
  </si>
  <si>
    <r>
      <t xml:space="preserve">Data distribution </t>
    </r>
    <r>
      <rPr>
        <sz val="10"/>
        <rFont val="Arial"/>
        <family val="2"/>
      </rPr>
      <t xml:space="preserve">       Hours per site</t>
    </r>
  </si>
  <si>
    <r>
      <t xml:space="preserve">Routine Maint.          </t>
    </r>
    <r>
      <rPr>
        <sz val="10"/>
        <rFont val="Arial"/>
        <family val="2"/>
      </rPr>
      <t>Hours per site</t>
    </r>
  </si>
  <si>
    <r>
      <t>Installation</t>
    </r>
    <r>
      <rPr>
        <sz val="10"/>
        <rFont val="Arial"/>
        <family val="2"/>
      </rPr>
      <t xml:space="preserve">                Hours per site</t>
    </r>
  </si>
  <si>
    <r>
      <t xml:space="preserve">Procurement </t>
    </r>
    <r>
      <rPr>
        <sz val="10"/>
        <rFont val="Arial"/>
        <family val="2"/>
      </rPr>
      <t xml:space="preserve">           Hours per site</t>
    </r>
  </si>
  <si>
    <t>SpareParts/
Supplies</t>
  </si>
  <si>
    <t>Summary by Element</t>
  </si>
  <si>
    <t>Element 1 - Network design</t>
  </si>
  <si>
    <r>
      <t>2 - Site Installation</t>
    </r>
    <r>
      <rPr>
        <sz val="10"/>
        <rFont val="Arial"/>
        <family val="2"/>
      </rPr>
      <t xml:space="preserve">              Hours</t>
    </r>
  </si>
  <si>
    <r>
      <t>4 - Maintenance</t>
    </r>
    <r>
      <rPr>
        <sz val="10"/>
        <rFont val="Arial"/>
        <family val="2"/>
      </rPr>
      <t xml:space="preserve">                   Hours</t>
    </r>
  </si>
  <si>
    <r>
      <t>3 - Supplies and Site Visits</t>
    </r>
    <r>
      <rPr>
        <sz val="10"/>
        <rFont val="Arial"/>
        <family val="2"/>
      </rPr>
      <t xml:space="preserve">  Hours</t>
    </r>
  </si>
  <si>
    <r>
      <t>5 - Data Management</t>
    </r>
    <r>
      <rPr>
        <sz val="10"/>
        <rFont val="Arial"/>
        <family val="2"/>
      </rPr>
      <t xml:space="preserve">          Hours</t>
    </r>
  </si>
  <si>
    <r>
      <t>6 - Quality Assurance</t>
    </r>
    <r>
      <rPr>
        <sz val="10"/>
        <rFont val="Arial"/>
        <family val="2"/>
      </rPr>
      <t xml:space="preserve">           Hours</t>
    </r>
  </si>
  <si>
    <r>
      <t>7 - Supervision</t>
    </r>
    <r>
      <rPr>
        <sz val="10"/>
        <rFont val="Arial"/>
        <family val="2"/>
      </rPr>
      <t xml:space="preserve">                    Hours</t>
    </r>
  </si>
  <si>
    <r>
      <t>1 - Network Design</t>
    </r>
    <r>
      <rPr>
        <sz val="10"/>
        <rFont val="Arial"/>
        <family val="2"/>
      </rPr>
      <t xml:space="preserve">                    Hours</t>
    </r>
  </si>
  <si>
    <r>
      <t>Planning/coordination</t>
    </r>
    <r>
      <rPr>
        <sz val="10"/>
        <rFont val="Arial"/>
        <family val="2"/>
      </rPr>
      <t xml:space="preserve">  Hours per site</t>
    </r>
  </si>
  <si>
    <r>
      <t xml:space="preserve">Supervision/review      </t>
    </r>
    <r>
      <rPr>
        <sz val="10"/>
        <rFont val="Arial"/>
        <family val="2"/>
      </rPr>
      <t xml:space="preserve"> Hours per site</t>
    </r>
  </si>
  <si>
    <r>
      <t>Audits</t>
    </r>
    <r>
      <rPr>
        <sz val="10"/>
        <rFont val="Arial"/>
        <family val="2"/>
      </rPr>
      <t xml:space="preserve">                            Hours per site</t>
    </r>
  </si>
  <si>
    <r>
      <t>Routine Calibrations</t>
    </r>
    <r>
      <rPr>
        <sz val="10"/>
        <rFont val="Arial"/>
        <family val="2"/>
      </rPr>
      <t xml:space="preserve">      Hours per site</t>
    </r>
  </si>
  <si>
    <r>
      <t>Training</t>
    </r>
    <r>
      <rPr>
        <sz val="10"/>
        <rFont val="Arial"/>
        <family val="2"/>
      </rPr>
      <t xml:space="preserve">                         Hours per site</t>
    </r>
  </si>
  <si>
    <r>
      <t>Reporting</t>
    </r>
    <r>
      <rPr>
        <sz val="10"/>
        <rFont val="Arial"/>
        <family val="2"/>
      </rPr>
      <t xml:space="preserve">                       Hours per site</t>
    </r>
  </si>
  <si>
    <r>
      <t>Data distribution</t>
    </r>
    <r>
      <rPr>
        <sz val="10"/>
        <rFont val="Arial"/>
        <family val="2"/>
      </rPr>
      <t xml:space="preserve">            Hours per site</t>
    </r>
  </si>
  <si>
    <r>
      <t>Data validation</t>
    </r>
    <r>
      <rPr>
        <sz val="10"/>
        <rFont val="Arial"/>
        <family val="2"/>
      </rPr>
      <t xml:space="preserve">              Hours per site</t>
    </r>
  </si>
  <si>
    <r>
      <t>Data reporting</t>
    </r>
    <r>
      <rPr>
        <sz val="10"/>
        <rFont val="Arial"/>
        <family val="2"/>
      </rPr>
      <t xml:space="preserve">               Hours per site</t>
    </r>
  </si>
  <si>
    <r>
      <t>Routine Maintenance</t>
    </r>
    <r>
      <rPr>
        <sz val="10"/>
        <rFont val="Arial"/>
        <family val="2"/>
      </rPr>
      <t xml:space="preserve">    Hours per site</t>
    </r>
  </si>
  <si>
    <r>
      <t>Remedial Repairs</t>
    </r>
    <r>
      <rPr>
        <sz val="10"/>
        <rFont val="Arial"/>
        <family val="2"/>
      </rPr>
      <t xml:space="preserve">         Hours per site</t>
    </r>
  </si>
  <si>
    <r>
      <t>Routine visits</t>
    </r>
    <r>
      <rPr>
        <sz val="10"/>
        <rFont val="Arial"/>
        <family val="2"/>
      </rPr>
      <t xml:space="preserve">                Hours per site</t>
    </r>
  </si>
  <si>
    <r>
      <t>Procurement</t>
    </r>
    <r>
      <rPr>
        <sz val="10"/>
        <rFont val="Arial"/>
        <family val="2"/>
      </rPr>
      <t xml:space="preserve">                 Hours per site</t>
    </r>
  </si>
  <si>
    <r>
      <t>Installation</t>
    </r>
    <r>
      <rPr>
        <sz val="10"/>
        <rFont val="Arial"/>
        <family val="2"/>
      </rPr>
      <t xml:space="preserve">                    Hours per site</t>
    </r>
  </si>
  <si>
    <t>Avg Percent Sampled</t>
  </si>
  <si>
    <t>1) Per site operating costs are weighted by the average percent sampling. For example, the operating expenses for a site operated for 6 months per year are assummed to be half that of a site operated for 12 months per year.</t>
  </si>
  <si>
    <t>Element 3 - Supplies and Site Visits (1)</t>
  </si>
  <si>
    <t>Element 4 - Maintenance (1)</t>
  </si>
  <si>
    <t>Element 5 - Data Management (1)</t>
  </si>
  <si>
    <t>Element 6 - Quality Assurance (1)</t>
  </si>
  <si>
    <t>Element 7 - Supervision (1)</t>
  </si>
  <si>
    <t>Pb</t>
  </si>
  <si>
    <t>Other</t>
  </si>
  <si>
    <t>Special Items</t>
  </si>
  <si>
    <t>Filters</t>
  </si>
  <si>
    <t>Element 3 - Sampling and Analysis</t>
  </si>
  <si>
    <r>
      <t xml:space="preserve">3 - Sampling and Analysis    </t>
    </r>
    <r>
      <rPr>
        <sz val="10"/>
        <rFont val="Arial"/>
        <family val="2"/>
      </rPr>
      <t>Hours</t>
    </r>
  </si>
  <si>
    <t>PAMSNOx</t>
  </si>
  <si>
    <t>Element 1 - Network Design (1)</t>
  </si>
  <si>
    <t>1) includes costs for Precursor NOy analyzers only, NO2 analyzers are covered in NO2 network costs (see seperate spreadsheet)</t>
  </si>
  <si>
    <t>Element 2 - Site Installation (1)</t>
  </si>
  <si>
    <t>Precursor NOy</t>
  </si>
  <si>
    <t>Network Design and Site Selection</t>
  </si>
  <si>
    <t>PAMSSurfMet</t>
  </si>
  <si>
    <t>PM10</t>
  </si>
  <si>
    <t>Lab Services</t>
  </si>
  <si>
    <t>Samplers</t>
  </si>
  <si>
    <t xml:space="preserve"> Cont Samplers</t>
  </si>
  <si>
    <t>Continuous Analyzers</t>
  </si>
  <si>
    <t>Continuous Spare Analyzers</t>
  </si>
  <si>
    <t>Item 1</t>
  </si>
  <si>
    <t>Audit Cal Kit</t>
  </si>
  <si>
    <t>Continuous Sampler</t>
  </si>
  <si>
    <t>Item 2</t>
  </si>
  <si>
    <t>Sampling Platform</t>
  </si>
  <si>
    <r>
      <t>b) Cont Sampler</t>
    </r>
    <r>
      <rPr>
        <sz val="10"/>
        <rFont val="Arial"/>
        <family val="2"/>
      </rPr>
      <t xml:space="preserve">       Hours per site</t>
    </r>
  </si>
  <si>
    <r>
      <t>a) Sampler</t>
    </r>
    <r>
      <rPr>
        <sz val="10"/>
        <rFont val="Arial"/>
        <family val="2"/>
      </rPr>
      <t xml:space="preserve">                Hours per site</t>
    </r>
  </si>
  <si>
    <t>Installation</t>
  </si>
  <si>
    <t>Sampling Platforms</t>
  </si>
  <si>
    <t>PAMSUpperAir</t>
  </si>
  <si>
    <t>Network Design and Site Selection (by Reporting Organization)</t>
  </si>
  <si>
    <t>Item 3</t>
  </si>
  <si>
    <t>Item 4</t>
  </si>
  <si>
    <t>Item 5</t>
  </si>
  <si>
    <t>Radar profiler</t>
  </si>
  <si>
    <t>Rawindsondes</t>
  </si>
  <si>
    <t>SODAR</t>
  </si>
  <si>
    <t>LAP/RASS +NEXRAD</t>
  </si>
  <si>
    <t>Computer hardware &amp; software</t>
  </si>
  <si>
    <r>
      <t>Acceptance Testing</t>
    </r>
    <r>
      <rPr>
        <sz val="10"/>
        <rFont val="Arial"/>
        <family val="2"/>
      </rPr>
      <t xml:space="preserve">  Hours per site</t>
    </r>
  </si>
  <si>
    <t>Contractor</t>
  </si>
  <si>
    <t>Routine field service checks</t>
  </si>
  <si>
    <t>Remedial Field Service</t>
  </si>
  <si>
    <t>Data aquisition/processing, etc.</t>
  </si>
  <si>
    <t>PAMSCarbE</t>
  </si>
  <si>
    <t>Element 1 - Network Design (see O3)</t>
  </si>
  <si>
    <t>Carbonyl sample cartridges</t>
  </si>
  <si>
    <t>HPLC/UV with autosampler</t>
  </si>
  <si>
    <t>Equipment (auxiliary)</t>
  </si>
  <si>
    <t>Supplies/reagents</t>
  </si>
  <si>
    <t>Supplies and Other Costs</t>
  </si>
  <si>
    <t>Sample analysis</t>
  </si>
  <si>
    <t>Amoritized</t>
  </si>
  <si>
    <t>Remedial Calibrations</t>
  </si>
  <si>
    <t>Repairs</t>
  </si>
  <si>
    <r>
      <t>Calibrations</t>
    </r>
    <r>
      <rPr>
        <sz val="10"/>
        <rFont val="Arial"/>
        <family val="2"/>
      </rPr>
      <t xml:space="preserve">               Hours per site</t>
    </r>
  </si>
  <si>
    <r>
      <t xml:space="preserve">Audits                        </t>
    </r>
    <r>
      <rPr>
        <sz val="10"/>
        <rFont val="Arial"/>
        <family val="2"/>
      </rPr>
      <t>Hours per site</t>
    </r>
  </si>
  <si>
    <t>Calibration Stds</t>
  </si>
  <si>
    <t>f</t>
  </si>
  <si>
    <t>PAMSCarbD</t>
  </si>
  <si>
    <t>PAMSHalfD</t>
  </si>
  <si>
    <t>Filter-Based</t>
  </si>
  <si>
    <t>1/1 (daily)</t>
  </si>
  <si>
    <t>1/2</t>
  </si>
  <si>
    <t>1/3</t>
  </si>
  <si>
    <t>1/6</t>
  </si>
  <si>
    <t>Analyzer Spare Factor</t>
  </si>
  <si>
    <t>Continuous Sites</t>
  </si>
  <si>
    <t>collocated</t>
  </si>
  <si>
    <t>Supervision/review</t>
  </si>
  <si>
    <r>
      <t xml:space="preserve">Continuous   </t>
    </r>
    <r>
      <rPr>
        <sz val="10"/>
        <rFont val="Arial"/>
        <family val="2"/>
      </rPr>
      <t>Hours per site</t>
    </r>
  </si>
  <si>
    <r>
      <t xml:space="preserve">Filter Based   </t>
    </r>
    <r>
      <rPr>
        <sz val="10"/>
        <rFont val="Arial"/>
        <family val="2"/>
      </rPr>
      <t>Hours per site</t>
    </r>
  </si>
  <si>
    <t>Filter Based   Hours per site</t>
  </si>
  <si>
    <t>Continuous   Hours per site</t>
  </si>
  <si>
    <t>Filter Tape</t>
  </si>
  <si>
    <t>Continuous sites Hours per site</t>
  </si>
  <si>
    <t>1/3 and 1/6 sites  Hours per site</t>
  </si>
  <si>
    <t>1/1 and 1/2 sites  Hours per site</t>
  </si>
  <si>
    <t>Laboratory Service</t>
  </si>
  <si>
    <r>
      <t>Laboratory</t>
    </r>
    <r>
      <rPr>
        <sz val="10"/>
        <rFont val="Arial"/>
        <family val="2"/>
      </rPr>
      <t xml:space="preserve">                Hours per site</t>
    </r>
  </si>
  <si>
    <t>Item 6</t>
  </si>
  <si>
    <t>Audit/Calibration Kits (Continuous)</t>
  </si>
  <si>
    <t>Audit/Calibration Kits (Filter Based)</t>
  </si>
  <si>
    <r>
      <t>Audits</t>
    </r>
    <r>
      <rPr>
        <sz val="10"/>
        <rFont val="Arial"/>
        <family val="2"/>
      </rPr>
      <t xml:space="preserve"> - Filter based    Hours per site</t>
    </r>
  </si>
  <si>
    <r>
      <t>Audits</t>
    </r>
    <r>
      <rPr>
        <sz val="10"/>
        <rFont val="Arial"/>
        <family val="2"/>
      </rPr>
      <t xml:space="preserve"> - Continuous     Hours per site</t>
    </r>
  </si>
  <si>
    <t>a) Network Design (see individual pollutants)</t>
  </si>
  <si>
    <t>b) Site Selection (see individual pollutants)</t>
  </si>
  <si>
    <t>c) Travel other than monitoring sites</t>
  </si>
  <si>
    <t xml:space="preserve">Hours </t>
  </si>
  <si>
    <t>Costs (not linked to hours)</t>
  </si>
  <si>
    <t>d) Saturation studies</t>
  </si>
  <si>
    <t>Base year</t>
  </si>
  <si>
    <t>Small Shelter Sites</t>
  </si>
  <si>
    <t>Large Shelter Sites</t>
  </si>
  <si>
    <t>Other Sites</t>
  </si>
  <si>
    <t>Total Shelter Sites</t>
  </si>
  <si>
    <t>Shelters</t>
  </si>
  <si>
    <t>Generic Network</t>
  </si>
  <si>
    <t>Multigas calibrator</t>
  </si>
  <si>
    <t>Zero air supply</t>
  </si>
  <si>
    <t>Ambient air intake manifold assembly</t>
  </si>
  <si>
    <t>Shelter (large, temp controlled)</t>
  </si>
  <si>
    <t>Shelter (small, temp controlled)</t>
  </si>
  <si>
    <t>Shelter delivery charges</t>
  </si>
  <si>
    <t>Other shelter equipment/accessories</t>
  </si>
  <si>
    <t>Item 7</t>
  </si>
  <si>
    <t>e) Additional indirect cost adj ($2/hour)</t>
  </si>
  <si>
    <t>Site preparation</t>
  </si>
  <si>
    <t>Power drop</t>
  </si>
  <si>
    <t>Item 8</t>
  </si>
  <si>
    <t>Item 9</t>
  </si>
  <si>
    <t>Item 10</t>
  </si>
  <si>
    <t>Land/Lease</t>
  </si>
  <si>
    <t>Rent</t>
  </si>
  <si>
    <t>Analysis and Trends (Rep. Org.)</t>
  </si>
  <si>
    <t>Element 4 - Maintenance - see individual pollutants</t>
  </si>
  <si>
    <t>Element 7 - Supervision - see individual pollutants</t>
  </si>
  <si>
    <t>Item 11</t>
  </si>
  <si>
    <t>Item 12</t>
  </si>
  <si>
    <t>Item 13</t>
  </si>
  <si>
    <t>Miscellaneous equipment</t>
  </si>
  <si>
    <t>QA Orgs</t>
  </si>
  <si>
    <t>Open Path Monitoring</t>
  </si>
  <si>
    <t>Utilities</t>
  </si>
  <si>
    <t>Vehicle</t>
  </si>
  <si>
    <t xml:space="preserve">Subtotal </t>
  </si>
  <si>
    <t>Cost Element</t>
  </si>
  <si>
    <t>Labor Hours</t>
  </si>
  <si>
    <t>Labor Costs</t>
  </si>
  <si>
    <t>Non-labor O &amp; M</t>
  </si>
  <si>
    <t>Equipment Contract</t>
  </si>
  <si>
    <t>Total Cost</t>
  </si>
  <si>
    <t>1. Network Design</t>
  </si>
  <si>
    <t>2. Site Installation</t>
  </si>
  <si>
    <t>3. Sampling &amp; Analysis</t>
  </si>
  <si>
    <t>4.  Maintenance</t>
  </si>
  <si>
    <t>5.  Data Management</t>
  </si>
  <si>
    <t>6. Quality Assurance</t>
  </si>
  <si>
    <t>7.  Supervision</t>
  </si>
  <si>
    <t>Totals</t>
  </si>
  <si>
    <t xml:space="preserve">          Costs included with other pollutants</t>
  </si>
  <si>
    <t>NATTS</t>
  </si>
  <si>
    <t>Analysis (grant to RO)</t>
  </si>
  <si>
    <r>
      <t xml:space="preserve">Reporting </t>
    </r>
    <r>
      <rPr>
        <sz val="10"/>
        <rFont val="Arial"/>
        <family val="2"/>
      </rPr>
      <t>- Filter         Hours per site</t>
    </r>
  </si>
  <si>
    <r>
      <t>Reporting</t>
    </r>
    <r>
      <rPr>
        <sz val="10"/>
        <rFont val="Arial"/>
        <family val="2"/>
      </rPr>
      <t xml:space="preserve"> - Cont         Hours per site</t>
    </r>
  </si>
  <si>
    <r>
      <t>Training</t>
    </r>
    <r>
      <rPr>
        <sz val="10"/>
        <rFont val="Arial"/>
        <family val="2"/>
      </rPr>
      <t xml:space="preserve"> - Filter          Hours per site</t>
    </r>
  </si>
  <si>
    <r>
      <t>Training</t>
    </r>
    <r>
      <rPr>
        <sz val="10"/>
        <rFont val="Arial"/>
        <family val="2"/>
      </rPr>
      <t xml:space="preserve"> - Continuous Hours per site</t>
    </r>
  </si>
  <si>
    <t>Continuous            Hours per site</t>
  </si>
  <si>
    <t>Filter - based          Hours per site</t>
  </si>
  <si>
    <r>
      <t xml:space="preserve">     </t>
    </r>
    <r>
      <rPr>
        <sz val="10"/>
        <rFont val="Arial"/>
        <family val="2"/>
      </rPr>
      <t xml:space="preserve">Continuous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Hours per site</t>
    </r>
  </si>
  <si>
    <r>
      <t>Data reporting</t>
    </r>
    <r>
      <rPr>
        <sz val="10"/>
        <rFont val="Arial"/>
        <family val="2"/>
      </rPr>
      <t xml:space="preserve"> Filter   Hours per site</t>
    </r>
  </si>
  <si>
    <r>
      <t>Data validation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Hours per site</t>
    </r>
  </si>
  <si>
    <r>
      <t>Routine Maint.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</rPr>
      <t>Hours per site</t>
    </r>
  </si>
  <si>
    <t>Filter                     Hours per site</t>
  </si>
  <si>
    <t xml:space="preserve">     Filter Based</t>
  </si>
  <si>
    <t>Spare Parts - Continuous</t>
  </si>
  <si>
    <t>PM25</t>
  </si>
  <si>
    <t>Sampling Schedule</t>
  </si>
  <si>
    <t>Sampler Type</t>
  </si>
  <si>
    <t>seasonal</t>
  </si>
  <si>
    <t>Filter-Based Total</t>
  </si>
  <si>
    <t>sequential</t>
  </si>
  <si>
    <t>single chanel</t>
  </si>
  <si>
    <t>single channel collocated</t>
  </si>
  <si>
    <t>continuous</t>
  </si>
  <si>
    <t>speciation</t>
  </si>
  <si>
    <t>Sequential Sampler</t>
  </si>
  <si>
    <t>Spare Single-channel analyzers</t>
  </si>
  <si>
    <t>Single-channel analyzers</t>
  </si>
  <si>
    <t>Collocated Single-channel analyzers</t>
  </si>
  <si>
    <t>Seasonal Single-channel analyzers</t>
  </si>
  <si>
    <t>Speciation Sampler</t>
  </si>
  <si>
    <t>Data acquisition (laptop/PDA)</t>
  </si>
  <si>
    <r>
      <t xml:space="preserve">a) Single Channel </t>
    </r>
    <r>
      <rPr>
        <sz val="10"/>
        <rFont val="Arial"/>
        <family val="2"/>
      </rPr>
      <t xml:space="preserve">      Hours per site</t>
    </r>
  </si>
  <si>
    <r>
      <t xml:space="preserve">b) Sequential            </t>
    </r>
    <r>
      <rPr>
        <sz val="10"/>
        <rFont val="Arial"/>
        <family val="2"/>
      </rPr>
      <t xml:space="preserve">  Hours per site</t>
    </r>
  </si>
  <si>
    <r>
      <t>c) Seasonal</t>
    </r>
    <r>
      <rPr>
        <sz val="10"/>
        <rFont val="Arial"/>
        <family val="2"/>
      </rPr>
      <t xml:space="preserve">                Hours per site</t>
    </r>
  </si>
  <si>
    <r>
      <t>d) Continuous</t>
    </r>
    <r>
      <rPr>
        <sz val="10"/>
        <rFont val="Arial"/>
        <family val="2"/>
      </rPr>
      <t xml:space="preserve">             Hours per site</t>
    </r>
  </si>
  <si>
    <r>
      <t xml:space="preserve">e) Speciation       </t>
    </r>
    <r>
      <rPr>
        <sz val="10"/>
        <rFont val="Arial"/>
        <family val="2"/>
      </rPr>
      <t xml:space="preserve">       Hours per site</t>
    </r>
  </si>
  <si>
    <t>Speciation sampling national contract</t>
  </si>
  <si>
    <t>1/1, 1/3, and 1/6 sites  Hours per site</t>
  </si>
  <si>
    <t>Speciation          Hours per site</t>
  </si>
  <si>
    <t>Seasonal sites    Hours per site</t>
  </si>
  <si>
    <t>Microbalance</t>
  </si>
  <si>
    <t>Clean Room for Weighing</t>
  </si>
  <si>
    <r>
      <t>Laboratory</t>
    </r>
    <r>
      <rPr>
        <sz val="10"/>
        <rFont val="Arial"/>
        <family val="2"/>
      </rPr>
      <t xml:space="preserve">                  Hours per site</t>
    </r>
  </si>
  <si>
    <t>Speciation             Hours per site</t>
  </si>
  <si>
    <t>Monitoring</t>
  </si>
  <si>
    <t>Platforms</t>
  </si>
  <si>
    <t>Single Channel   Hours per site</t>
  </si>
  <si>
    <t>Sequential         Hours per site</t>
  </si>
  <si>
    <t>Seasonal           Hours per site</t>
  </si>
  <si>
    <t>Speciation         Hours per site</t>
  </si>
  <si>
    <t>Continuous         Hours per site</t>
  </si>
  <si>
    <t>Sequential        Hours per site</t>
  </si>
  <si>
    <t>Single Channel  Hours per site</t>
  </si>
  <si>
    <t>Seasonal          Hours per site</t>
  </si>
  <si>
    <t>Continuous        Hours per site</t>
  </si>
  <si>
    <t>Filter-based calibration kit</t>
  </si>
  <si>
    <t>Continuous calibration kit</t>
  </si>
  <si>
    <t>Audits</t>
  </si>
  <si>
    <t xml:space="preserve">     Sequential              Hours per site</t>
  </si>
  <si>
    <t xml:space="preserve">     Single-channel         Hours per site</t>
  </si>
  <si>
    <t xml:space="preserve">     Continuous             Hours per site</t>
  </si>
  <si>
    <t xml:space="preserve">     Seasonal                Hours per site</t>
  </si>
  <si>
    <t>Reporting</t>
  </si>
  <si>
    <t>Implementation/coordination</t>
  </si>
  <si>
    <t>Training</t>
  </si>
  <si>
    <t>Data Reporting</t>
  </si>
  <si>
    <t>Data Validation</t>
  </si>
  <si>
    <t>Data Distribution</t>
  </si>
  <si>
    <t>Sequential</t>
  </si>
  <si>
    <t>Single channel</t>
  </si>
  <si>
    <t>Seasonal</t>
  </si>
  <si>
    <t>Continuous</t>
  </si>
  <si>
    <t>Speciation</t>
  </si>
  <si>
    <t>Sequential             Hours per site</t>
  </si>
  <si>
    <t>Single channel       Hours per site</t>
  </si>
  <si>
    <t>Seasonal              Hours per site</t>
  </si>
  <si>
    <t>PAMSNMOC</t>
  </si>
  <si>
    <t>PAMSVOC</t>
  </si>
  <si>
    <t>Gas cleaning system</t>
  </si>
  <si>
    <t xml:space="preserve"> Auto GC Sites</t>
  </si>
  <si>
    <t>Canister Sites</t>
  </si>
  <si>
    <t>Canister sampling system</t>
  </si>
  <si>
    <t>Year 1 = 2013</t>
  </si>
  <si>
    <t>Routine Maintenance</t>
  </si>
  <si>
    <t>Table 1.  Grand Total Average 2019-2021 Renewal for Labor Hours &amp; Costs</t>
  </si>
  <si>
    <t>Average 2019-2021 SO2</t>
  </si>
  <si>
    <t>Average 2019-2021 CO</t>
  </si>
  <si>
    <t>Average 2019-2021 NO2</t>
  </si>
  <si>
    <t>Average 2019-2021 O3</t>
  </si>
  <si>
    <t>Average 2019-2021 PM 10</t>
  </si>
  <si>
    <t>Average 2019-2021 PM 2.5</t>
  </si>
  <si>
    <t>Average 2019-2021 Pb</t>
  </si>
  <si>
    <t>Average 2019-2021 NATTS</t>
  </si>
  <si>
    <t>Average 2019-2021 PAMS</t>
  </si>
  <si>
    <t>Average 2019-2021 General Network</t>
  </si>
  <si>
    <t>Grand Total Average 2019-2021</t>
  </si>
  <si>
    <t>Cielometer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</si>
</sst>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2" formatCode="_(&quot;$&quot;* #,##0_);_(&quot;$&quot;* \(#,##0\);_(&quot;$&quot;* &quot;-&quot;_);_(@_)"/>
    <numFmt numFmtId="164" formatCode="&quot;$&quot;#,##0.00"/>
    <numFmt numFmtId="165" formatCode="&quot;$&quot;#,##0"/>
    <numFmt numFmtId="166" formatCode="[$$-409]#,##0"/>
    <numFmt numFmtId="167" formatCode="[$-409]mmmm\ d\,\ yyyy;@"/>
    <numFmt numFmtId="168" formatCode="0.000"/>
    <numFmt numFmtId="169" formatCode="0.0%"/>
    <numFmt numFmtId="170" formatCode="0.0"/>
    <numFmt numFmtId="171" formatCode="#,##0.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6"/>
      <name val="Arial"/>
      <family val="2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A5A5A5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2" fillId="10" borderId="149" applyNumberFormat="0" applyAlignment="0" applyProtection="0"/>
  </cellStyleXfs>
  <cellXfs count="1470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3" fillId="0" borderId="6" xfId="0" applyFont="1" applyBorder="1"/>
    <xf numFmtId="0" fontId="3" fillId="0" borderId="7" xfId="0" applyFont="1" applyBorder="1" applyAlignment="1">
      <alignment horizontal="center" wrapText="1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164" fontId="0" fillId="0" borderId="9" xfId="0" applyNumberFormat="1" applyBorder="1"/>
    <xf numFmtId="0" fontId="3" fillId="0" borderId="10" xfId="0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2" xfId="0" applyBorder="1"/>
    <xf numFmtId="0" fontId="3" fillId="0" borderId="1" xfId="0" applyFont="1" applyBorder="1"/>
    <xf numFmtId="165" fontId="0" fillId="0" borderId="1" xfId="0" applyNumberFormat="1" applyBorder="1"/>
    <xf numFmtId="0" fontId="0" fillId="2" borderId="13" xfId="0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3" fontId="0" fillId="0" borderId="12" xfId="0" applyNumberForma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5" xfId="0" applyBorder="1" applyAlignment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6" xfId="0" applyBorder="1"/>
    <xf numFmtId="0" fontId="3" fillId="0" borderId="11" xfId="0" applyFont="1" applyFill="1" applyBorder="1" applyAlignment="1">
      <alignment horizontal="center"/>
    </xf>
    <xf numFmtId="165" fontId="5" fillId="0" borderId="17" xfId="0" applyNumberFormat="1" applyFont="1" applyBorder="1"/>
    <xf numFmtId="3" fontId="0" fillId="0" borderId="18" xfId="0" applyNumberFormat="1" applyFill="1" applyBorder="1" applyAlignment="1" applyProtection="1">
      <alignment horizontal="center"/>
    </xf>
    <xf numFmtId="0" fontId="0" fillId="0" borderId="19" xfId="0" applyBorder="1"/>
    <xf numFmtId="1" fontId="0" fillId="0" borderId="12" xfId="0" applyNumberFormat="1" applyFill="1" applyBorder="1" applyAlignment="1" applyProtection="1">
      <alignment horizontal="center"/>
    </xf>
    <xf numFmtId="0" fontId="0" fillId="0" borderId="20" xfId="0" applyBorder="1"/>
    <xf numFmtId="3" fontId="0" fillId="0" borderId="21" xfId="0" applyNumberFormat="1" applyFill="1" applyBorder="1" applyAlignment="1" applyProtection="1">
      <alignment horizontal="center"/>
    </xf>
    <xf numFmtId="0" fontId="3" fillId="0" borderId="11" xfId="0" applyFont="1" applyBorder="1" applyAlignment="1">
      <alignment horizontal="center"/>
    </xf>
    <xf numFmtId="0" fontId="0" fillId="0" borderId="18" xfId="0" applyFill="1" applyBorder="1" applyAlignment="1" applyProtection="1">
      <alignment horizontal="center"/>
    </xf>
    <xf numFmtId="0" fontId="3" fillId="0" borderId="22" xfId="0" applyFont="1" applyBorder="1" applyAlignment="1">
      <alignment horizontal="center"/>
    </xf>
    <xf numFmtId="0" fontId="5" fillId="0" borderId="22" xfId="0" applyFont="1" applyBorder="1"/>
    <xf numFmtId="3" fontId="0" fillId="0" borderId="23" xfId="0" applyNumberFormat="1" applyFill="1" applyBorder="1" applyAlignment="1" applyProtection="1">
      <alignment horizontal="center"/>
    </xf>
    <xf numFmtId="10" fontId="0" fillId="2" borderId="11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</xf>
    <xf numFmtId="0" fontId="5" fillId="0" borderId="11" xfId="0" applyFont="1" applyBorder="1"/>
    <xf numFmtId="1" fontId="0" fillId="0" borderId="18" xfId="0" applyNumberFormat="1" applyFill="1" applyBorder="1" applyAlignment="1" applyProtection="1">
      <alignment horizontal="center"/>
    </xf>
    <xf numFmtId="0" fontId="0" fillId="0" borderId="24" xfId="0" applyBorder="1"/>
    <xf numFmtId="0" fontId="4" fillId="0" borderId="25" xfId="0" applyFont="1" applyFill="1" applyBorder="1"/>
    <xf numFmtId="0" fontId="0" fillId="0" borderId="26" xfId="0" applyBorder="1"/>
    <xf numFmtId="0" fontId="3" fillId="0" borderId="2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" fontId="0" fillId="0" borderId="11" xfId="0" applyNumberFormat="1" applyFill="1" applyBorder="1"/>
    <xf numFmtId="0" fontId="0" fillId="0" borderId="1" xfId="0" applyFill="1" applyBorder="1"/>
    <xf numFmtId="0" fontId="5" fillId="0" borderId="21" xfId="0" applyFont="1" applyFill="1" applyBorder="1" applyAlignment="1">
      <alignment horizontal="center"/>
    </xf>
    <xf numFmtId="1" fontId="0" fillId="0" borderId="18" xfId="0" applyNumberFormat="1" applyFill="1" applyBorder="1"/>
    <xf numFmtId="165" fontId="5" fillId="0" borderId="15" xfId="0" applyNumberFormat="1" applyFont="1" applyFill="1" applyBorder="1"/>
    <xf numFmtId="165" fontId="5" fillId="0" borderId="17" xfId="0" applyNumberFormat="1" applyFont="1" applyFill="1" applyBorder="1"/>
    <xf numFmtId="0" fontId="0" fillId="0" borderId="20" xfId="0" applyFill="1" applyBorder="1"/>
    <xf numFmtId="0" fontId="0" fillId="0" borderId="11" xfId="0" applyBorder="1"/>
    <xf numFmtId="0" fontId="0" fillId="0" borderId="16" xfId="0" applyFill="1" applyBorder="1"/>
    <xf numFmtId="3" fontId="0" fillId="0" borderId="11" xfId="0" applyNumberFormat="1" applyFill="1" applyBorder="1"/>
    <xf numFmtId="3" fontId="0" fillId="0" borderId="1" xfId="0" applyNumberFormat="1" applyFill="1" applyBorder="1"/>
    <xf numFmtId="0" fontId="0" fillId="2" borderId="12" xfId="0" applyFill="1" applyBorder="1"/>
    <xf numFmtId="0" fontId="0" fillId="0" borderId="26" xfId="0" applyBorder="1" applyAlignment="1">
      <alignment horizontal="center"/>
    </xf>
    <xf numFmtId="0" fontId="0" fillId="0" borderId="28" xfId="0" applyBorder="1"/>
    <xf numFmtId="0" fontId="0" fillId="0" borderId="23" xfId="0" applyBorder="1"/>
    <xf numFmtId="0" fontId="0" fillId="0" borderId="9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3" fillId="0" borderId="14" xfId="0" applyFont="1" applyFill="1" applyBorder="1" applyAlignment="1">
      <alignment horizontal="center"/>
    </xf>
    <xf numFmtId="165" fontId="0" fillId="0" borderId="14" xfId="0" applyNumberFormat="1" applyBorder="1"/>
    <xf numFmtId="0" fontId="4" fillId="0" borderId="2" xfId="0" applyFont="1" applyBorder="1"/>
    <xf numFmtId="0" fontId="4" fillId="0" borderId="0" xfId="0" applyFont="1" applyBorder="1"/>
    <xf numFmtId="0" fontId="4" fillId="0" borderId="29" xfId="0" applyFont="1" applyFill="1" applyBorder="1"/>
    <xf numFmtId="3" fontId="5" fillId="0" borderId="12" xfId="0" applyNumberFormat="1" applyFont="1" applyFill="1" applyBorder="1"/>
    <xf numFmtId="0" fontId="0" fillId="0" borderId="19" xfId="0" applyFill="1" applyBorder="1"/>
    <xf numFmtId="165" fontId="5" fillId="0" borderId="30" xfId="0" applyNumberFormat="1" applyFont="1" applyFill="1" applyBorder="1"/>
    <xf numFmtId="165" fontId="5" fillId="0" borderId="21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 applyProtection="1">
      <alignment horizontal="right"/>
    </xf>
    <xf numFmtId="0" fontId="0" fillId="0" borderId="2" xfId="0" applyFill="1" applyBorder="1"/>
    <xf numFmtId="0" fontId="4" fillId="0" borderId="6" xfId="0" applyFont="1" applyFill="1" applyBorder="1"/>
    <xf numFmtId="3" fontId="0" fillId="0" borderId="1" xfId="0" applyNumberFormat="1" applyFill="1" applyBorder="1" applyAlignment="1">
      <alignment horizontal="right"/>
    </xf>
    <xf numFmtId="3" fontId="5" fillId="0" borderId="18" xfId="0" applyNumberFormat="1" applyFont="1" applyFill="1" applyBorder="1"/>
    <xf numFmtId="165" fontId="5" fillId="0" borderId="31" xfId="0" applyNumberFormat="1" applyFont="1" applyFill="1" applyBorder="1"/>
    <xf numFmtId="0" fontId="5" fillId="0" borderId="32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165" fontId="0" fillId="0" borderId="17" xfId="0" applyNumberFormat="1" applyFill="1" applyBorder="1"/>
    <xf numFmtId="3" fontId="5" fillId="0" borderId="33" xfId="0" applyNumberFormat="1" applyFont="1" applyFill="1" applyBorder="1"/>
    <xf numFmtId="3" fontId="0" fillId="0" borderId="18" xfId="0" applyNumberFormat="1" applyFill="1" applyBorder="1" applyAlignment="1" applyProtection="1">
      <alignment horizontal="right"/>
    </xf>
    <xf numFmtId="165" fontId="0" fillId="0" borderId="34" xfId="0" applyNumberFormat="1" applyFill="1" applyBorder="1"/>
    <xf numFmtId="3" fontId="0" fillId="0" borderId="33" xfId="0" applyNumberFormat="1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3" fontId="0" fillId="0" borderId="1" xfId="0" applyNumberFormat="1" applyBorder="1"/>
    <xf numFmtId="3" fontId="0" fillId="0" borderId="11" xfId="0" applyNumberFormat="1" applyBorder="1"/>
    <xf numFmtId="3" fontId="0" fillId="0" borderId="14" xfId="0" applyNumberFormat="1" applyBorder="1" applyAlignment="1">
      <alignment horizontal="center"/>
    </xf>
    <xf numFmtId="165" fontId="0" fillId="0" borderId="15" xfId="0" applyNumberFormat="1" applyBorder="1"/>
    <xf numFmtId="165" fontId="0" fillId="0" borderId="17" xfId="0" applyNumberFormat="1" applyBorder="1"/>
    <xf numFmtId="0" fontId="0" fillId="0" borderId="11" xfId="0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Border="1"/>
    <xf numFmtId="1" fontId="0" fillId="0" borderId="11" xfId="0" applyNumberFormat="1" applyBorder="1"/>
    <xf numFmtId="165" fontId="0" fillId="0" borderId="30" xfId="0" applyNumberFormat="1" applyBorder="1"/>
    <xf numFmtId="0" fontId="3" fillId="0" borderId="35" xfId="0" applyFont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4" fillId="0" borderId="36" xfId="0" applyFont="1" applyFill="1" applyBorder="1"/>
    <xf numFmtId="3" fontId="0" fillId="0" borderId="1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0" fillId="0" borderId="8" xfId="0" applyNumberFormat="1" applyBorder="1"/>
    <xf numFmtId="0" fontId="0" fillId="0" borderId="35" xfId="0" applyBorder="1"/>
    <xf numFmtId="0" fontId="3" fillId="0" borderId="37" xfId="0" applyFont="1" applyFill="1" applyBorder="1" applyAlignment="1">
      <alignment horizontal="center"/>
    </xf>
    <xf numFmtId="0" fontId="0" fillId="0" borderId="38" xfId="0" applyFill="1" applyBorder="1"/>
    <xf numFmtId="0" fontId="3" fillId="0" borderId="35" xfId="0" applyFont="1" applyFill="1" applyBorder="1" applyAlignment="1">
      <alignment horizontal="center"/>
    </xf>
    <xf numFmtId="0" fontId="3" fillId="0" borderId="8" xfId="0" applyFont="1" applyFill="1" applyBorder="1" applyAlignment="1"/>
    <xf numFmtId="3" fontId="0" fillId="0" borderId="8" xfId="0" applyNumberFormat="1" applyBorder="1" applyAlignment="1">
      <alignment horizontal="center"/>
    </xf>
    <xf numFmtId="165" fontId="0" fillId="0" borderId="39" xfId="0" applyNumberFormat="1" applyBorder="1"/>
    <xf numFmtId="3" fontId="0" fillId="0" borderId="37" xfId="0" applyNumberFormat="1" applyBorder="1"/>
    <xf numFmtId="0" fontId="0" fillId="0" borderId="40" xfId="0" applyBorder="1"/>
    <xf numFmtId="0" fontId="3" fillId="0" borderId="35" xfId="0" applyFont="1" applyFill="1" applyBorder="1" applyAlignment="1"/>
    <xf numFmtId="165" fontId="0" fillId="3" borderId="39" xfId="0" applyNumberFormat="1" applyFill="1" applyBorder="1"/>
    <xf numFmtId="0" fontId="0" fillId="0" borderId="41" xfId="0" applyBorder="1"/>
    <xf numFmtId="3" fontId="0" fillId="0" borderId="3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42" xfId="0" applyBorder="1"/>
    <xf numFmtId="165" fontId="0" fillId="0" borderId="43" xfId="0" applyNumberFormat="1" applyBorder="1"/>
    <xf numFmtId="3" fontId="0" fillId="0" borderId="43" xfId="0" applyNumberFormat="1" applyBorder="1" applyAlignment="1">
      <alignment horizontal="center"/>
    </xf>
    <xf numFmtId="0" fontId="0" fillId="0" borderId="44" xfId="0" applyBorder="1"/>
    <xf numFmtId="3" fontId="0" fillId="0" borderId="45" xfId="0" applyNumberForma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46" xfId="0" applyBorder="1"/>
    <xf numFmtId="0" fontId="3" fillId="0" borderId="1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32" xfId="0" applyNumberFormat="1" applyBorder="1"/>
    <xf numFmtId="3" fontId="0" fillId="3" borderId="8" xfId="0" applyNumberFormat="1" applyFill="1" applyBorder="1"/>
    <xf numFmtId="0" fontId="0" fillId="0" borderId="48" xfId="0" applyBorder="1"/>
    <xf numFmtId="5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3" fillId="0" borderId="16" xfId="0" applyFont="1" applyBorder="1" applyAlignment="1">
      <alignment vertical="top"/>
    </xf>
    <xf numFmtId="0" fontId="3" fillId="0" borderId="28" xfId="0" applyFont="1" applyBorder="1" applyAlignment="1">
      <alignment horizontal="center"/>
    </xf>
    <xf numFmtId="0" fontId="0" fillId="0" borderId="34" xfId="0" applyFill="1" applyBorder="1" applyAlignment="1">
      <alignment horizontal="right"/>
    </xf>
    <xf numFmtId="0" fontId="0" fillId="0" borderId="33" xfId="0" applyFill="1" applyBorder="1" applyAlignment="1">
      <alignment horizontal="right"/>
    </xf>
    <xf numFmtId="1" fontId="0" fillId="2" borderId="34" xfId="0" applyNumberFormat="1" applyFill="1" applyBorder="1" applyProtection="1">
      <protection locked="0"/>
    </xf>
    <xf numFmtId="165" fontId="0" fillId="0" borderId="1" xfId="0" applyNumberFormat="1" applyFill="1" applyBorder="1" applyProtection="1"/>
    <xf numFmtId="1" fontId="3" fillId="0" borderId="33" xfId="0" applyNumberFormat="1" applyFont="1" applyFill="1" applyBorder="1" applyProtection="1"/>
    <xf numFmtId="0" fontId="0" fillId="0" borderId="23" xfId="0" applyFill="1" applyBorder="1" applyAlignment="1">
      <alignment horizontal="right"/>
    </xf>
    <xf numFmtId="0" fontId="5" fillId="0" borderId="0" xfId="0" applyFont="1"/>
    <xf numFmtId="0" fontId="5" fillId="2" borderId="1" xfId="0" applyFont="1" applyFill="1" applyBorder="1" applyProtection="1">
      <protection locked="0"/>
    </xf>
    <xf numFmtId="165" fontId="5" fillId="2" borderId="1" xfId="0" applyNumberFormat="1" applyFont="1" applyFill="1" applyBorder="1" applyProtection="1">
      <protection locked="0"/>
    </xf>
    <xf numFmtId="1" fontId="3" fillId="0" borderId="11" xfId="0" applyNumberFormat="1" applyFont="1" applyFill="1" applyBorder="1" applyProtection="1"/>
    <xf numFmtId="0" fontId="3" fillId="0" borderId="37" xfId="0" applyFont="1" applyFill="1" applyBorder="1" applyAlignment="1"/>
    <xf numFmtId="165" fontId="0" fillId="0" borderId="39" xfId="0" applyNumberFormat="1" applyFill="1" applyBorder="1"/>
    <xf numFmtId="165" fontId="0" fillId="0" borderId="8" xfId="0" applyNumberFormat="1" applyFill="1" applyBorder="1"/>
    <xf numFmtId="3" fontId="0" fillId="0" borderId="8" xfId="0" applyNumberFormat="1" applyFill="1" applyBorder="1"/>
    <xf numFmtId="3" fontId="0" fillId="3" borderId="11" xfId="0" applyNumberFormat="1" applyFill="1" applyBorder="1"/>
    <xf numFmtId="3" fontId="0" fillId="3" borderId="37" xfId="0" applyNumberFormat="1" applyFill="1" applyBorder="1"/>
    <xf numFmtId="3" fontId="0" fillId="3" borderId="32" xfId="0" applyNumberFormat="1" applyFill="1" applyBorder="1"/>
    <xf numFmtId="0" fontId="0" fillId="0" borderId="49" xfId="0" applyFill="1" applyBorder="1"/>
    <xf numFmtId="0" fontId="3" fillId="0" borderId="23" xfId="0" applyFont="1" applyFill="1" applyBorder="1" applyAlignment="1">
      <alignment horizontal="center"/>
    </xf>
    <xf numFmtId="0" fontId="0" fillId="0" borderId="7" xfId="0" applyFill="1" applyBorder="1" applyAlignment="1" applyProtection="1">
      <alignment horizontal="left"/>
    </xf>
    <xf numFmtId="0" fontId="0" fillId="0" borderId="23" xfId="0" applyFill="1" applyBorder="1"/>
    <xf numFmtId="0" fontId="4" fillId="0" borderId="0" xfId="0" applyFont="1" applyFill="1" applyBorder="1"/>
    <xf numFmtId="165" fontId="0" fillId="0" borderId="34" xfId="0" applyNumberFormat="1" applyBorder="1"/>
    <xf numFmtId="0" fontId="3" fillId="0" borderId="21" xfId="0" applyFont="1" applyBorder="1" applyAlignment="1">
      <alignment horizontal="center"/>
    </xf>
    <xf numFmtId="3" fontId="0" fillId="0" borderId="12" xfId="0" applyNumberFormat="1" applyBorder="1"/>
    <xf numFmtId="3" fontId="0" fillId="0" borderId="18" xfId="0" applyNumberFormat="1" applyBorder="1"/>
    <xf numFmtId="3" fontId="0" fillId="0" borderId="21" xfId="0" applyNumberForma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0" fillId="0" borderId="54" xfId="0" applyBorder="1"/>
    <xf numFmtId="0" fontId="3" fillId="0" borderId="53" xfId="0" applyFont="1" applyBorder="1" applyAlignment="1">
      <alignment horizontal="center"/>
    </xf>
    <xf numFmtId="3" fontId="0" fillId="0" borderId="14" xfId="0" applyNumberFormat="1" applyBorder="1"/>
    <xf numFmtId="3" fontId="0" fillId="0" borderId="21" xfId="0" applyNumberFormat="1" applyBorder="1"/>
    <xf numFmtId="0" fontId="0" fillId="0" borderId="21" xfId="0" applyBorder="1"/>
    <xf numFmtId="0" fontId="0" fillId="0" borderId="18" xfId="0" applyBorder="1"/>
    <xf numFmtId="0" fontId="0" fillId="0" borderId="21" xfId="0" applyBorder="1" applyAlignment="1">
      <alignment horizontal="center"/>
    </xf>
    <xf numFmtId="5" fontId="0" fillId="0" borderId="18" xfId="0" applyNumberForma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5" fontId="3" fillId="0" borderId="30" xfId="0" applyNumberFormat="1" applyFont="1" applyBorder="1"/>
    <xf numFmtId="5" fontId="3" fillId="0" borderId="15" xfId="0" applyNumberFormat="1" applyFont="1" applyBorder="1"/>
    <xf numFmtId="5" fontId="3" fillId="0" borderId="17" xfId="0" applyNumberFormat="1" applyFont="1" applyBorder="1"/>
    <xf numFmtId="5" fontId="3" fillId="0" borderId="17" xfId="0" applyNumberFormat="1" applyFont="1" applyBorder="1" applyAlignment="1">
      <alignment horizontal="center"/>
    </xf>
    <xf numFmtId="165" fontId="3" fillId="0" borderId="30" xfId="0" applyNumberFormat="1" applyFont="1" applyBorder="1"/>
    <xf numFmtId="165" fontId="3" fillId="0" borderId="15" xfId="0" applyNumberFormat="1" applyFont="1" applyBorder="1"/>
    <xf numFmtId="165" fontId="3" fillId="0" borderId="17" xfId="0" applyNumberFormat="1" applyFont="1" applyBorder="1"/>
    <xf numFmtId="165" fontId="3" fillId="0" borderId="17" xfId="0" applyNumberFormat="1" applyFont="1" applyBorder="1" applyAlignment="1">
      <alignment horizontal="center"/>
    </xf>
    <xf numFmtId="165" fontId="3" fillId="0" borderId="39" xfId="0" applyNumberFormat="1" applyFont="1" applyBorder="1"/>
    <xf numFmtId="165" fontId="0" fillId="0" borderId="18" xfId="0" applyNumberFormat="1" applyBorder="1" applyAlignment="1">
      <alignment horizontal="center"/>
    </xf>
    <xf numFmtId="1" fontId="0" fillId="0" borderId="21" xfId="0" applyNumberFormat="1" applyBorder="1"/>
    <xf numFmtId="1" fontId="0" fillId="0" borderId="12" xfId="0" applyNumberFormat="1" applyBorder="1"/>
    <xf numFmtId="1" fontId="0" fillId="0" borderId="18" xfId="0" applyNumberFormat="1" applyBorder="1"/>
    <xf numFmtId="1" fontId="0" fillId="0" borderId="2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56" xfId="0" applyNumberFormat="1" applyFont="1" applyBorder="1"/>
    <xf numFmtId="165" fontId="3" fillId="0" borderId="57" xfId="0" applyNumberFormat="1" applyFont="1" applyBorder="1"/>
    <xf numFmtId="165" fontId="3" fillId="0" borderId="58" xfId="0" applyNumberFormat="1" applyFont="1" applyBorder="1"/>
    <xf numFmtId="165" fontId="3" fillId="0" borderId="59" xfId="0" applyNumberFormat="1" applyFont="1" applyBorder="1" applyAlignment="1">
      <alignment horizontal="center"/>
    </xf>
    <xf numFmtId="3" fontId="3" fillId="0" borderId="59" xfId="0" applyNumberFormat="1" applyFont="1" applyBorder="1" applyAlignment="1">
      <alignment horizontal="center"/>
    </xf>
    <xf numFmtId="0" fontId="0" fillId="0" borderId="35" xfId="0" applyFill="1" applyBorder="1"/>
    <xf numFmtId="0" fontId="0" fillId="0" borderId="60" xfId="0" applyBorder="1"/>
    <xf numFmtId="0" fontId="0" fillId="0" borderId="61" xfId="0" applyBorder="1"/>
    <xf numFmtId="3" fontId="3" fillId="0" borderId="62" xfId="0" applyNumberFormat="1" applyFont="1" applyBorder="1" applyAlignment="1">
      <alignment horizontal="center"/>
    </xf>
    <xf numFmtId="165" fontId="3" fillId="0" borderId="62" xfId="0" applyNumberFormat="1" applyFont="1" applyBorder="1"/>
    <xf numFmtId="3" fontId="0" fillId="0" borderId="63" xfId="0" applyNumberFormat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0" fontId="4" fillId="0" borderId="2" xfId="0" applyFont="1" applyFill="1" applyBorder="1"/>
    <xf numFmtId="0" fontId="6" fillId="0" borderId="66" xfId="0" applyFont="1" applyBorder="1" applyAlignment="1">
      <alignment horizontal="center"/>
    </xf>
    <xf numFmtId="0" fontId="7" fillId="0" borderId="0" xfId="0" applyFont="1"/>
    <xf numFmtId="0" fontId="0" fillId="0" borderId="67" xfId="0" applyBorder="1"/>
    <xf numFmtId="0" fontId="3" fillId="0" borderId="68" xfId="0" applyFont="1" applyBorder="1" applyAlignment="1">
      <alignment horizontal="right"/>
    </xf>
    <xf numFmtId="3" fontId="0" fillId="0" borderId="58" xfId="0" applyNumberFormat="1" applyFill="1" applyBorder="1" applyAlignment="1">
      <alignment horizontal="right"/>
    </xf>
    <xf numFmtId="0" fontId="0" fillId="0" borderId="7" xfId="0" applyBorder="1"/>
    <xf numFmtId="165" fontId="3" fillId="0" borderId="57" xfId="0" applyNumberFormat="1" applyFont="1" applyFill="1" applyBorder="1" applyAlignment="1" applyProtection="1">
      <alignment horizontal="center"/>
    </xf>
    <xf numFmtId="165" fontId="3" fillId="0" borderId="69" xfId="0" applyNumberFormat="1" applyFont="1" applyFill="1" applyBorder="1" applyAlignment="1" applyProtection="1">
      <alignment horizontal="center"/>
    </xf>
    <xf numFmtId="165" fontId="3" fillId="0" borderId="56" xfId="0" applyNumberFormat="1" applyFont="1" applyFill="1" applyBorder="1" applyAlignment="1" applyProtection="1">
      <alignment horizontal="center"/>
    </xf>
    <xf numFmtId="165" fontId="3" fillId="0" borderId="58" xfId="0" applyNumberFormat="1" applyFont="1" applyFill="1" applyBorder="1" applyAlignment="1" applyProtection="1">
      <alignment horizontal="center"/>
    </xf>
    <xf numFmtId="0" fontId="4" fillId="0" borderId="4" xfId="0" applyFont="1" applyFill="1" applyBorder="1"/>
    <xf numFmtId="0" fontId="4" fillId="0" borderId="70" xfId="0" applyFont="1" applyFill="1" applyBorder="1"/>
    <xf numFmtId="0" fontId="0" fillId="0" borderId="71" xfId="0" applyBorder="1"/>
    <xf numFmtId="165" fontId="3" fillId="0" borderId="72" xfId="0" applyNumberFormat="1" applyFont="1" applyFill="1" applyBorder="1" applyAlignment="1" applyProtection="1">
      <alignment horizontal="center"/>
    </xf>
    <xf numFmtId="165" fontId="3" fillId="3" borderId="73" xfId="0" applyNumberFormat="1" applyFont="1" applyFill="1" applyBorder="1"/>
    <xf numFmtId="3" fontId="3" fillId="0" borderId="69" xfId="0" applyNumberFormat="1" applyFont="1" applyBorder="1" applyAlignment="1">
      <alignment horizontal="center"/>
    </xf>
    <xf numFmtId="165" fontId="3" fillId="0" borderId="59" xfId="0" applyNumberFormat="1" applyFont="1" applyFill="1" applyBorder="1"/>
    <xf numFmtId="165" fontId="3" fillId="0" borderId="69" xfId="0" applyNumberFormat="1" applyFont="1" applyBorder="1"/>
    <xf numFmtId="165" fontId="3" fillId="0" borderId="56" xfId="0" applyNumberFormat="1" applyFont="1" applyFill="1" applyBorder="1"/>
    <xf numFmtId="165" fontId="3" fillId="0" borderId="57" xfId="0" applyNumberFormat="1" applyFont="1" applyFill="1" applyBorder="1"/>
    <xf numFmtId="165" fontId="3" fillId="0" borderId="58" xfId="0" applyNumberFormat="1" applyFont="1" applyFill="1" applyBorder="1"/>
    <xf numFmtId="165" fontId="3" fillId="0" borderId="73" xfId="0" applyNumberFormat="1" applyFont="1" applyBorder="1"/>
    <xf numFmtId="1" fontId="3" fillId="0" borderId="57" xfId="0" applyNumberFormat="1" applyFont="1" applyFill="1" applyBorder="1" applyAlignment="1" applyProtection="1">
      <alignment horizontal="center"/>
    </xf>
    <xf numFmtId="165" fontId="3" fillId="0" borderId="73" xfId="0" applyNumberFormat="1" applyFont="1" applyFill="1" applyBorder="1"/>
    <xf numFmtId="3" fontId="3" fillId="0" borderId="58" xfId="0" applyNumberFormat="1" applyFont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" xfId="0" applyFont="1" applyFill="1" applyBorder="1"/>
    <xf numFmtId="1" fontId="5" fillId="4" borderId="11" xfId="0" applyNumberFormat="1" applyFont="1" applyFill="1" applyBorder="1"/>
    <xf numFmtId="0" fontId="5" fillId="4" borderId="0" xfId="0" applyFont="1" applyFill="1" applyBorder="1"/>
    <xf numFmtId="0" fontId="5" fillId="4" borderId="16" xfId="0" applyFont="1" applyFill="1" applyBorder="1"/>
    <xf numFmtId="165" fontId="5" fillId="4" borderId="30" xfId="0" applyNumberFormat="1" applyFont="1" applyFill="1" applyBorder="1"/>
    <xf numFmtId="165" fontId="5" fillId="4" borderId="15" xfId="0" applyNumberFormat="1" applyFont="1" applyFill="1" applyBorder="1"/>
    <xf numFmtId="165" fontId="5" fillId="4" borderId="17" xfId="0" applyNumberFormat="1" applyFont="1" applyFill="1" applyBorder="1"/>
    <xf numFmtId="3" fontId="5" fillId="4" borderId="21" xfId="0" applyNumberFormat="1" applyFont="1" applyFill="1" applyBorder="1" applyAlignment="1" applyProtection="1">
      <alignment horizontal="center"/>
    </xf>
    <xf numFmtId="3" fontId="5" fillId="4" borderId="12" xfId="0" applyNumberFormat="1" applyFont="1" applyFill="1" applyBorder="1" applyAlignment="1" applyProtection="1">
      <alignment horizontal="center"/>
    </xf>
    <xf numFmtId="3" fontId="5" fillId="4" borderId="18" xfId="0" applyNumberFormat="1" applyFont="1" applyFill="1" applyBorder="1" applyAlignment="1" applyProtection="1">
      <alignment horizontal="center"/>
    </xf>
    <xf numFmtId="165" fontId="3" fillId="4" borderId="56" xfId="0" applyNumberFormat="1" applyFont="1" applyFill="1" applyBorder="1" applyAlignment="1" applyProtection="1">
      <alignment horizontal="center"/>
    </xf>
    <xf numFmtId="165" fontId="3" fillId="4" borderId="57" xfId="0" applyNumberFormat="1" applyFont="1" applyFill="1" applyBorder="1" applyAlignment="1" applyProtection="1">
      <alignment horizontal="center"/>
    </xf>
    <xf numFmtId="165" fontId="3" fillId="4" borderId="58" xfId="0" applyNumberFormat="1" applyFont="1" applyFill="1" applyBorder="1" applyAlignment="1" applyProtection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0" fillId="4" borderId="1" xfId="0" applyNumberFormat="1" applyFill="1" applyBorder="1"/>
    <xf numFmtId="165" fontId="0" fillId="4" borderId="11" xfId="0" applyNumberFormat="1" applyFill="1" applyBorder="1"/>
    <xf numFmtId="3" fontId="0" fillId="4" borderId="1" xfId="0" applyNumberFormat="1" applyFill="1" applyBorder="1"/>
    <xf numFmtId="1" fontId="0" fillId="4" borderId="11" xfId="0" applyNumberFormat="1" applyFill="1" applyBorder="1"/>
    <xf numFmtId="0" fontId="0" fillId="4" borderId="1" xfId="0" applyFill="1" applyBorder="1"/>
    <xf numFmtId="3" fontId="0" fillId="4" borderId="21" xfId="0" applyNumberFormat="1" applyFill="1" applyBorder="1" applyAlignment="1" applyProtection="1">
      <alignment horizontal="center"/>
    </xf>
    <xf numFmtId="3" fontId="0" fillId="4" borderId="12" xfId="0" applyNumberFormat="1" applyFill="1" applyBorder="1" applyAlignment="1" applyProtection="1">
      <alignment horizontal="center"/>
    </xf>
    <xf numFmtId="3" fontId="0" fillId="4" borderId="18" xfId="0" applyNumberFormat="1" applyFill="1" applyBorder="1" applyAlignment="1" applyProtection="1">
      <alignment horizontal="center"/>
    </xf>
    <xf numFmtId="165" fontId="3" fillId="4" borderId="72" xfId="0" applyNumberFormat="1" applyFont="1" applyFill="1" applyBorder="1" applyAlignment="1" applyProtection="1">
      <alignment horizontal="center"/>
    </xf>
    <xf numFmtId="0" fontId="0" fillId="0" borderId="74" xfId="0" applyBorder="1"/>
    <xf numFmtId="3" fontId="0" fillId="4" borderId="11" xfId="0" applyNumberFormat="1" applyFill="1" applyBorder="1"/>
    <xf numFmtId="0" fontId="0" fillId="4" borderId="20" xfId="0" applyFill="1" applyBorder="1"/>
    <xf numFmtId="1" fontId="0" fillId="4" borderId="1" xfId="0" applyNumberFormat="1" applyFill="1" applyBorder="1"/>
    <xf numFmtId="165" fontId="5" fillId="4" borderId="39" xfId="0" applyNumberFormat="1" applyFont="1" applyFill="1" applyBorder="1"/>
    <xf numFmtId="0" fontId="5" fillId="4" borderId="21" xfId="0" applyFont="1" applyFill="1" applyBorder="1" applyAlignment="1">
      <alignment horizontal="center"/>
    </xf>
    <xf numFmtId="1" fontId="0" fillId="4" borderId="18" xfId="0" applyNumberFormat="1" applyFill="1" applyBorder="1"/>
    <xf numFmtId="165" fontId="3" fillId="4" borderId="14" xfId="0" applyNumberFormat="1" applyFont="1" applyFill="1" applyBorder="1" applyAlignment="1" applyProtection="1">
      <alignment horizontal="center"/>
    </xf>
    <xf numFmtId="165" fontId="3" fillId="4" borderId="15" xfId="0" applyNumberFormat="1" applyFont="1" applyFill="1" applyBorder="1"/>
    <xf numFmtId="165" fontId="3" fillId="4" borderId="17" xfId="0" applyNumberFormat="1" applyFont="1" applyFill="1" applyBorder="1"/>
    <xf numFmtId="165" fontId="0" fillId="4" borderId="14" xfId="0" applyNumberFormat="1" applyFill="1" applyBorder="1"/>
    <xf numFmtId="0" fontId="5" fillId="4" borderId="1" xfId="0" applyFont="1" applyFill="1" applyBorder="1" applyAlignment="1">
      <alignment horizontal="center"/>
    </xf>
    <xf numFmtId="165" fontId="0" fillId="4" borderId="34" xfId="0" applyNumberFormat="1" applyFill="1" applyBorder="1"/>
    <xf numFmtId="165" fontId="5" fillId="4" borderId="21" xfId="0" applyNumberFormat="1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33" xfId="0" applyNumberFormat="1" applyFont="1" applyFill="1" applyBorder="1"/>
    <xf numFmtId="165" fontId="3" fillId="4" borderId="73" xfId="0" applyNumberFormat="1" applyFont="1" applyFill="1" applyBorder="1"/>
    <xf numFmtId="165" fontId="3" fillId="4" borderId="57" xfId="0" applyNumberFormat="1" applyFont="1" applyFill="1" applyBorder="1"/>
    <xf numFmtId="165" fontId="3" fillId="4" borderId="58" xfId="0" applyNumberFormat="1" applyFont="1" applyFill="1" applyBorder="1"/>
    <xf numFmtId="165" fontId="5" fillId="4" borderId="12" xfId="0" applyNumberFormat="1" applyFont="1" applyFill="1" applyBorder="1" applyAlignment="1">
      <alignment horizontal="center"/>
    </xf>
    <xf numFmtId="165" fontId="0" fillId="4" borderId="17" xfId="0" applyNumberFormat="1" applyFill="1" applyBorder="1"/>
    <xf numFmtId="3" fontId="0" fillId="4" borderId="12" xfId="0" applyNumberFormat="1" applyFill="1" applyBorder="1" applyAlignment="1" applyProtection="1">
      <alignment horizontal="right"/>
    </xf>
    <xf numFmtId="3" fontId="0" fillId="4" borderId="18" xfId="0" applyNumberFormat="1" applyFill="1" applyBorder="1" applyAlignment="1" applyProtection="1">
      <alignment horizontal="right"/>
    </xf>
    <xf numFmtId="165" fontId="3" fillId="4" borderId="56" xfId="0" applyNumberFormat="1" applyFont="1" applyFill="1" applyBorder="1"/>
    <xf numFmtId="3" fontId="0" fillId="4" borderId="33" xfId="0" applyNumberFormat="1" applyFill="1" applyBorder="1" applyAlignment="1" applyProtection="1">
      <alignment horizontal="center"/>
    </xf>
    <xf numFmtId="165" fontId="3" fillId="4" borderId="73" xfId="0" applyNumberFormat="1" applyFont="1" applyFill="1" applyBorder="1" applyAlignment="1" applyProtection="1">
      <alignment horizontal="center"/>
    </xf>
    <xf numFmtId="3" fontId="0" fillId="4" borderId="1" xfId="0" applyNumberFormat="1" applyFill="1" applyBorder="1" applyAlignment="1">
      <alignment horizontal="right"/>
    </xf>
    <xf numFmtId="1" fontId="0" fillId="4" borderId="12" xfId="0" applyNumberFormat="1" applyFill="1" applyBorder="1" applyAlignment="1" applyProtection="1">
      <alignment horizontal="center"/>
    </xf>
    <xf numFmtId="3" fontId="5" fillId="4" borderId="18" xfId="0" applyNumberFormat="1" applyFont="1" applyFill="1" applyBorder="1"/>
    <xf numFmtId="1" fontId="3" fillId="4" borderId="57" xfId="0" applyNumberFormat="1" applyFont="1" applyFill="1" applyBorder="1" applyAlignment="1" applyProtection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28" xfId="0" applyFill="1" applyBorder="1"/>
    <xf numFmtId="0" fontId="0" fillId="4" borderId="12" xfId="0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center"/>
    </xf>
    <xf numFmtId="3" fontId="0" fillId="4" borderId="33" xfId="0" applyNumberFormat="1" applyFill="1" applyBorder="1" applyAlignment="1" applyProtection="1">
      <alignment horizontal="right"/>
    </xf>
    <xf numFmtId="0" fontId="3" fillId="4" borderId="5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3" fontId="0" fillId="4" borderId="12" xfId="0" applyNumberFormat="1" applyFill="1" applyBorder="1"/>
    <xf numFmtId="3" fontId="0" fillId="4" borderId="18" xfId="0" applyNumberFormat="1" applyFill="1" applyBorder="1"/>
    <xf numFmtId="5" fontId="3" fillId="4" borderId="30" xfId="0" applyNumberFormat="1" applyFont="1" applyFill="1" applyBorder="1"/>
    <xf numFmtId="5" fontId="3" fillId="4" borderId="15" xfId="0" applyNumberFormat="1" applyFont="1" applyFill="1" applyBorder="1"/>
    <xf numFmtId="5" fontId="3" fillId="4" borderId="17" xfId="0" applyNumberFormat="1" applyFont="1" applyFill="1" applyBorder="1"/>
    <xf numFmtId="165" fontId="3" fillId="4" borderId="30" xfId="0" applyNumberFormat="1" applyFont="1" applyFill="1" applyBorder="1"/>
    <xf numFmtId="0" fontId="0" fillId="4" borderId="21" xfId="0" applyFill="1" applyBorder="1" applyAlignment="1">
      <alignment horizontal="center"/>
    </xf>
    <xf numFmtId="0" fontId="0" fillId="4" borderId="12" xfId="0" applyFill="1" applyBorder="1"/>
    <xf numFmtId="0" fontId="0" fillId="4" borderId="18" xfId="0" applyFill="1" applyBorder="1"/>
    <xf numFmtId="1" fontId="0" fillId="4" borderId="21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165" fontId="3" fillId="4" borderId="39" xfId="0" applyNumberFormat="1" applyFont="1" applyFill="1" applyBorder="1"/>
    <xf numFmtId="3" fontId="0" fillId="4" borderId="14" xfId="0" applyNumberFormat="1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3" fillId="0" borderId="75" xfId="0" applyFont="1" applyFill="1" applyBorder="1" applyAlignment="1">
      <alignment horizontal="right"/>
    </xf>
    <xf numFmtId="1" fontId="0" fillId="0" borderId="69" xfId="0" applyNumberFormat="1" applyFill="1" applyBorder="1"/>
    <xf numFmtId="0" fontId="3" fillId="0" borderId="75" xfId="0" applyFont="1" applyBorder="1" applyAlignment="1">
      <alignment horizontal="right"/>
    </xf>
    <xf numFmtId="1" fontId="0" fillId="0" borderId="56" xfId="0" applyNumberFormat="1" applyFill="1" applyBorder="1"/>
    <xf numFmtId="0" fontId="5" fillId="2" borderId="12" xfId="0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3" fontId="0" fillId="0" borderId="12" xfId="0" applyNumberFormat="1" applyFill="1" applyBorder="1"/>
    <xf numFmtId="3" fontId="0" fillId="0" borderId="18" xfId="0" applyNumberFormat="1" applyFill="1" applyBorder="1"/>
    <xf numFmtId="0" fontId="3" fillId="0" borderId="23" xfId="0" applyFont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0" fillId="0" borderId="15" xfId="0" applyNumberFormat="1" applyFill="1" applyBorder="1" applyProtection="1"/>
    <xf numFmtId="0" fontId="0" fillId="0" borderId="76" xfId="0" applyBorder="1"/>
    <xf numFmtId="165" fontId="0" fillId="4" borderId="15" xfId="0" applyNumberFormat="1" applyFill="1" applyBorder="1"/>
    <xf numFmtId="0" fontId="3" fillId="4" borderId="18" xfId="0" applyFont="1" applyFill="1" applyBorder="1" applyAlignment="1">
      <alignment horizontal="center"/>
    </xf>
    <xf numFmtId="165" fontId="0" fillId="0" borderId="15" xfId="0" applyNumberFormat="1" applyFill="1" applyBorder="1"/>
    <xf numFmtId="165" fontId="0" fillId="4" borderId="39" xfId="0" applyNumberFormat="1" applyFill="1" applyBorder="1"/>
    <xf numFmtId="3" fontId="0" fillId="0" borderId="39" xfId="0" applyNumberFormat="1" applyBorder="1" applyAlignment="1">
      <alignment horizontal="center"/>
    </xf>
    <xf numFmtId="165" fontId="0" fillId="0" borderId="24" xfId="0" applyNumberFormat="1" applyBorder="1"/>
    <xf numFmtId="0" fontId="0" fillId="0" borderId="77" xfId="0" applyBorder="1"/>
    <xf numFmtId="165" fontId="5" fillId="0" borderId="39" xfId="0" applyNumberFormat="1" applyFont="1" applyFill="1" applyBorder="1"/>
    <xf numFmtId="0" fontId="3" fillId="0" borderId="17" xfId="0" applyFont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23" xfId="0" applyFont="1" applyBorder="1"/>
    <xf numFmtId="1" fontId="0" fillId="4" borderId="33" xfId="0" applyNumberFormat="1" applyFill="1" applyBorder="1"/>
    <xf numFmtId="0" fontId="3" fillId="0" borderId="24" xfId="0" applyFont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65" fontId="0" fillId="0" borderId="40" xfId="0" applyNumberFormat="1" applyBorder="1"/>
    <xf numFmtId="0" fontId="0" fillId="4" borderId="2" xfId="0" applyFill="1" applyBorder="1"/>
    <xf numFmtId="165" fontId="0" fillId="0" borderId="45" xfId="0" applyNumberFormat="1" applyBorder="1"/>
    <xf numFmtId="0" fontId="3" fillId="0" borderId="15" xfId="0" applyFont="1" applyFill="1" applyBorder="1" applyAlignment="1" applyProtection="1">
      <alignment horizontal="center"/>
    </xf>
    <xf numFmtId="0" fontId="3" fillId="0" borderId="15" xfId="0" applyFont="1" applyBorder="1" applyAlignment="1">
      <alignment horizontal="center"/>
    </xf>
    <xf numFmtId="165" fontId="3" fillId="0" borderId="24" xfId="0" applyNumberFormat="1" applyFont="1" applyBorder="1"/>
    <xf numFmtId="165" fontId="3" fillId="0" borderId="30" xfId="0" applyNumberFormat="1" applyFont="1" applyFill="1" applyBorder="1"/>
    <xf numFmtId="165" fontId="3" fillId="0" borderId="15" xfId="0" applyNumberFormat="1" applyFont="1" applyFill="1" applyBorder="1"/>
    <xf numFmtId="165" fontId="3" fillId="0" borderId="17" xfId="0" applyNumberFormat="1" applyFont="1" applyFill="1" applyBorder="1"/>
    <xf numFmtId="165" fontId="3" fillId="0" borderId="8" xfId="0" applyNumberFormat="1" applyFont="1" applyBorder="1"/>
    <xf numFmtId="3" fontId="3" fillId="0" borderId="22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22" xfId="0" applyNumberFormat="1" applyFont="1" applyBorder="1"/>
    <xf numFmtId="165" fontId="3" fillId="4" borderId="14" xfId="0" applyNumberFormat="1" applyFont="1" applyFill="1" applyBorder="1"/>
    <xf numFmtId="165" fontId="3" fillId="4" borderId="1" xfId="0" applyNumberFormat="1" applyFont="1" applyFill="1" applyBorder="1"/>
    <xf numFmtId="165" fontId="3" fillId="4" borderId="11" xfId="0" applyNumberFormat="1" applyFont="1" applyFill="1" applyBorder="1"/>
    <xf numFmtId="165" fontId="3" fillId="0" borderId="14" xfId="0" applyNumberFormat="1" applyFont="1" applyFill="1" applyBorder="1"/>
    <xf numFmtId="165" fontId="3" fillId="0" borderId="1" xfId="0" applyNumberFormat="1" applyFont="1" applyFill="1" applyBorder="1"/>
    <xf numFmtId="165" fontId="3" fillId="0" borderId="11" xfId="0" applyNumberFormat="1" applyFont="1" applyFill="1" applyBorder="1"/>
    <xf numFmtId="0" fontId="3" fillId="0" borderId="30" xfId="0" applyFont="1" applyFill="1" applyBorder="1" applyAlignment="1" applyProtection="1">
      <alignment horizontal="center"/>
    </xf>
    <xf numFmtId="165" fontId="3" fillId="4" borderId="34" xfId="0" applyNumberFormat="1" applyFont="1" applyFill="1" applyBorder="1"/>
    <xf numFmtId="165" fontId="3" fillId="3" borderId="39" xfId="0" applyNumberFormat="1" applyFont="1" applyFill="1" applyBorder="1"/>
    <xf numFmtId="3" fontId="3" fillId="0" borderId="45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5" fillId="0" borderId="1" xfId="0" applyFont="1" applyBorder="1"/>
    <xf numFmtId="165" fontId="5" fillId="2" borderId="14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12" xfId="0" applyFont="1" applyBorder="1"/>
    <xf numFmtId="0" fontId="4" fillId="0" borderId="28" xfId="0" applyFont="1" applyBorder="1"/>
    <xf numFmtId="0" fontId="3" fillId="0" borderId="14" xfId="0" applyFont="1" applyBorder="1" applyAlignment="1">
      <alignment horizontal="center"/>
    </xf>
    <xf numFmtId="168" fontId="0" fillId="2" borderId="14" xfId="0" applyNumberFormat="1" applyFill="1" applyBorder="1"/>
    <xf numFmtId="168" fontId="0" fillId="2" borderId="1" xfId="0" applyNumberFormat="1" applyFill="1" applyBorder="1"/>
    <xf numFmtId="0" fontId="3" fillId="0" borderId="16" xfId="0" applyFont="1" applyFill="1" applyBorder="1" applyAlignment="1">
      <alignment horizontal="center"/>
    </xf>
    <xf numFmtId="0" fontId="0" fillId="4" borderId="0" xfId="0" applyFill="1" applyBorder="1"/>
    <xf numFmtId="0" fontId="0" fillId="4" borderId="16" xfId="0" applyFill="1" applyBorder="1"/>
    <xf numFmtId="1" fontId="0" fillId="0" borderId="20" xfId="0" applyNumberFormat="1" applyFill="1" applyBorder="1"/>
    <xf numFmtId="165" fontId="3" fillId="0" borderId="11" xfId="0" applyNumberFormat="1" applyFont="1" applyBorder="1"/>
    <xf numFmtId="165" fontId="3" fillId="0" borderId="73" xfId="0" applyNumberFormat="1" applyFont="1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left"/>
    </xf>
    <xf numFmtId="0" fontId="0" fillId="0" borderId="75" xfId="0" applyBorder="1"/>
    <xf numFmtId="0" fontId="0" fillId="0" borderId="75" xfId="0" applyBorder="1" applyAlignment="1">
      <alignment horizontal="center"/>
    </xf>
    <xf numFmtId="0" fontId="0" fillId="0" borderId="78" xfId="0" applyFill="1" applyBorder="1"/>
    <xf numFmtId="0" fontId="0" fillId="0" borderId="75" xfId="0" applyFill="1" applyBorder="1"/>
    <xf numFmtId="0" fontId="0" fillId="0" borderId="67" xfId="0" applyFill="1" applyBorder="1"/>
    <xf numFmtId="0" fontId="4" fillId="0" borderId="16" xfId="0" applyFont="1" applyFill="1" applyBorder="1"/>
    <xf numFmtId="0" fontId="3" fillId="0" borderId="79" xfId="0" applyFont="1" applyFill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0" fillId="0" borderId="81" xfId="0" applyBorder="1"/>
    <xf numFmtId="5" fontId="3" fillId="0" borderId="11" xfId="0" applyNumberFormat="1" applyFont="1" applyBorder="1"/>
    <xf numFmtId="5" fontId="3" fillId="0" borderId="1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5" fontId="3" fillId="4" borderId="11" xfId="0" applyNumberFormat="1" applyFont="1" applyFill="1" applyBorder="1"/>
    <xf numFmtId="0" fontId="0" fillId="4" borderId="11" xfId="0" applyFill="1" applyBorder="1"/>
    <xf numFmtId="165" fontId="0" fillId="4" borderId="30" xfId="0" applyNumberForma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3" fontId="0" fillId="0" borderId="0" xfId="0" applyNumberFormat="1" applyFill="1" applyBorder="1"/>
    <xf numFmtId="3" fontId="0" fillId="4" borderId="0" xfId="0" applyNumberFormat="1" applyFill="1" applyBorder="1"/>
    <xf numFmtId="0" fontId="3" fillId="4" borderId="53" xfId="0" applyFont="1" applyFill="1" applyBorder="1" applyAlignment="1">
      <alignment horizontal="center"/>
    </xf>
    <xf numFmtId="165" fontId="0" fillId="0" borderId="57" xfId="0" applyNumberFormat="1" applyFill="1" applyBorder="1" applyAlignment="1" applyProtection="1">
      <alignment horizontal="center"/>
    </xf>
    <xf numFmtId="165" fontId="0" fillId="0" borderId="58" xfId="0" applyNumberFormat="1" applyFill="1" applyBorder="1" applyAlignment="1" applyProtection="1">
      <alignment horizontal="center"/>
    </xf>
    <xf numFmtId="165" fontId="0" fillId="4" borderId="56" xfId="0" applyNumberFormat="1" applyFill="1" applyBorder="1" applyAlignment="1" applyProtection="1">
      <alignment horizontal="center"/>
    </xf>
    <xf numFmtId="165" fontId="0" fillId="4" borderId="57" xfId="0" applyNumberFormat="1" applyFill="1" applyBorder="1" applyAlignment="1" applyProtection="1">
      <alignment horizontal="center"/>
    </xf>
    <xf numFmtId="165" fontId="0" fillId="4" borderId="58" xfId="0" applyNumberFormat="1" applyFill="1" applyBorder="1" applyAlignment="1" applyProtection="1">
      <alignment horizontal="center"/>
    </xf>
    <xf numFmtId="165" fontId="0" fillId="0" borderId="56" xfId="0" applyNumberFormat="1" applyFill="1" applyBorder="1" applyAlignment="1" applyProtection="1">
      <alignment horizontal="center"/>
    </xf>
    <xf numFmtId="3" fontId="0" fillId="0" borderId="58" xfId="0" applyNumberFormat="1" applyBorder="1" applyAlignment="1">
      <alignment horizontal="center"/>
    </xf>
    <xf numFmtId="165" fontId="5" fillId="4" borderId="58" xfId="0" applyNumberFormat="1" applyFont="1" applyFill="1" applyBorder="1"/>
    <xf numFmtId="165" fontId="5" fillId="0" borderId="58" xfId="0" applyNumberFormat="1" applyFont="1" applyFill="1" applyBorder="1"/>
    <xf numFmtId="3" fontId="3" fillId="0" borderId="11" xfId="0" applyNumberFormat="1" applyFont="1" applyBorder="1" applyAlignment="1">
      <alignment horizontal="center"/>
    </xf>
    <xf numFmtId="165" fontId="3" fillId="0" borderId="31" xfId="0" applyNumberFormat="1" applyFont="1" applyFill="1" applyBorder="1"/>
    <xf numFmtId="165" fontId="3" fillId="0" borderId="8" xfId="0" applyNumberFormat="1" applyFont="1" applyFill="1" applyBorder="1"/>
    <xf numFmtId="0" fontId="0" fillId="0" borderId="12" xfId="0" applyBorder="1" applyAlignment="1">
      <alignment horizontal="center"/>
    </xf>
    <xf numFmtId="0" fontId="3" fillId="0" borderId="49" xfId="0" applyFont="1" applyBorder="1" applyAlignment="1">
      <alignment horizontal="right"/>
    </xf>
    <xf numFmtId="165" fontId="3" fillId="0" borderId="34" xfId="0" applyNumberFormat="1" applyFont="1" applyFill="1" applyBorder="1"/>
    <xf numFmtId="165" fontId="3" fillId="0" borderId="39" xfId="0" applyNumberFormat="1" applyFont="1" applyFill="1" applyBorder="1"/>
    <xf numFmtId="165" fontId="5" fillId="4" borderId="57" xfId="0" applyNumberFormat="1" applyFont="1" applyFill="1" applyBorder="1"/>
    <xf numFmtId="165" fontId="5" fillId="0" borderId="56" xfId="0" applyNumberFormat="1" applyFont="1" applyFill="1" applyBorder="1"/>
    <xf numFmtId="165" fontId="5" fillId="0" borderId="57" xfId="0" applyNumberFormat="1" applyFont="1" applyFill="1" applyBorder="1"/>
    <xf numFmtId="165" fontId="5" fillId="4" borderId="73" xfId="0" applyNumberFormat="1" applyFont="1" applyFill="1" applyBorder="1"/>
    <xf numFmtId="165" fontId="0" fillId="0" borderId="73" xfId="0" applyNumberFormat="1" applyFill="1" applyBorder="1"/>
    <xf numFmtId="165" fontId="0" fillId="0" borderId="69" xfId="0" applyNumberFormat="1" applyBorder="1"/>
    <xf numFmtId="165" fontId="5" fillId="0" borderId="69" xfId="0" applyNumberFormat="1" applyFont="1" applyBorder="1"/>
    <xf numFmtId="165" fontId="3" fillId="0" borderId="1" xfId="0" applyNumberFormat="1" applyFont="1" applyFill="1" applyBorder="1" applyProtection="1"/>
    <xf numFmtId="0" fontId="3" fillId="0" borderId="9" xfId="0" applyFont="1" applyBorder="1"/>
    <xf numFmtId="0" fontId="3" fillId="0" borderId="27" xfId="0" applyFont="1" applyBorder="1"/>
    <xf numFmtId="0" fontId="3" fillId="0" borderId="22" xfId="0" applyFont="1" applyBorder="1"/>
    <xf numFmtId="3" fontId="3" fillId="0" borderId="8" xfId="0" applyNumberFormat="1" applyFont="1" applyBorder="1" applyAlignment="1">
      <alignment horizontal="center"/>
    </xf>
    <xf numFmtId="165" fontId="3" fillId="0" borderId="23" xfId="0" applyNumberFormat="1" applyFont="1" applyBorder="1"/>
    <xf numFmtId="165" fontId="0" fillId="0" borderId="73" xfId="0" applyNumberFormat="1" applyBorder="1"/>
    <xf numFmtId="0" fontId="3" fillId="0" borderId="4" xfId="0" applyFont="1" applyBorder="1"/>
    <xf numFmtId="0" fontId="3" fillId="0" borderId="16" xfId="0" applyFont="1" applyBorder="1"/>
    <xf numFmtId="165" fontId="3" fillId="0" borderId="14" xfId="0" applyNumberFormat="1" applyFont="1" applyBorder="1"/>
    <xf numFmtId="165" fontId="3" fillId="0" borderId="1" xfId="0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0" fontId="3" fillId="4" borderId="82" xfId="0" applyFont="1" applyFill="1" applyBorder="1"/>
    <xf numFmtId="3" fontId="3" fillId="0" borderId="39" xfId="0" applyNumberFormat="1" applyFont="1" applyBorder="1" applyAlignment="1">
      <alignment horizontal="center"/>
    </xf>
    <xf numFmtId="0" fontId="6" fillId="0" borderId="83" xfId="0" applyFont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67" fontId="5" fillId="2" borderId="1" xfId="0" applyNumberFormat="1" applyFont="1" applyFill="1" applyBorder="1" applyProtection="1">
      <protection locked="0"/>
    </xf>
    <xf numFmtId="0" fontId="6" fillId="0" borderId="31" xfId="0" applyFont="1" applyFill="1" applyBorder="1"/>
    <xf numFmtId="0" fontId="6" fillId="0" borderId="1" xfId="0" applyFont="1" applyFill="1" applyBorder="1" applyAlignment="1" applyProtection="1">
      <alignment horizontal="center"/>
      <protection locked="0"/>
    </xf>
    <xf numFmtId="0" fontId="0" fillId="0" borderId="3" xfId="0" applyFill="1" applyBorder="1"/>
    <xf numFmtId="0" fontId="6" fillId="0" borderId="84" xfId="0" applyFont="1" applyBorder="1"/>
    <xf numFmtId="0" fontId="6" fillId="0" borderId="3" xfId="0" applyFont="1" applyBorder="1"/>
    <xf numFmtId="0" fontId="6" fillId="0" borderId="84" xfId="0" applyFont="1" applyFill="1" applyBorder="1"/>
    <xf numFmtId="0" fontId="6" fillId="0" borderId="3" xfId="0" applyFont="1" applyFill="1" applyBorder="1"/>
    <xf numFmtId="0" fontId="0" fillId="0" borderId="85" xfId="0" applyBorder="1"/>
    <xf numFmtId="0" fontId="3" fillId="0" borderId="85" xfId="0" applyFont="1" applyBorder="1" applyAlignment="1">
      <alignment vertical="top"/>
    </xf>
    <xf numFmtId="0" fontId="6" fillId="0" borderId="80" xfId="0" applyFont="1" applyBorder="1"/>
    <xf numFmtId="0" fontId="4" fillId="0" borderId="85" xfId="0" applyFont="1" applyBorder="1"/>
    <xf numFmtId="0" fontId="3" fillId="0" borderId="83" xfId="0" applyFont="1" applyBorder="1"/>
    <xf numFmtId="0" fontId="0" fillId="0" borderId="85" xfId="0" applyBorder="1" applyAlignment="1">
      <alignment horizontal="right"/>
    </xf>
    <xf numFmtId="0" fontId="0" fillId="0" borderId="86" xfId="0" applyBorder="1" applyAlignment="1">
      <alignment horizontal="right"/>
    </xf>
    <xf numFmtId="0" fontId="3" fillId="0" borderId="87" xfId="0" applyFont="1" applyBorder="1" applyAlignment="1">
      <alignment horizontal="right"/>
    </xf>
    <xf numFmtId="0" fontId="3" fillId="0" borderId="85" xfId="0" applyFont="1" applyBorder="1"/>
    <xf numFmtId="0" fontId="3" fillId="0" borderId="12" xfId="0" applyFont="1" applyFill="1" applyBorder="1"/>
    <xf numFmtId="0" fontId="3" fillId="0" borderId="57" xfId="0" applyFont="1" applyFill="1" applyBorder="1"/>
    <xf numFmtId="0" fontId="4" fillId="0" borderId="88" xfId="0" applyFont="1" applyBorder="1"/>
    <xf numFmtId="0" fontId="3" fillId="0" borderId="1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85" xfId="0" applyFont="1" applyFill="1" applyBorder="1"/>
    <xf numFmtId="0" fontId="3" fillId="3" borderId="86" xfId="0" applyFont="1" applyFill="1" applyBorder="1"/>
    <xf numFmtId="0" fontId="3" fillId="0" borderId="89" xfId="0" applyFont="1" applyBorder="1" applyAlignment="1">
      <alignment horizontal="right"/>
    </xf>
    <xf numFmtId="0" fontId="3" fillId="0" borderId="86" xfId="0" applyFont="1" applyBorder="1"/>
    <xf numFmtId="0" fontId="3" fillId="0" borderId="13" xfId="0" applyFont="1" applyBorder="1"/>
    <xf numFmtId="0" fontId="0" fillId="0" borderId="13" xfId="0" applyBorder="1" applyAlignment="1">
      <alignment horizontal="right"/>
    </xf>
    <xf numFmtId="0" fontId="6" fillId="0" borderId="85" xfId="0" applyFont="1" applyBorder="1"/>
    <xf numFmtId="0" fontId="0" fillId="0" borderId="50" xfId="0" applyBorder="1"/>
    <xf numFmtId="0" fontId="3" fillId="0" borderId="15" xfId="0" applyFont="1" applyFill="1" applyBorder="1" applyAlignment="1">
      <alignment horizontal="right"/>
    </xf>
    <xf numFmtId="0" fontId="4" fillId="0" borderId="90" xfId="0" applyFont="1" applyBorder="1" applyAlignment="1">
      <alignment horizontal="center"/>
    </xf>
    <xf numFmtId="0" fontId="0" fillId="0" borderId="91" xfId="0" applyBorder="1"/>
    <xf numFmtId="165" fontId="3" fillId="0" borderId="65" xfId="0" applyNumberFormat="1" applyFont="1" applyBorder="1"/>
    <xf numFmtId="165" fontId="3" fillId="0" borderId="64" xfId="0" applyNumberFormat="1" applyFont="1" applyFill="1" applyBorder="1"/>
    <xf numFmtId="3" fontId="3" fillId="0" borderId="65" xfId="0" applyNumberFormat="1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90" xfId="0" applyNumberFormat="1" applyBorder="1" applyAlignment="1">
      <alignment horizontal="center"/>
    </xf>
    <xf numFmtId="0" fontId="0" fillId="0" borderId="92" xfId="0" applyBorder="1"/>
    <xf numFmtId="0" fontId="0" fillId="0" borderId="93" xfId="0" applyBorder="1"/>
    <xf numFmtId="3" fontId="3" fillId="0" borderId="63" xfId="0" applyNumberFormat="1" applyFont="1" applyBorder="1" applyAlignment="1">
      <alignment horizontal="center"/>
    </xf>
    <xf numFmtId="0" fontId="0" fillId="0" borderId="63" xfId="0" applyBorder="1"/>
    <xf numFmtId="165" fontId="0" fillId="0" borderId="65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165" fontId="4" fillId="0" borderId="57" xfId="0" applyNumberFormat="1" applyFont="1" applyBorder="1"/>
    <xf numFmtId="165" fontId="4" fillId="0" borderId="58" xfId="0" applyNumberFormat="1" applyFont="1" applyBorder="1"/>
    <xf numFmtId="165" fontId="4" fillId="4" borderId="56" xfId="0" applyNumberFormat="1" applyFont="1" applyFill="1" applyBorder="1"/>
    <xf numFmtId="3" fontId="4" fillId="4" borderId="57" xfId="0" applyNumberFormat="1" applyFont="1" applyFill="1" applyBorder="1"/>
    <xf numFmtId="165" fontId="4" fillId="4" borderId="58" xfId="0" applyNumberFormat="1" applyFont="1" applyFill="1" applyBorder="1"/>
    <xf numFmtId="165" fontId="4" fillId="0" borderId="56" xfId="0" applyNumberFormat="1" applyFont="1" applyBorder="1"/>
    <xf numFmtId="3" fontId="4" fillId="0" borderId="57" xfId="0" applyNumberFormat="1" applyFont="1" applyBorder="1"/>
    <xf numFmtId="165" fontId="4" fillId="0" borderId="64" xfId="0" applyNumberFormat="1" applyFont="1" applyBorder="1"/>
    <xf numFmtId="0" fontId="5" fillId="0" borderId="94" xfId="0" applyFont="1" applyFill="1" applyBorder="1" applyAlignment="1">
      <alignment horizontal="right"/>
    </xf>
    <xf numFmtId="0" fontId="4" fillId="0" borderId="95" xfId="0" applyFont="1" applyBorder="1"/>
    <xf numFmtId="0" fontId="5" fillId="0" borderId="96" xfId="0" applyFont="1" applyFill="1" applyBorder="1" applyAlignment="1">
      <alignment horizontal="right"/>
    </xf>
    <xf numFmtId="0" fontId="4" fillId="0" borderId="97" xfId="0" applyFont="1" applyFill="1" applyBorder="1" applyAlignment="1">
      <alignment horizontal="right"/>
    </xf>
    <xf numFmtId="169" fontId="3" fillId="0" borderId="9" xfId="0" applyNumberFormat="1" applyFont="1" applyFill="1" applyBorder="1" applyProtection="1"/>
    <xf numFmtId="0" fontId="3" fillId="0" borderId="49" xfId="0" applyFont="1" applyFill="1" applyBorder="1" applyAlignment="1">
      <alignment horizontal="right"/>
    </xf>
    <xf numFmtId="165" fontId="3" fillId="3" borderId="15" xfId="0" applyNumberFormat="1" applyFont="1" applyFill="1" applyBorder="1"/>
    <xf numFmtId="165" fontId="3" fillId="3" borderId="58" xfId="0" applyNumberFormat="1" applyFont="1" applyFill="1" applyBorder="1"/>
    <xf numFmtId="0" fontId="3" fillId="0" borderId="71" xfId="0" applyFont="1" applyBorder="1"/>
    <xf numFmtId="0" fontId="3" fillId="0" borderId="92" xfId="0" applyFont="1" applyBorder="1"/>
    <xf numFmtId="0" fontId="3" fillId="0" borderId="61" xfId="0" applyFont="1" applyBorder="1" applyAlignment="1">
      <alignment horizontal="center"/>
    </xf>
    <xf numFmtId="0" fontId="4" fillId="0" borderId="98" xfId="0" applyFont="1" applyFill="1" applyBorder="1"/>
    <xf numFmtId="0" fontId="4" fillId="0" borderId="85" xfId="0" applyFont="1" applyFill="1" applyBorder="1"/>
    <xf numFmtId="165" fontId="4" fillId="3" borderId="58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99" xfId="0" applyFill="1" applyBorder="1"/>
    <xf numFmtId="0" fontId="0" fillId="0" borderId="99" xfId="0" applyBorder="1"/>
    <xf numFmtId="0" fontId="3" fillId="0" borderId="99" xfId="0" applyFont="1" applyFill="1" applyBorder="1" applyAlignment="1">
      <alignment horizontal="center"/>
    </xf>
    <xf numFmtId="0" fontId="3" fillId="0" borderId="99" xfId="0" applyFont="1" applyBorder="1" applyAlignment="1">
      <alignment horizontal="center" wrapText="1"/>
    </xf>
    <xf numFmtId="0" fontId="0" fillId="0" borderId="100" xfId="0" applyBorder="1"/>
    <xf numFmtId="0" fontId="0" fillId="0" borderId="25" xfId="0" applyBorder="1"/>
    <xf numFmtId="0" fontId="6" fillId="0" borderId="25" xfId="0" applyFont="1" applyBorder="1"/>
    <xf numFmtId="0" fontId="6" fillId="0" borderId="101" xfId="0" applyFont="1" applyFill="1" applyBorder="1"/>
    <xf numFmtId="0" fontId="6" fillId="0" borderId="25" xfId="0" applyFont="1" applyFill="1" applyBorder="1"/>
    <xf numFmtId="0" fontId="0" fillId="0" borderId="36" xfId="0" applyFill="1" applyBorder="1"/>
    <xf numFmtId="0" fontId="4" fillId="0" borderId="44" xfId="0" applyFont="1" applyBorder="1" applyAlignment="1">
      <alignment horizontal="center"/>
    </xf>
    <xf numFmtId="0" fontId="0" fillId="0" borderId="49" xfId="0" applyBorder="1"/>
    <xf numFmtId="0" fontId="6" fillId="0" borderId="66" xfId="0" applyFont="1" applyBorder="1"/>
    <xf numFmtId="0" fontId="3" fillId="0" borderId="84" xfId="0" applyFont="1" applyBorder="1"/>
    <xf numFmtId="0" fontId="0" fillId="0" borderId="49" xfId="0" applyBorder="1" applyAlignment="1">
      <alignment horizontal="right"/>
    </xf>
    <xf numFmtId="0" fontId="3" fillId="0" borderId="49" xfId="0" applyFont="1" applyBorder="1"/>
    <xf numFmtId="0" fontId="3" fillId="0" borderId="37" xfId="0" applyFont="1" applyFill="1" applyBorder="1"/>
    <xf numFmtId="0" fontId="3" fillId="0" borderId="73" xfId="0" applyFont="1" applyFill="1" applyBorder="1"/>
    <xf numFmtId="0" fontId="4" fillId="0" borderId="49" xfId="0" applyFont="1" applyFill="1" applyBorder="1"/>
    <xf numFmtId="0" fontId="3" fillId="0" borderId="102" xfId="0" applyFont="1" applyBorder="1"/>
    <xf numFmtId="0" fontId="4" fillId="0" borderId="91" xfId="0" applyFont="1" applyBorder="1"/>
    <xf numFmtId="0" fontId="3" fillId="0" borderId="35" xfId="0" applyFont="1" applyBorder="1"/>
    <xf numFmtId="0" fontId="0" fillId="0" borderId="35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103" xfId="0" applyBorder="1" applyAlignment="1">
      <alignment horizontal="right"/>
    </xf>
    <xf numFmtId="0" fontId="5" fillId="0" borderId="102" xfId="0" applyFont="1" applyBorder="1" applyAlignment="1">
      <alignment horizontal="right"/>
    </xf>
    <xf numFmtId="0" fontId="0" fillId="0" borderId="104" xfId="0" applyBorder="1"/>
    <xf numFmtId="0" fontId="0" fillId="0" borderId="105" xfId="0" applyBorder="1"/>
    <xf numFmtId="0" fontId="3" fillId="0" borderId="44" xfId="0" applyFont="1" applyBorder="1"/>
    <xf numFmtId="0" fontId="3" fillId="0" borderId="45" xfId="0" applyFont="1" applyFill="1" applyBorder="1" applyAlignment="1">
      <alignment horizontal="right"/>
    </xf>
    <xf numFmtId="0" fontId="3" fillId="0" borderId="42" xfId="0" applyFont="1" applyBorder="1"/>
    <xf numFmtId="165" fontId="3" fillId="0" borderId="45" xfId="0" applyNumberFormat="1" applyFont="1" applyBorder="1"/>
    <xf numFmtId="3" fontId="3" fillId="0" borderId="104" xfId="0" applyNumberFormat="1" applyFon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0" fontId="3" fillId="0" borderId="59" xfId="0" applyFont="1" applyFill="1" applyBorder="1" applyAlignment="1">
      <alignment horizontal="right"/>
    </xf>
    <xf numFmtId="0" fontId="6" fillId="0" borderId="106" xfId="0" applyFont="1" applyBorder="1"/>
    <xf numFmtId="0" fontId="5" fillId="0" borderId="43" xfId="0" applyFont="1" applyFill="1" applyBorder="1" applyAlignment="1">
      <alignment horizontal="right"/>
    </xf>
    <xf numFmtId="0" fontId="8" fillId="0" borderId="45" xfId="0" applyFont="1" applyFill="1" applyBorder="1" applyAlignment="1">
      <alignment horizontal="right"/>
    </xf>
    <xf numFmtId="165" fontId="8" fillId="0" borderId="30" xfId="0" applyNumberFormat="1" applyFont="1" applyBorder="1"/>
    <xf numFmtId="165" fontId="8" fillId="0" borderId="15" xfId="0" applyNumberFormat="1" applyFont="1" applyBorder="1"/>
    <xf numFmtId="165" fontId="8" fillId="0" borderId="17" xfId="0" applyNumberFormat="1" applyFont="1" applyBorder="1"/>
    <xf numFmtId="165" fontId="8" fillId="4" borderId="39" xfId="0" applyNumberFormat="1" applyFont="1" applyFill="1" applyBorder="1"/>
    <xf numFmtId="3" fontId="8" fillId="4" borderId="15" xfId="0" applyNumberFormat="1" applyFont="1" applyFill="1" applyBorder="1"/>
    <xf numFmtId="165" fontId="8" fillId="4" borderId="17" xfId="0" applyNumberFormat="1" applyFont="1" applyFill="1" applyBorder="1"/>
    <xf numFmtId="3" fontId="8" fillId="0" borderId="15" xfId="0" applyNumberFormat="1" applyFont="1" applyBorder="1"/>
    <xf numFmtId="165" fontId="8" fillId="4" borderId="30" xfId="0" applyNumberFormat="1" applyFont="1" applyFill="1" applyBorder="1"/>
    <xf numFmtId="165" fontId="8" fillId="3" borderId="17" xfId="0" applyNumberFormat="1" applyFont="1" applyFill="1" applyBorder="1"/>
    <xf numFmtId="165" fontId="8" fillId="0" borderId="45" xfId="0" applyNumberFormat="1" applyFont="1" applyBorder="1"/>
    <xf numFmtId="0" fontId="6" fillId="0" borderId="49" xfId="0" applyFont="1" applyBorder="1"/>
    <xf numFmtId="0" fontId="6" fillId="2" borderId="12" xfId="0" applyFont="1" applyFill="1" applyBorder="1" applyAlignment="1" applyProtection="1">
      <alignment horizontal="center"/>
      <protection locked="0"/>
    </xf>
    <xf numFmtId="0" fontId="6" fillId="0" borderId="35" xfId="0" applyFont="1" applyFill="1" applyBorder="1"/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0" xfId="0" applyFont="1" applyBorder="1"/>
    <xf numFmtId="0" fontId="3" fillId="0" borderId="0" xfId="0" applyFont="1" applyBorder="1" applyAlignment="1">
      <alignment horizontal="right" vertical="top"/>
    </xf>
    <xf numFmtId="0" fontId="6" fillId="0" borderId="99" xfId="0" applyFont="1" applyBorder="1"/>
    <xf numFmtId="0" fontId="4" fillId="0" borderId="25" xfId="0" applyFont="1" applyBorder="1"/>
    <xf numFmtId="0" fontId="3" fillId="0" borderId="3" xfId="0" applyFont="1" applyBorder="1"/>
    <xf numFmtId="0" fontId="0" fillId="0" borderId="0" xfId="0" applyBorder="1" applyAlignment="1">
      <alignment horizontal="right"/>
    </xf>
    <xf numFmtId="0" fontId="0" fillId="0" borderId="31" xfId="0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77" xfId="0" applyFont="1" applyBorder="1" applyAlignment="1">
      <alignment horizontal="right"/>
    </xf>
    <xf numFmtId="0" fontId="3" fillId="0" borderId="21" xfId="0" applyFont="1" applyFill="1" applyBorder="1"/>
    <xf numFmtId="0" fontId="3" fillId="0" borderId="56" xfId="0" applyFont="1" applyFill="1" applyBorder="1"/>
    <xf numFmtId="0" fontId="3" fillId="0" borderId="14" xfId="0" applyFont="1" applyBorder="1"/>
    <xf numFmtId="0" fontId="5" fillId="0" borderId="14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3" fillId="0" borderId="0" xfId="0" applyFont="1" applyFill="1" applyBorder="1"/>
    <xf numFmtId="0" fontId="3" fillId="0" borderId="31" xfId="0" applyFont="1" applyBorder="1"/>
    <xf numFmtId="0" fontId="3" fillId="0" borderId="2" xfId="0" applyFont="1" applyBorder="1" applyAlignment="1">
      <alignment horizontal="right"/>
    </xf>
    <xf numFmtId="0" fontId="4" fillId="0" borderId="107" xfId="0" applyFont="1" applyBorder="1"/>
    <xf numFmtId="0" fontId="0" fillId="0" borderId="4" xfId="0" applyBorder="1" applyAlignment="1">
      <alignment horizontal="right"/>
    </xf>
    <xf numFmtId="0" fontId="0" fillId="0" borderId="108" xfId="0" applyBorder="1"/>
    <xf numFmtId="0" fontId="3" fillId="0" borderId="108" xfId="0" applyFont="1" applyBorder="1"/>
    <xf numFmtId="0" fontId="0" fillId="0" borderId="109" xfId="0" applyBorder="1"/>
    <xf numFmtId="0" fontId="0" fillId="0" borderId="110" xfId="0" applyBorder="1"/>
    <xf numFmtId="0" fontId="0" fillId="0" borderId="111" xfId="0" applyBorder="1"/>
    <xf numFmtId="0" fontId="0" fillId="0" borderId="112" xfId="0" applyBorder="1"/>
    <xf numFmtId="165" fontId="3" fillId="0" borderId="113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5" fontId="3" fillId="4" borderId="0" xfId="0" applyNumberFormat="1" applyFont="1" applyFill="1" applyBorder="1" applyAlignment="1" applyProtection="1">
      <alignment horizontal="center"/>
    </xf>
    <xf numFmtId="0" fontId="3" fillId="0" borderId="113" xfId="0" applyFont="1" applyFill="1" applyBorder="1"/>
    <xf numFmtId="165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0" borderId="113" xfId="0" applyNumberFormat="1" applyFont="1" applyBorder="1" applyAlignment="1">
      <alignment horizontal="center"/>
    </xf>
    <xf numFmtId="165" fontId="3" fillId="0" borderId="43" xfId="0" applyNumberFormat="1" applyFont="1" applyBorder="1" applyAlignment="1">
      <alignment horizontal="center"/>
    </xf>
    <xf numFmtId="165" fontId="3" fillId="4" borderId="16" xfId="0" applyNumberFormat="1" applyFont="1" applyFill="1" applyBorder="1" applyAlignment="1" applyProtection="1">
      <alignment horizontal="center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73" xfId="0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wrapText="1"/>
    </xf>
    <xf numFmtId="0" fontId="5" fillId="0" borderId="96" xfId="0" applyFont="1" applyBorder="1" applyAlignment="1">
      <alignment horizontal="right"/>
    </xf>
    <xf numFmtId="165" fontId="0" fillId="0" borderId="18" xfId="0" applyNumberFormat="1" applyBorder="1"/>
    <xf numFmtId="3" fontId="0" fillId="0" borderId="4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5" fontId="0" fillId="0" borderId="104" xfId="0" applyNumberFormat="1" applyBorder="1"/>
    <xf numFmtId="0" fontId="0" fillId="4" borderId="114" xfId="0" applyFill="1" applyBorder="1"/>
    <xf numFmtId="0" fontId="3" fillId="0" borderId="19" xfId="0" applyFont="1" applyBorder="1" applyAlignment="1">
      <alignment horizontal="center"/>
    </xf>
    <xf numFmtId="0" fontId="3" fillId="0" borderId="77" xfId="0" applyFont="1" applyFill="1" applyBorder="1"/>
    <xf numFmtId="0" fontId="0" fillId="0" borderId="89" xfId="0" applyBorder="1"/>
    <xf numFmtId="165" fontId="0" fillId="0" borderId="87" xfId="0" applyNumberFormat="1" applyFill="1" applyBorder="1" applyProtection="1"/>
    <xf numFmtId="0" fontId="0" fillId="0" borderId="87" xfId="0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right"/>
    </xf>
    <xf numFmtId="0" fontId="6" fillId="0" borderId="66" xfId="0" applyFont="1" applyBorder="1" applyAlignment="1">
      <alignment horizontal="left"/>
    </xf>
    <xf numFmtId="0" fontId="0" fillId="0" borderId="14" xfId="0" applyBorder="1"/>
    <xf numFmtId="0" fontId="4" fillId="5" borderId="49" xfId="0" applyFont="1" applyFill="1" applyBorder="1"/>
    <xf numFmtId="0" fontId="0" fillId="2" borderId="2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91" xfId="0" applyFont="1" applyFill="1" applyBorder="1"/>
    <xf numFmtId="165" fontId="0" fillId="0" borderId="0" xfId="0" applyNumberFormat="1"/>
    <xf numFmtId="3" fontId="5" fillId="0" borderId="115" xfId="0" applyNumberFormat="1" applyFont="1" applyFill="1" applyBorder="1"/>
    <xf numFmtId="3" fontId="0" fillId="0" borderId="33" xfId="0" applyNumberFormat="1" applyBorder="1" applyAlignment="1">
      <alignment horizontal="center"/>
    </xf>
    <xf numFmtId="165" fontId="5" fillId="0" borderId="14" xfId="0" applyNumberFormat="1" applyFont="1" applyFill="1" applyBorder="1" applyProtection="1"/>
    <xf numFmtId="0" fontId="3" fillId="0" borderId="13" xfId="0" applyFont="1" applyBorder="1" applyAlignment="1">
      <alignment horizontal="center"/>
    </xf>
    <xf numFmtId="165" fontId="3" fillId="0" borderId="16" xfId="0" applyNumberFormat="1" applyFont="1" applyBorder="1"/>
    <xf numFmtId="165" fontId="3" fillId="4" borderId="4" xfId="0" applyNumberFormat="1" applyFont="1" applyFill="1" applyBorder="1"/>
    <xf numFmtId="165" fontId="3" fillId="4" borderId="13" xfId="0" applyNumberFormat="1" applyFont="1" applyFill="1" applyBorder="1"/>
    <xf numFmtId="165" fontId="3" fillId="4" borderId="41" xfId="0" applyNumberFormat="1" applyFont="1" applyFill="1" applyBorder="1"/>
    <xf numFmtId="165" fontId="3" fillId="0" borderId="4" xfId="0" applyNumberFormat="1" applyFont="1" applyFill="1" applyBorder="1"/>
    <xf numFmtId="165" fontId="3" fillId="0" borderId="13" xfId="0" applyNumberFormat="1" applyFont="1" applyFill="1" applyBorder="1"/>
    <xf numFmtId="165" fontId="3" fillId="0" borderId="41" xfId="0" applyNumberFormat="1" applyFont="1" applyFill="1" applyBorder="1"/>
    <xf numFmtId="3" fontId="3" fillId="0" borderId="16" xfId="0" applyNumberFormat="1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0" fillId="0" borderId="12" xfId="0" applyFill="1" applyBorder="1"/>
    <xf numFmtId="165" fontId="3" fillId="0" borderId="35" xfId="0" applyNumberFormat="1" applyFont="1" applyFill="1" applyBorder="1"/>
    <xf numFmtId="3" fontId="0" fillId="0" borderId="37" xfId="0" applyNumberFormat="1" applyFill="1" applyBorder="1"/>
    <xf numFmtId="0" fontId="3" fillId="0" borderId="14" xfId="0" applyFont="1" applyBorder="1" applyAlignment="1">
      <alignment horizontal="right"/>
    </xf>
    <xf numFmtId="165" fontId="3" fillId="0" borderId="34" xfId="0" applyNumberFormat="1" applyFont="1" applyBorder="1"/>
    <xf numFmtId="0" fontId="3" fillId="0" borderId="3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3" fillId="0" borderId="40" xfId="0" applyNumberFormat="1" applyFont="1" applyBorder="1"/>
    <xf numFmtId="0" fontId="3" fillId="4" borderId="2" xfId="0" applyFont="1" applyFill="1" applyBorder="1"/>
    <xf numFmtId="0" fontId="3" fillId="0" borderId="116" xfId="0" applyFont="1" applyBorder="1" applyAlignment="1">
      <alignment horizontal="right"/>
    </xf>
    <xf numFmtId="166" fontId="1" fillId="6" borderId="0" xfId="0" applyNumberFormat="1" applyFont="1" applyFill="1" applyAlignment="1"/>
    <xf numFmtId="0" fontId="3" fillId="0" borderId="5" xfId="0" applyFont="1" applyBorder="1" applyAlignment="1">
      <alignment horizontal="center"/>
    </xf>
    <xf numFmtId="165" fontId="0" fillId="0" borderId="1" xfId="0" applyNumberFormat="1" applyFill="1" applyBorder="1" applyAlignment="1" applyProtection="1">
      <alignment horizontal="right"/>
    </xf>
    <xf numFmtId="0" fontId="0" fillId="0" borderId="48" xfId="0" applyFill="1" applyBorder="1"/>
    <xf numFmtId="2" fontId="0" fillId="2" borderId="87" xfId="0" applyNumberFormat="1" applyFill="1" applyBorder="1" applyProtection="1">
      <protection locked="0"/>
    </xf>
    <xf numFmtId="164" fontId="0" fillId="0" borderId="87" xfId="0" applyNumberFormat="1" applyBorder="1"/>
    <xf numFmtId="0" fontId="0" fillId="2" borderId="40" xfId="0" applyFill="1" applyBorder="1" applyProtection="1">
      <protection locked="0"/>
    </xf>
    <xf numFmtId="164" fontId="0" fillId="0" borderId="1" xfId="0" applyNumberFormat="1" applyBorder="1"/>
    <xf numFmtId="164" fontId="0" fillId="2" borderId="1" xfId="0" applyNumberFormat="1" applyFill="1" applyBorder="1" applyProtection="1"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3" fontId="0" fillId="0" borderId="5" xfId="0" applyNumberFormat="1" applyFill="1" applyBorder="1" applyAlignment="1" applyProtection="1">
      <alignment horizontal="center"/>
    </xf>
    <xf numFmtId="0" fontId="5" fillId="2" borderId="28" xfId="0" applyFont="1" applyFill="1" applyBorder="1" applyAlignment="1">
      <alignment horizontal="center"/>
    </xf>
    <xf numFmtId="3" fontId="0" fillId="0" borderId="28" xfId="0" applyNumberFormat="1" applyFill="1" applyBorder="1" applyAlignment="1" applyProtection="1">
      <alignment horizontal="center"/>
    </xf>
    <xf numFmtId="165" fontId="3" fillId="0" borderId="117" xfId="0" applyNumberFormat="1" applyFont="1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</xf>
    <xf numFmtId="1" fontId="0" fillId="0" borderId="5" xfId="0" applyNumberFormat="1" applyFill="1" applyBorder="1" applyAlignment="1" applyProtection="1">
      <alignment horizontal="center"/>
    </xf>
    <xf numFmtId="3" fontId="0" fillId="0" borderId="5" xfId="0" applyNumberFormat="1" applyBorder="1"/>
    <xf numFmtId="5" fontId="3" fillId="0" borderId="76" xfId="0" applyNumberFormat="1" applyFont="1" applyBorder="1"/>
    <xf numFmtId="165" fontId="3" fillId="0" borderId="76" xfId="0" applyNumberFormat="1" applyFont="1" applyBorder="1"/>
    <xf numFmtId="1" fontId="0" fillId="0" borderId="5" xfId="0" applyNumberFormat="1" applyBorder="1"/>
    <xf numFmtId="165" fontId="3" fillId="0" borderId="72" xfId="0" applyNumberFormat="1" applyFont="1" applyBorder="1"/>
    <xf numFmtId="3" fontId="0" fillId="0" borderId="9" xfId="0" applyNumberFormat="1" applyBorder="1"/>
    <xf numFmtId="165" fontId="8" fillId="0" borderId="76" xfId="0" applyNumberFormat="1" applyFont="1" applyBorder="1"/>
    <xf numFmtId="0" fontId="0" fillId="0" borderId="85" xfId="0" applyBorder="1" applyAlignment="1">
      <alignment horizontal="center"/>
    </xf>
    <xf numFmtId="165" fontId="0" fillId="0" borderId="14" xfId="0" applyNumberFormat="1" applyFill="1" applyBorder="1"/>
    <xf numFmtId="165" fontId="0" fillId="0" borderId="1" xfId="0" applyNumberFormat="1" applyFill="1" applyBorder="1"/>
    <xf numFmtId="165" fontId="0" fillId="0" borderId="11" xfId="0" applyNumberFormat="1" applyFill="1" applyBorder="1"/>
    <xf numFmtId="0" fontId="3" fillId="0" borderId="2" xfId="0" applyFont="1" applyFill="1" applyBorder="1"/>
    <xf numFmtId="0" fontId="4" fillId="0" borderId="107" xfId="0" applyFont="1" applyFill="1" applyBorder="1"/>
    <xf numFmtId="165" fontId="3" fillId="0" borderId="12" xfId="0" applyNumberFormat="1" applyFont="1" applyFill="1" applyBorder="1" applyAlignment="1" applyProtection="1">
      <alignment horizontal="center"/>
    </xf>
    <xf numFmtId="165" fontId="3" fillId="4" borderId="34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76" xfId="0" applyNumberFormat="1" applyFont="1" applyBorder="1" applyAlignment="1">
      <alignment horizontal="center"/>
    </xf>
    <xf numFmtId="0" fontId="3" fillId="0" borderId="103" xfId="0" applyFont="1" applyBorder="1" applyAlignment="1">
      <alignment horizontal="right"/>
    </xf>
    <xf numFmtId="0" fontId="3" fillId="0" borderId="48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5" fontId="3" fillId="0" borderId="30" xfId="0" applyNumberFormat="1" applyFont="1" applyFill="1" applyBorder="1" applyAlignment="1" applyProtection="1">
      <alignment horizontal="center"/>
    </xf>
    <xf numFmtId="165" fontId="0" fillId="2" borderId="0" xfId="0" applyNumberFormat="1" applyFill="1" applyBorder="1" applyProtection="1">
      <protection locked="0"/>
    </xf>
    <xf numFmtId="166" fontId="1" fillId="6" borderId="1" xfId="0" applyNumberFormat="1" applyFont="1" applyFill="1" applyBorder="1" applyAlignment="1"/>
    <xf numFmtId="165" fontId="3" fillId="0" borderId="15" xfId="0" applyNumberFormat="1" applyFont="1" applyFill="1" applyBorder="1" applyProtection="1"/>
    <xf numFmtId="0" fontId="3" fillId="0" borderId="77" xfId="0" applyFont="1" applyBorder="1"/>
    <xf numFmtId="165" fontId="5" fillId="0" borderId="15" xfId="0" applyNumberFormat="1" applyFont="1" applyFill="1" applyBorder="1" applyAlignment="1" applyProtection="1">
      <alignment horizontal="right"/>
    </xf>
    <xf numFmtId="166" fontId="1" fillId="6" borderId="12" xfId="0" applyNumberFormat="1" applyFont="1" applyFill="1" applyBorder="1" applyAlignment="1"/>
    <xf numFmtId="165" fontId="0" fillId="2" borderId="21" xfId="0" applyNumberForma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166" fontId="1" fillId="6" borderId="86" xfId="0" applyNumberFormat="1" applyFont="1" applyFill="1" applyBorder="1" applyAlignment="1"/>
    <xf numFmtId="165" fontId="0" fillId="2" borderId="13" xfId="0" applyNumberFormat="1" applyFill="1" applyBorder="1" applyProtection="1">
      <protection locked="0"/>
    </xf>
    <xf numFmtId="0" fontId="5" fillId="0" borderId="31" xfId="0" applyFont="1" applyBorder="1" applyAlignment="1">
      <alignment horizontal="right"/>
    </xf>
    <xf numFmtId="0" fontId="3" fillId="0" borderId="86" xfId="0" applyFont="1" applyBorder="1" applyAlignment="1">
      <alignment horizontal="center"/>
    </xf>
    <xf numFmtId="0" fontId="3" fillId="4" borderId="86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86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65" fontId="3" fillId="4" borderId="86" xfId="0" applyNumberFormat="1" applyFont="1" applyFill="1" applyBorder="1"/>
    <xf numFmtId="0" fontId="3" fillId="0" borderId="89" xfId="0" applyFont="1" applyBorder="1"/>
    <xf numFmtId="165" fontId="3" fillId="0" borderId="87" xfId="0" applyNumberFormat="1" applyFont="1" applyFill="1" applyBorder="1" applyProtection="1"/>
    <xf numFmtId="0" fontId="3" fillId="0" borderId="87" xfId="0" applyFont="1" applyFill="1" applyBorder="1" applyAlignment="1" applyProtection="1">
      <alignment horizontal="center"/>
    </xf>
    <xf numFmtId="165" fontId="5" fillId="0" borderId="86" xfId="0" applyNumberFormat="1" applyFont="1" applyFill="1" applyBorder="1" applyAlignment="1" applyProtection="1">
      <alignment horizontal="right"/>
    </xf>
    <xf numFmtId="165" fontId="5" fillId="0" borderId="94" xfId="0" applyNumberFormat="1" applyFont="1" applyFill="1" applyBorder="1" applyAlignment="1" applyProtection="1">
      <alignment horizontal="right"/>
    </xf>
    <xf numFmtId="165" fontId="5" fillId="0" borderId="118" xfId="0" applyNumberFormat="1" applyFont="1" applyFill="1" applyBorder="1" applyAlignment="1" applyProtection="1">
      <alignment horizontal="right"/>
    </xf>
    <xf numFmtId="165" fontId="3" fillId="4" borderId="87" xfId="0" applyNumberFormat="1" applyFont="1" applyFill="1" applyBorder="1"/>
    <xf numFmtId="165" fontId="3" fillId="4" borderId="40" xfId="0" applyNumberFormat="1" applyFont="1" applyFill="1" applyBorder="1"/>
    <xf numFmtId="165" fontId="3" fillId="0" borderId="48" xfId="0" applyNumberFormat="1" applyFont="1" applyFill="1" applyBorder="1"/>
    <xf numFmtId="165" fontId="3" fillId="0" borderId="87" xfId="0" applyNumberFormat="1" applyFont="1" applyFill="1" applyBorder="1"/>
    <xf numFmtId="165" fontId="3" fillId="0" borderId="40" xfId="0" applyNumberFormat="1" applyFont="1" applyFill="1" applyBorder="1"/>
    <xf numFmtId="165" fontId="3" fillId="4" borderId="8" xfId="0" applyNumberFormat="1" applyFont="1" applyFill="1" applyBorder="1"/>
    <xf numFmtId="165" fontId="3" fillId="4" borderId="12" xfId="0" applyNumberFormat="1" applyFont="1" applyFill="1" applyBorder="1"/>
    <xf numFmtId="165" fontId="3" fillId="4" borderId="18" xfId="0" applyNumberFormat="1" applyFont="1" applyFill="1" applyBorder="1"/>
    <xf numFmtId="165" fontId="3" fillId="0" borderId="37" xfId="0" applyNumberFormat="1" applyFont="1" applyFill="1" applyBorder="1"/>
    <xf numFmtId="165" fontId="3" fillId="0" borderId="12" xfId="0" applyNumberFormat="1" applyFont="1" applyFill="1" applyBorder="1"/>
    <xf numFmtId="165" fontId="3" fillId="0" borderId="18" xfId="0" applyNumberFormat="1" applyFont="1" applyFill="1" applyBorder="1"/>
    <xf numFmtId="3" fontId="3" fillId="0" borderId="48" xfId="0" applyNumberFormat="1" applyFont="1" applyBorder="1" applyAlignment="1">
      <alignment horizontal="center"/>
    </xf>
    <xf numFmtId="165" fontId="3" fillId="0" borderId="19" xfId="0" applyNumberFormat="1" applyFont="1" applyBorder="1"/>
    <xf numFmtId="3" fontId="3" fillId="0" borderId="37" xfId="0" applyNumberFormat="1" applyFont="1" applyBorder="1" applyAlignment="1">
      <alignment horizontal="center"/>
    </xf>
    <xf numFmtId="3" fontId="3" fillId="0" borderId="60" xfId="0" applyNumberFormat="1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165" fontId="3" fillId="0" borderId="15" xfId="0" applyNumberFormat="1" applyFont="1" applyFill="1" applyBorder="1" applyAlignment="1" applyProtection="1">
      <alignment horizontal="left"/>
    </xf>
    <xf numFmtId="0" fontId="3" fillId="0" borderId="101" xfId="0" applyFont="1" applyFill="1" applyBorder="1" applyAlignment="1"/>
    <xf numFmtId="0" fontId="3" fillId="0" borderId="70" xfId="0" applyFont="1" applyFill="1" applyBorder="1" applyAlignment="1">
      <alignment horizontal="center"/>
    </xf>
    <xf numFmtId="165" fontId="3" fillId="0" borderId="119" xfId="0" applyNumberFormat="1" applyFont="1" applyBorder="1" applyAlignment="1">
      <alignment horizontal="center"/>
    </xf>
    <xf numFmtId="165" fontId="3" fillId="0" borderId="71" xfId="0" applyNumberFormat="1" applyFont="1" applyBorder="1"/>
    <xf numFmtId="0" fontId="3" fillId="0" borderId="67" xfId="0" applyFont="1" applyBorder="1" applyAlignment="1">
      <alignment horizontal="center"/>
    </xf>
    <xf numFmtId="165" fontId="3" fillId="0" borderId="45" xfId="0" applyNumberFormat="1" applyFont="1" applyBorder="1" applyAlignment="1">
      <alignment horizontal="right"/>
    </xf>
    <xf numFmtId="165" fontId="3" fillId="0" borderId="64" xfId="0" applyNumberFormat="1" applyFont="1" applyBorder="1" applyAlignment="1">
      <alignment horizontal="center"/>
    </xf>
    <xf numFmtId="170" fontId="5" fillId="2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6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0" fontId="0" fillId="0" borderId="11" xfId="0" applyFill="1" applyBorder="1" applyProtection="1"/>
    <xf numFmtId="0" fontId="3" fillId="0" borderId="0" xfId="0" applyFont="1" applyAlignment="1">
      <alignment horizontal="right"/>
    </xf>
    <xf numFmtId="3" fontId="0" fillId="0" borderId="34" xfId="0" applyNumberFormat="1" applyFill="1" applyBorder="1" applyAlignment="1">
      <alignment horizontal="right"/>
    </xf>
    <xf numFmtId="9" fontId="0" fillId="0" borderId="20" xfId="0" applyNumberFormat="1" applyFill="1" applyBorder="1"/>
    <xf numFmtId="0" fontId="0" fillId="0" borderId="20" xfId="0" applyFill="1" applyBorder="1" applyProtection="1"/>
    <xf numFmtId="165" fontId="0" fillId="0" borderId="41" xfId="0" applyNumberFormat="1" applyFill="1" applyBorder="1"/>
    <xf numFmtId="165" fontId="0" fillId="0" borderId="102" xfId="0" applyNumberFormat="1" applyFill="1" applyBorder="1"/>
    <xf numFmtId="165" fontId="0" fillId="4" borderId="12" xfId="0" applyNumberFormat="1" applyFill="1" applyBorder="1"/>
    <xf numFmtId="0" fontId="3" fillId="0" borderId="4" xfId="0" applyFont="1" applyBorder="1" applyAlignment="1">
      <alignment horizontal="left"/>
    </xf>
    <xf numFmtId="170" fontId="5" fillId="4" borderId="1" xfId="0" applyNumberFormat="1" applyFont="1" applyFill="1" applyBorder="1" applyAlignment="1">
      <alignment horizontal="center"/>
    </xf>
    <xf numFmtId="170" fontId="5" fillId="0" borderId="1" xfId="0" applyNumberFormat="1" applyFont="1" applyFill="1" applyBorder="1" applyAlignment="1">
      <alignment horizontal="center"/>
    </xf>
    <xf numFmtId="170" fontId="5" fillId="4" borderId="14" xfId="0" applyNumberFormat="1" applyFont="1" applyFill="1" applyBorder="1" applyAlignment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3" fontId="5" fillId="4" borderId="14" xfId="0" applyNumberFormat="1" applyFont="1" applyFill="1" applyBorder="1" applyAlignment="1">
      <alignment horizontal="center"/>
    </xf>
    <xf numFmtId="0" fontId="3" fillId="0" borderId="120" xfId="0" applyFont="1" applyBorder="1"/>
    <xf numFmtId="0" fontId="3" fillId="0" borderId="120" xfId="0" applyFont="1" applyBorder="1" applyAlignment="1">
      <alignment horizontal="right"/>
    </xf>
    <xf numFmtId="0" fontId="3" fillId="0" borderId="74" xfId="0" applyFont="1" applyBorder="1"/>
    <xf numFmtId="0" fontId="0" fillId="0" borderId="28" xfId="0" applyBorder="1" applyAlignment="1">
      <alignment horizontal="center"/>
    </xf>
    <xf numFmtId="0" fontId="3" fillId="0" borderId="121" xfId="0" applyFont="1" applyBorder="1"/>
    <xf numFmtId="0" fontId="3" fillId="0" borderId="28" xfId="0" applyFont="1" applyFill="1" applyBorder="1"/>
    <xf numFmtId="3" fontId="0" fillId="0" borderId="14" xfId="0" applyNumberFormat="1" applyFill="1" applyBorder="1" applyAlignment="1" applyProtection="1">
      <alignment horizontal="center"/>
    </xf>
    <xf numFmtId="3" fontId="0" fillId="0" borderId="27" xfId="0" applyNumberFormat="1" applyFill="1" applyBorder="1" applyAlignment="1" applyProtection="1">
      <alignment horizontal="center"/>
    </xf>
    <xf numFmtId="0" fontId="3" fillId="0" borderId="117" xfId="0" applyFont="1" applyFill="1" applyBorder="1"/>
    <xf numFmtId="0" fontId="3" fillId="4" borderId="5" xfId="0" applyFont="1" applyFill="1" applyBorder="1" applyAlignment="1"/>
    <xf numFmtId="0" fontId="3" fillId="0" borderId="21" xfId="0" applyFont="1" applyBorder="1"/>
    <xf numFmtId="0" fontId="5" fillId="2" borderId="14" xfId="0" applyFont="1" applyFill="1" applyBorder="1" applyProtection="1">
      <protection locked="0"/>
    </xf>
    <xf numFmtId="3" fontId="0" fillId="2" borderId="20" xfId="0" applyNumberFormat="1" applyFill="1" applyBorder="1" applyProtection="1">
      <protection locked="0"/>
    </xf>
    <xf numFmtId="3" fontId="0" fillId="0" borderId="20" xfId="0" applyNumberFormat="1" applyFill="1" applyBorder="1" applyProtection="1"/>
    <xf numFmtId="0" fontId="0" fillId="0" borderId="114" xfId="0" applyBorder="1"/>
    <xf numFmtId="0" fontId="0" fillId="0" borderId="79" xfId="0" applyBorder="1"/>
    <xf numFmtId="0" fontId="0" fillId="0" borderId="10" xfId="0" applyFill="1" applyBorder="1"/>
    <xf numFmtId="0" fontId="0" fillId="0" borderId="7" xfId="0" applyFill="1" applyBorder="1"/>
    <xf numFmtId="0" fontId="3" fillId="4" borderId="11" xfId="0" applyFont="1" applyFill="1" applyBorder="1" applyAlignment="1"/>
    <xf numFmtId="3" fontId="5" fillId="4" borderId="11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3" fillId="0" borderId="18" xfId="0" applyFont="1" applyFill="1" applyBorder="1" applyAlignment="1"/>
    <xf numFmtId="3" fontId="5" fillId="0" borderId="11" xfId="0" applyNumberFormat="1" applyFont="1" applyFill="1" applyBorder="1" applyAlignment="1">
      <alignment horizontal="center"/>
    </xf>
    <xf numFmtId="3" fontId="5" fillId="0" borderId="18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3" fontId="5" fillId="2" borderId="11" xfId="0" applyNumberFormat="1" applyFont="1" applyFill="1" applyBorder="1" applyAlignment="1" applyProtection="1">
      <alignment horizontal="center"/>
      <protection locked="0"/>
    </xf>
    <xf numFmtId="42" fontId="5" fillId="2" borderId="11" xfId="0" applyNumberFormat="1" applyFont="1" applyFill="1" applyBorder="1" applyAlignment="1" applyProtection="1">
      <alignment horizontal="center"/>
      <protection locked="0"/>
    </xf>
    <xf numFmtId="165" fontId="5" fillId="0" borderId="1" xfId="0" applyNumberFormat="1" applyFont="1" applyFill="1" applyBorder="1" applyProtection="1"/>
    <xf numFmtId="0" fontId="5" fillId="0" borderId="1" xfId="0" applyFont="1" applyFill="1" applyBorder="1" applyProtection="1"/>
    <xf numFmtId="1" fontId="0" fillId="0" borderId="1" xfId="0" applyNumberFormat="1" applyFill="1" applyBorder="1" applyProtection="1"/>
    <xf numFmtId="165" fontId="3" fillId="0" borderId="0" xfId="0" applyNumberFormat="1" applyFont="1" applyFill="1" applyBorder="1" applyAlignment="1" applyProtection="1">
      <alignment horizontal="left"/>
    </xf>
    <xf numFmtId="0" fontId="5" fillId="2" borderId="13" xfId="0" applyFont="1" applyFill="1" applyBorder="1" applyProtection="1">
      <protection locked="0"/>
    </xf>
    <xf numFmtId="165" fontId="3" fillId="0" borderId="73" xfId="0" applyNumberFormat="1" applyFont="1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10" fontId="0" fillId="0" borderId="16" xfId="0" applyNumberFormat="1" applyFill="1" applyBorder="1" applyProtection="1"/>
    <xf numFmtId="10" fontId="0" fillId="0" borderId="23" xfId="0" applyNumberFormat="1" applyFill="1" applyBorder="1" applyProtection="1"/>
    <xf numFmtId="3" fontId="0" fillId="2" borderId="22" xfId="0" applyNumberFormat="1" applyFill="1" applyBorder="1" applyProtection="1">
      <protection locked="0"/>
    </xf>
    <xf numFmtId="0" fontId="3" fillId="0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165" fontId="0" fillId="0" borderId="17" xfId="0" applyNumberFormat="1" applyFill="1" applyBorder="1" applyAlignment="1">
      <alignment horizontal="right"/>
    </xf>
    <xf numFmtId="3" fontId="0" fillId="0" borderId="15" xfId="0" applyNumberFormat="1" applyFill="1" applyBorder="1" applyAlignment="1">
      <alignment horizontal="right"/>
    </xf>
    <xf numFmtId="3" fontId="0" fillId="4" borderId="15" xfId="0" applyNumberFormat="1" applyFill="1" applyBorder="1"/>
    <xf numFmtId="0" fontId="0" fillId="0" borderId="108" xfId="0" applyFill="1" applyBorder="1"/>
    <xf numFmtId="0" fontId="3" fillId="4" borderId="3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8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3" fontId="3" fillId="0" borderId="30" xfId="0" applyNumberFormat="1" applyFont="1" applyBorder="1"/>
    <xf numFmtId="3" fontId="3" fillId="4" borderId="30" xfId="0" applyNumberFormat="1" applyFont="1" applyFill="1" applyBorder="1"/>
    <xf numFmtId="165" fontId="0" fillId="4" borderId="31" xfId="0" applyNumberFormat="1" applyFill="1" applyBorder="1"/>
    <xf numFmtId="0" fontId="0" fillId="0" borderId="122" xfId="0" applyBorder="1"/>
    <xf numFmtId="165" fontId="3" fillId="0" borderId="104" xfId="0" applyNumberFormat="1" applyFont="1" applyBorder="1"/>
    <xf numFmtId="3" fontId="5" fillId="0" borderId="122" xfId="0" applyNumberFormat="1" applyFont="1" applyBorder="1"/>
    <xf numFmtId="165" fontId="3" fillId="0" borderId="104" xfId="0" applyNumberFormat="1" applyFont="1" applyBorder="1" applyAlignment="1">
      <alignment horizontal="center"/>
    </xf>
    <xf numFmtId="165" fontId="3" fillId="4" borderId="77" xfId="0" applyNumberFormat="1" applyFont="1" applyFill="1" applyBorder="1"/>
    <xf numFmtId="3" fontId="5" fillId="0" borderId="32" xfId="0" applyNumberFormat="1" applyFont="1" applyBorder="1"/>
    <xf numFmtId="3" fontId="5" fillId="0" borderId="123" xfId="0" applyNumberFormat="1" applyFont="1" applyBorder="1"/>
    <xf numFmtId="165" fontId="3" fillId="0" borderId="77" xfId="0" applyNumberFormat="1" applyFont="1" applyBorder="1"/>
    <xf numFmtId="165" fontId="3" fillId="0" borderId="87" xfId="0" applyNumberFormat="1" applyFont="1" applyBorder="1"/>
    <xf numFmtId="3" fontId="5" fillId="0" borderId="10" xfId="0" applyNumberFormat="1" applyFont="1" applyBorder="1"/>
    <xf numFmtId="3" fontId="5" fillId="4" borderId="32" xfId="0" applyNumberFormat="1" applyFont="1" applyFill="1" applyBorder="1"/>
    <xf numFmtId="3" fontId="5" fillId="4" borderId="123" xfId="0" applyNumberFormat="1" applyFont="1" applyFill="1" applyBorder="1"/>
    <xf numFmtId="3" fontId="5" fillId="4" borderId="10" xfId="0" applyNumberFormat="1" applyFont="1" applyFill="1" applyBorder="1"/>
    <xf numFmtId="0" fontId="0" fillId="0" borderId="70" xfId="0" applyBorder="1"/>
    <xf numFmtId="1" fontId="0" fillId="4" borderId="124" xfId="0" applyNumberFormat="1" applyFill="1" applyBorder="1" applyAlignment="1" applyProtection="1">
      <alignment horizontal="center"/>
    </xf>
    <xf numFmtId="165" fontId="0" fillId="0" borderId="94" xfId="0" applyNumberFormat="1" applyFill="1" applyBorder="1" applyAlignment="1" applyProtection="1">
      <alignment horizontal="right"/>
    </xf>
    <xf numFmtId="1" fontId="0" fillId="0" borderId="15" xfId="0" applyNumberFormat="1" applyFill="1" applyBorder="1" applyProtection="1"/>
    <xf numFmtId="0" fontId="0" fillId="0" borderId="115" xfId="0" applyBorder="1"/>
    <xf numFmtId="0" fontId="0" fillId="0" borderId="10" xfId="0" applyBorder="1"/>
    <xf numFmtId="0" fontId="3" fillId="0" borderId="28" xfId="0" applyFont="1" applyBorder="1" applyAlignment="1">
      <alignment horizontal="right"/>
    </xf>
    <xf numFmtId="0" fontId="0" fillId="0" borderId="22" xfId="0" applyBorder="1"/>
    <xf numFmtId="0" fontId="3" fillId="0" borderId="31" xfId="0" applyFont="1" applyBorder="1" applyAlignment="1">
      <alignment horizontal="right"/>
    </xf>
    <xf numFmtId="165" fontId="0" fillId="0" borderId="14" xfId="0" applyNumberFormat="1" applyFill="1" applyBorder="1" applyProtection="1"/>
    <xf numFmtId="0" fontId="3" fillId="0" borderId="16" xfId="0" applyFont="1" applyFill="1" applyBorder="1" applyAlignment="1" applyProtection="1">
      <alignment horizontal="center"/>
    </xf>
    <xf numFmtId="0" fontId="0" fillId="2" borderId="58" xfId="0" applyFill="1" applyBorder="1" applyAlignment="1">
      <alignment horizontal="center"/>
    </xf>
    <xf numFmtId="0" fontId="3" fillId="0" borderId="49" xfId="0" applyFont="1" applyFill="1" applyBorder="1" applyAlignment="1">
      <alignment horizontal="center"/>
    </xf>
    <xf numFmtId="0" fontId="0" fillId="0" borderId="0" xfId="0" applyFill="1"/>
    <xf numFmtId="165" fontId="3" fillId="0" borderId="3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  <protection locked="0"/>
    </xf>
    <xf numFmtId="3" fontId="5" fillId="4" borderId="18" xfId="0" applyNumberFormat="1" applyFont="1" applyFill="1" applyBorder="1" applyAlignment="1">
      <alignment horizontal="center"/>
    </xf>
    <xf numFmtId="165" fontId="3" fillId="0" borderId="125" xfId="0" applyNumberFormat="1" applyFont="1" applyFill="1" applyBorder="1" applyAlignment="1" applyProtection="1">
      <alignment horizontal="right"/>
    </xf>
    <xf numFmtId="3" fontId="0" fillId="4" borderId="21" xfId="0" applyNumberFormat="1" applyFill="1" applyBorder="1"/>
    <xf numFmtId="165" fontId="3" fillId="0" borderId="69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 applyProtection="1">
      <alignment horizontal="right"/>
    </xf>
    <xf numFmtId="165" fontId="3" fillId="0" borderId="14" xfId="0" applyNumberFormat="1" applyFont="1" applyFill="1" applyBorder="1" applyProtection="1"/>
    <xf numFmtId="1" fontId="3" fillId="0" borderId="1" xfId="0" applyNumberFormat="1" applyFont="1" applyFill="1" applyBorder="1" applyProtection="1"/>
    <xf numFmtId="165" fontId="3" fillId="0" borderId="94" xfId="0" applyNumberFormat="1" applyFont="1" applyFill="1" applyBorder="1" applyAlignment="1" applyProtection="1">
      <alignment horizontal="right"/>
    </xf>
    <xf numFmtId="165" fontId="3" fillId="0" borderId="30" xfId="0" applyNumberFormat="1" applyFont="1" applyFill="1" applyBorder="1" applyProtection="1"/>
    <xf numFmtId="1" fontId="3" fillId="0" borderId="15" xfId="0" applyNumberFormat="1" applyFont="1" applyFill="1" applyBorder="1" applyProtection="1"/>
    <xf numFmtId="165" fontId="3" fillId="0" borderId="126" xfId="0" applyNumberFormat="1" applyFont="1" applyFill="1" applyBorder="1" applyProtection="1"/>
    <xf numFmtId="1" fontId="3" fillId="0" borderId="126" xfId="0" applyNumberFormat="1" applyFont="1" applyFill="1" applyBorder="1" applyProtection="1"/>
    <xf numFmtId="0" fontId="3" fillId="0" borderId="126" xfId="0" applyFont="1" applyBorder="1"/>
    <xf numFmtId="0" fontId="3" fillId="0" borderId="126" xfId="0" applyFont="1" applyBorder="1" applyAlignment="1">
      <alignment horizontal="center"/>
    </xf>
    <xf numFmtId="165" fontId="3" fillId="0" borderId="46" xfId="0" applyNumberFormat="1" applyFont="1" applyBorder="1" applyAlignment="1">
      <alignment horizontal="right"/>
    </xf>
    <xf numFmtId="1" fontId="0" fillId="0" borderId="18" xfId="0" applyNumberFormat="1" applyBorder="1" applyAlignment="1">
      <alignment horizontal="center"/>
    </xf>
    <xf numFmtId="165" fontId="8" fillId="0" borderId="17" xfId="0" applyNumberFormat="1" applyFont="1" applyFill="1" applyBorder="1"/>
    <xf numFmtId="3" fontId="0" fillId="0" borderId="0" xfId="0" applyNumberFormat="1"/>
    <xf numFmtId="165" fontId="0" fillId="0" borderId="0" xfId="0" applyNumberFormat="1" applyBorder="1"/>
    <xf numFmtId="165" fontId="0" fillId="0" borderId="77" xfId="0" applyNumberFormat="1" applyBorder="1"/>
    <xf numFmtId="165" fontId="0" fillId="0" borderId="13" xfId="0" applyNumberFormat="1" applyBorder="1"/>
    <xf numFmtId="165" fontId="0" fillId="0" borderId="87" xfId="0" applyNumberFormat="1" applyBorder="1"/>
    <xf numFmtId="165" fontId="0" fillId="0" borderId="12" xfId="0" applyNumberFormat="1" applyBorder="1"/>
    <xf numFmtId="165" fontId="0" fillId="0" borderId="41" xfId="0" applyNumberFormat="1" applyBorder="1"/>
    <xf numFmtId="165" fontId="0" fillId="0" borderId="50" xfId="0" applyNumberFormat="1" applyBorder="1"/>
    <xf numFmtId="3" fontId="0" fillId="0" borderId="4" xfId="0" applyNumberFormat="1" applyBorder="1"/>
    <xf numFmtId="3" fontId="0" fillId="0" borderId="77" xfId="0" applyNumberFormat="1" applyBorder="1"/>
    <xf numFmtId="0" fontId="1" fillId="0" borderId="44" xfId="0" applyNumberFormat="1" applyFont="1" applyBorder="1" applyAlignment="1"/>
    <xf numFmtId="0" fontId="1" fillId="0" borderId="46" xfId="0" applyNumberFormat="1" applyFont="1" applyBorder="1" applyAlignment="1"/>
    <xf numFmtId="0" fontId="1" fillId="0" borderId="42" xfId="0" applyNumberFormat="1" applyFont="1" applyBorder="1" applyAlignment="1"/>
    <xf numFmtId="0" fontId="1" fillId="0" borderId="104" xfId="0" applyNumberFormat="1" applyFont="1" applyBorder="1" applyAlignment="1"/>
    <xf numFmtId="0" fontId="3" fillId="0" borderId="105" xfId="0" applyNumberFormat="1" applyFont="1" applyBorder="1" applyAlignment="1"/>
    <xf numFmtId="0" fontId="0" fillId="0" borderId="3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5" fontId="0" fillId="3" borderId="50" xfId="0" applyNumberFormat="1" applyFill="1" applyBorder="1"/>
    <xf numFmtId="165" fontId="0" fillId="3" borderId="13" xfId="0" applyNumberFormat="1" applyFill="1" applyBorder="1"/>
    <xf numFmtId="165" fontId="0" fillId="3" borderId="12" xfId="0" applyNumberFormat="1" applyFill="1" applyBorder="1"/>
    <xf numFmtId="165" fontId="0" fillId="3" borderId="18" xfId="0" applyNumberFormat="1" applyFill="1" applyBorder="1"/>
    <xf numFmtId="165" fontId="0" fillId="0" borderId="29" xfId="0" applyNumberFormat="1" applyBorder="1"/>
    <xf numFmtId="3" fontId="0" fillId="0" borderId="38" xfId="0" applyNumberFormat="1" applyBorder="1"/>
    <xf numFmtId="3" fontId="0" fillId="0" borderId="35" xfId="0" applyNumberFormat="1" applyBorder="1"/>
    <xf numFmtId="3" fontId="0" fillId="0" borderId="48" xfId="0" applyNumberFormat="1" applyBorder="1"/>
    <xf numFmtId="165" fontId="0" fillId="3" borderId="4" xfId="0" applyNumberFormat="1" applyFill="1" applyBorder="1"/>
    <xf numFmtId="165" fontId="0" fillId="3" borderId="52" xfId="0" applyNumberFormat="1" applyFill="1" applyBorder="1"/>
    <xf numFmtId="0" fontId="3" fillId="0" borderId="0" xfId="0" applyNumberFormat="1" applyFont="1" applyBorder="1" applyAlignment="1"/>
    <xf numFmtId="3" fontId="0" fillId="3" borderId="53" xfId="0" applyNumberFormat="1" applyFill="1" applyBorder="1"/>
    <xf numFmtId="165" fontId="0" fillId="3" borderId="21" xfId="0" applyNumberFormat="1" applyFill="1" applyBorder="1"/>
    <xf numFmtId="165" fontId="0" fillId="0" borderId="15" xfId="0" quotePrefix="1" applyNumberFormat="1" applyFill="1" applyBorder="1" applyProtection="1"/>
    <xf numFmtId="165" fontId="0" fillId="0" borderId="15" xfId="0" quotePrefix="1" applyNumberFormat="1" applyFill="1" applyBorder="1" applyAlignment="1" applyProtection="1">
      <alignment horizontal="right"/>
    </xf>
    <xf numFmtId="1" fontId="0" fillId="0" borderId="15" xfId="0" quotePrefix="1" applyNumberFormat="1" applyFill="1" applyBorder="1" applyAlignment="1" applyProtection="1">
      <alignment horizontal="center"/>
    </xf>
    <xf numFmtId="0" fontId="0" fillId="0" borderId="87" xfId="0" quotePrefix="1" applyFill="1" applyBorder="1" applyAlignment="1" applyProtection="1">
      <alignment horizontal="center"/>
    </xf>
    <xf numFmtId="0" fontId="3" fillId="0" borderId="87" xfId="0" quotePrefix="1" applyFont="1" applyFill="1" applyBorder="1" applyAlignment="1" applyProtection="1">
      <alignment horizontal="left"/>
    </xf>
    <xf numFmtId="165" fontId="0" fillId="0" borderId="24" xfId="0" quotePrefix="1" applyNumberFormat="1" applyBorder="1"/>
    <xf numFmtId="165" fontId="0" fillId="0" borderId="24" xfId="0" applyNumberFormat="1" applyBorder="1" applyAlignment="1">
      <alignment horizontal="center"/>
    </xf>
    <xf numFmtId="165" fontId="3" fillId="4" borderId="12" xfId="0" applyNumberFormat="1" applyFont="1" applyFill="1" applyBorder="1" applyAlignment="1" applyProtection="1">
      <alignment horizontal="center"/>
    </xf>
    <xf numFmtId="3" fontId="0" fillId="3" borderId="35" xfId="0" applyNumberFormat="1" applyFill="1" applyBorder="1"/>
    <xf numFmtId="3" fontId="0" fillId="0" borderId="98" xfId="0" applyNumberFormat="1" applyBorder="1"/>
    <xf numFmtId="3" fontId="0" fillId="0" borderId="28" xfId="0" applyNumberFormat="1" applyBorder="1"/>
    <xf numFmtId="165" fontId="0" fillId="0" borderId="98" xfId="0" applyNumberFormat="1" applyBorder="1"/>
    <xf numFmtId="0" fontId="0" fillId="0" borderId="98" xfId="0" applyBorder="1"/>
    <xf numFmtId="0" fontId="6" fillId="0" borderId="66" xfId="0" applyFont="1" applyFill="1" applyBorder="1"/>
    <xf numFmtId="3" fontId="0" fillId="0" borderId="35" xfId="0" applyNumberFormat="1" applyFill="1" applyBorder="1"/>
    <xf numFmtId="3" fontId="0" fillId="0" borderId="53" xfId="0" applyNumberFormat="1" applyFill="1" applyBorder="1"/>
    <xf numFmtId="0" fontId="3" fillId="0" borderId="127" xfId="0" applyFont="1" applyBorder="1"/>
    <xf numFmtId="0" fontId="0" fillId="0" borderId="103" xfId="0" applyBorder="1"/>
    <xf numFmtId="3" fontId="0" fillId="0" borderId="10" xfId="0" applyNumberFormat="1" applyFill="1" applyBorder="1" applyAlignment="1" applyProtection="1">
      <alignment horizontal="center"/>
    </xf>
    <xf numFmtId="0" fontId="0" fillId="0" borderId="29" xfId="0" applyFill="1" applyBorder="1"/>
    <xf numFmtId="3" fontId="3" fillId="0" borderId="21" xfId="0" applyNumberFormat="1" applyFont="1" applyFill="1" applyBorder="1" applyAlignment="1" applyProtection="1">
      <alignment horizontal="center"/>
    </xf>
    <xf numFmtId="3" fontId="3" fillId="0" borderId="41" xfId="0" applyNumberFormat="1" applyFont="1" applyFill="1" applyBorder="1" applyAlignment="1" applyProtection="1">
      <alignment horizontal="center"/>
    </xf>
    <xf numFmtId="3" fontId="3" fillId="0" borderId="57" xfId="0" applyNumberFormat="1" applyFont="1" applyFill="1" applyBorder="1" applyAlignment="1" applyProtection="1">
      <alignment horizontal="center"/>
    </xf>
    <xf numFmtId="3" fontId="3" fillId="0" borderId="73" xfId="0" applyNumberFormat="1" applyFont="1" applyFill="1" applyBorder="1" applyAlignment="1" applyProtection="1">
      <alignment horizontal="center"/>
    </xf>
    <xf numFmtId="3" fontId="3" fillId="0" borderId="58" xfId="0" applyNumberFormat="1" applyFont="1" applyFill="1" applyBorder="1" applyAlignment="1" applyProtection="1">
      <alignment horizontal="center"/>
    </xf>
    <xf numFmtId="3" fontId="3" fillId="0" borderId="56" xfId="0" applyNumberFormat="1" applyFont="1" applyFill="1" applyBorder="1" applyAlignment="1" applyProtection="1">
      <alignment horizontal="center"/>
    </xf>
    <xf numFmtId="3" fontId="3" fillId="0" borderId="16" xfId="0" applyNumberFormat="1" applyFont="1" applyFill="1" applyBorder="1" applyAlignment="1" applyProtection="1">
      <alignment horizontal="center"/>
    </xf>
    <xf numFmtId="0" fontId="4" fillId="0" borderId="128" xfId="0" applyFont="1" applyFill="1" applyBorder="1"/>
    <xf numFmtId="0" fontId="0" fillId="0" borderId="129" xfId="0" applyFill="1" applyBorder="1"/>
    <xf numFmtId="0" fontId="0" fillId="0" borderId="130" xfId="0" applyFill="1" applyBorder="1"/>
    <xf numFmtId="3" fontId="3" fillId="4" borderId="21" xfId="0" applyNumberFormat="1" applyFont="1" applyFill="1" applyBorder="1" applyAlignment="1" applyProtection="1">
      <alignment horizontal="center"/>
    </xf>
    <xf numFmtId="3" fontId="3" fillId="4" borderId="12" xfId="0" applyNumberFormat="1" applyFont="1" applyFill="1" applyBorder="1" applyAlignment="1" applyProtection="1">
      <alignment horizontal="center"/>
    </xf>
    <xf numFmtId="3" fontId="3" fillId="4" borderId="71" xfId="0" applyNumberFormat="1" applyFont="1" applyFill="1" applyBorder="1" applyAlignment="1" applyProtection="1">
      <alignment horizontal="center"/>
    </xf>
    <xf numFmtId="3" fontId="3" fillId="4" borderId="73" xfId="0" applyNumberFormat="1" applyFont="1" applyFill="1" applyBorder="1" applyAlignment="1" applyProtection="1">
      <alignment horizontal="center"/>
    </xf>
    <xf numFmtId="3" fontId="3" fillId="4" borderId="57" xfId="0" applyNumberFormat="1" applyFont="1" applyFill="1" applyBorder="1" applyAlignment="1" applyProtection="1">
      <alignment horizontal="center"/>
    </xf>
    <xf numFmtId="3" fontId="3" fillId="4" borderId="58" xfId="0" applyNumberFormat="1" applyFont="1" applyFill="1" applyBorder="1" applyAlignment="1" applyProtection="1">
      <alignment horizontal="center"/>
    </xf>
    <xf numFmtId="0" fontId="0" fillId="0" borderId="72" xfId="0" applyBorder="1"/>
    <xf numFmtId="165" fontId="0" fillId="2" borderId="86" xfId="0" applyNumberFormat="1" applyFill="1" applyBorder="1" applyProtection="1">
      <protection locked="0"/>
    </xf>
    <xf numFmtId="0" fontId="5" fillId="2" borderId="86" xfId="0" applyFont="1" applyFill="1" applyBorder="1" applyProtection="1">
      <protection locked="0"/>
    </xf>
    <xf numFmtId="0" fontId="5" fillId="0" borderId="86" xfId="0" applyFont="1" applyBorder="1"/>
    <xf numFmtId="0" fontId="4" fillId="0" borderId="131" xfId="0" applyFont="1" applyFill="1" applyBorder="1"/>
    <xf numFmtId="3" fontId="0" fillId="4" borderId="114" xfId="0" applyNumberFormat="1" applyFill="1" applyBorder="1" applyAlignment="1">
      <alignment horizontal="center"/>
    </xf>
    <xf numFmtId="5" fontId="3" fillId="4" borderId="30" xfId="0" applyNumberFormat="1" applyFont="1" applyFill="1" applyBorder="1" applyAlignment="1">
      <alignment horizontal="center"/>
    </xf>
    <xf numFmtId="5" fontId="3" fillId="4" borderId="15" xfId="0" applyNumberFormat="1" applyFont="1" applyFill="1" applyBorder="1" applyAlignment="1">
      <alignment horizontal="center"/>
    </xf>
    <xf numFmtId="5" fontId="3" fillId="4" borderId="17" xfId="0" applyNumberFormat="1" applyFont="1" applyFill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165" fontId="3" fillId="4" borderId="30" xfId="0" applyNumberFormat="1" applyFont="1" applyFill="1" applyBorder="1" applyAlignment="1">
      <alignment horizontal="center"/>
    </xf>
    <xf numFmtId="165" fontId="3" fillId="4" borderId="17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1" fontId="0" fillId="4" borderId="18" xfId="0" applyNumberFormat="1" applyFill="1" applyBorder="1" applyAlignment="1">
      <alignment horizontal="center"/>
    </xf>
    <xf numFmtId="165" fontId="3" fillId="4" borderId="73" xfId="0" applyNumberFormat="1" applyFont="1" applyFill="1" applyBorder="1" applyAlignment="1">
      <alignment horizontal="center"/>
    </xf>
    <xf numFmtId="165" fontId="3" fillId="4" borderId="57" xfId="0" applyNumberFormat="1" applyFont="1" applyFill="1" applyBorder="1" applyAlignment="1">
      <alignment horizontal="center"/>
    </xf>
    <xf numFmtId="165" fontId="3" fillId="4" borderId="58" xfId="0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5" fontId="3" fillId="0" borderId="30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165" fontId="3" fillId="0" borderId="30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165" fontId="3" fillId="0" borderId="56" xfId="0" applyNumberFormat="1" applyFont="1" applyBorder="1" applyAlignment="1">
      <alignment horizontal="center"/>
    </xf>
    <xf numFmtId="165" fontId="3" fillId="0" borderId="57" xfId="0" applyNumberFormat="1" applyFont="1" applyBorder="1" applyAlignment="1">
      <alignment horizontal="center"/>
    </xf>
    <xf numFmtId="165" fontId="3" fillId="0" borderId="58" xfId="0" applyNumberFormat="1" applyFont="1" applyBorder="1" applyAlignment="1">
      <alignment horizontal="center"/>
    </xf>
    <xf numFmtId="165" fontId="3" fillId="4" borderId="39" xfId="0" applyNumberFormat="1" applyFont="1" applyFill="1" applyBorder="1" applyAlignment="1">
      <alignment horizontal="center"/>
    </xf>
    <xf numFmtId="165" fontId="3" fillId="4" borderId="56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3" fillId="0" borderId="45" xfId="0" applyNumberFormat="1" applyFont="1" applyBorder="1" applyAlignment="1">
      <alignment horizontal="center"/>
    </xf>
    <xf numFmtId="165" fontId="3" fillId="4" borderId="69" xfId="0" applyNumberFormat="1" applyFont="1" applyFill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165" fontId="0" fillId="0" borderId="45" xfId="0" quotePrefix="1" applyNumberFormat="1" applyBorder="1"/>
    <xf numFmtId="3" fontId="5" fillId="0" borderId="124" xfId="0" applyNumberFormat="1" applyFont="1" applyFill="1" applyBorder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165" fontId="0" fillId="0" borderId="36" xfId="0" applyNumberFormat="1" applyBorder="1"/>
    <xf numFmtId="165" fontId="0" fillId="0" borderId="16" xfId="0" applyNumberFormat="1" applyBorder="1"/>
    <xf numFmtId="165" fontId="0" fillId="0" borderId="23" xfId="0" applyNumberFormat="1" applyBorder="1"/>
    <xf numFmtId="3" fontId="0" fillId="0" borderId="39" xfId="0" applyNumberFormat="1" applyBorder="1"/>
    <xf numFmtId="3" fontId="0" fillId="3" borderId="38" xfId="0" applyNumberFormat="1" applyFill="1" applyBorder="1"/>
    <xf numFmtId="165" fontId="0" fillId="3" borderId="54" xfId="0" applyNumberFormat="1" applyFill="1" applyBorder="1"/>
    <xf numFmtId="0" fontId="11" fillId="0" borderId="0" xfId="0" applyNumberFormat="1" applyFont="1" applyAlignment="1"/>
    <xf numFmtId="3" fontId="7" fillId="0" borderId="1" xfId="0" applyNumberFormat="1" applyFont="1" applyBorder="1"/>
    <xf numFmtId="165" fontId="7" fillId="0" borderId="1" xfId="0" applyNumberFormat="1" applyFont="1" applyBorder="1"/>
    <xf numFmtId="0" fontId="4" fillId="0" borderId="32" xfId="0" applyFont="1" applyBorder="1"/>
    <xf numFmtId="0" fontId="4" fillId="0" borderId="124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7" fillId="0" borderId="8" xfId="0" applyFont="1" applyBorder="1"/>
    <xf numFmtId="165" fontId="7" fillId="0" borderId="11" xfId="0" applyNumberFormat="1" applyFont="1" applyBorder="1"/>
    <xf numFmtId="0" fontId="7" fillId="0" borderId="39" xfId="0" applyFont="1" applyBorder="1"/>
    <xf numFmtId="3" fontId="7" fillId="0" borderId="15" xfId="0" applyNumberFormat="1" applyFont="1" applyBorder="1"/>
    <xf numFmtId="165" fontId="7" fillId="0" borderId="15" xfId="0" applyNumberFormat="1" applyFont="1" applyBorder="1"/>
    <xf numFmtId="165" fontId="7" fillId="0" borderId="17" xfId="0" applyNumberFormat="1" applyFont="1" applyBorder="1"/>
    <xf numFmtId="0" fontId="7" fillId="0" borderId="48" xfId="0" applyFont="1" applyBorder="1"/>
    <xf numFmtId="3" fontId="7" fillId="0" borderId="87" xfId="0" applyNumberFormat="1" applyFont="1" applyBorder="1"/>
    <xf numFmtId="165" fontId="7" fillId="0" borderId="87" xfId="0" applyNumberFormat="1" applyFont="1" applyBorder="1"/>
    <xf numFmtId="165" fontId="7" fillId="0" borderId="40" xfId="0" applyNumberFormat="1" applyFont="1" applyBorder="1"/>
    <xf numFmtId="170" fontId="5" fillId="0" borderId="14" xfId="0" applyNumberFormat="1" applyFont="1" applyFill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3" fontId="5" fillId="0" borderId="11" xfId="0" applyNumberFormat="1" applyFont="1" applyBorder="1"/>
    <xf numFmtId="1" fontId="5" fillId="4" borderId="21" xfId="0" applyNumberFormat="1" applyFont="1" applyFill="1" applyBorder="1" applyAlignment="1">
      <alignment horizontal="center"/>
    </xf>
    <xf numFmtId="1" fontId="5" fillId="0" borderId="21" xfId="0" applyNumberFormat="1" applyFont="1" applyFill="1" applyBorder="1" applyAlignment="1">
      <alignment horizontal="center"/>
    </xf>
    <xf numFmtId="1" fontId="5" fillId="0" borderId="14" xfId="0" applyNumberFormat="1" applyFont="1" applyFill="1" applyBorder="1" applyAlignment="1">
      <alignment horizontal="center"/>
    </xf>
    <xf numFmtId="3" fontId="0" fillId="0" borderId="33" xfId="0" applyNumberFormat="1" applyFill="1" applyBorder="1"/>
    <xf numFmtId="0" fontId="3" fillId="0" borderId="83" xfId="0" applyFont="1" applyBorder="1" applyAlignment="1">
      <alignment horizontal="center"/>
    </xf>
    <xf numFmtId="0" fontId="0" fillId="0" borderId="129" xfId="0" applyBorder="1"/>
    <xf numFmtId="171" fontId="5" fillId="2" borderId="1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/>
    <xf numFmtId="165" fontId="3" fillId="0" borderId="24" xfId="0" applyNumberFormat="1" applyFont="1" applyBorder="1" applyAlignment="1">
      <alignment horizontal="center"/>
    </xf>
    <xf numFmtId="0" fontId="0" fillId="7" borderId="77" xfId="0" applyFill="1" applyBorder="1"/>
    <xf numFmtId="3" fontId="0" fillId="0" borderId="0" xfId="0" applyNumberFormat="1" applyFill="1"/>
    <xf numFmtId="3" fontId="5" fillId="4" borderId="1" xfId="0" applyNumberFormat="1" applyFont="1" applyFill="1" applyBorder="1"/>
    <xf numFmtId="3" fontId="5" fillId="0" borderId="1" xfId="0" applyNumberFormat="1" applyFont="1" applyFill="1" applyBorder="1"/>
    <xf numFmtId="3" fontId="5" fillId="0" borderId="12" xfId="0" applyNumberFormat="1" applyFont="1" applyFill="1" applyBorder="1" applyAlignment="1" applyProtection="1">
      <alignment horizontal="center"/>
    </xf>
    <xf numFmtId="165" fontId="3" fillId="0" borderId="39" xfId="0" quotePrefix="1" applyNumberFormat="1" applyFont="1" applyBorder="1"/>
    <xf numFmtId="165" fontId="0" fillId="0" borderId="30" xfId="0" applyNumberFormat="1" applyFill="1" applyBorder="1"/>
    <xf numFmtId="3" fontId="0" fillId="0" borderId="28" xfId="0" applyNumberFormat="1" applyFill="1" applyBorder="1"/>
    <xf numFmtId="3" fontId="0" fillId="0" borderId="29" xfId="0" applyNumberFormat="1" applyBorder="1"/>
    <xf numFmtId="0" fontId="3" fillId="0" borderId="31" xfId="0" applyFont="1" applyFill="1" applyBorder="1"/>
    <xf numFmtId="0" fontId="3" fillId="0" borderId="4" xfId="0" applyFont="1" applyFill="1" applyBorder="1"/>
    <xf numFmtId="0" fontId="3" fillId="0" borderId="3" xfId="0" applyFont="1" applyFill="1" applyBorder="1"/>
    <xf numFmtId="165" fontId="3" fillId="0" borderId="14" xfId="0" applyNumberFormat="1" applyFont="1" applyBorder="1" applyAlignment="1">
      <alignment horizontal="right"/>
    </xf>
    <xf numFmtId="165" fontId="3" fillId="0" borderId="1" xfId="0" quotePrefix="1" applyNumberFormat="1" applyFont="1" applyFill="1" applyBorder="1" applyProtection="1"/>
    <xf numFmtId="165" fontId="3" fillId="4" borderId="15" xfId="0" quotePrefix="1" applyNumberFormat="1" applyFont="1" applyFill="1" applyBorder="1"/>
    <xf numFmtId="0" fontId="3" fillId="0" borderId="77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3" fontId="0" fillId="4" borderId="1" xfId="0" quotePrefix="1" applyNumberFormat="1" applyFill="1" applyBorder="1"/>
    <xf numFmtId="3" fontId="0" fillId="0" borderId="1" xfId="0" quotePrefix="1" applyNumberFormat="1" applyFill="1" applyBorder="1"/>
    <xf numFmtId="0" fontId="0" fillId="4" borderId="4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3" fillId="7" borderId="77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left"/>
    </xf>
    <xf numFmtId="0" fontId="0" fillId="0" borderId="113" xfId="0" applyBorder="1"/>
    <xf numFmtId="0" fontId="4" fillId="0" borderId="93" xfId="0" applyFont="1" applyBorder="1" applyAlignment="1">
      <alignment horizontal="center"/>
    </xf>
    <xf numFmtId="0" fontId="3" fillId="0" borderId="132" xfId="0" applyFont="1" applyBorder="1" applyAlignment="1">
      <alignment horizontal="center"/>
    </xf>
    <xf numFmtId="3" fontId="0" fillId="0" borderId="133" xfId="0" applyNumberFormat="1" applyBorder="1" applyAlignment="1">
      <alignment horizontal="center"/>
    </xf>
    <xf numFmtId="3" fontId="3" fillId="0" borderId="133" xfId="0" applyNumberFormat="1" applyFont="1" applyBorder="1" applyAlignment="1">
      <alignment horizontal="center"/>
    </xf>
    <xf numFmtId="3" fontId="3" fillId="0" borderId="134" xfId="0" applyNumberFormat="1" applyFont="1" applyBorder="1" applyAlignment="1">
      <alignment horizontal="center"/>
    </xf>
    <xf numFmtId="0" fontId="0" fillId="0" borderId="135" xfId="0" applyBorder="1"/>
    <xf numFmtId="3" fontId="3" fillId="0" borderId="61" xfId="0" applyNumberFormat="1" applyFont="1" applyBorder="1" applyAlignment="1">
      <alignment horizontal="center"/>
    </xf>
    <xf numFmtId="3" fontId="0" fillId="0" borderId="136" xfId="0" applyNumberFormat="1" applyBorder="1" applyAlignment="1">
      <alignment horizontal="center"/>
    </xf>
    <xf numFmtId="0" fontId="0" fillId="0" borderId="137" xfId="0" applyBorder="1"/>
    <xf numFmtId="165" fontId="3" fillId="0" borderId="138" xfId="0" applyNumberFormat="1" applyFont="1" applyBorder="1"/>
    <xf numFmtId="165" fontId="3" fillId="0" borderId="62" xfId="0" applyNumberFormat="1" applyFont="1" applyBorder="1" applyAlignment="1">
      <alignment horizontal="center"/>
    </xf>
    <xf numFmtId="3" fontId="3" fillId="0" borderId="107" xfId="0" applyNumberFormat="1" applyFont="1" applyBorder="1" applyAlignment="1">
      <alignment horizontal="center"/>
    </xf>
    <xf numFmtId="165" fontId="3" fillId="0" borderId="65" xfId="0" applyNumberFormat="1" applyFont="1" applyBorder="1" applyAlignment="1">
      <alignment horizontal="center"/>
    </xf>
    <xf numFmtId="3" fontId="0" fillId="0" borderId="139" xfId="0" applyNumberFormat="1" applyBorder="1" applyAlignment="1">
      <alignment horizontal="center"/>
    </xf>
    <xf numFmtId="3" fontId="0" fillId="0" borderId="134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3" fontId="3" fillId="0" borderId="138" xfId="0" applyNumberFormat="1" applyFon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8" fillId="4" borderId="73" xfId="0" applyNumberFormat="1" applyFont="1" applyFill="1" applyBorder="1" applyAlignment="1">
      <alignment horizontal="center"/>
    </xf>
    <xf numFmtId="3" fontId="8" fillId="4" borderId="57" xfId="0" applyNumberFormat="1" applyFont="1" applyFill="1" applyBorder="1"/>
    <xf numFmtId="165" fontId="8" fillId="4" borderId="58" xfId="0" applyNumberFormat="1" applyFont="1" applyFill="1" applyBorder="1"/>
    <xf numFmtId="165" fontId="8" fillId="0" borderId="58" xfId="0" applyNumberFormat="1" applyFont="1" applyFill="1" applyBorder="1"/>
    <xf numFmtId="165" fontId="8" fillId="0" borderId="58" xfId="0" applyNumberFormat="1" applyFont="1" applyBorder="1"/>
    <xf numFmtId="165" fontId="8" fillId="0" borderId="64" xfId="0" applyNumberFormat="1" applyFont="1" applyBorder="1"/>
    <xf numFmtId="165" fontId="8" fillId="0" borderId="56" xfId="0" applyNumberFormat="1" applyFont="1" applyBorder="1"/>
    <xf numFmtId="165" fontId="8" fillId="0" borderId="57" xfId="0" applyNumberFormat="1" applyFont="1" applyBorder="1"/>
    <xf numFmtId="165" fontId="8" fillId="0" borderId="56" xfId="0" applyNumberFormat="1" applyFont="1" applyBorder="1" applyAlignment="1">
      <alignment horizontal="center"/>
    </xf>
    <xf numFmtId="3" fontId="8" fillId="0" borderId="57" xfId="0" applyNumberFormat="1" applyFont="1" applyBorder="1"/>
    <xf numFmtId="0" fontId="3" fillId="0" borderId="36" xfId="0" applyFont="1" applyBorder="1"/>
    <xf numFmtId="0" fontId="3" fillId="0" borderId="24" xfId="0" applyFont="1" applyFill="1" applyBorder="1" applyAlignment="1">
      <alignment horizontal="right"/>
    </xf>
    <xf numFmtId="0" fontId="3" fillId="0" borderId="69" xfId="0" applyFont="1" applyFill="1" applyBorder="1" applyAlignment="1">
      <alignment horizontal="right"/>
    </xf>
    <xf numFmtId="0" fontId="6" fillId="0" borderId="130" xfId="0" applyFont="1" applyBorder="1"/>
    <xf numFmtId="0" fontId="5" fillId="0" borderId="22" xfId="0" applyFont="1" applyFill="1" applyBorder="1" applyAlignment="1">
      <alignment horizontal="right"/>
    </xf>
    <xf numFmtId="0" fontId="8" fillId="0" borderId="69" xfId="0" applyFont="1" applyFill="1" applyBorder="1" applyAlignment="1">
      <alignment horizontal="right"/>
    </xf>
    <xf numFmtId="0" fontId="7" fillId="0" borderId="108" xfId="0" applyFont="1" applyBorder="1"/>
    <xf numFmtId="0" fontId="0" fillId="0" borderId="77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3" fillId="7" borderId="0" xfId="0" applyFont="1" applyFill="1" applyBorder="1"/>
    <xf numFmtId="0" fontId="5" fillId="0" borderId="31" xfId="0" applyFont="1" applyFill="1" applyBorder="1" applyAlignment="1">
      <alignment horizontal="right"/>
    </xf>
    <xf numFmtId="0" fontId="0" fillId="0" borderId="77" xfId="0" applyFill="1" applyBorder="1" applyAlignment="1">
      <alignment horizontal="right"/>
    </xf>
    <xf numFmtId="0" fontId="3" fillId="7" borderId="3" xfId="0" applyFont="1" applyFill="1" applyBorder="1"/>
    <xf numFmtId="0" fontId="0" fillId="0" borderId="4" xfId="0" applyFill="1" applyBorder="1" applyAlignment="1">
      <alignment horizontal="right"/>
    </xf>
    <xf numFmtId="0" fontId="3" fillId="7" borderId="4" xfId="0" applyFont="1" applyFill="1" applyBorder="1"/>
    <xf numFmtId="3" fontId="3" fillId="0" borderId="2" xfId="0" applyNumberFormat="1" applyFont="1" applyBorder="1" applyAlignment="1">
      <alignment horizontal="right"/>
    </xf>
    <xf numFmtId="3" fontId="3" fillId="0" borderId="108" xfId="0" applyNumberFormat="1" applyFont="1" applyBorder="1"/>
    <xf numFmtId="0" fontId="3" fillId="0" borderId="16" xfId="0" applyFont="1" applyBorder="1" applyAlignment="1">
      <alignment horizontal="right"/>
    </xf>
    <xf numFmtId="0" fontId="3" fillId="0" borderId="100" xfId="0" applyFont="1" applyBorder="1" applyAlignment="1">
      <alignment horizontal="center" wrapText="1"/>
    </xf>
    <xf numFmtId="3" fontId="0" fillId="0" borderId="71" xfId="0" applyNumberFormat="1" applyFill="1" applyBorder="1" applyAlignment="1">
      <alignment horizontal="right"/>
    </xf>
    <xf numFmtId="1" fontId="0" fillId="0" borderId="22" xfId="0" applyNumberFormat="1" applyFill="1" applyBorder="1"/>
    <xf numFmtId="1" fontId="0" fillId="0" borderId="34" xfId="0" applyNumberFormat="1" applyFill="1" applyBorder="1"/>
    <xf numFmtId="0" fontId="0" fillId="2" borderId="8" xfId="0" applyFill="1" applyBorder="1" applyAlignment="1">
      <alignment horizontal="center"/>
    </xf>
    <xf numFmtId="0" fontId="0" fillId="2" borderId="86" xfId="0" applyFill="1" applyBorder="1" applyAlignment="1">
      <alignment horizontal="center"/>
    </xf>
    <xf numFmtId="0" fontId="0" fillId="0" borderId="84" xfId="0" applyBorder="1"/>
    <xf numFmtId="165" fontId="3" fillId="4" borderId="53" xfId="0" applyNumberFormat="1" applyFont="1" applyFill="1" applyBorder="1"/>
    <xf numFmtId="165" fontId="3" fillId="4" borderId="50" xfId="0" applyNumberFormat="1" applyFont="1" applyFill="1" applyBorder="1"/>
    <xf numFmtId="165" fontId="3" fillId="4" borderId="51" xfId="0" applyNumberFormat="1" applyFont="1" applyFill="1" applyBorder="1"/>
    <xf numFmtId="165" fontId="3" fillId="0" borderId="50" xfId="0" applyNumberFormat="1" applyFont="1" applyFill="1" applyBorder="1"/>
    <xf numFmtId="165" fontId="3" fillId="0" borderId="51" xfId="0" applyNumberFormat="1" applyFont="1" applyFill="1" applyBorder="1"/>
    <xf numFmtId="165" fontId="3" fillId="0" borderId="12" xfId="0" applyNumberFormat="1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0" fontId="3" fillId="0" borderId="5" xfId="0" applyFont="1" applyBorder="1"/>
    <xf numFmtId="0" fontId="3" fillId="0" borderId="28" xfId="0" applyFont="1" applyBorder="1"/>
    <xf numFmtId="165" fontId="3" fillId="0" borderId="21" xfId="0" applyNumberFormat="1" applyFont="1" applyBorder="1"/>
    <xf numFmtId="165" fontId="3" fillId="0" borderId="41" xfId="0" applyNumberFormat="1" applyFont="1" applyBorder="1"/>
    <xf numFmtId="165" fontId="3" fillId="0" borderId="18" xfId="0" applyNumberFormat="1" applyFont="1" applyBorder="1"/>
    <xf numFmtId="165" fontId="3" fillId="4" borderId="21" xfId="0" applyNumberFormat="1" applyFont="1" applyFill="1" applyBorder="1"/>
    <xf numFmtId="3" fontId="3" fillId="0" borderId="23" xfId="0" applyNumberFormat="1" applyFont="1" applyBorder="1" applyAlignment="1">
      <alignment horizontal="center"/>
    </xf>
    <xf numFmtId="165" fontId="3" fillId="0" borderId="63" xfId="0" applyNumberFormat="1" applyFont="1" applyBorder="1"/>
    <xf numFmtId="0" fontId="3" fillId="4" borderId="114" xfId="0" applyFont="1" applyFill="1" applyBorder="1"/>
    <xf numFmtId="0" fontId="0" fillId="2" borderId="58" xfId="0" applyFill="1" applyBorder="1" applyProtection="1">
      <protection locked="0"/>
    </xf>
    <xf numFmtId="0" fontId="0" fillId="0" borderId="78" xfId="0" applyBorder="1"/>
    <xf numFmtId="0" fontId="0" fillId="2" borderId="71" xfId="0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79" xfId="0" applyFont="1" applyFill="1" applyBorder="1" applyAlignment="1">
      <alignment horizontal="right"/>
    </xf>
    <xf numFmtId="165" fontId="0" fillId="0" borderId="87" xfId="0" applyNumberFormat="1" applyFill="1" applyBorder="1" applyAlignment="1" applyProtection="1">
      <alignment horizontal="right"/>
    </xf>
    <xf numFmtId="165" fontId="0" fillId="4" borderId="87" xfId="0" applyNumberFormat="1" applyFill="1" applyBorder="1"/>
    <xf numFmtId="165" fontId="0" fillId="4" borderId="40" xfId="0" applyNumberFormat="1" applyFill="1" applyBorder="1"/>
    <xf numFmtId="165" fontId="0" fillId="0" borderId="87" xfId="0" applyNumberFormat="1" applyFill="1" applyBorder="1"/>
    <xf numFmtId="165" fontId="0" fillId="0" borderId="40" xfId="0" applyNumberFormat="1" applyFill="1" applyBorder="1"/>
    <xf numFmtId="165" fontId="0" fillId="0" borderId="96" xfId="0" applyNumberFormat="1" applyFill="1" applyBorder="1" applyAlignment="1" applyProtection="1">
      <alignment horizontal="right"/>
    </xf>
    <xf numFmtId="165" fontId="0" fillId="0" borderId="22" xfId="0" applyNumberFormat="1" applyBorder="1"/>
    <xf numFmtId="165" fontId="0" fillId="0" borderId="19" xfId="0" applyNumberFormat="1" applyBorder="1" applyAlignment="1">
      <alignment horizontal="center"/>
    </xf>
    <xf numFmtId="165" fontId="0" fillId="0" borderId="140" xfId="0" quotePrefix="1" applyNumberFormat="1" applyBorder="1"/>
    <xf numFmtId="165" fontId="0" fillId="4" borderId="8" xfId="0" applyNumberFormat="1" applyFill="1" applyBorder="1"/>
    <xf numFmtId="3" fontId="0" fillId="4" borderId="86" xfId="0" applyNumberFormat="1" applyFill="1" applyBorder="1"/>
    <xf numFmtId="3" fontId="0" fillId="0" borderId="86" xfId="0" applyNumberFormat="1" applyFill="1" applyBorder="1"/>
    <xf numFmtId="0" fontId="0" fillId="0" borderId="124" xfId="0" applyFill="1" applyBorder="1" applyAlignment="1" applyProtection="1">
      <alignment horizontal="center"/>
    </xf>
    <xf numFmtId="165" fontId="5" fillId="4" borderId="32" xfId="0" applyNumberFormat="1" applyFont="1" applyFill="1" applyBorder="1"/>
    <xf numFmtId="3" fontId="0" fillId="4" borderId="124" xfId="0" applyNumberFormat="1" applyFill="1" applyBorder="1"/>
    <xf numFmtId="165" fontId="0" fillId="4" borderId="33" xfId="0" applyNumberFormat="1" applyFill="1" applyBorder="1"/>
    <xf numFmtId="165" fontId="5" fillId="0" borderId="123" xfId="0" applyNumberFormat="1" applyFont="1" applyFill="1" applyBorder="1"/>
    <xf numFmtId="3" fontId="0" fillId="0" borderId="124" xfId="0" applyNumberFormat="1" applyFill="1" applyBorder="1"/>
    <xf numFmtId="165" fontId="0" fillId="0" borderId="33" xfId="0" applyNumberFormat="1" applyFill="1" applyBorder="1"/>
    <xf numFmtId="165" fontId="5" fillId="4" borderId="123" xfId="0" applyNumberFormat="1" applyFont="1" applyFill="1" applyBorder="1"/>
    <xf numFmtId="3" fontId="0" fillId="0" borderId="141" xfId="0" applyNumberFormat="1" applyBorder="1" applyAlignment="1">
      <alignment horizontal="center"/>
    </xf>
    <xf numFmtId="0" fontId="0" fillId="0" borderId="139" xfId="0" applyBorder="1"/>
    <xf numFmtId="0" fontId="0" fillId="0" borderId="124" xfId="0" applyBorder="1" applyAlignment="1">
      <alignment horizontal="center"/>
    </xf>
    <xf numFmtId="165" fontId="5" fillId="0" borderId="33" xfId="0" applyNumberFormat="1" applyFont="1" applyBorder="1"/>
    <xf numFmtId="0" fontId="3" fillId="0" borderId="124" xfId="0" applyFont="1" applyFill="1" applyBorder="1" applyAlignment="1">
      <alignment horizontal="center"/>
    </xf>
    <xf numFmtId="0" fontId="3" fillId="4" borderId="124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0" fillId="0" borderId="100" xfId="0" applyFill="1" applyBorder="1"/>
    <xf numFmtId="0" fontId="0" fillId="0" borderId="66" xfId="0" applyBorder="1"/>
    <xf numFmtId="0" fontId="0" fillId="0" borderId="66" xfId="0" applyFill="1" applyBorder="1"/>
    <xf numFmtId="0" fontId="3" fillId="0" borderId="23" xfId="0" applyFont="1" applyBorder="1"/>
    <xf numFmtId="0" fontId="3" fillId="2" borderId="12" xfId="0" applyFont="1" applyFill="1" applyBorder="1"/>
    <xf numFmtId="0" fontId="3" fillId="0" borderId="20" xfId="0" applyFont="1" applyBorder="1"/>
    <xf numFmtId="1" fontId="3" fillId="0" borderId="12" xfId="0" applyNumberFormat="1" applyFont="1" applyFill="1" applyBorder="1" applyProtection="1"/>
    <xf numFmtId="3" fontId="3" fillId="0" borderId="35" xfId="0" applyNumberFormat="1" applyFont="1" applyBorder="1" applyAlignment="1">
      <alignment horizontal="center"/>
    </xf>
    <xf numFmtId="0" fontId="0" fillId="0" borderId="30" xfId="0" applyFill="1" applyBorder="1"/>
    <xf numFmtId="165" fontId="3" fillId="0" borderId="24" xfId="0" applyNumberFormat="1" applyFont="1" applyFill="1" applyBorder="1"/>
    <xf numFmtId="0" fontId="3" fillId="0" borderId="19" xfId="0" applyFont="1" applyBorder="1"/>
    <xf numFmtId="165" fontId="3" fillId="4" borderId="2" xfId="0" applyNumberFormat="1" applyFont="1" applyFill="1" applyBorder="1" applyProtection="1"/>
    <xf numFmtId="165" fontId="3" fillId="4" borderId="19" xfId="0" applyNumberFormat="1" applyFont="1" applyFill="1" applyBorder="1" applyProtection="1"/>
    <xf numFmtId="165" fontId="3" fillId="0" borderId="2" xfId="0" applyNumberFormat="1" applyFont="1" applyFill="1" applyBorder="1" applyProtection="1"/>
    <xf numFmtId="165" fontId="3" fillId="0" borderId="19" xfId="0" applyNumberFormat="1" applyFont="1" applyFill="1" applyBorder="1" applyProtection="1"/>
    <xf numFmtId="3" fontId="5" fillId="0" borderId="102" xfId="0" applyNumberFormat="1" applyFont="1" applyBorder="1"/>
    <xf numFmtId="3" fontId="5" fillId="0" borderId="23" xfId="0" applyNumberFormat="1" applyFont="1" applyFill="1" applyBorder="1" applyAlignment="1">
      <alignment horizontal="center"/>
    </xf>
    <xf numFmtId="3" fontId="0" fillId="0" borderId="123" xfId="0" applyNumberFormat="1" applyFill="1" applyBorder="1"/>
    <xf numFmtId="0" fontId="0" fillId="0" borderId="32" xfId="0" applyFill="1" applyBorder="1"/>
    <xf numFmtId="165" fontId="3" fillId="4" borderId="24" xfId="0" applyNumberFormat="1" applyFont="1" applyFill="1" applyBorder="1"/>
    <xf numFmtId="0" fontId="0" fillId="4" borderId="32" xfId="0" applyFill="1" applyBorder="1"/>
    <xf numFmtId="0" fontId="3" fillId="4" borderId="39" xfId="0" applyFont="1" applyFill="1" applyBorder="1"/>
    <xf numFmtId="0" fontId="0" fillId="4" borderId="39" xfId="0" applyFill="1" applyBorder="1"/>
    <xf numFmtId="165" fontId="3" fillId="4" borderId="82" xfId="0" applyNumberFormat="1" applyFont="1" applyFill="1" applyBorder="1"/>
    <xf numFmtId="3" fontId="5" fillId="4" borderId="21" xfId="0" applyNumberFormat="1" applyFont="1" applyFill="1" applyBorder="1"/>
    <xf numFmtId="0" fontId="0" fillId="4" borderId="32" xfId="0" applyFill="1" applyBorder="1" applyAlignment="1" applyProtection="1">
      <alignment horizontal="center"/>
    </xf>
    <xf numFmtId="165" fontId="3" fillId="4" borderId="26" xfId="0" applyNumberFormat="1" applyFont="1" applyFill="1" applyBorder="1"/>
    <xf numFmtId="3" fontId="5" fillId="0" borderId="21" xfId="0" applyNumberFormat="1" applyFont="1" applyFill="1" applyBorder="1"/>
    <xf numFmtId="3" fontId="5" fillId="0" borderId="32" xfId="0" applyNumberFormat="1" applyFont="1" applyFill="1" applyBorder="1"/>
    <xf numFmtId="3" fontId="0" fillId="0" borderId="92" xfId="0" applyNumberFormat="1" applyBorder="1" applyAlignment="1">
      <alignment horizontal="center"/>
    </xf>
    <xf numFmtId="0" fontId="3" fillId="0" borderId="61" xfId="0" applyFont="1" applyBorder="1"/>
    <xf numFmtId="165" fontId="3" fillId="0" borderId="61" xfId="0" applyNumberFormat="1" applyFont="1" applyBorder="1"/>
    <xf numFmtId="0" fontId="0" fillId="0" borderId="61" xfId="0" applyBorder="1" applyAlignment="1">
      <alignment horizontal="center"/>
    </xf>
    <xf numFmtId="165" fontId="3" fillId="4" borderId="64" xfId="0" applyNumberFormat="1" applyFont="1" applyFill="1" applyBorder="1" applyAlignment="1" applyProtection="1">
      <alignment horizontal="center"/>
    </xf>
    <xf numFmtId="0" fontId="0" fillId="0" borderId="142" xfId="0" applyBorder="1"/>
    <xf numFmtId="0" fontId="6" fillId="0" borderId="49" xfId="0" applyFont="1" applyFill="1" applyBorder="1"/>
    <xf numFmtId="0" fontId="6" fillId="0" borderId="0" xfId="0" applyFont="1" applyFill="1" applyBorder="1"/>
    <xf numFmtId="0" fontId="4" fillId="0" borderId="61" xfId="0" applyFont="1" applyBorder="1" applyAlignment="1">
      <alignment horizontal="center"/>
    </xf>
    <xf numFmtId="3" fontId="3" fillId="0" borderId="117" xfId="0" applyNumberFormat="1" applyFont="1" applyBorder="1" applyAlignment="1">
      <alignment horizontal="center"/>
    </xf>
    <xf numFmtId="165" fontId="5" fillId="0" borderId="1" xfId="0" applyNumberFormat="1" applyFont="1" applyFill="1" applyBorder="1" applyAlignment="1" applyProtection="1">
      <alignment horizontal="right"/>
    </xf>
    <xf numFmtId="0" fontId="5" fillId="0" borderId="14" xfId="0" applyFont="1" applyBorder="1"/>
    <xf numFmtId="0" fontId="0" fillId="0" borderId="27" xfId="0" applyFill="1" applyBorder="1" applyAlignment="1" applyProtection="1">
      <alignment horizontal="center"/>
    </xf>
    <xf numFmtId="0" fontId="3" fillId="0" borderId="121" xfId="0" applyFont="1" applyFill="1" applyBorder="1"/>
    <xf numFmtId="3" fontId="0" fillId="0" borderId="123" xfId="0" applyNumberFormat="1" applyBorder="1"/>
    <xf numFmtId="0" fontId="3" fillId="0" borderId="21" xfId="0" applyFont="1" applyFill="1" applyBorder="1" applyAlignment="1"/>
    <xf numFmtId="0" fontId="0" fillId="0" borderId="56" xfId="0" applyBorder="1"/>
    <xf numFmtId="165" fontId="3" fillId="4" borderId="69" xfId="0" applyNumberFormat="1" applyFont="1" applyFill="1" applyBorder="1" applyAlignment="1" applyProtection="1">
      <alignment horizontal="center"/>
    </xf>
    <xf numFmtId="0" fontId="0" fillId="0" borderId="58" xfId="0" applyBorder="1"/>
    <xf numFmtId="3" fontId="0" fillId="4" borderId="12" xfId="0" applyNumberFormat="1" applyFill="1" applyBorder="1" applyAlignment="1">
      <alignment horizontal="right"/>
    </xf>
    <xf numFmtId="3" fontId="5" fillId="4" borderId="21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right"/>
    </xf>
    <xf numFmtId="165" fontId="3" fillId="0" borderId="16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10" xfId="0" applyFill="1" applyBorder="1"/>
    <xf numFmtId="3" fontId="0" fillId="0" borderId="21" xfId="0" applyNumberFormat="1" applyFill="1" applyBorder="1" applyAlignment="1">
      <alignment horizontal="center"/>
    </xf>
    <xf numFmtId="5" fontId="3" fillId="0" borderId="30" xfId="0" applyNumberFormat="1" applyFont="1" applyFill="1" applyBorder="1"/>
    <xf numFmtId="5" fontId="3" fillId="0" borderId="15" xfId="0" applyNumberFormat="1" applyFont="1" applyFill="1" applyBorder="1"/>
    <xf numFmtId="5" fontId="3" fillId="0" borderId="17" xfId="0" applyNumberFormat="1" applyFont="1" applyFill="1" applyBorder="1"/>
    <xf numFmtId="1" fontId="0" fillId="0" borderId="2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/>
    <xf numFmtId="3" fontId="0" fillId="0" borderId="14" xfId="0" applyNumberFormat="1" applyFill="1" applyBorder="1" applyAlignment="1">
      <alignment horizontal="center"/>
    </xf>
    <xf numFmtId="0" fontId="0" fillId="4" borderId="77" xfId="0" applyFill="1" applyBorder="1"/>
    <xf numFmtId="165" fontId="0" fillId="0" borderId="29" xfId="0" applyNumberFormat="1" applyFill="1" applyBorder="1"/>
    <xf numFmtId="165" fontId="0" fillId="3" borderId="40" xfId="0" applyNumberFormat="1" applyFill="1" applyBorder="1"/>
    <xf numFmtId="165" fontId="0" fillId="3" borderId="143" xfId="0" applyNumberFormat="1" applyFill="1" applyBorder="1"/>
    <xf numFmtId="3" fontId="0" fillId="3" borderId="102" xfId="0" applyNumberFormat="1" applyFill="1" applyBorder="1"/>
    <xf numFmtId="165" fontId="0" fillId="3" borderId="34" xfId="0" applyNumberFormat="1" applyFill="1" applyBorder="1"/>
    <xf numFmtId="165" fontId="0" fillId="3" borderId="29" xfId="0" applyNumberFormat="1" applyFill="1" applyBorder="1"/>
    <xf numFmtId="165" fontId="0" fillId="3" borderId="31" xfId="0" applyNumberFormat="1" applyFill="1" applyBorder="1"/>
    <xf numFmtId="165" fontId="0" fillId="3" borderId="98" xfId="0" applyNumberFormat="1" applyFill="1" applyBorder="1"/>
    <xf numFmtId="165" fontId="0" fillId="3" borderId="86" xfId="0" applyNumberFormat="1" applyFill="1" applyBorder="1"/>
    <xf numFmtId="9" fontId="0" fillId="0" borderId="69" xfId="0" applyNumberFormat="1" applyFill="1" applyBorder="1"/>
    <xf numFmtId="0" fontId="0" fillId="0" borderId="107" xfId="0" applyBorder="1"/>
    <xf numFmtId="165" fontId="0" fillId="0" borderId="62" xfId="0" quotePrefix="1" applyNumberFormat="1" applyBorder="1"/>
    <xf numFmtId="165" fontId="3" fillId="0" borderId="64" xfId="0" applyNumberFormat="1" applyFont="1" applyBorder="1"/>
    <xf numFmtId="165" fontId="3" fillId="0" borderId="144" xfId="0" applyNumberFormat="1" applyFont="1" applyBorder="1" applyAlignment="1">
      <alignment horizontal="center"/>
    </xf>
    <xf numFmtId="165" fontId="3" fillId="0" borderId="92" xfId="0" quotePrefix="1" applyNumberFormat="1" applyFon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145" xfId="0" applyBorder="1"/>
    <xf numFmtId="165" fontId="3" fillId="0" borderId="62" xfId="0" applyNumberFormat="1" applyFont="1" applyBorder="1" applyAlignment="1">
      <alignment horizontal="right"/>
    </xf>
    <xf numFmtId="165" fontId="8" fillId="0" borderId="56" xfId="0" applyNumberFormat="1" applyFont="1" applyFill="1" applyBorder="1" applyAlignment="1">
      <alignment horizontal="center"/>
    </xf>
    <xf numFmtId="3" fontId="8" fillId="0" borderId="57" xfId="0" applyNumberFormat="1" applyFont="1" applyFill="1" applyBorder="1"/>
    <xf numFmtId="165" fontId="8" fillId="4" borderId="56" xfId="0" applyNumberFormat="1" applyFont="1" applyFill="1" applyBorder="1" applyAlignment="1">
      <alignment horizontal="center"/>
    </xf>
    <xf numFmtId="165" fontId="8" fillId="0" borderId="59" xfId="0" applyNumberFormat="1" applyFont="1" applyBorder="1"/>
    <xf numFmtId="0" fontId="0" fillId="0" borderId="36" xfId="0" applyBorder="1"/>
    <xf numFmtId="0" fontId="6" fillId="0" borderId="2" xfId="0" applyFont="1" applyBorder="1"/>
    <xf numFmtId="0" fontId="6" fillId="0" borderId="2" xfId="0" applyFont="1" applyFill="1" applyBorder="1"/>
    <xf numFmtId="0" fontId="0" fillId="0" borderId="101" xfId="0" applyBorder="1"/>
    <xf numFmtId="0" fontId="0" fillId="0" borderId="25" xfId="0" applyFill="1" applyBorder="1"/>
    <xf numFmtId="0" fontId="4" fillId="0" borderId="49" xfId="0" applyFont="1" applyBorder="1" applyAlignment="1"/>
    <xf numFmtId="0" fontId="4" fillId="0" borderId="108" xfId="0" applyFont="1" applyBorder="1" applyAlignment="1"/>
    <xf numFmtId="0" fontId="5" fillId="7" borderId="0" xfId="0" applyFont="1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7" borderId="3" xfId="0" applyFont="1" applyFill="1" applyBorder="1"/>
    <xf numFmtId="0" fontId="3" fillId="7" borderId="2" xfId="0" applyFont="1" applyFill="1" applyBorder="1" applyAlignment="1">
      <alignment horizontal="right"/>
    </xf>
    <xf numFmtId="0" fontId="5" fillId="0" borderId="3" xfId="0" applyFont="1" applyFill="1" applyBorder="1"/>
    <xf numFmtId="0" fontId="0" fillId="7" borderId="77" xfId="0" applyFill="1" applyBorder="1" applyAlignment="1">
      <alignment horizontal="right"/>
    </xf>
    <xf numFmtId="0" fontId="5" fillId="7" borderId="31" xfId="0" applyFont="1" applyFill="1" applyBorder="1" applyAlignment="1">
      <alignment horizontal="right"/>
    </xf>
    <xf numFmtId="165" fontId="3" fillId="7" borderId="14" xfId="0" applyNumberFormat="1" applyFont="1" applyFill="1" applyBorder="1" applyProtection="1"/>
    <xf numFmtId="165" fontId="3" fillId="7" borderId="30" xfId="0" applyNumberFormat="1" applyFont="1" applyFill="1" applyBorder="1" applyProtection="1"/>
    <xf numFmtId="0" fontId="3" fillId="4" borderId="77" xfId="0" applyFont="1" applyFill="1" applyBorder="1" applyAlignment="1">
      <alignment horizontal="right"/>
    </xf>
    <xf numFmtId="0" fontId="0" fillId="8" borderId="4" xfId="0" applyFill="1" applyBorder="1" applyAlignment="1">
      <alignment horizontal="right"/>
    </xf>
    <xf numFmtId="0" fontId="3" fillId="8" borderId="77" xfId="0" applyFont="1" applyFill="1" applyBorder="1" applyAlignment="1">
      <alignment horizontal="right"/>
    </xf>
    <xf numFmtId="165" fontId="0" fillId="7" borderId="30" xfId="0" applyNumberFormat="1" applyFill="1" applyBorder="1" applyProtection="1"/>
    <xf numFmtId="0" fontId="6" fillId="0" borderId="2" xfId="0" applyFont="1" applyFill="1" applyBorder="1" applyAlignment="1" applyProtection="1">
      <alignment horizontal="center"/>
      <protection locked="0"/>
    </xf>
    <xf numFmtId="165" fontId="3" fillId="0" borderId="27" xfId="0" applyNumberFormat="1" applyFont="1" applyBorder="1"/>
    <xf numFmtId="0" fontId="5" fillId="0" borderId="4" xfId="0" applyFont="1" applyFill="1" applyBorder="1" applyAlignment="1">
      <alignment horizontal="right"/>
    </xf>
    <xf numFmtId="165" fontId="5" fillId="0" borderId="12" xfId="0" quotePrefix="1" applyNumberFormat="1" applyFont="1" applyFill="1" applyBorder="1" applyAlignment="1" applyProtection="1">
      <alignment horizontal="right"/>
    </xf>
    <xf numFmtId="165" fontId="3" fillId="0" borderId="12" xfId="0" quotePrefix="1" applyNumberFormat="1" applyFont="1" applyFill="1" applyBorder="1" applyProtection="1"/>
    <xf numFmtId="165" fontId="5" fillId="0" borderId="96" xfId="0" applyNumberFormat="1" applyFont="1" applyFill="1" applyBorder="1" applyAlignment="1">
      <alignment horizontal="right"/>
    </xf>
    <xf numFmtId="165" fontId="3" fillId="0" borderId="27" xfId="0" applyNumberFormat="1" applyFont="1" applyFill="1" applyBorder="1" applyAlignment="1"/>
    <xf numFmtId="165" fontId="3" fillId="4" borderId="27" xfId="0" applyNumberFormat="1" applyFont="1" applyFill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4" borderId="3" xfId="0" applyNumberFormat="1" applyFont="1" applyFill="1" applyBorder="1" applyAlignment="1">
      <alignment horizontal="right"/>
    </xf>
    <xf numFmtId="3" fontId="3" fillId="0" borderId="102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5" fontId="3" fillId="0" borderId="90" xfId="0" applyNumberFormat="1" applyFont="1" applyBorder="1"/>
    <xf numFmtId="0" fontId="3" fillId="0" borderId="24" xfId="0" applyFont="1" applyBorder="1"/>
    <xf numFmtId="165" fontId="3" fillId="0" borderId="30" xfId="0" applyNumberFormat="1" applyFont="1" applyBorder="1" applyAlignment="1">
      <alignment horizontal="right"/>
    </xf>
    <xf numFmtId="165" fontId="3" fillId="4" borderId="14" xfId="0" applyNumberFormat="1" applyFont="1" applyFill="1" applyBorder="1" applyAlignment="1">
      <alignment horizontal="right"/>
    </xf>
    <xf numFmtId="165" fontId="5" fillId="0" borderId="94" xfId="0" quotePrefix="1" applyNumberFormat="1" applyFont="1" applyFill="1" applyBorder="1" applyAlignment="1" applyProtection="1">
      <alignment horizontal="right"/>
    </xf>
    <xf numFmtId="165" fontId="3" fillId="0" borderId="15" xfId="0" quotePrefix="1" applyNumberFormat="1" applyFont="1" applyFill="1" applyBorder="1" applyProtection="1"/>
    <xf numFmtId="0" fontId="3" fillId="0" borderId="76" xfId="0" applyFont="1" applyBorder="1"/>
    <xf numFmtId="165" fontId="5" fillId="0" borderId="118" xfId="0" quotePrefix="1" applyNumberFormat="1" applyFont="1" applyFill="1" applyBorder="1" applyAlignment="1" applyProtection="1">
      <alignment horizontal="right"/>
    </xf>
    <xf numFmtId="0" fontId="0" fillId="2" borderId="9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16" xfId="0" applyBorder="1" applyAlignment="1">
      <alignment horizontal="right"/>
    </xf>
    <xf numFmtId="16" fontId="0" fillId="0" borderId="16" xfId="0" applyNumberFormat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3" fillId="0" borderId="67" xfId="0" applyFont="1" applyBorder="1" applyAlignment="1">
      <alignment horizontal="right"/>
    </xf>
    <xf numFmtId="1" fontId="3" fillId="0" borderId="10" xfId="0" applyNumberFormat="1" applyFont="1" applyBorder="1"/>
    <xf numFmtId="1" fontId="3" fillId="0" borderId="22" xfId="0" applyNumberFormat="1" applyFont="1" applyBorder="1"/>
    <xf numFmtId="1" fontId="3" fillId="0" borderId="24" xfId="0" applyNumberFormat="1" applyFont="1" applyBorder="1"/>
    <xf numFmtId="0" fontId="0" fillId="2" borderId="3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43" xfId="0" applyFill="1" applyBorder="1" applyProtection="1">
      <protection locked="0"/>
    </xf>
    <xf numFmtId="10" fontId="0" fillId="2" borderId="5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22" xfId="0" applyFill="1" applyBorder="1" applyProtection="1"/>
    <xf numFmtId="16" fontId="0" fillId="0" borderId="16" xfId="0" quotePrefix="1" applyNumberFormat="1" applyBorder="1" applyAlignment="1">
      <alignment horizontal="right"/>
    </xf>
    <xf numFmtId="0" fontId="0" fillId="0" borderId="16" xfId="0" quotePrefix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67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0" borderId="103" xfId="0" applyFont="1" applyFill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36" xfId="0" applyFont="1" applyBorder="1" applyAlignment="1"/>
    <xf numFmtId="0" fontId="3" fillId="0" borderId="19" xfId="0" applyFont="1" applyBorder="1" applyAlignment="1">
      <alignment horizontal="center" wrapText="1"/>
    </xf>
    <xf numFmtId="165" fontId="3" fillId="4" borderId="31" xfId="0" applyNumberFormat="1" applyFont="1" applyFill="1" applyBorder="1" applyAlignment="1" applyProtection="1">
      <alignment horizontal="center"/>
    </xf>
    <xf numFmtId="165" fontId="3" fillId="4" borderId="32" xfId="0" applyNumberFormat="1" applyFont="1" applyFill="1" applyBorder="1"/>
    <xf numFmtId="165" fontId="3" fillId="4" borderId="124" xfId="0" applyNumberFormat="1" applyFont="1" applyFill="1" applyBorder="1"/>
    <xf numFmtId="165" fontId="3" fillId="4" borderId="33" xfId="0" applyNumberFormat="1" applyFont="1" applyFill="1" applyBorder="1"/>
    <xf numFmtId="165" fontId="3" fillId="0" borderId="123" xfId="0" applyNumberFormat="1" applyFont="1" applyFill="1" applyBorder="1"/>
    <xf numFmtId="165" fontId="3" fillId="0" borderId="124" xfId="0" applyNumberFormat="1" applyFont="1" applyFill="1" applyBorder="1"/>
    <xf numFmtId="165" fontId="3" fillId="0" borderId="33" xfId="0" applyNumberFormat="1" applyFont="1" applyFill="1" applyBorder="1"/>
    <xf numFmtId="165" fontId="3" fillId="4" borderId="123" xfId="0" applyNumberFormat="1" applyFont="1" applyFill="1" applyBorder="1"/>
    <xf numFmtId="165" fontId="3" fillId="0" borderId="32" xfId="0" applyNumberFormat="1" applyFont="1" applyFill="1" applyBorder="1"/>
    <xf numFmtId="3" fontId="3" fillId="0" borderId="10" xfId="0" applyNumberFormat="1" applyFont="1" applyBorder="1" applyAlignment="1">
      <alignment horizontal="center"/>
    </xf>
    <xf numFmtId="3" fontId="3" fillId="0" borderId="136" xfId="0" applyNumberFormat="1" applyFont="1" applyBorder="1" applyAlignment="1">
      <alignment horizontal="center"/>
    </xf>
    <xf numFmtId="3" fontId="5" fillId="4" borderId="86" xfId="0" quotePrefix="1" applyNumberFormat="1" applyFont="1" applyFill="1" applyBorder="1"/>
    <xf numFmtId="165" fontId="3" fillId="4" borderId="87" xfId="0" quotePrefix="1" applyNumberFormat="1" applyFont="1" applyFill="1" applyBorder="1"/>
    <xf numFmtId="3" fontId="5" fillId="4" borderId="1" xfId="0" quotePrefix="1" applyNumberFormat="1" applyFont="1" applyFill="1" applyBorder="1"/>
    <xf numFmtId="3" fontId="5" fillId="0" borderId="1" xfId="0" quotePrefix="1" applyNumberFormat="1" applyFont="1" applyFill="1" applyBorder="1"/>
    <xf numFmtId="165" fontId="0" fillId="7" borderId="96" xfId="0" applyNumberFormat="1" applyFill="1" applyBorder="1" applyAlignment="1" applyProtection="1">
      <alignment horizontal="right"/>
    </xf>
    <xf numFmtId="165" fontId="3" fillId="0" borderId="21" xfId="0" applyNumberFormat="1" applyFont="1" applyFill="1" applyBorder="1" applyAlignment="1">
      <alignment horizontal="right"/>
    </xf>
    <xf numFmtId="165" fontId="5" fillId="7" borderId="94" xfId="0" quotePrefix="1" applyNumberFormat="1" applyFont="1" applyFill="1" applyBorder="1" applyAlignment="1" applyProtection="1">
      <alignment horizontal="right"/>
    </xf>
    <xf numFmtId="165" fontId="3" fillId="0" borderId="30" xfId="0" applyNumberFormat="1" applyFont="1" applyFill="1" applyBorder="1" applyAlignment="1">
      <alignment horizontal="right"/>
    </xf>
    <xf numFmtId="165" fontId="3" fillId="0" borderId="15" xfId="0" quotePrefix="1" applyNumberFormat="1" applyFont="1" applyFill="1" applyBorder="1"/>
    <xf numFmtId="3" fontId="0" fillId="4" borderId="12" xfId="0" quotePrefix="1" applyNumberFormat="1" applyFill="1" applyBorder="1"/>
    <xf numFmtId="170" fontId="5" fillId="0" borderId="12" xfId="0" applyNumberFormat="1" applyFont="1" applyFill="1" applyBorder="1" applyAlignment="1">
      <alignment horizontal="center"/>
    </xf>
    <xf numFmtId="3" fontId="0" fillId="0" borderId="12" xfId="0" quotePrefix="1" applyNumberFormat="1" applyFill="1" applyBorder="1"/>
    <xf numFmtId="0" fontId="0" fillId="0" borderId="21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65" xfId="0" quotePrefix="1" applyNumberFormat="1" applyFont="1" applyBorder="1"/>
    <xf numFmtId="3" fontId="0" fillId="4" borderId="33" xfId="0" applyNumberFormat="1" applyFill="1" applyBorder="1"/>
    <xf numFmtId="3" fontId="5" fillId="0" borderId="124" xfId="0" applyNumberFormat="1" applyFont="1" applyFill="1" applyBorder="1"/>
    <xf numFmtId="165" fontId="3" fillId="4" borderId="5" xfId="0" applyNumberFormat="1" applyFont="1" applyFill="1" applyBorder="1" applyAlignment="1" applyProtection="1">
      <alignment horizontal="center"/>
    </xf>
    <xf numFmtId="165" fontId="3" fillId="0" borderId="21" xfId="0" applyNumberFormat="1" applyFont="1" applyFill="1" applyBorder="1" applyAlignment="1" applyProtection="1">
      <alignment horizontal="center"/>
    </xf>
    <xf numFmtId="165" fontId="3" fillId="4" borderId="71" xfId="0" applyNumberFormat="1" applyFont="1" applyFill="1" applyBorder="1" applyAlignment="1" applyProtection="1">
      <alignment horizontal="center"/>
    </xf>
    <xf numFmtId="165" fontId="3" fillId="4" borderId="21" xfId="0" applyNumberFormat="1" applyFont="1" applyFill="1" applyBorder="1" applyAlignment="1" applyProtection="1">
      <alignment horizontal="center"/>
    </xf>
    <xf numFmtId="165" fontId="3" fillId="0" borderId="71" xfId="0" applyNumberFormat="1" applyFont="1" applyFill="1" applyBorder="1" applyAlignment="1" applyProtection="1">
      <alignment horizontal="center"/>
    </xf>
    <xf numFmtId="165" fontId="3" fillId="2" borderId="12" xfId="0" applyNumberFormat="1" applyFont="1" applyFill="1" applyBorder="1"/>
    <xf numFmtId="0" fontId="3" fillId="2" borderId="1" xfId="0" applyFont="1" applyFill="1" applyBorder="1" applyProtection="1">
      <protection locked="0"/>
    </xf>
    <xf numFmtId="165" fontId="3" fillId="0" borderId="9" xfId="0" applyNumberFormat="1" applyFont="1" applyFill="1" applyBorder="1"/>
    <xf numFmtId="165" fontId="0" fillId="4" borderId="94" xfId="0" applyNumberFormat="1" applyFill="1" applyBorder="1" applyProtection="1"/>
    <xf numFmtId="165" fontId="3" fillId="2" borderId="87" xfId="0" applyNumberFormat="1" applyFont="1" applyFill="1" applyBorder="1"/>
    <xf numFmtId="0" fontId="3" fillId="2" borderId="15" xfId="0" applyFont="1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center"/>
    </xf>
    <xf numFmtId="1" fontId="0" fillId="0" borderId="33" xfId="0" applyNumberFormat="1" applyFill="1" applyBorder="1" applyAlignment="1" applyProtection="1">
      <alignment horizontal="center"/>
    </xf>
    <xf numFmtId="1" fontId="0" fillId="0" borderId="21" xfId="0" applyNumberFormat="1" applyFill="1" applyBorder="1" applyAlignment="1" applyProtection="1">
      <alignment horizontal="center"/>
    </xf>
    <xf numFmtId="165" fontId="3" fillId="0" borderId="73" xfId="0" quotePrefix="1" applyNumberFormat="1" applyFont="1" applyBorder="1" applyAlignment="1">
      <alignment horizontal="center"/>
    </xf>
    <xf numFmtId="0" fontId="0" fillId="0" borderId="33" xfId="0" applyBorder="1"/>
    <xf numFmtId="0" fontId="0" fillId="0" borderId="136" xfId="0" applyBorder="1" applyAlignment="1">
      <alignment horizontal="center"/>
    </xf>
    <xf numFmtId="165" fontId="0" fillId="0" borderId="32" xfId="0" applyNumberFormat="1" applyFill="1" applyBorder="1"/>
    <xf numFmtId="165" fontId="3" fillId="0" borderId="5" xfId="0" applyNumberFormat="1" applyFont="1" applyFill="1" applyBorder="1" applyAlignment="1" applyProtection="1">
      <alignment horizontal="center"/>
    </xf>
    <xf numFmtId="0" fontId="6" fillId="0" borderId="146" xfId="0" applyFont="1" applyBorder="1"/>
    <xf numFmtId="165" fontId="3" fillId="0" borderId="113" xfId="0" applyNumberFormat="1" applyFont="1" applyBorder="1"/>
    <xf numFmtId="165" fontId="3" fillId="0" borderId="113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10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89" xfId="0" applyNumberFormat="1" applyFill="1" applyBorder="1"/>
    <xf numFmtId="165" fontId="3" fillId="9" borderId="57" xfId="0" applyNumberFormat="1" applyFont="1" applyFill="1" applyBorder="1" applyAlignment="1" applyProtection="1">
      <alignment horizontal="right"/>
    </xf>
    <xf numFmtId="0" fontId="12" fillId="10" borderId="149" xfId="1" applyAlignment="1" applyProtection="1">
      <alignment horizontal="center"/>
      <protection locked="0"/>
    </xf>
    <xf numFmtId="0" fontId="1" fillId="0" borderId="0" xfId="0" applyFont="1"/>
    <xf numFmtId="3" fontId="0" fillId="9" borderId="12" xfId="0" applyNumberFormat="1" applyFill="1" applyBorder="1" applyAlignment="1" applyProtection="1">
      <alignment horizontal="center"/>
    </xf>
    <xf numFmtId="165" fontId="1" fillId="4" borderId="57" xfId="0" applyNumberFormat="1" applyFont="1" applyFill="1" applyBorder="1"/>
    <xf numFmtId="1" fontId="0" fillId="0" borderId="11" xfId="0" applyNumberFormat="1" applyFill="1" applyBorder="1" applyAlignment="1">
      <alignment horizontal="right"/>
    </xf>
    <xf numFmtId="3" fontId="0" fillId="0" borderId="21" xfId="0" applyNumberFormat="1" applyFill="1" applyBorder="1"/>
    <xf numFmtId="165" fontId="0" fillId="0" borderId="12" xfId="0" applyNumberFormat="1" applyFill="1" applyBorder="1"/>
    <xf numFmtId="3" fontId="0" fillId="0" borderId="4" xfId="0" applyNumberFormat="1" applyFill="1" applyBorder="1"/>
    <xf numFmtId="165" fontId="0" fillId="0" borderId="13" xfId="0" applyNumberFormat="1" applyFill="1" applyBorder="1"/>
    <xf numFmtId="165" fontId="0" fillId="0" borderId="18" xfId="0" applyNumberFormat="1" applyFill="1" applyBorder="1"/>
    <xf numFmtId="165" fontId="0" fillId="0" borderId="0" xfId="0" applyNumberFormat="1" applyFill="1"/>
    <xf numFmtId="165" fontId="0" fillId="0" borderId="28" xfId="0" applyNumberFormat="1" applyFill="1" applyBorder="1"/>
    <xf numFmtId="3" fontId="0" fillId="0" borderId="70" xfId="0" applyNumberFormat="1" applyFill="1" applyBorder="1"/>
    <xf numFmtId="165" fontId="0" fillId="0" borderId="21" xfId="0" applyNumberFormat="1" applyFill="1" applyBorder="1"/>
    <xf numFmtId="165" fontId="0" fillId="0" borderId="0" xfId="0" applyNumberFormat="1" applyFill="1" applyBorder="1"/>
    <xf numFmtId="165" fontId="0" fillId="0" borderId="4" xfId="0" applyNumberFormat="1" applyFill="1" applyBorder="1"/>
    <xf numFmtId="3" fontId="0" fillId="0" borderId="77" xfId="0" applyNumberFormat="1" applyFill="1" applyBorder="1"/>
    <xf numFmtId="165" fontId="0" fillId="0" borderId="2" xfId="0" applyNumberFormat="1" applyFill="1" applyBorder="1"/>
    <xf numFmtId="3" fontId="0" fillId="0" borderId="48" xfId="0" applyNumberFormat="1" applyFill="1" applyBorder="1"/>
    <xf numFmtId="165" fontId="0" fillId="0" borderId="77" xfId="0" applyNumberFormat="1" applyFill="1" applyBorder="1"/>
    <xf numFmtId="3" fontId="0" fillId="0" borderId="52" xfId="0" applyNumberFormat="1" applyFill="1" applyBorder="1"/>
    <xf numFmtId="165" fontId="0" fillId="0" borderId="50" xfId="0" applyNumberFormat="1" applyFill="1" applyBorder="1"/>
    <xf numFmtId="165" fontId="0" fillId="0" borderId="126" xfId="0" applyNumberFormat="1" applyFill="1" applyBorder="1"/>
    <xf numFmtId="165" fontId="0" fillId="0" borderId="51" xfId="0" applyNumberFormat="1" applyFill="1" applyBorder="1"/>
    <xf numFmtId="165" fontId="0" fillId="0" borderId="52" xfId="0" applyNumberFormat="1" applyFill="1" applyBorder="1"/>
    <xf numFmtId="165" fontId="0" fillId="0" borderId="55" xfId="0" applyNumberFormat="1" applyFill="1" applyBorder="1"/>
    <xf numFmtId="3" fontId="0" fillId="0" borderId="41" xfId="0" applyNumberFormat="1" applyFill="1" applyBorder="1"/>
    <xf numFmtId="3" fontId="0" fillId="0" borderId="126" xfId="0" applyNumberForma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38" xfId="0" applyNumberFormat="1" applyFill="1" applyBorder="1"/>
    <xf numFmtId="3" fontId="0" fillId="0" borderId="29" xfId="0" applyNumberFormat="1" applyFill="1" applyBorder="1"/>
    <xf numFmtId="0" fontId="0" fillId="0" borderId="38" xfId="0" applyNumberFormat="1" applyFill="1" applyBorder="1"/>
    <xf numFmtId="165" fontId="0" fillId="0" borderId="98" xfId="0" applyNumberFormat="1" applyFill="1" applyBorder="1"/>
    <xf numFmtId="3" fontId="0" fillId="0" borderId="13" xfId="0" applyNumberFormat="1" applyFill="1" applyBorder="1"/>
    <xf numFmtId="0" fontId="0" fillId="0" borderId="87" xfId="0" applyFill="1" applyBorder="1"/>
    <xf numFmtId="3" fontId="0" fillId="0" borderId="87" xfId="0" applyNumberFormat="1" applyFill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4" fillId="0" borderId="10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0" fillId="2" borderId="11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167" fontId="5" fillId="2" borderId="85" xfId="0" applyNumberFormat="1" applyFont="1" applyFill="1" applyBorder="1" applyAlignment="1" applyProtection="1">
      <alignment horizontal="center"/>
      <protection locked="0"/>
    </xf>
    <xf numFmtId="167" fontId="5" fillId="2" borderId="0" xfId="0" applyNumberFormat="1" applyFont="1" applyFill="1" applyBorder="1" applyAlignment="1" applyProtection="1">
      <alignment horizontal="center"/>
      <protection locked="0"/>
    </xf>
    <xf numFmtId="0" fontId="0" fillId="2" borderId="72" xfId="0" applyFill="1" applyBorder="1" applyAlignment="1" applyProtection="1">
      <alignment horizontal="left" vertical="top" wrapText="1"/>
      <protection locked="0"/>
    </xf>
    <xf numFmtId="0" fontId="0" fillId="2" borderId="117" xfId="0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27" xfId="0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3" fillId="4" borderId="27" xfId="0" applyFont="1" applyFill="1" applyBorder="1" applyAlignment="1">
      <alignment horizontal="center"/>
    </xf>
    <xf numFmtId="0" fontId="0" fillId="2" borderId="69" xfId="0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7" fontId="5" fillId="2" borderId="81" xfId="0" applyNumberFormat="1" applyFont="1" applyFill="1" applyBorder="1" applyAlignment="1" applyProtection="1">
      <alignment horizontal="center"/>
      <protection locked="0"/>
    </xf>
    <xf numFmtId="167" fontId="5" fillId="2" borderId="14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13" xfId="0" applyFont="1" applyBorder="1" applyAlignment="1">
      <alignment horizontal="center"/>
    </xf>
    <xf numFmtId="0" fontId="0" fillId="2" borderId="14" xfId="0" applyFill="1" applyBorder="1" applyAlignment="1" applyProtection="1">
      <alignment horizontal="left" vertical="top" wrapText="1"/>
      <protection locked="0"/>
    </xf>
    <xf numFmtId="167" fontId="1" fillId="2" borderId="85" xfId="0" applyNumberFormat="1" applyFont="1" applyFill="1" applyBorder="1" applyAlignment="1" applyProtection="1">
      <alignment horizontal="center"/>
      <protection locked="0"/>
    </xf>
    <xf numFmtId="0" fontId="5" fillId="2" borderId="72" xfId="0" applyFont="1" applyFill="1" applyBorder="1" applyAlignment="1" applyProtection="1">
      <alignment horizontal="left" vertical="top" wrapText="1"/>
      <protection locked="0"/>
    </xf>
    <xf numFmtId="167" fontId="5" fillId="2" borderId="88" xfId="0" applyNumberFormat="1" applyFont="1" applyFill="1" applyBorder="1" applyAlignment="1" applyProtection="1">
      <alignment horizontal="left"/>
      <protection locked="0"/>
    </xf>
    <xf numFmtId="167" fontId="5" fillId="2" borderId="113" xfId="0" applyNumberFormat="1" applyFont="1" applyFill="1" applyBorder="1" applyAlignment="1" applyProtection="1">
      <alignment horizontal="left"/>
      <protection locked="0"/>
    </xf>
    <xf numFmtId="167" fontId="5" fillId="2" borderId="148" xfId="0" applyNumberFormat="1" applyFont="1" applyFill="1" applyBorder="1" applyAlignment="1" applyProtection="1">
      <alignment horizontal="left"/>
      <protection locked="0"/>
    </xf>
    <xf numFmtId="0" fontId="4" fillId="0" borderId="4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4" xfId="0" applyBorder="1" applyAlignment="1"/>
    <xf numFmtId="0" fontId="0" fillId="0" borderId="104" xfId="0" applyBorder="1" applyAlignment="1"/>
    <xf numFmtId="0" fontId="1" fillId="0" borderId="70" xfId="0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C2" sqref="C2"/>
    </sheetView>
  </sheetViews>
  <sheetFormatPr defaultRowHeight="13.2" x14ac:dyDescent="0.25"/>
  <cols>
    <col min="1" max="1" width="27.6640625" bestFit="1" customWidth="1"/>
    <col min="2" max="2" width="9.33203125" customWidth="1"/>
    <col min="3" max="3" width="10.88671875" customWidth="1"/>
    <col min="4" max="4" width="9.44140625" customWidth="1"/>
    <col min="5" max="5" width="26" customWidth="1"/>
  </cols>
  <sheetData>
    <row r="1" spans="1:5" ht="16.2" thickBot="1" x14ac:dyDescent="0.35">
      <c r="A1" s="3" t="s">
        <v>43</v>
      </c>
      <c r="E1" s="4"/>
    </row>
    <row r="2" spans="1:5" ht="52.8" x14ac:dyDescent="0.25">
      <c r="A2" s="14" t="s">
        <v>32</v>
      </c>
      <c r="B2" s="15" t="s">
        <v>34</v>
      </c>
      <c r="C2" s="15" t="s">
        <v>33</v>
      </c>
      <c r="D2" s="15" t="s">
        <v>35</v>
      </c>
      <c r="E2" s="19" t="s">
        <v>6</v>
      </c>
    </row>
    <row r="3" spans="1:5" x14ac:dyDescent="0.25">
      <c r="A3" s="16" t="s">
        <v>37</v>
      </c>
      <c r="B3" s="686">
        <v>14.94</v>
      </c>
      <c r="C3" s="17">
        <v>1.8998999999999999</v>
      </c>
      <c r="D3" s="18">
        <f t="shared" ref="D3:D8" si="0">B3*C3</f>
        <v>28.384505999999998</v>
      </c>
      <c r="E3" s="20"/>
    </row>
    <row r="4" spans="1:5" x14ac:dyDescent="0.25">
      <c r="A4" s="16" t="s">
        <v>38</v>
      </c>
      <c r="B4" s="686">
        <v>22.29</v>
      </c>
      <c r="C4" s="17">
        <v>1.833</v>
      </c>
      <c r="D4" s="18">
        <f t="shared" si="0"/>
        <v>40.857569999999996</v>
      </c>
      <c r="E4" s="20"/>
    </row>
    <row r="5" spans="1:5" x14ac:dyDescent="0.25">
      <c r="A5" s="16" t="s">
        <v>39</v>
      </c>
      <c r="B5" s="686">
        <v>25.19</v>
      </c>
      <c r="C5" s="17">
        <v>1.7515000000000001</v>
      </c>
      <c r="D5" s="18">
        <f t="shared" si="0"/>
        <v>44.120285000000003</v>
      </c>
      <c r="E5" s="20"/>
    </row>
    <row r="6" spans="1:5" x14ac:dyDescent="0.25">
      <c r="A6" s="16" t="s">
        <v>40</v>
      </c>
      <c r="B6" s="686">
        <v>30.02</v>
      </c>
      <c r="C6" s="17">
        <v>1.641</v>
      </c>
      <c r="D6" s="18">
        <f t="shared" si="0"/>
        <v>49.262819999999998</v>
      </c>
      <c r="E6" s="20"/>
    </row>
    <row r="7" spans="1:5" x14ac:dyDescent="0.25">
      <c r="A7" s="16" t="s">
        <v>41</v>
      </c>
      <c r="B7" s="686">
        <v>35.43</v>
      </c>
      <c r="C7" s="17">
        <v>1.5654999999999999</v>
      </c>
      <c r="D7" s="18">
        <f t="shared" si="0"/>
        <v>55.465664999999994</v>
      </c>
      <c r="E7" s="20"/>
    </row>
    <row r="8" spans="1:5" x14ac:dyDescent="0.25">
      <c r="A8" s="16" t="s">
        <v>42</v>
      </c>
      <c r="B8" s="686">
        <v>40.89</v>
      </c>
      <c r="C8" s="17">
        <v>1.43279</v>
      </c>
      <c r="D8" s="685">
        <f t="shared" si="0"/>
        <v>58.586783099999998</v>
      </c>
      <c r="E8" s="20"/>
    </row>
    <row r="9" spans="1:5" ht="13.8" thickBot="1" x14ac:dyDescent="0.3">
      <c r="A9" s="681" t="s">
        <v>190</v>
      </c>
      <c r="B9" s="686">
        <v>25</v>
      </c>
      <c r="C9" s="682">
        <v>1</v>
      </c>
      <c r="D9" s="683">
        <f>B9*C9</f>
        <v>25</v>
      </c>
      <c r="E9" s="684"/>
    </row>
    <row r="10" spans="1:5" ht="13.8" thickBot="1" x14ac:dyDescent="0.3"/>
    <row r="11" spans="1:5" ht="15.6" thickTop="1" thickBot="1" x14ac:dyDescent="0.35">
      <c r="A11" s="1" t="s">
        <v>36</v>
      </c>
      <c r="B11" s="1374">
        <v>2019</v>
      </c>
    </row>
    <row r="12" spans="1:5" ht="13.8" thickTop="1" x14ac:dyDescent="0.25"/>
  </sheetData>
  <phoneticPr fontId="2" type="noConversion"/>
  <dataValidations count="1">
    <dataValidation type="list" allowBlank="1" showInputMessage="1" showErrorMessage="1" sqref="B11" xr:uid="{00000000-0002-0000-0000-000000000000}">
      <formula1>YearList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18"/>
  <sheetViews>
    <sheetView zoomScaleNormal="100" workbookViewId="0">
      <selection activeCell="F3" sqref="F3"/>
    </sheetView>
  </sheetViews>
  <sheetFormatPr defaultRowHeight="13.2" x14ac:dyDescent="0.25"/>
  <cols>
    <col min="1" max="1" width="1.109375" customWidth="1"/>
    <col min="2" max="2" width="31.44140625" customWidth="1"/>
    <col min="3" max="3" width="12.88671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593" t="s">
        <v>151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75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51</v>
      </c>
      <c r="M4" s="396" t="s">
        <v>71</v>
      </c>
      <c r="N4" s="431" t="s">
        <v>69</v>
      </c>
      <c r="O4" s="20">
        <v>51</v>
      </c>
      <c r="P4" s="425" t="s">
        <v>71</v>
      </c>
      <c r="Q4" s="429" t="s">
        <v>69</v>
      </c>
      <c r="R4" s="20">
        <v>51</v>
      </c>
      <c r="S4" s="115" t="s">
        <v>69</v>
      </c>
      <c r="T4" s="106">
        <f>AVERAGE(L4,O4,R4)</f>
        <v>51</v>
      </c>
      <c r="U4" s="37"/>
    </row>
    <row r="5" spans="1:21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630">
        <v>75</v>
      </c>
      <c r="K5" s="342" t="s">
        <v>70</v>
      </c>
      <c r="L5" s="343">
        <f>L4*$I$4</f>
        <v>0</v>
      </c>
      <c r="M5" s="631">
        <v>75</v>
      </c>
      <c r="N5" s="344" t="s">
        <v>70</v>
      </c>
      <c r="O5" s="345">
        <f>O4*$I$4</f>
        <v>0</v>
      </c>
      <c r="P5" s="630">
        <v>75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57" t="s">
        <v>55</v>
      </c>
      <c r="N8" s="1432" t="s">
        <v>57</v>
      </c>
      <c r="O8" s="1433"/>
      <c r="P8" s="277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5</v>
      </c>
      <c r="H10" s="21">
        <v>5</v>
      </c>
      <c r="I10" s="48">
        <f>SUM(C10:H10)</f>
        <v>15</v>
      </c>
      <c r="J10" s="263" t="s">
        <v>12</v>
      </c>
      <c r="K10" s="264">
        <f>I10*$J$5</f>
        <v>1125</v>
      </c>
      <c r="L10" s="265">
        <f>K10/$E$7</f>
        <v>160.71428571428572</v>
      </c>
      <c r="M10" s="58" t="s">
        <v>12</v>
      </c>
      <c r="N10" s="432">
        <f>I10*$M$5</f>
        <v>1125</v>
      </c>
      <c r="O10" s="68">
        <f>N10/$E$7</f>
        <v>160.71428571428572</v>
      </c>
      <c r="P10" s="263" t="s">
        <v>12</v>
      </c>
      <c r="Q10" s="433">
        <f>$I10*$M$5</f>
        <v>1125</v>
      </c>
      <c r="R10" s="289">
        <f>Q10/$E$7</f>
        <v>160.71428571428572</v>
      </c>
      <c r="S10" s="121">
        <f>AVERAGE(L10,O10,R10)</f>
        <v>160.71428571428572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246</v>
      </c>
      <c r="G11" s="23">
        <f>ROUND(G10*Labor!$D$7,0)</f>
        <v>277</v>
      </c>
      <c r="H11" s="23">
        <f>ROUND(H10*Labor!$D$8,0)</f>
        <v>293</v>
      </c>
      <c r="I11" s="382">
        <f>SUM(C11:H11)</f>
        <v>816</v>
      </c>
      <c r="J11" s="383">
        <f>HLOOKUP(Labor!$B$11,InflationTable,2)*$I11</f>
        <v>1102.2543084901995</v>
      </c>
      <c r="K11" s="384">
        <f>J11*$J$5</f>
        <v>82669.073136764957</v>
      </c>
      <c r="L11" s="385">
        <f>K11/$E$7</f>
        <v>11809.867590966422</v>
      </c>
      <c r="M11" s="386">
        <f>HLOOKUP(Labor!$B$11,InflationTable,3)*$I11</f>
        <v>1132.3597851323898</v>
      </c>
      <c r="N11" s="387">
        <f>M11*$J$5</f>
        <v>84926.983884929228</v>
      </c>
      <c r="O11" s="388">
        <f>N11/$E$7</f>
        <v>12132.426269275604</v>
      </c>
      <c r="P11" s="383">
        <f>HLOOKUP(Labor!$B$11,InflationTable,4)*$I11</f>
        <v>1145.9288220469218</v>
      </c>
      <c r="Q11" s="384">
        <f>P11*$J$5</f>
        <v>85944.661653519142</v>
      </c>
      <c r="R11" s="385">
        <f>Q11/$E$7</f>
        <v>12277.808807645592</v>
      </c>
      <c r="S11" s="379">
        <f>AVERAGE(L11,O11,R11)</f>
        <v>12073.367555962539</v>
      </c>
      <c r="T11" s="380" t="s">
        <v>12</v>
      </c>
      <c r="U11" s="380" t="s">
        <v>12</v>
      </c>
    </row>
    <row r="12" spans="1:21" x14ac:dyDescent="0.25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 x14ac:dyDescent="0.25">
      <c r="A13" s="615"/>
      <c r="B13" s="602" t="s">
        <v>51</v>
      </c>
      <c r="C13" s="21">
        <v>0</v>
      </c>
      <c r="D13" s="21">
        <v>6</v>
      </c>
      <c r="E13" s="21">
        <v>2</v>
      </c>
      <c r="F13" s="21">
        <v>2</v>
      </c>
      <c r="G13" s="21">
        <v>0</v>
      </c>
      <c r="H13" s="21">
        <v>0</v>
      </c>
      <c r="I13" s="48">
        <f>SUM(C13:H13)</f>
        <v>10</v>
      </c>
      <c r="J13" s="263" t="s">
        <v>12</v>
      </c>
      <c r="K13" s="264">
        <f>I13*$J$5</f>
        <v>750</v>
      </c>
      <c r="L13" s="265">
        <f>K13/$E$7</f>
        <v>107.14285714285714</v>
      </c>
      <c r="M13" s="58" t="s">
        <v>12</v>
      </c>
      <c r="N13" s="60">
        <f>I13*$M$5</f>
        <v>750</v>
      </c>
      <c r="O13" s="59">
        <f>N13/$E$7</f>
        <v>107.14285714285714</v>
      </c>
      <c r="P13" s="263" t="s">
        <v>12</v>
      </c>
      <c r="Q13" s="291">
        <f>$I13*$P$5</f>
        <v>750</v>
      </c>
      <c r="R13" s="282">
        <f>Q13/$E$7</f>
        <v>107.14285714285714</v>
      </c>
      <c r="S13" s="121">
        <f>AVERAGE(L13,O13,R13)</f>
        <v>107.14285714285715</v>
      </c>
      <c r="T13" s="119" t="s">
        <v>12</v>
      </c>
      <c r="U13" s="119" t="s">
        <v>12</v>
      </c>
    </row>
    <row r="14" spans="1:21" s="1" customFormat="1" ht="13.8" thickBot="1" x14ac:dyDescent="0.3">
      <c r="A14" s="616"/>
      <c r="B14" s="604" t="s">
        <v>52</v>
      </c>
      <c r="C14" s="373">
        <f>ROUND(C13*Labor!$D$3,0)</f>
        <v>0</v>
      </c>
      <c r="D14" s="374">
        <f>ROUND(D13*Labor!$D$4,0)</f>
        <v>245</v>
      </c>
      <c r="E14" s="374">
        <f>ROUND(E13*Labor!$D$5,0)</f>
        <v>88</v>
      </c>
      <c r="F14" s="374">
        <f>ROUND(F13*Labor!$D$6,0)</f>
        <v>99</v>
      </c>
      <c r="G14" s="374">
        <f>ROUND(G13*Labor!$D$7,0)</f>
        <v>0</v>
      </c>
      <c r="H14" s="374">
        <f>ROUND(H13*Labor!$D$8,0)</f>
        <v>0</v>
      </c>
      <c r="I14" s="375">
        <f>SUM(C14:H14)</f>
        <v>432</v>
      </c>
      <c r="J14" s="332">
        <f>HLOOKUP(Labor!$B$11,InflationTable,2)*I14</f>
        <v>583.54639861245857</v>
      </c>
      <c r="K14" s="296">
        <f>J14*$J$5</f>
        <v>43765.97989593439</v>
      </c>
      <c r="L14" s="297">
        <f>K14/$E$7</f>
        <v>6252.2828422763414</v>
      </c>
      <c r="M14" s="376">
        <f>HLOOKUP(Labor!$B$11,InflationTable,3)*I14</f>
        <v>599.48459212891225</v>
      </c>
      <c r="N14" s="377">
        <f>M14*$J$5</f>
        <v>44961.344409668418</v>
      </c>
      <c r="O14" s="378">
        <f>N14/$E$7</f>
        <v>6423.0492013812027</v>
      </c>
      <c r="P14" s="339">
        <f>HLOOKUP(Labor!$B$11,InflationTable,4)*I14</f>
        <v>606.66819990719387</v>
      </c>
      <c r="Q14" s="296">
        <f>P14*$J$5</f>
        <v>45500.11499303954</v>
      </c>
      <c r="R14" s="297">
        <f>Q14/$E$7</f>
        <v>6500.0164275770776</v>
      </c>
      <c r="S14" s="211">
        <f>AVERAGE(L14,O14,R14)</f>
        <v>6391.7828237448739</v>
      </c>
      <c r="T14" s="218" t="s">
        <v>12</v>
      </c>
      <c r="U14" s="218" t="s">
        <v>12</v>
      </c>
    </row>
    <row r="15" spans="1:21" x14ac:dyDescent="0.25">
      <c r="A15" s="615"/>
      <c r="B15" s="605" t="s">
        <v>66</v>
      </c>
      <c r="C15" s="33">
        <f t="shared" ref="C15:I16" si="0">C10+C13</f>
        <v>0</v>
      </c>
      <c r="D15" s="33">
        <f t="shared" si="0"/>
        <v>6</v>
      </c>
      <c r="E15" s="33">
        <f t="shared" si="0"/>
        <v>2</v>
      </c>
      <c r="F15" s="33">
        <f t="shared" si="0"/>
        <v>7</v>
      </c>
      <c r="G15" s="33">
        <f t="shared" si="0"/>
        <v>5</v>
      </c>
      <c r="H15" s="33">
        <f t="shared" si="0"/>
        <v>5</v>
      </c>
      <c r="I15" s="49">
        <f t="shared" si="0"/>
        <v>25</v>
      </c>
      <c r="J15" s="271" t="s">
        <v>12</v>
      </c>
      <c r="K15" s="272">
        <f>K10+K13</f>
        <v>1875</v>
      </c>
      <c r="L15" s="273">
        <f>L10+L13</f>
        <v>267.85714285714289</v>
      </c>
      <c r="M15" s="61" t="s">
        <v>12</v>
      </c>
      <c r="N15" s="426">
        <f>I15*$M$5</f>
        <v>1875</v>
      </c>
      <c r="O15" s="62">
        <f>N15/$E$7</f>
        <v>267.85714285714283</v>
      </c>
      <c r="P15" s="293" t="s">
        <v>12</v>
      </c>
      <c r="Q15" s="433">
        <f>$I15*$P$5</f>
        <v>1875</v>
      </c>
      <c r="R15" s="294">
        <f>Q15/$E$7</f>
        <v>267.85714285714283</v>
      </c>
      <c r="S15" s="129">
        <f>AVERAGE(L15,O15,R15)</f>
        <v>267.85714285714289</v>
      </c>
      <c r="T15" s="136" t="s">
        <v>12</v>
      </c>
      <c r="U15" s="136" t="s">
        <v>12</v>
      </c>
    </row>
    <row r="16" spans="1:21" ht="13.8" thickBot="1" x14ac:dyDescent="0.3">
      <c r="A16" s="615"/>
      <c r="B16" s="606" t="s">
        <v>67</v>
      </c>
      <c r="C16" s="240">
        <f t="shared" si="0"/>
        <v>0</v>
      </c>
      <c r="D16" s="240">
        <f t="shared" si="0"/>
        <v>245</v>
      </c>
      <c r="E16" s="240">
        <f t="shared" si="0"/>
        <v>88</v>
      </c>
      <c r="F16" s="240">
        <f t="shared" si="0"/>
        <v>345</v>
      </c>
      <c r="G16" s="240">
        <f t="shared" si="0"/>
        <v>277</v>
      </c>
      <c r="H16" s="240">
        <f t="shared" si="0"/>
        <v>293</v>
      </c>
      <c r="I16" s="241">
        <f t="shared" si="0"/>
        <v>1248</v>
      </c>
      <c r="J16" s="274">
        <f>J11+J14</f>
        <v>1685.8007071026582</v>
      </c>
      <c r="K16" s="275">
        <f>K11+K14</f>
        <v>126435.05303269935</v>
      </c>
      <c r="L16" s="276">
        <f>L11+L14</f>
        <v>18062.150433242765</v>
      </c>
      <c r="M16" s="242">
        <f>M11+M14</f>
        <v>1731.844377261302</v>
      </c>
      <c r="N16" s="240">
        <f>N11+N14</f>
        <v>129888.32829459765</v>
      </c>
      <c r="O16" s="243">
        <f>O11+O14</f>
        <v>18555.475470656806</v>
      </c>
      <c r="P16" s="295">
        <f>P11+P14</f>
        <v>1752.5970219541157</v>
      </c>
      <c r="Q16" s="296">
        <f>P16*$P$5</f>
        <v>131444.77664655869</v>
      </c>
      <c r="R16" s="297">
        <f>Q16/$E$7</f>
        <v>18777.82523522267</v>
      </c>
      <c r="S16" s="211">
        <f>AVERAGE(L16,O16,R16)</f>
        <v>18465.150379707415</v>
      </c>
      <c r="T16" s="218" t="s">
        <v>12</v>
      </c>
      <c r="U16" s="218" t="s">
        <v>12</v>
      </c>
    </row>
    <row r="17" spans="1:21" ht="14.4" thickTop="1" thickBot="1" x14ac:dyDescent="0.3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2" thickTop="1" x14ac:dyDescent="0.3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5"/>
      <c r="H18" s="1416"/>
      <c r="I18" s="1417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 x14ac:dyDescent="0.25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22" t="s">
        <v>57</v>
      </c>
      <c r="L19" s="1423"/>
      <c r="M19" s="93" t="s">
        <v>61</v>
      </c>
      <c r="N19" s="1432" t="s">
        <v>57</v>
      </c>
      <c r="O19" s="1433"/>
      <c r="P19" s="262" t="s">
        <v>61</v>
      </c>
      <c r="Q19" s="1422" t="s">
        <v>57</v>
      </c>
      <c r="R19" s="1423"/>
      <c r="S19" s="131"/>
      <c r="T19" s="37"/>
      <c r="U19" s="138"/>
    </row>
    <row r="20" spans="1:21" x14ac:dyDescent="0.25">
      <c r="A20" s="615"/>
      <c r="B20" s="607" t="s">
        <v>58</v>
      </c>
      <c r="C20" s="23"/>
      <c r="D20" s="23"/>
      <c r="E20" s="484"/>
      <c r="F20" s="5"/>
      <c r="G20" s="5"/>
      <c r="H20" s="5"/>
      <c r="I20" s="37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 x14ac:dyDescent="0.25">
      <c r="A21" s="615"/>
      <c r="B21" s="608" t="s">
        <v>14</v>
      </c>
      <c r="C21" s="163">
        <f>VLOOKUP(C$2,Monitor_Costs,2,FALSE)</f>
        <v>4000</v>
      </c>
      <c r="D21" s="22">
        <f>VLOOKUP(C$2,Monitor_Costs,3,FALSE)</f>
        <v>2019</v>
      </c>
      <c r="E21" s="484"/>
      <c r="F21" s="7"/>
      <c r="G21" s="5"/>
      <c r="H21" s="5"/>
      <c r="I21" s="37"/>
      <c r="J21" s="279">
        <f>HLOOKUP(D21,InflationTable,2)*$C21</f>
        <v>5403.2073945598022</v>
      </c>
      <c r="K21" s="279">
        <f>J21*$L$4</f>
        <v>275563.57712254993</v>
      </c>
      <c r="L21" s="280">
        <f>K21/$E$18</f>
        <v>39366.225303221421</v>
      </c>
      <c r="M21" s="78">
        <f>HLOOKUP($D$21,InflationTable,3)*$C21</f>
        <v>5550.7832604528912</v>
      </c>
      <c r="N21" s="27">
        <f>M21*$L$4</f>
        <v>283089.94628309744</v>
      </c>
      <c r="O21" s="182">
        <f>N21/$E$18</f>
        <v>40441.420897585347</v>
      </c>
      <c r="P21" s="298">
        <f>HLOOKUP($D$21,InflationTable,4)*$C21</f>
        <v>5617.2981472888323</v>
      </c>
      <c r="Q21" s="279">
        <f>P21*$L$4</f>
        <v>286482.20551173046</v>
      </c>
      <c r="R21" s="280">
        <f>Q21/$E$18</f>
        <v>40926.02935881864</v>
      </c>
      <c r="S21" s="127" t="s">
        <v>12</v>
      </c>
      <c r="T21" s="119" t="s">
        <v>12</v>
      </c>
      <c r="U21" s="139">
        <f>AVERAGE(L21,O21,R21)</f>
        <v>40244.558519875136</v>
      </c>
    </row>
    <row r="22" spans="1:21" x14ac:dyDescent="0.25">
      <c r="A22" s="615"/>
      <c r="B22" s="633" t="s">
        <v>15</v>
      </c>
      <c r="C22" s="163">
        <f>C21</f>
        <v>4000</v>
      </c>
      <c r="D22" s="10">
        <f>D21</f>
        <v>2019</v>
      </c>
      <c r="E22" s="5"/>
      <c r="F22" s="7"/>
      <c r="G22" s="5"/>
      <c r="H22" s="5"/>
      <c r="I22" s="145"/>
      <c r="J22" s="279">
        <f>HLOOKUP(D22,InflationTable,2)*$C22</f>
        <v>5403.2073945598022</v>
      </c>
      <c r="K22" s="279">
        <f>J21*$L$5</f>
        <v>0</v>
      </c>
      <c r="L22" s="280">
        <f>K22/$E$18</f>
        <v>0</v>
      </c>
      <c r="M22" s="78">
        <f>HLOOKUP($D$21,InflationTable,3)*$C22</f>
        <v>5550.7832604528912</v>
      </c>
      <c r="N22" s="27">
        <f>M21*$L$5</f>
        <v>0</v>
      </c>
      <c r="O22" s="634">
        <f>N22/$E$18</f>
        <v>0</v>
      </c>
      <c r="P22" s="638"/>
      <c r="Q22" s="279">
        <f>P21*$L$5</f>
        <v>0</v>
      </c>
      <c r="R22" s="280">
        <f>Q22/$E$18</f>
        <v>0</v>
      </c>
      <c r="S22" s="127" t="s">
        <v>12</v>
      </c>
      <c r="T22" s="119" t="s">
        <v>12</v>
      </c>
      <c r="U22" s="139">
        <f>AVERAGE(L22,O22,R22)</f>
        <v>0</v>
      </c>
    </row>
    <row r="23" spans="1:21" ht="13.8" thickBot="1" x14ac:dyDescent="0.3">
      <c r="A23" s="615"/>
      <c r="B23" s="921" t="str">
        <f>VLOOKUP(C$2,Monitor_Costs,10,FALSE)</f>
        <v>Audit Cal Kit</v>
      </c>
      <c r="C23" s="920">
        <f>VLOOKUP(C$2,Monitor_Costs,11,FALSE)</f>
        <v>125</v>
      </c>
      <c r="D23" s="922">
        <f>VLOOKUP(C$2,Monitor_Costs,12,FALSE)</f>
        <v>2019</v>
      </c>
      <c r="E23" s="4"/>
      <c r="F23" s="12"/>
      <c r="G23" s="4"/>
      <c r="H23" s="4"/>
      <c r="I23" s="639"/>
      <c r="J23" s="279">
        <f>HLOOKUP($D23,InflationTable,2)*$C23</f>
        <v>168.85023107999382</v>
      </c>
      <c r="K23" s="355">
        <f>J23*$L$4</f>
        <v>8611.3617850796854</v>
      </c>
      <c r="L23" s="308">
        <f>K23/$E$18</f>
        <v>1230.1945407256694</v>
      </c>
      <c r="M23" s="706">
        <f>HLOOKUP($D23,InflationTable,3)*$C23</f>
        <v>173.46197688915285</v>
      </c>
      <c r="N23" s="104">
        <f>M23*$L$4</f>
        <v>8846.5608213467949</v>
      </c>
      <c r="O23" s="105">
        <f>N23/$E$18</f>
        <v>1263.7944030495421</v>
      </c>
      <c r="P23" s="279">
        <f>HLOOKUP($D23,InflationTable,4)*$C23</f>
        <v>175.54056710277601</v>
      </c>
      <c r="Q23" s="355">
        <f>P23*$L$4</f>
        <v>8952.5689222415767</v>
      </c>
      <c r="R23" s="308">
        <f>Q23/$E$18</f>
        <v>1278.9384174630825</v>
      </c>
      <c r="S23" s="635" t="s">
        <v>12</v>
      </c>
      <c r="T23" s="636" t="s">
        <v>12</v>
      </c>
      <c r="U23" s="637">
        <f>AVERAGE(L23,O23,R23)</f>
        <v>1257.642453746098</v>
      </c>
    </row>
    <row r="24" spans="1:21" x14ac:dyDescent="0.25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 x14ac:dyDescent="0.25">
      <c r="A25" s="615"/>
      <c r="B25" s="611" t="s">
        <v>119</v>
      </c>
      <c r="C25" s="31">
        <v>3</v>
      </c>
      <c r="D25" s="21">
        <v>5</v>
      </c>
      <c r="E25" s="21">
        <v>0</v>
      </c>
      <c r="F25" s="21">
        <v>0</v>
      </c>
      <c r="G25" s="21">
        <v>0</v>
      </c>
      <c r="H25" s="21">
        <v>0</v>
      </c>
      <c r="I25" s="48">
        <f>SUM(C25:H25)</f>
        <v>8</v>
      </c>
      <c r="J25" s="263" t="s">
        <v>12</v>
      </c>
      <c r="K25" s="281">
        <f>I25*($L$4+$L$5)</f>
        <v>408</v>
      </c>
      <c r="L25" s="282">
        <f>K25/$E$18</f>
        <v>58.285714285714285</v>
      </c>
      <c r="M25" s="58" t="s">
        <v>12</v>
      </c>
      <c r="N25" s="69">
        <f>$I$25*($O$4+$O$5)</f>
        <v>408</v>
      </c>
      <c r="O25" s="59">
        <f>N25/$E$18</f>
        <v>58.285714285714285</v>
      </c>
      <c r="P25" s="263" t="s">
        <v>12</v>
      </c>
      <c r="Q25" s="281">
        <f>$I$25*($R$4+$R$5)</f>
        <v>408</v>
      </c>
      <c r="R25" s="282">
        <f>Q25/$E$18</f>
        <v>58.285714285714285</v>
      </c>
      <c r="S25" s="173">
        <f>AVERAGE(L25,O25,R25)</f>
        <v>58.285714285714285</v>
      </c>
      <c r="T25" s="119" t="s">
        <v>12</v>
      </c>
      <c r="U25" s="140" t="s">
        <v>12</v>
      </c>
    </row>
    <row r="26" spans="1:21" s="1" customFormat="1" ht="13.8" thickBot="1" x14ac:dyDescent="0.3">
      <c r="A26" s="616"/>
      <c r="B26" s="604" t="s">
        <v>8</v>
      </c>
      <c r="C26" s="389">
        <f>ROUND(C25*Labor!$D$3,0)</f>
        <v>85</v>
      </c>
      <c r="D26" s="374">
        <f>ROUND(D25*Labor!$D$4,0)</f>
        <v>204</v>
      </c>
      <c r="E26" s="374">
        <f>ROUND(E25*Labor!$D$5,0)</f>
        <v>0</v>
      </c>
      <c r="F26" s="374">
        <f>ROUND(F25*Labor!$D$6,0)</f>
        <v>0</v>
      </c>
      <c r="G26" s="374">
        <f>ROUND(G25*Labor!$D$7,0)</f>
        <v>0</v>
      </c>
      <c r="H26" s="374">
        <f>ROUND(H25*Labor!$D$8,0)</f>
        <v>0</v>
      </c>
      <c r="I26" s="375">
        <f>SUM(C26:H26)</f>
        <v>289</v>
      </c>
      <c r="J26" s="332">
        <f>HLOOKUP(Labor!$B$11,InflationTable,2)*I26</f>
        <v>390.38173425694566</v>
      </c>
      <c r="K26" s="296">
        <f>J26*($L$4+$L$5)</f>
        <v>19909.468447104227</v>
      </c>
      <c r="L26" s="297">
        <f>K26/$E$18</f>
        <v>2844.2097781577468</v>
      </c>
      <c r="M26" s="376">
        <f>HLOOKUP(Labor!$B$11,InflationTable,3)*$I26</f>
        <v>401.04409056772141</v>
      </c>
      <c r="N26" s="377">
        <f>M26*$L$4</f>
        <v>20453.248618953792</v>
      </c>
      <c r="O26" s="378">
        <f>N26/$E$18</f>
        <v>2921.8926598505418</v>
      </c>
      <c r="P26" s="332">
        <f>HLOOKUP(Labor!$B$11,InflationTable,4)*$I26</f>
        <v>405.84979114161814</v>
      </c>
      <c r="Q26" s="296">
        <f>P26*$L$4</f>
        <v>20698.339348222526</v>
      </c>
      <c r="R26" s="390">
        <f>Q26/$E$18</f>
        <v>2956.9056211746465</v>
      </c>
      <c r="S26" s="450">
        <f>AVERAGE(L26,O26,R26)</f>
        <v>2907.6693530609787</v>
      </c>
      <c r="T26" s="218" t="s">
        <v>12</v>
      </c>
      <c r="U26" s="392" t="s">
        <v>12</v>
      </c>
    </row>
    <row r="27" spans="1:21" x14ac:dyDescent="0.25">
      <c r="A27" s="615"/>
      <c r="B27" s="112" t="s">
        <v>118</v>
      </c>
      <c r="C27" s="346">
        <v>5</v>
      </c>
      <c r="D27" s="365">
        <v>3</v>
      </c>
      <c r="E27" s="365">
        <v>0</v>
      </c>
      <c r="F27" s="365">
        <v>0</v>
      </c>
      <c r="G27" s="365">
        <v>0</v>
      </c>
      <c r="H27" s="365">
        <v>0</v>
      </c>
      <c r="I27" s="366">
        <f>SUM(C27:H27)</f>
        <v>8</v>
      </c>
      <c r="J27" s="293" t="s">
        <v>12</v>
      </c>
      <c r="K27" s="334">
        <f>I27*$L$4</f>
        <v>408</v>
      </c>
      <c r="L27" s="294">
        <f>K27/$E$18</f>
        <v>58.285714285714285</v>
      </c>
      <c r="M27" s="61" t="s">
        <v>12</v>
      </c>
      <c r="N27" s="348">
        <f>I27*$O$4</f>
        <v>408</v>
      </c>
      <c r="O27" s="62">
        <f>N27/$E$18</f>
        <v>58.285714285714285</v>
      </c>
      <c r="P27" s="293" t="s">
        <v>12</v>
      </c>
      <c r="Q27" s="327">
        <f>$I27*$O$4</f>
        <v>408</v>
      </c>
      <c r="R27" s="367">
        <f>Q27/$E$18</f>
        <v>58.285714285714285</v>
      </c>
      <c r="S27" s="129">
        <f>AVERAGE(L27,O27,R27)</f>
        <v>58.285714285714285</v>
      </c>
      <c r="T27" s="136" t="s">
        <v>12</v>
      </c>
      <c r="U27" s="147" t="s">
        <v>12</v>
      </c>
    </row>
    <row r="28" spans="1:21" s="1" customFormat="1" ht="13.8" thickBot="1" x14ac:dyDescent="0.3">
      <c r="A28" s="616"/>
      <c r="B28" s="612" t="s">
        <v>8</v>
      </c>
      <c r="C28" s="373">
        <f>ROUND(C27*Labor!$D$3,0)</f>
        <v>142</v>
      </c>
      <c r="D28" s="374">
        <f>ROUND(D27*Labor!$D$4,0)</f>
        <v>123</v>
      </c>
      <c r="E28" s="374">
        <f>ROUND(E27*Labor!$D$5,0)</f>
        <v>0</v>
      </c>
      <c r="F28" s="374">
        <f>ROUND(F27*Labor!$D$6,0)</f>
        <v>0</v>
      </c>
      <c r="G28" s="374">
        <f>ROUND(G27*Labor!$D$7,0)</f>
        <v>0</v>
      </c>
      <c r="H28" s="374">
        <f>ROUND(H27*Labor!$D$8,0)</f>
        <v>0</v>
      </c>
      <c r="I28" s="375">
        <f>SUM(C28:H28)</f>
        <v>265</v>
      </c>
      <c r="J28" s="332">
        <f>HLOOKUP(Labor!$B$11,InflationTable,2)*I28</f>
        <v>357.96248988958689</v>
      </c>
      <c r="K28" s="296">
        <f>J28*$L$4</f>
        <v>18256.086984368932</v>
      </c>
      <c r="L28" s="297">
        <f>K28/$E$18</f>
        <v>2608.0124263384191</v>
      </c>
      <c r="M28" s="376">
        <f>HLOOKUP(Labor!$B$11,InflationTable,3)*$I28</f>
        <v>367.73939100500405</v>
      </c>
      <c r="N28" s="377">
        <f>M28*$O$4</f>
        <v>18754.708941255205</v>
      </c>
      <c r="O28" s="378">
        <f>N28/$E$18</f>
        <v>2679.2441344650292</v>
      </c>
      <c r="P28" s="339">
        <f>HLOOKUP(Labor!$B$11,InflationTable,4)*$I28</f>
        <v>372.14600225788519</v>
      </c>
      <c r="Q28" s="296">
        <f>P28*$R$4</f>
        <v>18979.446115152143</v>
      </c>
      <c r="R28" s="297">
        <f>Q28/$E$18</f>
        <v>2711.3494450217345</v>
      </c>
      <c r="S28" s="211">
        <f>AVERAGE(L28,O28,R28)</f>
        <v>2666.2020019417273</v>
      </c>
      <c r="T28" s="393" t="s">
        <v>12</v>
      </c>
      <c r="U28" s="392" t="s">
        <v>12</v>
      </c>
    </row>
    <row r="29" spans="1:21" x14ac:dyDescent="0.25">
      <c r="A29" s="615"/>
      <c r="B29" s="605" t="s">
        <v>66</v>
      </c>
      <c r="C29" s="33">
        <f t="shared" ref="C29:I29" si="1">C25+C27</f>
        <v>8</v>
      </c>
      <c r="D29" s="33">
        <f t="shared" si="1"/>
        <v>8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49">
        <f t="shared" si="1"/>
        <v>16</v>
      </c>
      <c r="J29" s="284" t="s">
        <v>12</v>
      </c>
      <c r="K29" s="285">
        <f>K25+K27</f>
        <v>816</v>
      </c>
      <c r="L29" s="286">
        <f>L25+L27</f>
        <v>116.57142857142857</v>
      </c>
      <c r="M29" s="44" t="s">
        <v>12</v>
      </c>
      <c r="N29" s="33">
        <f>N25+N27</f>
        <v>816</v>
      </c>
      <c r="O29" s="40">
        <f>O25+O27</f>
        <v>116.57142857142857</v>
      </c>
      <c r="P29" s="284" t="s">
        <v>12</v>
      </c>
      <c r="Q29" s="285">
        <f>Q25+Q27</f>
        <v>816</v>
      </c>
      <c r="R29" s="286">
        <f>R25+R27</f>
        <v>116.57142857142857</v>
      </c>
      <c r="S29" s="669">
        <f>AVERAGE(L29,O29,R29)</f>
        <v>116.57142857142857</v>
      </c>
      <c r="T29" s="136" t="s">
        <v>12</v>
      </c>
      <c r="U29" s="147" t="s">
        <v>12</v>
      </c>
    </row>
    <row r="30" spans="1:21" ht="13.8" thickBot="1" x14ac:dyDescent="0.3">
      <c r="A30" s="615"/>
      <c r="B30" s="606" t="s">
        <v>67</v>
      </c>
      <c r="C30" s="240">
        <f t="shared" ref="C30:J30" si="2">C28+C26</f>
        <v>227</v>
      </c>
      <c r="D30" s="240">
        <f t="shared" si="2"/>
        <v>327</v>
      </c>
      <c r="E30" s="240">
        <f t="shared" si="2"/>
        <v>0</v>
      </c>
      <c r="F30" s="240">
        <f t="shared" si="2"/>
        <v>0</v>
      </c>
      <c r="G30" s="240">
        <f t="shared" si="2"/>
        <v>0</v>
      </c>
      <c r="H30" s="240">
        <f t="shared" si="2"/>
        <v>0</v>
      </c>
      <c r="I30" s="241">
        <f t="shared" si="2"/>
        <v>554</v>
      </c>
      <c r="J30" s="274">
        <f t="shared" si="2"/>
        <v>748.3442241465325</v>
      </c>
      <c r="K30" s="287"/>
      <c r="L30" s="276">
        <f>L28+L26+L22+L21+L23</f>
        <v>46048.64204844326</v>
      </c>
      <c r="M30" s="242">
        <f>M28+M26</f>
        <v>768.78348157272546</v>
      </c>
      <c r="N30" s="247"/>
      <c r="O30" s="243">
        <f>O28+O26+O22+O21+O23</f>
        <v>47306.35209495046</v>
      </c>
      <c r="P30" s="274">
        <f>P28+P26</f>
        <v>777.99579339950333</v>
      </c>
      <c r="Q30" s="287"/>
      <c r="R30" s="276">
        <f>R28+R26+R22+R21+R23</f>
        <v>47873.222842478106</v>
      </c>
      <c r="S30" s="257">
        <f>SUM(S28,S26)</f>
        <v>5573.871355002706</v>
      </c>
      <c r="T30" s="249" t="s">
        <v>12</v>
      </c>
      <c r="U30" s="250">
        <f>SUM(U21:U23)</f>
        <v>41502.200973621235</v>
      </c>
    </row>
    <row r="31" spans="1:21" ht="14.4" thickTop="1" thickBot="1" x14ac:dyDescent="0.3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2" thickTop="1" x14ac:dyDescent="0.3">
      <c r="A32" s="615"/>
      <c r="B32" s="613" t="s">
        <v>155</v>
      </c>
      <c r="C32" s="5"/>
      <c r="D32" s="5"/>
      <c r="E32" s="5"/>
      <c r="F32" s="112" t="s">
        <v>6</v>
      </c>
      <c r="G32" s="1415"/>
      <c r="H32" s="1416"/>
      <c r="I32" s="1417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 x14ac:dyDescent="0.25">
      <c r="A33" s="615"/>
      <c r="B33" s="5"/>
      <c r="C33" s="5"/>
      <c r="D33" s="5"/>
      <c r="E33" s="5"/>
      <c r="F33" s="112"/>
      <c r="G33" s="1418"/>
      <c r="H33" s="1418"/>
      <c r="I33" s="1419"/>
      <c r="J33" s="277" t="s">
        <v>61</v>
      </c>
      <c r="K33" s="1437" t="s">
        <v>57</v>
      </c>
      <c r="L33" s="1438"/>
      <c r="M33" s="57" t="s">
        <v>61</v>
      </c>
      <c r="N33" s="1432" t="s">
        <v>57</v>
      </c>
      <c r="O33" s="1433"/>
      <c r="P33" s="277" t="s">
        <v>61</v>
      </c>
      <c r="Q33" s="1422" t="s">
        <v>57</v>
      </c>
      <c r="R33" s="1423"/>
      <c r="S33" s="131"/>
      <c r="T33" s="37"/>
      <c r="U33" s="138"/>
    </row>
    <row r="34" spans="1:21" x14ac:dyDescent="0.25">
      <c r="A34" s="615"/>
      <c r="C34" s="23" t="s">
        <v>60</v>
      </c>
      <c r="D34" s="23" t="s">
        <v>62</v>
      </c>
      <c r="E34" s="484"/>
      <c r="F34" s="5"/>
      <c r="G34" s="5"/>
      <c r="H34" s="5"/>
      <c r="I34" s="37"/>
      <c r="J34" s="261" t="s">
        <v>56</v>
      </c>
      <c r="K34" s="261" t="s">
        <v>13</v>
      </c>
      <c r="L34" s="262" t="s">
        <v>68</v>
      </c>
      <c r="M34" s="77" t="s">
        <v>56</v>
      </c>
      <c r="N34" s="24" t="s">
        <v>13</v>
      </c>
      <c r="O34" s="38" t="s">
        <v>68</v>
      </c>
      <c r="P34" s="260" t="s">
        <v>56</v>
      </c>
      <c r="Q34" s="261" t="s">
        <v>13</v>
      </c>
      <c r="R34" s="262" t="s">
        <v>68</v>
      </c>
      <c r="S34" s="123"/>
      <c r="T34" s="37"/>
      <c r="U34" s="138"/>
    </row>
    <row r="35" spans="1:21" ht="13.8" thickBot="1" x14ac:dyDescent="0.3">
      <c r="A35" s="615"/>
      <c r="B35" s="611" t="s">
        <v>18</v>
      </c>
      <c r="C35" s="163">
        <f>VLOOKUP(C$2,Monitor_Costs,4,FALSE)</f>
        <v>150</v>
      </c>
      <c r="D35" s="22">
        <f>VLOOKUP(C$2,Monitor_Costs,5,FALSE)</f>
        <v>2019</v>
      </c>
      <c r="E35" s="484"/>
      <c r="F35" s="7"/>
      <c r="G35" s="5"/>
      <c r="H35" s="5"/>
      <c r="I35" s="396"/>
      <c r="J35" s="358">
        <f>HLOOKUP($D$35,InflationTable,2)*$C35</f>
        <v>202.62027729599257</v>
      </c>
      <c r="K35" s="355">
        <f>J35*$L$4</f>
        <v>10333.634142095621</v>
      </c>
      <c r="L35" s="308">
        <f>K35</f>
        <v>10333.634142095621</v>
      </c>
      <c r="M35" s="171">
        <f>HLOOKUP($D$35,InflationTable,3)*$C35</f>
        <v>208.15437226698342</v>
      </c>
      <c r="N35" s="357">
        <f>M35*$O$4</f>
        <v>10615.872985616154</v>
      </c>
      <c r="O35" s="95">
        <f>N35</f>
        <v>10615.872985616154</v>
      </c>
      <c r="P35" s="355">
        <f>HLOOKUP($D$35,InflationTable,4)*$C35</f>
        <v>210.64868052333122</v>
      </c>
      <c r="Q35" s="355">
        <f>P35*$R$4</f>
        <v>10743.082706689893</v>
      </c>
      <c r="R35" s="308">
        <f>Q35</f>
        <v>10743.082706689893</v>
      </c>
      <c r="S35" s="359" t="s">
        <v>12</v>
      </c>
      <c r="T35" s="360">
        <f>AVERAGE(L35,O35,R35)</f>
        <v>10564.196611467223</v>
      </c>
      <c r="U35" s="142" t="s">
        <v>12</v>
      </c>
    </row>
    <row r="36" spans="1:21" ht="13.8" thickBot="1" x14ac:dyDescent="0.3">
      <c r="A36" s="615"/>
      <c r="B36" s="640" t="s">
        <v>154</v>
      </c>
      <c r="C36" s="642">
        <f>VLOOKUP(C$2,Monitor_Costs,8,FALSE)</f>
        <v>150</v>
      </c>
      <c r="D36" s="643">
        <f>VLOOKUP(C$2,Monitor_Costs,9,FALSE)</f>
        <v>2019</v>
      </c>
      <c r="E36" s="641"/>
      <c r="F36" s="12"/>
      <c r="G36" s="4"/>
      <c r="H36" s="4"/>
      <c r="I36" s="639"/>
      <c r="J36" s="355">
        <f>HLOOKUP($D$35,InflationTable,2)*$C36</f>
        <v>202.62027729599257</v>
      </c>
      <c r="K36" s="355">
        <f>J36*$L$4</f>
        <v>10333.634142095621</v>
      </c>
      <c r="L36" s="308">
        <f>K36</f>
        <v>10333.634142095621</v>
      </c>
      <c r="M36" s="171">
        <f>HLOOKUP($D$35,InflationTable,3)*$C36</f>
        <v>208.15437226698342</v>
      </c>
      <c r="N36" s="357">
        <f>M36*$O$4</f>
        <v>10615.872985616154</v>
      </c>
      <c r="O36" s="95">
        <f>N36</f>
        <v>10615.872985616154</v>
      </c>
      <c r="P36" s="355">
        <f>HLOOKUP($D$35,InflationTable,4)*$C36</f>
        <v>210.64868052333122</v>
      </c>
      <c r="Q36" s="355">
        <f>P36*$R$4</f>
        <v>10743.082706689893</v>
      </c>
      <c r="R36" s="308">
        <f>Q36</f>
        <v>10743.082706689893</v>
      </c>
      <c r="S36" s="359" t="s">
        <v>12</v>
      </c>
      <c r="T36" s="360">
        <f>AVERAGE(L36,O36,R36)</f>
        <v>10564.196611467223</v>
      </c>
      <c r="U36" s="142" t="s">
        <v>12</v>
      </c>
    </row>
    <row r="37" spans="1:21" ht="13.8" thickBot="1" x14ac:dyDescent="0.3">
      <c r="A37" s="615"/>
      <c r="B37" s="924" t="str">
        <f>VLOOKUP(C$2,Monitor_Costs,13,FALSE)</f>
        <v>Lab Services</v>
      </c>
      <c r="C37" s="642">
        <f>VLOOKUP(C$2,Monitor_Costs,14,FALSE)</f>
        <v>1610</v>
      </c>
      <c r="D37" s="923">
        <f>VLOOKUP(C$2,Monitor_Costs,15,FALSE)</f>
        <v>2019</v>
      </c>
      <c r="E37" s="484"/>
      <c r="F37" s="7"/>
      <c r="G37" s="5"/>
      <c r="H37" s="8"/>
      <c r="I37" s="145"/>
      <c r="J37" s="355">
        <f>HLOOKUP($D$35,InflationTable,2)*$C37</f>
        <v>2174.7909763103203</v>
      </c>
      <c r="K37" s="355">
        <f>J37*$L$4</f>
        <v>110914.33979182634</v>
      </c>
      <c r="L37" s="308">
        <f>K37</f>
        <v>110914.33979182634</v>
      </c>
      <c r="M37" s="171">
        <f>HLOOKUP($D$35,InflationTable,3)*$C37</f>
        <v>2234.1902623322885</v>
      </c>
      <c r="N37" s="357">
        <f>M37*$O$4</f>
        <v>113943.70337894671</v>
      </c>
      <c r="O37" s="95">
        <f>N37</f>
        <v>113943.70337894671</v>
      </c>
      <c r="P37" s="355">
        <f>HLOOKUP($D$35,InflationTable,4)*$C37</f>
        <v>2260.9625042837552</v>
      </c>
      <c r="Q37" s="355">
        <f>P37*$R$4</f>
        <v>115309.08771847151</v>
      </c>
      <c r="R37" s="308">
        <f>Q37</f>
        <v>115309.08771847151</v>
      </c>
      <c r="S37" s="359" t="s">
        <v>12</v>
      </c>
      <c r="T37" s="926" t="s">
        <v>12</v>
      </c>
      <c r="U37" s="925">
        <f>AVERAGE(L37,O37,R37)</f>
        <v>113389.04362974818</v>
      </c>
    </row>
    <row r="38" spans="1:21" x14ac:dyDescent="0.25">
      <c r="A38" s="615"/>
      <c r="B38" s="465" t="s">
        <v>23</v>
      </c>
      <c r="C38" s="107" t="s">
        <v>45</v>
      </c>
      <c r="D38" s="108" t="s">
        <v>46</v>
      </c>
      <c r="E38" s="107" t="s">
        <v>47</v>
      </c>
      <c r="F38" s="107" t="s">
        <v>48</v>
      </c>
      <c r="G38" s="107" t="s">
        <v>49</v>
      </c>
      <c r="H38" s="107" t="s">
        <v>50</v>
      </c>
      <c r="I38" s="350" t="s">
        <v>74</v>
      </c>
      <c r="J38" s="352"/>
      <c r="K38" s="352"/>
      <c r="L38" s="356"/>
      <c r="M38" s="110"/>
      <c r="N38" s="108"/>
      <c r="O38" s="111"/>
      <c r="P38" s="352"/>
      <c r="Q38" s="352"/>
      <c r="R38" s="356"/>
      <c r="S38" s="123"/>
      <c r="T38" s="37"/>
      <c r="U38" s="138"/>
    </row>
    <row r="39" spans="1:21" x14ac:dyDescent="0.25">
      <c r="A39" s="615"/>
      <c r="B39" s="614" t="s">
        <v>4</v>
      </c>
      <c r="C39" s="21">
        <v>0</v>
      </c>
      <c r="D39" s="21">
        <v>30</v>
      </c>
      <c r="E39" s="21">
        <v>60</v>
      </c>
      <c r="F39" s="21">
        <v>0</v>
      </c>
      <c r="G39" s="21">
        <v>0</v>
      </c>
      <c r="H39" s="21">
        <v>0</v>
      </c>
      <c r="I39" s="48">
        <f>SUM(C39:H39)</f>
        <v>90</v>
      </c>
      <c r="J39" s="299" t="s">
        <v>12</v>
      </c>
      <c r="K39" s="281">
        <f>I39*$L$4</f>
        <v>4590</v>
      </c>
      <c r="L39" s="289">
        <f>K39</f>
        <v>4590</v>
      </c>
      <c r="M39" s="58" t="s">
        <v>12</v>
      </c>
      <c r="N39" s="69">
        <f>$I$39*$O$4</f>
        <v>4590</v>
      </c>
      <c r="O39" s="68">
        <f>N39</f>
        <v>4590</v>
      </c>
      <c r="P39" s="299" t="s">
        <v>12</v>
      </c>
      <c r="Q39" s="281">
        <f>$I$39*$R$4</f>
        <v>4590</v>
      </c>
      <c r="R39" s="289">
        <f>Q39</f>
        <v>4590</v>
      </c>
      <c r="S39" s="121">
        <f>AVERAGE(L39,O39,R39)</f>
        <v>4590</v>
      </c>
      <c r="T39" s="119" t="s">
        <v>12</v>
      </c>
      <c r="U39" s="140" t="s">
        <v>12</v>
      </c>
    </row>
    <row r="40" spans="1:21" s="1" customFormat="1" ht="13.8" thickBot="1" x14ac:dyDescent="0.3">
      <c r="A40" s="616"/>
      <c r="B40" s="604" t="s">
        <v>8</v>
      </c>
      <c r="C40" s="373">
        <f>ROUND(C39*Labor!$D$3,0)</f>
        <v>0</v>
      </c>
      <c r="D40" s="374">
        <f>ROUND(D39*Labor!$D$4,0)</f>
        <v>1226</v>
      </c>
      <c r="E40" s="374">
        <f>ROUND(E39*Labor!$D$5,0)</f>
        <v>2647</v>
      </c>
      <c r="F40" s="374">
        <f>ROUND(F39*Labor!$D$6,0)</f>
        <v>0</v>
      </c>
      <c r="G40" s="374">
        <f>ROUND(G39*Labor!$D$7,0)</f>
        <v>0</v>
      </c>
      <c r="H40" s="374">
        <f>ROUND(H39*Labor!$D$8,0)</f>
        <v>0</v>
      </c>
      <c r="I40" s="375">
        <f>SUM(C40:H40)</f>
        <v>3873</v>
      </c>
      <c r="J40" s="296">
        <f>HLOOKUP(Labor!$B$11,InflationTable,2)*I40</f>
        <v>5231.6555597825281</v>
      </c>
      <c r="K40" s="296">
        <f>J40*$L$4</f>
        <v>266814.43354890891</v>
      </c>
      <c r="L40" s="390">
        <f>K40</f>
        <v>266814.43354890891</v>
      </c>
      <c r="M40" s="376">
        <f>HLOOKUP(Labor!$B$11,InflationTable,3)*I40</f>
        <v>5374.5458919335124</v>
      </c>
      <c r="N40" s="377">
        <f>M40*$O$4</f>
        <v>274101.84048860916</v>
      </c>
      <c r="O40" s="378">
        <f>N40</f>
        <v>274101.84048860916</v>
      </c>
      <c r="P40" s="296">
        <f>HLOOKUP(Labor!$B$11,InflationTable,4)*$I$40</f>
        <v>5438.9489311124125</v>
      </c>
      <c r="Q40" s="296">
        <f>P40*$R$4</f>
        <v>277386.39548673306</v>
      </c>
      <c r="R40" s="390">
        <f>Q40</f>
        <v>277386.39548673306</v>
      </c>
      <c r="S40" s="211">
        <f>AVERAGE(L40,O40,R40)</f>
        <v>272767.55650808371</v>
      </c>
      <c r="T40" s="393" t="s">
        <v>12</v>
      </c>
      <c r="U40" s="392" t="s">
        <v>12</v>
      </c>
    </row>
    <row r="41" spans="1:21" x14ac:dyDescent="0.25">
      <c r="A41" s="615"/>
      <c r="B41" s="605" t="s">
        <v>66</v>
      </c>
      <c r="C41" s="36">
        <f t="shared" ref="C41:I41" si="3">C39</f>
        <v>0</v>
      </c>
      <c r="D41" s="36">
        <f t="shared" si="3"/>
        <v>30</v>
      </c>
      <c r="E41" s="36">
        <f t="shared" si="3"/>
        <v>60</v>
      </c>
      <c r="F41" s="36">
        <f t="shared" si="3"/>
        <v>0</v>
      </c>
      <c r="G41" s="36">
        <f t="shared" si="3"/>
        <v>0</v>
      </c>
      <c r="H41" s="36">
        <f t="shared" si="3"/>
        <v>0</v>
      </c>
      <c r="I41" s="51">
        <f t="shared" si="3"/>
        <v>90</v>
      </c>
      <c r="J41" s="307" t="s">
        <v>12</v>
      </c>
      <c r="K41" s="302">
        <f>K39</f>
        <v>4590</v>
      </c>
      <c r="L41" s="303">
        <f>L39</f>
        <v>4590</v>
      </c>
      <c r="M41" s="85" t="s">
        <v>12</v>
      </c>
      <c r="N41" s="82">
        <f>N39</f>
        <v>4590</v>
      </c>
      <c r="O41" s="96">
        <f>O39</f>
        <v>4590</v>
      </c>
      <c r="P41" s="301" t="s">
        <v>12</v>
      </c>
      <c r="Q41" s="302">
        <f>Q39</f>
        <v>4590</v>
      </c>
      <c r="R41" s="303">
        <f>R39</f>
        <v>4590</v>
      </c>
      <c r="S41" s="654">
        <f>S39</f>
        <v>4590</v>
      </c>
      <c r="T41" s="655" t="s">
        <v>12</v>
      </c>
      <c r="U41" s="147" t="s">
        <v>12</v>
      </c>
    </row>
    <row r="42" spans="1:21" ht="13.8" thickBot="1" x14ac:dyDescent="0.3">
      <c r="A42" s="615"/>
      <c r="B42" s="606" t="s">
        <v>67</v>
      </c>
      <c r="C42" s="240">
        <f t="shared" ref="C42:H42" si="4">C41</f>
        <v>0</v>
      </c>
      <c r="D42" s="240">
        <f t="shared" si="4"/>
        <v>30</v>
      </c>
      <c r="E42" s="240">
        <f t="shared" si="4"/>
        <v>60</v>
      </c>
      <c r="F42" s="240">
        <f t="shared" si="4"/>
        <v>0</v>
      </c>
      <c r="G42" s="240">
        <f t="shared" si="4"/>
        <v>0</v>
      </c>
      <c r="H42" s="240">
        <f t="shared" si="4"/>
        <v>0</v>
      </c>
      <c r="I42" s="251">
        <f>I40+C35</f>
        <v>4023</v>
      </c>
      <c r="J42" s="306">
        <f>J40+J35+J36+J37</f>
        <v>7811.6870906848326</v>
      </c>
      <c r="K42" s="306">
        <f>K40+K35+K36+K37</f>
        <v>398396.0416249265</v>
      </c>
      <c r="L42" s="306">
        <f>L40+L35+L36+L37</f>
        <v>398396.0416249265</v>
      </c>
      <c r="M42" s="252">
        <f>M40+M35</f>
        <v>5582.7002642004954</v>
      </c>
      <c r="N42" s="254">
        <f>N40+N35+N36</f>
        <v>295333.58645984146</v>
      </c>
      <c r="O42" s="254">
        <f>O40+O35+O36</f>
        <v>295333.58645984146</v>
      </c>
      <c r="P42" s="306">
        <f>P40+P35+P36+P37</f>
        <v>8121.2087964428292</v>
      </c>
      <c r="Q42" s="306">
        <f>Q40+Q35+Q36+Q37</f>
        <v>414181.64861858438</v>
      </c>
      <c r="R42" s="306">
        <f>R40+R35+R36+R37</f>
        <v>414181.64861858438</v>
      </c>
      <c r="S42" s="255">
        <f>S40</f>
        <v>272767.55650808371</v>
      </c>
      <c r="T42" s="251">
        <f>T35+T36</f>
        <v>21128.393222934446</v>
      </c>
      <c r="U42" s="224">
        <f>U37</f>
        <v>113389.04362974818</v>
      </c>
    </row>
    <row r="43" spans="1:21" ht="14.4" thickTop="1" thickBot="1" x14ac:dyDescent="0.3">
      <c r="A43" s="615"/>
      <c r="B43" s="617"/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20"/>
    </row>
    <row r="44" spans="1:21" ht="16.2" thickTop="1" x14ac:dyDescent="0.3">
      <c r="A44" s="615"/>
      <c r="B44" s="80" t="s">
        <v>24</v>
      </c>
      <c r="C44" s="5"/>
      <c r="D44" s="5"/>
      <c r="E44" s="5"/>
      <c r="F44" s="112" t="s">
        <v>6</v>
      </c>
      <c r="G44" s="1415"/>
      <c r="H44" s="1416"/>
      <c r="I44" s="1417"/>
      <c r="J44" s="181" t="s">
        <v>24</v>
      </c>
      <c r="K44" s="426"/>
      <c r="L44" s="180"/>
      <c r="M44" s="181" t="s">
        <v>24</v>
      </c>
      <c r="N44" s="319"/>
      <c r="O44" s="67"/>
      <c r="P44" s="181" t="s">
        <v>24</v>
      </c>
      <c r="Q44" s="426"/>
      <c r="R44" s="67"/>
      <c r="S44" s="225"/>
      <c r="T44" s="37"/>
      <c r="U44" s="138"/>
    </row>
    <row r="45" spans="1:21" x14ac:dyDescent="0.25">
      <c r="A45" s="615"/>
      <c r="B45" s="5"/>
      <c r="C45" s="5"/>
      <c r="D45" s="5"/>
      <c r="E45" s="5"/>
      <c r="F45" s="112"/>
      <c r="G45" s="1418"/>
      <c r="H45" s="1418"/>
      <c r="I45" s="1419"/>
      <c r="J45" s="277" t="s">
        <v>61</v>
      </c>
      <c r="K45" s="1422" t="s">
        <v>57</v>
      </c>
      <c r="L45" s="1423"/>
      <c r="M45" s="57" t="s">
        <v>61</v>
      </c>
      <c r="N45" s="1432" t="s">
        <v>57</v>
      </c>
      <c r="O45" s="1433"/>
      <c r="P45" s="277" t="s">
        <v>61</v>
      </c>
      <c r="Q45" s="1422" t="s">
        <v>57</v>
      </c>
      <c r="R45" s="1423"/>
      <c r="S45" s="131"/>
      <c r="T45" s="37"/>
      <c r="U45" s="138"/>
    </row>
    <row r="46" spans="1:21" x14ac:dyDescent="0.25">
      <c r="A46" s="615"/>
      <c r="B46" s="611" t="s">
        <v>19</v>
      </c>
      <c r="C46" s="23" t="s">
        <v>60</v>
      </c>
      <c r="D46" s="23" t="s">
        <v>62</v>
      </c>
      <c r="E46" s="9"/>
      <c r="F46" s="72"/>
      <c r="G46" s="72"/>
      <c r="H46" s="72"/>
      <c r="I46" s="73"/>
      <c r="J46" s="260" t="s">
        <v>56</v>
      </c>
      <c r="K46" s="261" t="s">
        <v>13</v>
      </c>
      <c r="L46" s="262" t="s">
        <v>68</v>
      </c>
      <c r="M46" s="77" t="s">
        <v>56</v>
      </c>
      <c r="N46" s="24" t="s">
        <v>13</v>
      </c>
      <c r="O46" s="38" t="s">
        <v>68</v>
      </c>
      <c r="P46" s="260" t="s">
        <v>56</v>
      </c>
      <c r="Q46" s="261" t="s">
        <v>13</v>
      </c>
      <c r="R46" s="262" t="s">
        <v>68</v>
      </c>
      <c r="S46" s="123"/>
      <c r="T46" s="73"/>
      <c r="U46" s="138"/>
    </row>
    <row r="47" spans="1:21" ht="13.8" thickBot="1" x14ac:dyDescent="0.3">
      <c r="A47" s="615"/>
      <c r="B47" s="361"/>
      <c r="C47" s="353">
        <f>VLOOKUP(C$2,Monitor_Costs,6,FALSE)</f>
        <v>300</v>
      </c>
      <c r="D47" s="34">
        <f>VLOOKUP(C$2,Monitor_Costs,7,FALSE)</f>
        <v>2019</v>
      </c>
      <c r="E47" s="354"/>
      <c r="F47" s="71"/>
      <c r="G47" s="56"/>
      <c r="H47" s="56"/>
      <c r="I47" s="54"/>
      <c r="J47" s="355">
        <f>HLOOKUP(D47,InflationTable,2)*C47</f>
        <v>405.24055459198513</v>
      </c>
      <c r="K47" s="355">
        <f>J47*$L$4</f>
        <v>20667.268284191243</v>
      </c>
      <c r="L47" s="308">
        <f>K47</f>
        <v>20667.268284191243</v>
      </c>
      <c r="M47" s="357">
        <f>HLOOKUP($D$47,InflationTable,3)*$C$47</f>
        <v>416.30874453396683</v>
      </c>
      <c r="N47" s="357">
        <f>M47*$O$4</f>
        <v>21231.745971232307</v>
      </c>
      <c r="O47" s="95">
        <f>N47</f>
        <v>21231.745971232307</v>
      </c>
      <c r="P47" s="358">
        <f>HLOOKUP($D$47,InflationTable,4)*$C$47</f>
        <v>421.29736104666245</v>
      </c>
      <c r="Q47" s="355">
        <f>P47*$R$4</f>
        <v>21486.165413379786</v>
      </c>
      <c r="R47" s="308">
        <f>Q47</f>
        <v>21486.165413379786</v>
      </c>
      <c r="S47" s="359" t="s">
        <v>12</v>
      </c>
      <c r="T47" s="360">
        <f>AVERAGE(L47,O47,R47)</f>
        <v>21128.393222934446</v>
      </c>
      <c r="U47" s="142" t="s">
        <v>12</v>
      </c>
    </row>
    <row r="48" spans="1:21" x14ac:dyDescent="0.25">
      <c r="A48" s="615"/>
      <c r="B48" s="465" t="s">
        <v>25</v>
      </c>
      <c r="C48" s="107" t="s">
        <v>45</v>
      </c>
      <c r="D48" s="108" t="s">
        <v>46</v>
      </c>
      <c r="E48" s="107" t="s">
        <v>47</v>
      </c>
      <c r="F48" s="107" t="s">
        <v>48</v>
      </c>
      <c r="G48" s="107" t="s">
        <v>49</v>
      </c>
      <c r="H48" s="107" t="s">
        <v>50</v>
      </c>
      <c r="I48" s="350" t="s">
        <v>74</v>
      </c>
      <c r="J48" s="351"/>
      <c r="K48" s="352"/>
      <c r="L48" s="356"/>
      <c r="M48" s="110"/>
      <c r="N48" s="108"/>
      <c r="O48" s="111"/>
      <c r="P48" s="351"/>
      <c r="Q48" s="352"/>
      <c r="R48" s="356"/>
      <c r="S48" s="134"/>
      <c r="T48" s="136"/>
      <c r="U48" s="138"/>
    </row>
    <row r="49" spans="2:21" x14ac:dyDescent="0.25">
      <c r="B49" s="566" t="s">
        <v>4</v>
      </c>
      <c r="C49" s="21">
        <v>0</v>
      </c>
      <c r="D49" s="21">
        <v>8</v>
      </c>
      <c r="E49" s="21">
        <v>0</v>
      </c>
      <c r="F49" s="21">
        <v>0</v>
      </c>
      <c r="G49" s="21">
        <v>0</v>
      </c>
      <c r="H49" s="21">
        <v>0</v>
      </c>
      <c r="I49" s="52">
        <f>SUM(C49:H49)</f>
        <v>8</v>
      </c>
      <c r="J49" s="263" t="s">
        <v>12</v>
      </c>
      <c r="K49" s="281">
        <f>I49*$L$4</f>
        <v>408</v>
      </c>
      <c r="L49" s="289">
        <f>K49</f>
        <v>408</v>
      </c>
      <c r="M49" s="58" t="s">
        <v>12</v>
      </c>
      <c r="N49" s="69">
        <f>$I$49*$O$4</f>
        <v>408</v>
      </c>
      <c r="O49" s="68">
        <f>N49</f>
        <v>408</v>
      </c>
      <c r="P49" s="263" t="s">
        <v>12</v>
      </c>
      <c r="Q49" s="281">
        <f>$I$49*$R$4</f>
        <v>408</v>
      </c>
      <c r="R49" s="289">
        <f>Q49</f>
        <v>408</v>
      </c>
      <c r="S49" s="121">
        <f>AVERAGE(L49,O49,R49)</f>
        <v>408</v>
      </c>
      <c r="T49" s="119" t="s">
        <v>12</v>
      </c>
      <c r="U49" s="140" t="s">
        <v>12</v>
      </c>
    </row>
    <row r="50" spans="2:21" ht="13.8" thickBot="1" x14ac:dyDescent="0.3">
      <c r="B50" s="567" t="s">
        <v>8</v>
      </c>
      <c r="C50" s="34">
        <f>ROUND(C49*Labor!$D$3,0)</f>
        <v>0</v>
      </c>
      <c r="D50" s="35">
        <f>ROUND(D49*Labor!$D$4,0)</f>
        <v>327</v>
      </c>
      <c r="E50" s="35">
        <f>ROUND(E49*Labor!$D$5,0)</f>
        <v>0</v>
      </c>
      <c r="F50" s="35">
        <f>ROUND(F49*Labor!$D$6,0)</f>
        <v>0</v>
      </c>
      <c r="G50" s="35">
        <f>ROUND(G49*Labor!$D$7,0)</f>
        <v>0</v>
      </c>
      <c r="H50" s="35">
        <f>ROUND(H49*Labor!$D$8,0)</f>
        <v>0</v>
      </c>
      <c r="I50" s="39">
        <f>SUM(C50:H50)</f>
        <v>327</v>
      </c>
      <c r="J50" s="292">
        <f>HLOOKUP(Labor!$B$11,InflationTable,2)*I50</f>
        <v>441.7122045052638</v>
      </c>
      <c r="K50" s="269">
        <f>J50*$L$4</f>
        <v>22527.322429768454</v>
      </c>
      <c r="L50" s="308">
        <f>K50</f>
        <v>22527.322429768454</v>
      </c>
      <c r="M50" s="84">
        <f>HLOOKUP(Labor!$B$11,InflationTable,3)*$I$50</f>
        <v>453.77653154202386</v>
      </c>
      <c r="N50" s="63">
        <f>M50*$O$4</f>
        <v>23142.603108643216</v>
      </c>
      <c r="O50" s="95">
        <f>N50</f>
        <v>23142.603108643216</v>
      </c>
      <c r="P50" s="268">
        <f>HLOOKUP(Labor!$B$11,InflationTable,4)*$I$50</f>
        <v>459.21412354086209</v>
      </c>
      <c r="Q50" s="269">
        <f>P50*$O$4</f>
        <v>23419.920300583966</v>
      </c>
      <c r="R50" s="308">
        <f>Q50</f>
        <v>23419.920300583966</v>
      </c>
      <c r="S50" s="128">
        <f>AVERAGE(L50,O50,R50)</f>
        <v>23029.948612998545</v>
      </c>
      <c r="T50" s="149" t="s">
        <v>12</v>
      </c>
      <c r="U50" s="142" t="s">
        <v>12</v>
      </c>
    </row>
    <row r="51" spans="2:21" x14ac:dyDescent="0.25">
      <c r="B51" s="565" t="s">
        <v>117</v>
      </c>
      <c r="C51" s="346">
        <v>0</v>
      </c>
      <c r="D51" s="346">
        <v>8</v>
      </c>
      <c r="E51" s="346">
        <v>0</v>
      </c>
      <c r="F51" s="346">
        <v>0</v>
      </c>
      <c r="G51" s="346">
        <v>0</v>
      </c>
      <c r="H51" s="346">
        <v>0</v>
      </c>
      <c r="I51" s="347">
        <f>SUM(C51:H51)</f>
        <v>8</v>
      </c>
      <c r="J51" s="293" t="s">
        <v>12</v>
      </c>
      <c r="K51" s="327">
        <f>I51*$L$4</f>
        <v>408</v>
      </c>
      <c r="L51" s="328">
        <f>K51</f>
        <v>408</v>
      </c>
      <c r="M51" s="61" t="s">
        <v>12</v>
      </c>
      <c r="N51" s="348">
        <f>$I$51*$O$4</f>
        <v>408</v>
      </c>
      <c r="O51" s="349">
        <f>N51</f>
        <v>408</v>
      </c>
      <c r="P51" s="293" t="s">
        <v>12</v>
      </c>
      <c r="Q51" s="327">
        <f>$I$51*$R$4</f>
        <v>408</v>
      </c>
      <c r="R51" s="328">
        <f>Q51</f>
        <v>408</v>
      </c>
      <c r="S51" s="129">
        <f>AVERAGE(L51,O51,R51)</f>
        <v>408</v>
      </c>
      <c r="T51" s="119" t="s">
        <v>12</v>
      </c>
      <c r="U51" s="140" t="s">
        <v>12</v>
      </c>
    </row>
    <row r="52" spans="2:21" ht="13.8" thickBot="1" x14ac:dyDescent="0.3">
      <c r="B52" s="568" t="s">
        <v>8</v>
      </c>
      <c r="C52" s="34">
        <f>ROUND(C51*Labor!$D$3,0)</f>
        <v>0</v>
      </c>
      <c r="D52" s="35">
        <f>ROUND(D51*Labor!$D$4,0)</f>
        <v>327</v>
      </c>
      <c r="E52" s="35">
        <f>ROUND(E51*Labor!$D$5,0)</f>
        <v>0</v>
      </c>
      <c r="F52" s="35">
        <f>ROUND(F51*Labor!$D$6,0)</f>
        <v>0</v>
      </c>
      <c r="G52" s="35">
        <f>ROUND(G51*Labor!$D$7,0)</f>
        <v>0</v>
      </c>
      <c r="H52" s="35">
        <f>ROUND(H51*Labor!$D$8,0)</f>
        <v>0</v>
      </c>
      <c r="I52" s="39">
        <f>SUM(C52:H52)</f>
        <v>327</v>
      </c>
      <c r="J52" s="268">
        <f>HLOOKUP(Labor!$B$11,InflationTable,2)*$I$52</f>
        <v>441.7122045052638</v>
      </c>
      <c r="K52" s="269">
        <f>J52*$L$4</f>
        <v>22527.322429768454</v>
      </c>
      <c r="L52" s="308">
        <f>K52</f>
        <v>22527.322429768454</v>
      </c>
      <c r="M52" s="84">
        <f>HLOOKUP(Labor!$B$11,InflationTable,3)*$I$52</f>
        <v>453.77653154202386</v>
      </c>
      <c r="N52" s="63">
        <f>M52*$O$4</f>
        <v>23142.603108643216</v>
      </c>
      <c r="O52" s="95">
        <f>N52</f>
        <v>23142.603108643216</v>
      </c>
      <c r="P52" s="268">
        <f>HLOOKUP(Labor!$B$11,InflationTable,4)*$I$52</f>
        <v>459.21412354086209</v>
      </c>
      <c r="Q52" s="269">
        <f>P52*$R$4</f>
        <v>23419.920300583966</v>
      </c>
      <c r="R52" s="308">
        <f>Q52</f>
        <v>23419.920300583966</v>
      </c>
      <c r="S52" s="171">
        <f>AVERAGE(L52,O52,R52)</f>
        <v>23029.948612998545</v>
      </c>
      <c r="T52" s="149" t="s">
        <v>12</v>
      </c>
      <c r="U52" s="142" t="s">
        <v>12</v>
      </c>
    </row>
    <row r="53" spans="2:21" x14ac:dyDescent="0.25">
      <c r="B53" s="560" t="s">
        <v>66</v>
      </c>
      <c r="C53" s="36">
        <f t="shared" ref="C53:I53" si="5">C49+C51</f>
        <v>0</v>
      </c>
      <c r="D53" s="36">
        <f t="shared" si="5"/>
        <v>16</v>
      </c>
      <c r="E53" s="36">
        <f t="shared" si="5"/>
        <v>0</v>
      </c>
      <c r="F53" s="36">
        <f t="shared" si="5"/>
        <v>0</v>
      </c>
      <c r="G53" s="36">
        <f t="shared" si="5"/>
        <v>0</v>
      </c>
      <c r="H53" s="36">
        <f t="shared" si="5"/>
        <v>0</v>
      </c>
      <c r="I53" s="46">
        <f t="shared" si="5"/>
        <v>16</v>
      </c>
      <c r="J53" s="301" t="s">
        <v>12</v>
      </c>
      <c r="K53" s="309">
        <f>K49+K51</f>
        <v>816</v>
      </c>
      <c r="L53" s="310">
        <f>L49+L51</f>
        <v>816</v>
      </c>
      <c r="M53" s="85" t="s">
        <v>12</v>
      </c>
      <c r="N53" s="86">
        <f>N49+N51</f>
        <v>816</v>
      </c>
      <c r="O53" s="97">
        <f>O49+O51</f>
        <v>816</v>
      </c>
      <c r="P53" s="301" t="s">
        <v>12</v>
      </c>
      <c r="Q53" s="309">
        <f>Q49+Q51</f>
        <v>816</v>
      </c>
      <c r="R53" s="310">
        <f>R49+R51</f>
        <v>816</v>
      </c>
      <c r="S53" s="121">
        <f>AVERAGE(L53,O53,R53)</f>
        <v>816</v>
      </c>
      <c r="T53" s="136" t="s">
        <v>12</v>
      </c>
      <c r="U53" s="148" t="s">
        <v>12</v>
      </c>
    </row>
    <row r="54" spans="2:21" ht="13.8" thickBot="1" x14ac:dyDescent="0.3">
      <c r="B54" s="561" t="s">
        <v>67</v>
      </c>
      <c r="C54" s="240">
        <f t="shared" ref="C54:H54" si="6">C50+C52</f>
        <v>0</v>
      </c>
      <c r="D54" s="240">
        <f t="shared" si="6"/>
        <v>654</v>
      </c>
      <c r="E54" s="240">
        <f t="shared" si="6"/>
        <v>0</v>
      </c>
      <c r="F54" s="240">
        <f t="shared" si="6"/>
        <v>0</v>
      </c>
      <c r="G54" s="240">
        <f t="shared" si="6"/>
        <v>0</v>
      </c>
      <c r="H54" s="240">
        <f t="shared" si="6"/>
        <v>0</v>
      </c>
      <c r="I54" s="222">
        <f>I52+I50+C47</f>
        <v>954</v>
      </c>
      <c r="J54" s="311">
        <f t="shared" ref="J54:R54" si="7">J52+J50+J47</f>
        <v>1288.6649636025127</v>
      </c>
      <c r="K54" s="305">
        <f t="shared" si="7"/>
        <v>65721.913143728147</v>
      </c>
      <c r="L54" s="306">
        <f t="shared" si="7"/>
        <v>65721.913143728147</v>
      </c>
      <c r="M54" s="252">
        <f t="shared" si="7"/>
        <v>1323.8618076180146</v>
      </c>
      <c r="N54" s="253">
        <f t="shared" si="7"/>
        <v>67516.952188518742</v>
      </c>
      <c r="O54" s="254">
        <f t="shared" si="7"/>
        <v>67516.952188518742</v>
      </c>
      <c r="P54" s="311">
        <f t="shared" si="7"/>
        <v>1339.7256081283867</v>
      </c>
      <c r="Q54" s="305">
        <f t="shared" si="7"/>
        <v>68326.006014547718</v>
      </c>
      <c r="R54" s="306">
        <f t="shared" si="7"/>
        <v>68326.006014547718</v>
      </c>
      <c r="S54" s="257">
        <f>S52+S50</f>
        <v>46059.897225997091</v>
      </c>
      <c r="T54" s="251">
        <f>T47</f>
        <v>21128.393222934446</v>
      </c>
      <c r="U54" s="224" t="s">
        <v>12</v>
      </c>
    </row>
    <row r="55" spans="2:21" ht="14.4" thickTop="1" thickBot="1" x14ac:dyDescent="0.3">
      <c r="B55" s="555"/>
      <c r="C55" s="618"/>
      <c r="D55" s="618"/>
      <c r="E55" s="618"/>
      <c r="F55" s="618"/>
      <c r="G55" s="618"/>
      <c r="H55" s="618"/>
      <c r="I55" s="618"/>
      <c r="J55" s="618"/>
      <c r="K55" s="618"/>
      <c r="L55" s="618"/>
      <c r="M55" s="618"/>
      <c r="N55" s="618"/>
      <c r="O55" s="618"/>
      <c r="P55" s="618"/>
      <c r="Q55" s="618"/>
      <c r="R55" s="618"/>
      <c r="S55" s="618"/>
      <c r="T55" s="618"/>
      <c r="U55" s="620"/>
    </row>
    <row r="56" spans="2:21" ht="16.2" thickTop="1" x14ac:dyDescent="0.3">
      <c r="B56" s="564" t="s">
        <v>26</v>
      </c>
      <c r="C56" s="5"/>
      <c r="D56" s="5"/>
      <c r="E56" s="5"/>
      <c r="F56" s="112" t="s">
        <v>6</v>
      </c>
      <c r="G56" s="1415"/>
      <c r="H56" s="1416"/>
      <c r="I56" s="1417"/>
      <c r="J56" s="181" t="s">
        <v>26</v>
      </c>
      <c r="K56" s="426"/>
      <c r="L56" s="67"/>
      <c r="M56" s="245" t="s">
        <v>26</v>
      </c>
      <c r="N56" s="426"/>
      <c r="O56" s="426"/>
      <c r="P56" s="245" t="s">
        <v>26</v>
      </c>
      <c r="Q56" s="426"/>
      <c r="R56" s="67"/>
      <c r="S56" s="225"/>
      <c r="T56" s="37"/>
      <c r="U56" s="138"/>
    </row>
    <row r="57" spans="2:21" x14ac:dyDescent="0.25">
      <c r="B57" s="555"/>
      <c r="C57" s="5"/>
      <c r="D57" s="5"/>
      <c r="E57" s="5"/>
      <c r="F57" s="7"/>
      <c r="G57" s="5"/>
      <c r="H57" s="5"/>
      <c r="I57" s="45" t="s">
        <v>61</v>
      </c>
      <c r="J57" s="277" t="s">
        <v>61</v>
      </c>
      <c r="K57" s="1422" t="s">
        <v>57</v>
      </c>
      <c r="L57" s="1423"/>
      <c r="M57" s="57" t="s">
        <v>61</v>
      </c>
      <c r="N57" s="1432" t="s">
        <v>57</v>
      </c>
      <c r="O57" s="1433"/>
      <c r="P57" s="277" t="s">
        <v>61</v>
      </c>
      <c r="Q57" s="1422" t="s">
        <v>57</v>
      </c>
      <c r="R57" s="1423"/>
      <c r="S57" s="131"/>
      <c r="T57" s="37"/>
      <c r="U57" s="138"/>
    </row>
    <row r="58" spans="2:21" x14ac:dyDescent="0.25">
      <c r="B58" s="563" t="s">
        <v>27</v>
      </c>
      <c r="C58" s="23" t="s">
        <v>45</v>
      </c>
      <c r="D58" s="24" t="s">
        <v>46</v>
      </c>
      <c r="E58" s="23" t="s">
        <v>47</v>
      </c>
      <c r="F58" s="23" t="s">
        <v>48</v>
      </c>
      <c r="G58" s="23" t="s">
        <v>49</v>
      </c>
      <c r="H58" s="23" t="s">
        <v>50</v>
      </c>
      <c r="I58" s="45" t="s">
        <v>13</v>
      </c>
      <c r="J58" s="260" t="s">
        <v>56</v>
      </c>
      <c r="K58" s="261" t="s">
        <v>13</v>
      </c>
      <c r="L58" s="262" t="s">
        <v>68</v>
      </c>
      <c r="M58" s="77" t="s">
        <v>56</v>
      </c>
      <c r="N58" s="24" t="s">
        <v>13</v>
      </c>
      <c r="O58" s="38" t="s">
        <v>68</v>
      </c>
      <c r="P58" s="260" t="s">
        <v>56</v>
      </c>
      <c r="Q58" s="261" t="s">
        <v>13</v>
      </c>
      <c r="R58" s="262" t="s">
        <v>68</v>
      </c>
      <c r="S58" s="123"/>
      <c r="T58" s="37"/>
      <c r="U58" s="138"/>
    </row>
    <row r="59" spans="2:21" x14ac:dyDescent="0.25">
      <c r="B59" s="566" t="s">
        <v>4</v>
      </c>
      <c r="C59" s="21">
        <v>0</v>
      </c>
      <c r="D59" s="21">
        <v>0</v>
      </c>
      <c r="E59" s="21">
        <v>4</v>
      </c>
      <c r="F59" s="21">
        <v>0</v>
      </c>
      <c r="G59" s="21">
        <v>0</v>
      </c>
      <c r="H59" s="21">
        <v>0</v>
      </c>
      <c r="I59" s="52">
        <f t="shared" ref="I59:I66" si="8">SUM(C59:H59)</f>
        <v>4</v>
      </c>
      <c r="J59" s="263" t="s">
        <v>12</v>
      </c>
      <c r="K59" s="281">
        <f>I59*$L$4</f>
        <v>204</v>
      </c>
      <c r="L59" s="289">
        <f t="shared" ref="L59:L66" si="9">K59</f>
        <v>204</v>
      </c>
      <c r="M59" s="58" t="s">
        <v>12</v>
      </c>
      <c r="N59" s="69">
        <f>$I$59*$O$4</f>
        <v>204</v>
      </c>
      <c r="O59" s="68">
        <f t="shared" ref="O59:O66" si="10">N59</f>
        <v>204</v>
      </c>
      <c r="P59" s="263" t="s">
        <v>12</v>
      </c>
      <c r="Q59" s="281">
        <f>$I$59*$R$4</f>
        <v>204</v>
      </c>
      <c r="R59" s="289">
        <f t="shared" ref="R59:R66" si="11">Q59</f>
        <v>204</v>
      </c>
      <c r="S59" s="121">
        <f t="shared" ref="S59:S68" si="12">AVERAGE(L59,O59,R59)</f>
        <v>204</v>
      </c>
      <c r="T59" s="119" t="s">
        <v>12</v>
      </c>
      <c r="U59" s="140" t="s">
        <v>12</v>
      </c>
    </row>
    <row r="60" spans="2:21" ht="13.8" thickBot="1" x14ac:dyDescent="0.3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176</v>
      </c>
      <c r="F60" s="35">
        <f>ROUND(F59*Labor!$D$6,0)</f>
        <v>0</v>
      </c>
      <c r="G60" s="35">
        <f>ROUND(G59*Labor!$D$7,0)</f>
        <v>0</v>
      </c>
      <c r="H60" s="35">
        <f>ROUND(H59*Labor!$D$8,0)</f>
        <v>0</v>
      </c>
      <c r="I60" s="39">
        <f t="shared" si="8"/>
        <v>176</v>
      </c>
      <c r="J60" s="268">
        <f>HLOOKUP(Labor!$B$11,InflationTable,2)*I60</f>
        <v>237.74112536063129</v>
      </c>
      <c r="K60" s="269">
        <f>J60*$L$4</f>
        <v>12124.797393392195</v>
      </c>
      <c r="L60" s="308">
        <f t="shared" si="9"/>
        <v>12124.797393392195</v>
      </c>
      <c r="M60" s="84">
        <f>HLOOKUP(Labor!$B$11,InflationTable,3)*$I$60</f>
        <v>244.23446345992721</v>
      </c>
      <c r="N60" s="63">
        <f>M60*$L$4</f>
        <v>12455.957636456287</v>
      </c>
      <c r="O60" s="95">
        <f t="shared" si="10"/>
        <v>12455.957636456287</v>
      </c>
      <c r="P60" s="268">
        <f>HLOOKUP(Labor!$B$11,InflationTable,4)*$I$60</f>
        <v>247.16111848070864</v>
      </c>
      <c r="Q60" s="269">
        <f>P60*$R$4</f>
        <v>12605.21704251614</v>
      </c>
      <c r="R60" s="308">
        <f t="shared" si="11"/>
        <v>12605.21704251614</v>
      </c>
      <c r="S60" s="128">
        <f t="shared" si="12"/>
        <v>12395.324024121541</v>
      </c>
      <c r="T60" s="149" t="s">
        <v>12</v>
      </c>
      <c r="U60" s="142" t="s">
        <v>12</v>
      </c>
    </row>
    <row r="61" spans="2:21" x14ac:dyDescent="0.25">
      <c r="B61" s="559" t="s">
        <v>114</v>
      </c>
      <c r="C61" s="346">
        <v>0</v>
      </c>
      <c r="D61" s="346">
        <v>0</v>
      </c>
      <c r="E61" s="346">
        <v>0</v>
      </c>
      <c r="F61" s="346">
        <v>4</v>
      </c>
      <c r="G61" s="346">
        <v>0</v>
      </c>
      <c r="H61" s="346">
        <v>0</v>
      </c>
      <c r="I61" s="347">
        <f t="shared" si="8"/>
        <v>4</v>
      </c>
      <c r="J61" s="293" t="s">
        <v>12</v>
      </c>
      <c r="K61" s="327">
        <f>I61*$L$4</f>
        <v>204</v>
      </c>
      <c r="L61" s="328">
        <f t="shared" si="9"/>
        <v>204</v>
      </c>
      <c r="M61" s="61" t="s">
        <v>12</v>
      </c>
      <c r="N61" s="348">
        <f>$I$61*$O$4</f>
        <v>204</v>
      </c>
      <c r="O61" s="349">
        <f t="shared" si="10"/>
        <v>204</v>
      </c>
      <c r="P61" s="293" t="s">
        <v>12</v>
      </c>
      <c r="Q61" s="327">
        <f>$I$61*$R$4</f>
        <v>204</v>
      </c>
      <c r="R61" s="328">
        <f t="shared" si="11"/>
        <v>204</v>
      </c>
      <c r="S61" s="129">
        <f t="shared" si="12"/>
        <v>204</v>
      </c>
      <c r="T61" s="136" t="s">
        <v>12</v>
      </c>
      <c r="U61" s="147" t="s">
        <v>12</v>
      </c>
    </row>
    <row r="62" spans="2:21" ht="13.8" thickBot="1" x14ac:dyDescent="0.3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0</v>
      </c>
      <c r="F62" s="35">
        <f>ROUND(F61*Labor!$D$6,0)</f>
        <v>197</v>
      </c>
      <c r="G62" s="35">
        <f>ROUND(G61*Labor!$D$7,0)</f>
        <v>0</v>
      </c>
      <c r="H62" s="35">
        <f>ROUND(H61*Labor!$D$8,0)</f>
        <v>0</v>
      </c>
      <c r="I62" s="39">
        <f t="shared" si="8"/>
        <v>197</v>
      </c>
      <c r="J62" s="292">
        <f>HLOOKUP(Labor!$B$11,InflationTable,2)*I62</f>
        <v>266.10796418207025</v>
      </c>
      <c r="K62" s="269">
        <f>J62*$L$4</f>
        <v>13571.506173285583</v>
      </c>
      <c r="L62" s="308">
        <f t="shared" si="9"/>
        <v>13571.506173285583</v>
      </c>
      <c r="M62" s="362">
        <f>HLOOKUP(Labor!$B$11,InflationTable,3)*I62</f>
        <v>273.3760755773049</v>
      </c>
      <c r="N62" s="63">
        <f>M62*$O$4</f>
        <v>13942.179854442549</v>
      </c>
      <c r="O62" s="95">
        <f t="shared" si="10"/>
        <v>13942.179854442549</v>
      </c>
      <c r="P62" s="268">
        <f>HLOOKUP(Labor!$B$11,InflationTable,4)*$I$62</f>
        <v>276.65193375397502</v>
      </c>
      <c r="Q62" s="269">
        <f>P62*$R$4</f>
        <v>14109.248621452725</v>
      </c>
      <c r="R62" s="308">
        <f t="shared" si="11"/>
        <v>14109.248621452725</v>
      </c>
      <c r="S62" s="128">
        <f t="shared" si="12"/>
        <v>13874.311549726952</v>
      </c>
      <c r="T62" s="149" t="s">
        <v>12</v>
      </c>
      <c r="U62" s="142" t="s">
        <v>12</v>
      </c>
    </row>
    <row r="63" spans="2:21" x14ac:dyDescent="0.25">
      <c r="B63" s="559" t="s">
        <v>115</v>
      </c>
      <c r="C63" s="346">
        <v>0</v>
      </c>
      <c r="D63" s="346">
        <v>0</v>
      </c>
      <c r="E63" s="346">
        <v>0</v>
      </c>
      <c r="F63" s="346">
        <v>12</v>
      </c>
      <c r="G63" s="346">
        <v>0</v>
      </c>
      <c r="H63" s="346">
        <v>0</v>
      </c>
      <c r="I63" s="347">
        <f t="shared" si="8"/>
        <v>12</v>
      </c>
      <c r="J63" s="293" t="s">
        <v>12</v>
      </c>
      <c r="K63" s="327">
        <f>I63*$L$4</f>
        <v>612</v>
      </c>
      <c r="L63" s="328">
        <f t="shared" si="9"/>
        <v>612</v>
      </c>
      <c r="M63" s="61" t="s">
        <v>12</v>
      </c>
      <c r="N63" s="348">
        <f>$I$63*$O$4</f>
        <v>612</v>
      </c>
      <c r="O63" s="349">
        <f t="shared" si="10"/>
        <v>612</v>
      </c>
      <c r="P63" s="293" t="s">
        <v>12</v>
      </c>
      <c r="Q63" s="327">
        <f>$I$63*$R$4</f>
        <v>612</v>
      </c>
      <c r="R63" s="328">
        <f t="shared" si="11"/>
        <v>612</v>
      </c>
      <c r="S63" s="129">
        <f t="shared" si="12"/>
        <v>612</v>
      </c>
      <c r="T63" s="136" t="s">
        <v>12</v>
      </c>
      <c r="U63" s="147" t="s">
        <v>12</v>
      </c>
    </row>
    <row r="64" spans="2:21" ht="13.8" thickBot="1" x14ac:dyDescent="0.3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0</v>
      </c>
      <c r="F64" s="35">
        <f>ROUND(F63*Labor!$D$6,0)</f>
        <v>591</v>
      </c>
      <c r="G64" s="35">
        <f>ROUND(G63*Labor!$D$7,0)</f>
        <v>0</v>
      </c>
      <c r="H64" s="35">
        <f>ROUND(H63*Labor!$D$8,0)</f>
        <v>0</v>
      </c>
      <c r="I64" s="39">
        <f t="shared" si="8"/>
        <v>591</v>
      </c>
      <c r="J64" s="292">
        <f>HLOOKUP(Labor!$B$11,InflationTable,2)*I64</f>
        <v>798.32389254621069</v>
      </c>
      <c r="K64" s="269">
        <f>J64*$L$4</f>
        <v>40714.518519856741</v>
      </c>
      <c r="L64" s="308">
        <f t="shared" si="9"/>
        <v>40714.518519856741</v>
      </c>
      <c r="M64" s="84">
        <f>HLOOKUP(Labor!$B$11,InflationTable,3)*$I$64</f>
        <v>820.12822673191465</v>
      </c>
      <c r="N64" s="63">
        <f>M64*$O$4</f>
        <v>41826.539563327649</v>
      </c>
      <c r="O64" s="95">
        <f t="shared" si="10"/>
        <v>41826.539563327649</v>
      </c>
      <c r="P64" s="268">
        <f>HLOOKUP(Labor!$B$11,InflationTable,4)*$I$64</f>
        <v>829.95580126192499</v>
      </c>
      <c r="Q64" s="269">
        <f>P64*$R$4</f>
        <v>42327.745864358178</v>
      </c>
      <c r="R64" s="308">
        <f t="shared" si="11"/>
        <v>42327.745864358178</v>
      </c>
      <c r="S64" s="128">
        <f t="shared" si="12"/>
        <v>41622.934649180854</v>
      </c>
      <c r="T64" s="149" t="s">
        <v>12</v>
      </c>
      <c r="U64" s="142" t="s">
        <v>12</v>
      </c>
    </row>
    <row r="65" spans="2:22" x14ac:dyDescent="0.25">
      <c r="B65" s="559" t="s">
        <v>116</v>
      </c>
      <c r="C65" s="346">
        <v>0</v>
      </c>
      <c r="D65" s="346">
        <v>0</v>
      </c>
      <c r="E65" s="346">
        <v>0</v>
      </c>
      <c r="F65" s="346">
        <v>1</v>
      </c>
      <c r="G65" s="346">
        <v>0</v>
      </c>
      <c r="H65" s="346">
        <v>0</v>
      </c>
      <c r="I65" s="347">
        <f t="shared" si="8"/>
        <v>1</v>
      </c>
      <c r="J65" s="293" t="s">
        <v>12</v>
      </c>
      <c r="K65" s="327">
        <f>I65*$L$4</f>
        <v>51</v>
      </c>
      <c r="L65" s="328">
        <f t="shared" si="9"/>
        <v>51</v>
      </c>
      <c r="M65" s="61" t="s">
        <v>12</v>
      </c>
      <c r="N65" s="348">
        <f>$I$65*$O$4</f>
        <v>51</v>
      </c>
      <c r="O65" s="349">
        <f t="shared" si="10"/>
        <v>51</v>
      </c>
      <c r="P65" s="293" t="s">
        <v>12</v>
      </c>
      <c r="Q65" s="327">
        <f>$I$65*$R$4</f>
        <v>51</v>
      </c>
      <c r="R65" s="328">
        <f t="shared" si="11"/>
        <v>51</v>
      </c>
      <c r="S65" s="129">
        <f t="shared" si="12"/>
        <v>51</v>
      </c>
      <c r="T65" s="136" t="s">
        <v>12</v>
      </c>
      <c r="U65" s="147" t="s">
        <v>12</v>
      </c>
    </row>
    <row r="66" spans="2:22" ht="13.8" thickBot="1" x14ac:dyDescent="0.3">
      <c r="B66" s="567" t="s">
        <v>8</v>
      </c>
      <c r="C66" s="34">
        <f>ROUND(C65*Labor!$D$3,0)</f>
        <v>0</v>
      </c>
      <c r="D66" s="35">
        <f>ROUND(D65*Labor!$D$4,0)</f>
        <v>0</v>
      </c>
      <c r="E66" s="35">
        <f>ROUND(E65*Labor!$D$5,0)</f>
        <v>0</v>
      </c>
      <c r="F66" s="35">
        <f>ROUND(F65*Labor!$D$6,0)</f>
        <v>49</v>
      </c>
      <c r="G66" s="35">
        <f>ROUND(G65*Labor!$D$7,0)</f>
        <v>0</v>
      </c>
      <c r="H66" s="35">
        <f>ROUND(H65*Labor!$D$8,0)</f>
        <v>0</v>
      </c>
      <c r="I66" s="39">
        <f t="shared" si="8"/>
        <v>49</v>
      </c>
      <c r="J66" s="268">
        <f>HLOOKUP(Labor!$B$11,InflationTable,2)*I66</f>
        <v>66.189290583357575</v>
      </c>
      <c r="K66" s="269">
        <f>J66*$L$4</f>
        <v>3375.6538197512364</v>
      </c>
      <c r="L66" s="300">
        <f t="shared" si="9"/>
        <v>3375.6538197512364</v>
      </c>
      <c r="M66" s="84">
        <f>HLOOKUP(Labor!$B$11,InflationTable,3)*$I$66</f>
        <v>67.997094940547925</v>
      </c>
      <c r="N66" s="63">
        <f>M66*$O$4</f>
        <v>3467.851841967944</v>
      </c>
      <c r="O66" s="98">
        <f t="shared" si="10"/>
        <v>3467.851841967944</v>
      </c>
      <c r="P66" s="268">
        <f>HLOOKUP(Labor!$B$11,InflationTable,4)*$I$66</f>
        <v>68.811902304288196</v>
      </c>
      <c r="Q66" s="269">
        <f>P66*$R$4</f>
        <v>3509.407017518698</v>
      </c>
      <c r="R66" s="300">
        <f t="shared" si="11"/>
        <v>3509.407017518698</v>
      </c>
      <c r="S66" s="128">
        <f t="shared" si="12"/>
        <v>3450.9708930792926</v>
      </c>
      <c r="T66" s="137" t="s">
        <v>12</v>
      </c>
      <c r="U66" s="142" t="s">
        <v>12</v>
      </c>
    </row>
    <row r="67" spans="2:22" x14ac:dyDescent="0.25">
      <c r="B67" s="560" t="s">
        <v>66</v>
      </c>
      <c r="C67" s="36">
        <f t="shared" ref="C67:I68" si="13">C59+C61+C63+C65</f>
        <v>0</v>
      </c>
      <c r="D67" s="36">
        <f t="shared" si="13"/>
        <v>0</v>
      </c>
      <c r="E67" s="36">
        <f t="shared" si="13"/>
        <v>4</v>
      </c>
      <c r="F67" s="36">
        <f t="shared" si="13"/>
        <v>17</v>
      </c>
      <c r="G67" s="36">
        <f t="shared" si="13"/>
        <v>0</v>
      </c>
      <c r="H67" s="36">
        <f t="shared" si="13"/>
        <v>0</v>
      </c>
      <c r="I67" s="46">
        <f t="shared" si="13"/>
        <v>21</v>
      </c>
      <c r="J67" s="301" t="s">
        <v>12</v>
      </c>
      <c r="K67" s="285">
        <f>K59+K61+K63+K65</f>
        <v>1071</v>
      </c>
      <c r="L67" s="312">
        <f>L59+L61+L63+L65</f>
        <v>1071</v>
      </c>
      <c r="M67" s="85" t="s">
        <v>12</v>
      </c>
      <c r="N67" s="33">
        <f>N59+N61+N63+N65</f>
        <v>1071</v>
      </c>
      <c r="O67" s="99">
        <f>O59+O61+O63+O65</f>
        <v>1071</v>
      </c>
      <c r="P67" s="301" t="s">
        <v>12</v>
      </c>
      <c r="Q67" s="285">
        <f>Q59+Q61+Q63+Q65</f>
        <v>1071</v>
      </c>
      <c r="R67" s="312">
        <f>R59+R61+R63+R65</f>
        <v>1071</v>
      </c>
      <c r="S67" s="129">
        <f t="shared" si="12"/>
        <v>1071</v>
      </c>
      <c r="T67" s="136" t="s">
        <v>12</v>
      </c>
      <c r="U67" s="147" t="s">
        <v>12</v>
      </c>
    </row>
    <row r="68" spans="2:22" ht="13.8" thickBot="1" x14ac:dyDescent="0.3">
      <c r="B68" s="561" t="s">
        <v>67</v>
      </c>
      <c r="C68" s="240">
        <f t="shared" si="13"/>
        <v>0</v>
      </c>
      <c r="D68" s="240">
        <f t="shared" si="13"/>
        <v>0</v>
      </c>
      <c r="E68" s="240">
        <f t="shared" si="13"/>
        <v>176</v>
      </c>
      <c r="F68" s="240">
        <f t="shared" si="13"/>
        <v>837</v>
      </c>
      <c r="G68" s="240">
        <f t="shared" si="13"/>
        <v>0</v>
      </c>
      <c r="H68" s="240">
        <f t="shared" si="13"/>
        <v>0</v>
      </c>
      <c r="I68" s="243">
        <f t="shared" si="13"/>
        <v>1013</v>
      </c>
      <c r="J68" s="313">
        <f>J60+J62+J64+J66</f>
        <v>1368.3622726722699</v>
      </c>
      <c r="K68" s="275">
        <f>K60+K62+K64+K66</f>
        <v>69786.475906285763</v>
      </c>
      <c r="L68" s="276">
        <f>L60+L62+L64+L66</f>
        <v>69786.475906285763</v>
      </c>
      <c r="M68" s="242">
        <f>M60+M62+M64+M66</f>
        <v>1405.7358607096946</v>
      </c>
      <c r="N68" s="240">
        <f>N60+N62+N64+N66</f>
        <v>71692.528896194432</v>
      </c>
      <c r="O68" s="243">
        <f>O60+O62+O64+O66</f>
        <v>71692.528896194432</v>
      </c>
      <c r="P68" s="313">
        <f>P60+P62+P64+P66</f>
        <v>1422.5807558008969</v>
      </c>
      <c r="Q68" s="275">
        <f>Q60+Q62+Q64+Q66</f>
        <v>72551.618545845733</v>
      </c>
      <c r="R68" s="276">
        <f>R60+R62+R64+R66</f>
        <v>72551.618545845733</v>
      </c>
      <c r="S68" s="255">
        <f t="shared" si="12"/>
        <v>71343.541116108638</v>
      </c>
      <c r="T68" s="249" t="s">
        <v>12</v>
      </c>
      <c r="U68" s="224" t="s">
        <v>12</v>
      </c>
    </row>
    <row r="69" spans="2:22" ht="13.8" thickTop="1" x14ac:dyDescent="0.25">
      <c r="B69" s="624"/>
      <c r="C69" s="621"/>
      <c r="D69" s="621"/>
      <c r="E69" s="621"/>
      <c r="F69" s="621"/>
      <c r="G69" s="621"/>
      <c r="H69" s="621"/>
      <c r="I69" s="622"/>
      <c r="J69" s="622"/>
      <c r="K69" s="622"/>
      <c r="L69" s="622"/>
      <c r="M69" s="622"/>
      <c r="N69" s="622"/>
      <c r="O69" s="622"/>
      <c r="P69" s="622"/>
      <c r="Q69" s="622"/>
      <c r="R69" s="622"/>
      <c r="S69" s="625"/>
      <c r="T69" s="626"/>
      <c r="U69" s="627"/>
      <c r="V69" s="5"/>
    </row>
    <row r="70" spans="2:22" ht="13.8" thickBot="1" x14ac:dyDescent="0.3"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5"/>
    </row>
    <row r="71" spans="2:22" ht="28.2" thickTop="1" thickBot="1" x14ac:dyDescent="0.35">
      <c r="B71" s="564" t="s">
        <v>28</v>
      </c>
      <c r="C71" s="5"/>
      <c r="D71" s="5"/>
      <c r="E71" s="5"/>
      <c r="F71" s="112" t="s">
        <v>6</v>
      </c>
      <c r="G71" s="1415"/>
      <c r="H71" s="1416"/>
      <c r="I71" s="1417"/>
      <c r="J71" s="181" t="s">
        <v>28</v>
      </c>
      <c r="K71" s="426"/>
      <c r="L71" s="67"/>
      <c r="M71" s="181" t="s">
        <v>28</v>
      </c>
      <c r="N71" s="426"/>
      <c r="O71" s="67"/>
      <c r="P71" s="181" t="s">
        <v>28</v>
      </c>
      <c r="Q71" s="426"/>
      <c r="R71" s="67"/>
      <c r="S71" s="546" t="s">
        <v>17</v>
      </c>
      <c r="T71" s="547" t="s">
        <v>103</v>
      </c>
      <c r="U71" s="628" t="s">
        <v>79</v>
      </c>
    </row>
    <row r="72" spans="2:22" x14ac:dyDescent="0.25">
      <c r="B72" s="555"/>
      <c r="C72" s="5"/>
      <c r="D72" s="5"/>
      <c r="E72" s="5"/>
      <c r="F72" s="7"/>
      <c r="G72" s="5"/>
      <c r="H72" s="5"/>
      <c r="I72" s="45" t="s">
        <v>61</v>
      </c>
      <c r="J72" s="277" t="s">
        <v>61</v>
      </c>
      <c r="K72" s="1422" t="s">
        <v>57</v>
      </c>
      <c r="L72" s="1423"/>
      <c r="M72" s="57" t="s">
        <v>61</v>
      </c>
      <c r="N72" s="1432" t="s">
        <v>57</v>
      </c>
      <c r="O72" s="1436"/>
      <c r="P72" s="318" t="s">
        <v>61</v>
      </c>
      <c r="Q72" s="1422" t="s">
        <v>57</v>
      </c>
      <c r="R72" s="1423"/>
      <c r="S72" s="170"/>
      <c r="T72" s="133"/>
      <c r="U72" s="37"/>
    </row>
    <row r="73" spans="2:22" x14ac:dyDescent="0.25">
      <c r="B73" s="557"/>
      <c r="C73" s="23" t="s">
        <v>45</v>
      </c>
      <c r="D73" s="24" t="s">
        <v>46</v>
      </c>
      <c r="E73" s="23" t="s">
        <v>47</v>
      </c>
      <c r="F73" s="23" t="s">
        <v>48</v>
      </c>
      <c r="G73" s="23" t="s">
        <v>49</v>
      </c>
      <c r="H73" s="23" t="s">
        <v>50</v>
      </c>
      <c r="I73" s="45" t="s">
        <v>13</v>
      </c>
      <c r="J73" s="260" t="s">
        <v>56</v>
      </c>
      <c r="K73" s="261" t="s">
        <v>13</v>
      </c>
      <c r="L73" s="262" t="s">
        <v>68</v>
      </c>
      <c r="M73" s="77" t="s">
        <v>56</v>
      </c>
      <c r="N73" s="24" t="s">
        <v>13</v>
      </c>
      <c r="O73" s="38" t="s">
        <v>68</v>
      </c>
      <c r="P73" s="260" t="s">
        <v>56</v>
      </c>
      <c r="Q73" s="261" t="s">
        <v>13</v>
      </c>
      <c r="R73" s="262" t="s">
        <v>68</v>
      </c>
      <c r="S73" s="120"/>
      <c r="T73" s="133"/>
      <c r="U73" s="37"/>
    </row>
    <row r="74" spans="2:22" x14ac:dyDescent="0.25">
      <c r="B74" s="557" t="s">
        <v>111</v>
      </c>
      <c r="C74" s="21">
        <v>6</v>
      </c>
      <c r="D74" s="21">
        <v>4</v>
      </c>
      <c r="E74" s="21">
        <v>2</v>
      </c>
      <c r="F74" s="21">
        <v>0</v>
      </c>
      <c r="G74" s="21">
        <v>0</v>
      </c>
      <c r="H74" s="21">
        <v>0</v>
      </c>
      <c r="I74" s="52">
        <f>SUM(C74:H74)</f>
        <v>12</v>
      </c>
      <c r="J74" s="263" t="s">
        <v>12</v>
      </c>
      <c r="K74" s="281">
        <f>I74*$L$4</f>
        <v>612</v>
      </c>
      <c r="L74" s="289">
        <f>K74</f>
        <v>612</v>
      </c>
      <c r="M74" s="58" t="s">
        <v>12</v>
      </c>
      <c r="N74" s="69">
        <f>$I$74*$O$4</f>
        <v>612</v>
      </c>
      <c r="O74" s="68">
        <f>N74</f>
        <v>612</v>
      </c>
      <c r="P74" s="263" t="s">
        <v>12</v>
      </c>
      <c r="Q74" s="281">
        <f>$I$74*$O$4</f>
        <v>612</v>
      </c>
      <c r="R74" s="289">
        <f>Q74</f>
        <v>612</v>
      </c>
      <c r="S74" s="121">
        <f>AVERAGE(L74,O74,R74)</f>
        <v>612</v>
      </c>
      <c r="T74" s="135" t="s">
        <v>12</v>
      </c>
      <c r="U74" s="136" t="s">
        <v>12</v>
      </c>
    </row>
    <row r="75" spans="2:22" ht="13.8" thickBot="1" x14ac:dyDescent="0.3">
      <c r="B75" s="568" t="s">
        <v>8</v>
      </c>
      <c r="C75" s="34">
        <f>ROUND(C74*Labor!$D$3,0)</f>
        <v>170</v>
      </c>
      <c r="D75" s="35">
        <f>ROUND(D74*Labor!$D$4,0)</f>
        <v>163</v>
      </c>
      <c r="E75" s="35">
        <f>ROUND(E74*Labor!$D$5,0)</f>
        <v>88</v>
      </c>
      <c r="F75" s="35">
        <f>ROUND(F74*Labor!$D$6,0)</f>
        <v>0</v>
      </c>
      <c r="G75" s="35">
        <f>ROUND(G74*Labor!$D$7,0)</f>
        <v>0</v>
      </c>
      <c r="H75" s="35">
        <f>ROUND(H74*Labor!$D$8,0)</f>
        <v>0</v>
      </c>
      <c r="I75" s="39">
        <f>SUM(C75:H75)</f>
        <v>421</v>
      </c>
      <c r="J75" s="268">
        <f>HLOOKUP(Labor!$B$11,InflationTable,2)*I75</f>
        <v>568.68757827741911</v>
      </c>
      <c r="K75" s="269">
        <f>J75*$L$4</f>
        <v>29003.066492148373</v>
      </c>
      <c r="L75" s="308">
        <f>K75</f>
        <v>29003.066492148373</v>
      </c>
      <c r="M75" s="362">
        <f>HLOOKUP(Labor!$B$11,InflationTable,3)*$I$75</f>
        <v>584.21993816266684</v>
      </c>
      <c r="N75" s="63">
        <f>M75*$O$4</f>
        <v>29795.216846296007</v>
      </c>
      <c r="O75" s="95">
        <f>N75</f>
        <v>29795.216846296007</v>
      </c>
      <c r="P75" s="268">
        <f>HLOOKUP(Labor!$B$11,InflationTable,4)*$I75</f>
        <v>591.22063000214962</v>
      </c>
      <c r="Q75" s="269">
        <f>P75*$R$4</f>
        <v>30152.252130109631</v>
      </c>
      <c r="R75" s="308">
        <f>Q75</f>
        <v>30152.252130109631</v>
      </c>
      <c r="S75" s="128">
        <f>AVERAGE(L75,O75,R75)</f>
        <v>29650.178489518003</v>
      </c>
      <c r="T75" s="137" t="s">
        <v>12</v>
      </c>
      <c r="U75" s="149" t="s">
        <v>12</v>
      </c>
    </row>
    <row r="76" spans="2:22" x14ac:dyDescent="0.25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 x14ac:dyDescent="0.25">
      <c r="B77" s="558" t="s">
        <v>4</v>
      </c>
      <c r="C77" s="21">
        <v>0</v>
      </c>
      <c r="D77" s="21">
        <v>1</v>
      </c>
      <c r="E77" s="21">
        <v>1</v>
      </c>
      <c r="F77" s="21">
        <v>1</v>
      </c>
      <c r="G77" s="21">
        <v>1</v>
      </c>
      <c r="H77" s="21">
        <v>0</v>
      </c>
      <c r="I77" s="52">
        <f>SUM(C77:H77)</f>
        <v>4</v>
      </c>
      <c r="J77" s="263" t="s">
        <v>12</v>
      </c>
      <c r="K77" s="281">
        <f>I77*$L$4</f>
        <v>204</v>
      </c>
      <c r="L77" s="289">
        <f>K77</f>
        <v>204</v>
      </c>
      <c r="M77" s="58" t="s">
        <v>12</v>
      </c>
      <c r="N77" s="69">
        <f>$I77*$O$4</f>
        <v>204</v>
      </c>
      <c r="O77" s="68">
        <f>N77</f>
        <v>204</v>
      </c>
      <c r="P77" s="263" t="s">
        <v>12</v>
      </c>
      <c r="Q77" s="281">
        <f>$I77*$O$4</f>
        <v>204</v>
      </c>
      <c r="R77" s="289">
        <f>Q77</f>
        <v>204</v>
      </c>
      <c r="S77" s="121">
        <f>AVERAGE(L77,O77,R77)</f>
        <v>204</v>
      </c>
      <c r="T77" s="135" t="s">
        <v>12</v>
      </c>
      <c r="U77" s="136" t="s">
        <v>12</v>
      </c>
    </row>
    <row r="78" spans="2:22" ht="13.8" thickBot="1" x14ac:dyDescent="0.3">
      <c r="B78" s="568" t="s">
        <v>8</v>
      </c>
      <c r="C78" s="34">
        <f>ROUND(C77*Labor!$D$3,0)</f>
        <v>0</v>
      </c>
      <c r="D78" s="35">
        <f>ROUND(D77*Labor!$D$4,0)</f>
        <v>41</v>
      </c>
      <c r="E78" s="35">
        <f>ROUND(E77*Labor!$D$5,0)</f>
        <v>44</v>
      </c>
      <c r="F78" s="35">
        <f>ROUND(F77*Labor!$D$6,0)</f>
        <v>49</v>
      </c>
      <c r="G78" s="35">
        <f>ROUND(G77*Labor!$D$7,0)</f>
        <v>55</v>
      </c>
      <c r="H78" s="35">
        <f>ROUND(H77*Labor!$D$8,0)</f>
        <v>0</v>
      </c>
      <c r="I78" s="39">
        <f>SUM(C78:H78)</f>
        <v>189</v>
      </c>
      <c r="J78" s="268">
        <f>HLOOKUP(Labor!$B$11,InflationTable,2)*I78</f>
        <v>255.30154939295065</v>
      </c>
      <c r="K78" s="269">
        <f>J78*$L$4</f>
        <v>13020.379019040483</v>
      </c>
      <c r="L78" s="308">
        <f>K78</f>
        <v>13020.379019040483</v>
      </c>
      <c r="M78" s="362">
        <f>HLOOKUP(Labor!$B$11,InflationTable,3)*$I78</f>
        <v>262.2745090563991</v>
      </c>
      <c r="N78" s="63">
        <f>M78*$O$4</f>
        <v>13375.999961876354</v>
      </c>
      <c r="O78" s="95">
        <f>N78</f>
        <v>13375.999961876354</v>
      </c>
      <c r="P78" s="268">
        <f>HLOOKUP(Labor!$B$11,InflationTable,4)*$I78</f>
        <v>265.41733745939734</v>
      </c>
      <c r="Q78" s="269">
        <f>P78*$R$4</f>
        <v>13536.284210429265</v>
      </c>
      <c r="R78" s="308">
        <f>Q78</f>
        <v>13536.284210429265</v>
      </c>
      <c r="S78" s="128">
        <f>AVERAGE(L78,O78,R78)</f>
        <v>13310.887730448701</v>
      </c>
      <c r="T78" s="137" t="s">
        <v>12</v>
      </c>
      <c r="U78" s="149" t="s">
        <v>12</v>
      </c>
    </row>
    <row r="79" spans="2:22" x14ac:dyDescent="0.25">
      <c r="B79" s="559" t="s">
        <v>109</v>
      </c>
      <c r="C79" s="346">
        <v>0</v>
      </c>
      <c r="D79" s="346">
        <v>4</v>
      </c>
      <c r="E79" s="346">
        <v>0</v>
      </c>
      <c r="F79" s="346">
        <v>0</v>
      </c>
      <c r="G79" s="346">
        <v>0</v>
      </c>
      <c r="H79" s="346">
        <v>0</v>
      </c>
      <c r="I79" s="347">
        <f>SUM(C79:H79)</f>
        <v>4</v>
      </c>
      <c r="J79" s="293" t="s">
        <v>12</v>
      </c>
      <c r="K79" s="327">
        <f>I79*$L$4</f>
        <v>204</v>
      </c>
      <c r="L79" s="328">
        <f>K79</f>
        <v>204</v>
      </c>
      <c r="M79" s="61" t="s">
        <v>12</v>
      </c>
      <c r="N79" s="348">
        <f>$I79*$O$4</f>
        <v>204</v>
      </c>
      <c r="O79" s="349">
        <f>N79</f>
        <v>204</v>
      </c>
      <c r="P79" s="293" t="s">
        <v>12</v>
      </c>
      <c r="Q79" s="327">
        <f>$I79*$O$4</f>
        <v>204</v>
      </c>
      <c r="R79" s="328">
        <f>Q79</f>
        <v>204</v>
      </c>
      <c r="S79" s="129">
        <f>AVERAGE(L79,O79,R79)</f>
        <v>204</v>
      </c>
      <c r="T79" s="135" t="s">
        <v>12</v>
      </c>
      <c r="U79" s="136" t="s">
        <v>12</v>
      </c>
    </row>
    <row r="80" spans="2:22" ht="13.8" thickBot="1" x14ac:dyDescent="0.3">
      <c r="B80" s="568" t="s">
        <v>8</v>
      </c>
      <c r="C80" s="34">
        <f>ROUND(C79*Labor!$D$3,0)</f>
        <v>0</v>
      </c>
      <c r="D80" s="35">
        <f>ROUND(D79*Labor!$D$4,0)</f>
        <v>163</v>
      </c>
      <c r="E80" s="35">
        <f>ROUND(E79*Labor!$D$5,0)</f>
        <v>0</v>
      </c>
      <c r="F80" s="35">
        <f>ROUND(F79*Labor!$D$6,0)</f>
        <v>0</v>
      </c>
      <c r="G80" s="35">
        <f>ROUND(G79*Labor!$D$7,0)</f>
        <v>0</v>
      </c>
      <c r="H80" s="35">
        <f>ROUND(H79*Labor!$D$8,0)</f>
        <v>0</v>
      </c>
      <c r="I80" s="39">
        <f>SUM(C80:H80)</f>
        <v>163</v>
      </c>
      <c r="J80" s="268">
        <f>HLOOKUP(Labor!$B$11,InflationTable,2)*I80</f>
        <v>220.18070132831193</v>
      </c>
      <c r="K80" s="269">
        <f>J80*$L$4</f>
        <v>11229.215767743908</v>
      </c>
      <c r="L80" s="308">
        <f>K80</f>
        <v>11229.215767743908</v>
      </c>
      <c r="M80" s="362">
        <f>HLOOKUP(Labor!$B$11,InflationTable,3)*$I80</f>
        <v>226.19441786345533</v>
      </c>
      <c r="N80" s="63">
        <f>M80*$O$4</f>
        <v>11535.915311036222</v>
      </c>
      <c r="O80" s="95">
        <f>N80</f>
        <v>11535.915311036222</v>
      </c>
      <c r="P80" s="268">
        <f>HLOOKUP(Labor!$B$11,InflationTable,4)*$I80</f>
        <v>228.90489950201993</v>
      </c>
      <c r="Q80" s="269">
        <f>P80*$R$4</f>
        <v>11674.149874603016</v>
      </c>
      <c r="R80" s="308">
        <f>Q80</f>
        <v>11674.149874603016</v>
      </c>
      <c r="S80" s="172">
        <f>AVERAGE(L80,O80,R80)</f>
        <v>11479.760317794382</v>
      </c>
      <c r="T80" s="118" t="s">
        <v>12</v>
      </c>
      <c r="U80" s="119" t="s">
        <v>12</v>
      </c>
    </row>
    <row r="81" spans="2:21" x14ac:dyDescent="0.25">
      <c r="B81" s="565" t="s">
        <v>29</v>
      </c>
      <c r="C81" s="107" t="s">
        <v>45</v>
      </c>
      <c r="D81" s="108" t="s">
        <v>46</v>
      </c>
      <c r="E81" s="107" t="s">
        <v>47</v>
      </c>
      <c r="F81" s="107" t="s">
        <v>48</v>
      </c>
      <c r="G81" s="107" t="s">
        <v>49</v>
      </c>
      <c r="H81" s="107" t="s">
        <v>50</v>
      </c>
      <c r="I81" s="109" t="s">
        <v>112</v>
      </c>
      <c r="J81" s="351"/>
      <c r="K81" s="352"/>
      <c r="L81" s="356"/>
      <c r="M81" s="110" t="s">
        <v>113</v>
      </c>
      <c r="N81" s="108" t="s">
        <v>13</v>
      </c>
      <c r="O81" s="111" t="s">
        <v>68</v>
      </c>
      <c r="P81" s="351" t="s">
        <v>113</v>
      </c>
      <c r="Q81" s="352" t="s">
        <v>13</v>
      </c>
      <c r="R81" s="356" t="s">
        <v>68</v>
      </c>
      <c r="S81" s="123"/>
      <c r="T81" s="133"/>
      <c r="U81" s="37"/>
    </row>
    <row r="82" spans="2:21" x14ac:dyDescent="0.25">
      <c r="B82" s="569" t="s">
        <v>51</v>
      </c>
      <c r="C82" s="21">
        <v>0</v>
      </c>
      <c r="D82" s="21">
        <v>0</v>
      </c>
      <c r="E82" s="21">
        <v>0.2</v>
      </c>
      <c r="F82" s="21">
        <v>0.3</v>
      </c>
      <c r="G82" s="21">
        <v>0</v>
      </c>
      <c r="H82" s="21">
        <v>0</v>
      </c>
      <c r="I82" s="52">
        <f>SUM(C82:H82)</f>
        <v>0.5</v>
      </c>
      <c r="J82" s="263" t="s">
        <v>12</v>
      </c>
      <c r="K82" s="314">
        <f>I82*$J$5</f>
        <v>37.5</v>
      </c>
      <c r="L82" s="289">
        <f>K82</f>
        <v>37.5</v>
      </c>
      <c r="M82" s="58" t="s">
        <v>12</v>
      </c>
      <c r="N82" s="89">
        <f>$I82*M$5</f>
        <v>37.5</v>
      </c>
      <c r="O82" s="68">
        <f>N82</f>
        <v>37.5</v>
      </c>
      <c r="P82" s="263" t="s">
        <v>12</v>
      </c>
      <c r="Q82" s="314">
        <f>$I82*P$5</f>
        <v>37.5</v>
      </c>
      <c r="R82" s="289">
        <f>Q82</f>
        <v>37.5</v>
      </c>
      <c r="S82" s="121">
        <f>AVERAGE(L82,O82,R82)</f>
        <v>37.5</v>
      </c>
      <c r="T82" s="135" t="s">
        <v>12</v>
      </c>
      <c r="U82" s="136" t="s">
        <v>12</v>
      </c>
    </row>
    <row r="83" spans="2:21" ht="13.8" thickBot="1" x14ac:dyDescent="0.3">
      <c r="B83" s="567" t="s">
        <v>107</v>
      </c>
      <c r="C83" s="34">
        <f>ROUND(C82*Labor!$D$3,0)</f>
        <v>0</v>
      </c>
      <c r="D83" s="35">
        <f>ROUND(D82*Labor!$D$4,0)</f>
        <v>0</v>
      </c>
      <c r="E83" s="35">
        <f>ROUND(E82*Labor!$D$5,0)</f>
        <v>9</v>
      </c>
      <c r="F83" s="35">
        <f>ROUND(F82*Labor!$D$6,0)</f>
        <v>15</v>
      </c>
      <c r="G83" s="35">
        <f>ROUND(G82*Labor!$D$7,0)</f>
        <v>0</v>
      </c>
      <c r="H83" s="35">
        <f>ROUND(H82*Labor!$D$8,0)</f>
        <v>0</v>
      </c>
      <c r="I83" s="39">
        <f>SUM(C83:H83)</f>
        <v>24</v>
      </c>
      <c r="J83" s="268">
        <f>HLOOKUP(Labor!$B$11,InflationTable,2)*I83</f>
        <v>32.419244367358814</v>
      </c>
      <c r="K83" s="269">
        <f>J83*$J$5</f>
        <v>2431.4433275519109</v>
      </c>
      <c r="L83" s="308">
        <f>K83</f>
        <v>2431.4433275519109</v>
      </c>
      <c r="M83" s="362">
        <f>HLOOKUP(Labor!$B$11,InflationTable,3)*$I83</f>
        <v>33.304699562717346</v>
      </c>
      <c r="N83" s="63">
        <f>M83*$M$5</f>
        <v>2497.8524672038011</v>
      </c>
      <c r="O83" s="95">
        <f>N83</f>
        <v>2497.8524672038011</v>
      </c>
      <c r="P83" s="268">
        <f>HLOOKUP(Labor!$B$11,InflationTable,4)*$I83</f>
        <v>33.703788883732997</v>
      </c>
      <c r="Q83" s="269">
        <f>P83*$P$5</f>
        <v>2527.7841662799747</v>
      </c>
      <c r="R83" s="308">
        <f>Q83</f>
        <v>2527.7841662799747</v>
      </c>
      <c r="S83" s="132">
        <f>AVERAGE(L83,O83,R83)</f>
        <v>2485.6933203452286</v>
      </c>
      <c r="T83" s="137" t="s">
        <v>12</v>
      </c>
      <c r="U83" s="149" t="s">
        <v>12</v>
      </c>
    </row>
    <row r="84" spans="2:21" x14ac:dyDescent="0.25">
      <c r="B84" s="565" t="s">
        <v>106</v>
      </c>
      <c r="C84" s="32"/>
      <c r="D84" s="431" t="s">
        <v>54</v>
      </c>
      <c r="E84" s="28">
        <v>5</v>
      </c>
      <c r="F84" s="7"/>
      <c r="G84" s="5"/>
      <c r="H84" s="5"/>
      <c r="I84" s="109" t="s">
        <v>55</v>
      </c>
      <c r="J84" s="259"/>
      <c r="K84" s="542"/>
      <c r="L84" s="543"/>
      <c r="M84" s="364" t="s">
        <v>55</v>
      </c>
      <c r="N84" s="1434" t="s">
        <v>57</v>
      </c>
      <c r="O84" s="1435"/>
      <c r="P84" s="259" t="s">
        <v>55</v>
      </c>
      <c r="Q84" s="1431" t="s">
        <v>57</v>
      </c>
      <c r="R84" s="1439"/>
      <c r="S84" s="170"/>
      <c r="T84" s="133"/>
      <c r="U84" s="37"/>
    </row>
    <row r="85" spans="2:21" x14ac:dyDescent="0.25">
      <c r="B85" s="569" t="s">
        <v>51</v>
      </c>
      <c r="C85" s="21">
        <v>0</v>
      </c>
      <c r="D85" s="21">
        <v>12</v>
      </c>
      <c r="E85" s="21">
        <v>0</v>
      </c>
      <c r="F85" s="21">
        <v>0</v>
      </c>
      <c r="G85" s="21">
        <v>0</v>
      </c>
      <c r="H85" s="21">
        <v>0</v>
      </c>
      <c r="I85" s="52">
        <f>SUM(C85:H85)</f>
        <v>12</v>
      </c>
      <c r="J85" s="263" t="s">
        <v>12</v>
      </c>
      <c r="K85" s="283">
        <f>I85*$J$5</f>
        <v>900</v>
      </c>
      <c r="L85" s="282">
        <f>K85/$E$84</f>
        <v>180</v>
      </c>
      <c r="M85" s="58" t="s">
        <v>12</v>
      </c>
      <c r="N85" s="60">
        <f>$I$85*$M$5</f>
        <v>900</v>
      </c>
      <c r="O85" s="59">
        <f>N85/$E$84</f>
        <v>180</v>
      </c>
      <c r="P85" s="263" t="s">
        <v>12</v>
      </c>
      <c r="Q85" s="283">
        <f>$I$85*$P$5</f>
        <v>900</v>
      </c>
      <c r="R85" s="282">
        <f>Q85/$E$84</f>
        <v>180</v>
      </c>
      <c r="S85" s="121">
        <f>AVERAGE(L85,O85,R85)</f>
        <v>180</v>
      </c>
      <c r="T85" s="135" t="s">
        <v>12</v>
      </c>
      <c r="U85" s="136" t="s">
        <v>12</v>
      </c>
    </row>
    <row r="86" spans="2:21" ht="13.8" thickBot="1" x14ac:dyDescent="0.3">
      <c r="B86" s="567" t="s">
        <v>105</v>
      </c>
      <c r="C86" s="34">
        <f>ROUND(C85*Labor!$D$3,0)</f>
        <v>0</v>
      </c>
      <c r="D86" s="35">
        <f>ROUND(D85*Labor!$D$4,0)</f>
        <v>490</v>
      </c>
      <c r="E86" s="35">
        <f>ROUND(E85*Labor!$D$5,0)</f>
        <v>0</v>
      </c>
      <c r="F86" s="35">
        <f>ROUND(F85*Labor!$D$6,0)</f>
        <v>0</v>
      </c>
      <c r="G86" s="35">
        <f>ROUND(G85*Labor!$D$7,0)</f>
        <v>0</v>
      </c>
      <c r="H86" s="35">
        <f>ROUND(H85*Labor!$D$8,0)</f>
        <v>0</v>
      </c>
      <c r="I86" s="39">
        <f>SUM(C86:H86)</f>
        <v>490</v>
      </c>
      <c r="J86" s="268">
        <f>HLOOKUP(Labor!$B$11,InflationTable,2)*I86</f>
        <v>661.8929058335757</v>
      </c>
      <c r="K86" s="269">
        <f>J86*$J$5</f>
        <v>49641.96793751818</v>
      </c>
      <c r="L86" s="270">
        <f>K86/$E$84</f>
        <v>9928.3935875036368</v>
      </c>
      <c r="M86" s="362">
        <f>HLOOKUP(Labor!$B$11,InflationTable,3)*$I86</f>
        <v>679.97094940547913</v>
      </c>
      <c r="N86" s="63">
        <f>M86*$M$5</f>
        <v>50997.821205410932</v>
      </c>
      <c r="O86" s="64">
        <f>N86/$E$84</f>
        <v>10199.564241082186</v>
      </c>
      <c r="P86" s="292">
        <f>HLOOKUP(Labor!$B$11,InflationTable,4)*$I86</f>
        <v>688.11902304288196</v>
      </c>
      <c r="Q86" s="269">
        <f>P86*$P$5</f>
        <v>51608.926728216145</v>
      </c>
      <c r="R86" s="270">
        <f>Q86/$E$84</f>
        <v>10321.785345643229</v>
      </c>
      <c r="S86" s="128">
        <f>AVERAGE(L86,O86,R86)</f>
        <v>10149.914391409684</v>
      </c>
      <c r="T86" s="137" t="s">
        <v>12</v>
      </c>
      <c r="U86" s="149" t="s">
        <v>12</v>
      </c>
    </row>
    <row r="87" spans="2:21" x14ac:dyDescent="0.25">
      <c r="B87" s="560" t="s">
        <v>66</v>
      </c>
      <c r="C87" s="42">
        <f>C74+C77+C79+C82+C85</f>
        <v>6</v>
      </c>
      <c r="D87" s="42">
        <f t="shared" ref="D87:L87" si="14">D74+D77+D79+D82+D85</f>
        <v>21</v>
      </c>
      <c r="E87" s="42">
        <f t="shared" si="14"/>
        <v>3.2</v>
      </c>
      <c r="F87" s="42">
        <f t="shared" si="14"/>
        <v>1.3</v>
      </c>
      <c r="G87" s="42">
        <f t="shared" si="14"/>
        <v>1</v>
      </c>
      <c r="H87" s="42">
        <f t="shared" si="14"/>
        <v>0</v>
      </c>
      <c r="I87" s="42">
        <f t="shared" si="14"/>
        <v>32.5</v>
      </c>
      <c r="J87" s="293" t="s">
        <v>12</v>
      </c>
      <c r="K87" s="285">
        <f t="shared" si="14"/>
        <v>1957.5</v>
      </c>
      <c r="L87" s="285">
        <f t="shared" si="14"/>
        <v>1237.5</v>
      </c>
      <c r="M87" s="61" t="s">
        <v>12</v>
      </c>
      <c r="N87" s="33">
        <f>N74+N77+N79+N82+N85</f>
        <v>1957.5</v>
      </c>
      <c r="O87" s="33">
        <f>O74+O77+O79+O82+O85</f>
        <v>1237.5</v>
      </c>
      <c r="P87" s="293" t="s">
        <v>12</v>
      </c>
      <c r="Q87" s="285">
        <f>Q74+Q77+Q79+Q82+Q85</f>
        <v>1957.5</v>
      </c>
      <c r="R87" s="285">
        <f>R74+R77+R79+R82+R85</f>
        <v>1237.5</v>
      </c>
      <c r="S87" s="150">
        <f>AVERAGE(L87,O87,R87)</f>
        <v>1237.5</v>
      </c>
      <c r="T87" s="133"/>
      <c r="U87" s="37"/>
    </row>
    <row r="88" spans="2:21" ht="13.8" thickBot="1" x14ac:dyDescent="0.3">
      <c r="B88" s="561" t="s">
        <v>67</v>
      </c>
      <c r="C88" s="710">
        <f>C75+C78+C80+C83+C86</f>
        <v>170</v>
      </c>
      <c r="D88" s="710">
        <f t="shared" ref="D88:L88" si="15">D75+D78+D80+D83+D86</f>
        <v>857</v>
      </c>
      <c r="E88" s="710">
        <f t="shared" si="15"/>
        <v>141</v>
      </c>
      <c r="F88" s="710">
        <f t="shared" si="15"/>
        <v>64</v>
      </c>
      <c r="G88" s="710">
        <f t="shared" si="15"/>
        <v>55</v>
      </c>
      <c r="H88" s="710">
        <f t="shared" si="15"/>
        <v>0</v>
      </c>
      <c r="I88" s="710">
        <f t="shared" si="15"/>
        <v>1287</v>
      </c>
      <c r="J88" s="927">
        <f t="shared" si="15"/>
        <v>1738.481979199616</v>
      </c>
      <c r="K88" s="927">
        <f t="shared" si="15"/>
        <v>105326.07254400285</v>
      </c>
      <c r="L88" s="927">
        <f t="shared" si="15"/>
        <v>65612.498193988315</v>
      </c>
      <c r="M88" s="710">
        <f>M75+M78+M80+M83+M86</f>
        <v>1785.9645140507178</v>
      </c>
      <c r="N88" s="710">
        <f>N75+N78+N80+N83+N86</f>
        <v>108202.80579182332</v>
      </c>
      <c r="O88" s="710">
        <f>O75+O78+O80+O83+O86</f>
        <v>67404.548827494582</v>
      </c>
      <c r="P88" s="927">
        <f>P75+P78+P80+P83+P86</f>
        <v>1807.3656788901819</v>
      </c>
      <c r="Q88" s="927">
        <f>Q75+Q78+Q80+Q83+Q86</f>
        <v>109499.39710963803</v>
      </c>
      <c r="R88" s="927">
        <f>R75+R78+R80+R83+R86</f>
        <v>68212.255727065116</v>
      </c>
      <c r="S88" s="248">
        <f>AVERAGE(L88,O88,R88)</f>
        <v>67076.434249516009</v>
      </c>
      <c r="T88" s="246"/>
      <c r="U88" s="236"/>
    </row>
    <row r="89" spans="2:21" ht="14.4" thickTop="1" thickBot="1" x14ac:dyDescent="0.3">
      <c r="B89" s="619"/>
      <c r="C89" s="618"/>
      <c r="D89" s="618"/>
      <c r="E89" s="618"/>
      <c r="F89" s="618"/>
      <c r="G89" s="618"/>
      <c r="H89" s="618"/>
      <c r="I89" s="618"/>
      <c r="J89" s="618"/>
      <c r="K89" s="618"/>
      <c r="L89" s="618"/>
      <c r="M89" s="618"/>
      <c r="N89" s="618"/>
      <c r="O89" s="618"/>
      <c r="P89" s="618"/>
      <c r="Q89" s="618"/>
      <c r="R89" s="618"/>
      <c r="S89" s="618"/>
      <c r="T89" s="618"/>
      <c r="U89" s="620"/>
    </row>
    <row r="90" spans="2:21" ht="16.2" thickTop="1" x14ac:dyDescent="0.3">
      <c r="B90" s="562" t="s">
        <v>30</v>
      </c>
      <c r="C90" s="5"/>
      <c r="D90" s="5"/>
      <c r="E90" s="5"/>
      <c r="F90" s="112" t="s">
        <v>6</v>
      </c>
      <c r="G90" s="1415"/>
      <c r="H90" s="1416"/>
      <c r="I90" s="1417"/>
      <c r="J90" s="181" t="s">
        <v>30</v>
      </c>
      <c r="K90" s="426"/>
      <c r="L90" s="67"/>
      <c r="M90" s="181" t="s">
        <v>30</v>
      </c>
      <c r="N90" s="426"/>
      <c r="O90" s="67"/>
      <c r="P90" s="181" t="s">
        <v>30</v>
      </c>
      <c r="Q90" s="319"/>
      <c r="R90" s="180"/>
      <c r="S90" s="225"/>
      <c r="T90" s="133"/>
      <c r="U90" s="37"/>
    </row>
    <row r="91" spans="2:21" x14ac:dyDescent="0.25">
      <c r="B91" s="555"/>
      <c r="C91" s="5"/>
      <c r="D91" s="5"/>
      <c r="E91" s="5"/>
      <c r="F91" s="7"/>
      <c r="G91" s="5"/>
      <c r="H91" s="5"/>
      <c r="I91" s="45" t="s">
        <v>61</v>
      </c>
      <c r="J91" s="277" t="s">
        <v>61</v>
      </c>
      <c r="K91" s="1422" t="s">
        <v>57</v>
      </c>
      <c r="L91" s="1423"/>
      <c r="M91" s="57" t="s">
        <v>61</v>
      </c>
      <c r="N91" s="1432" t="s">
        <v>57</v>
      </c>
      <c r="O91" s="1436"/>
      <c r="P91" s="318" t="s">
        <v>61</v>
      </c>
      <c r="Q91" s="1431" t="s">
        <v>57</v>
      </c>
      <c r="R91" s="1439"/>
      <c r="S91" s="131"/>
      <c r="T91" s="133"/>
      <c r="U91" s="37"/>
    </row>
    <row r="92" spans="2:21" x14ac:dyDescent="0.25">
      <c r="B92" s="563" t="s">
        <v>21</v>
      </c>
      <c r="C92" s="23" t="s">
        <v>45</v>
      </c>
      <c r="D92" s="24" t="s">
        <v>46</v>
      </c>
      <c r="E92" s="23" t="s">
        <v>47</v>
      </c>
      <c r="F92" s="23" t="s">
        <v>48</v>
      </c>
      <c r="G92" s="23" t="s">
        <v>49</v>
      </c>
      <c r="H92" s="23" t="s">
        <v>50</v>
      </c>
      <c r="I92" s="45" t="s">
        <v>13</v>
      </c>
      <c r="J92" s="260" t="s">
        <v>56</v>
      </c>
      <c r="K92" s="261" t="s">
        <v>13</v>
      </c>
      <c r="L92" s="262" t="s">
        <v>68</v>
      </c>
      <c r="M92" s="77" t="s">
        <v>56</v>
      </c>
      <c r="N92" s="24" t="s">
        <v>13</v>
      </c>
      <c r="O92" s="38" t="s">
        <v>68</v>
      </c>
      <c r="P92" s="260" t="s">
        <v>56</v>
      </c>
      <c r="Q92" s="261" t="s">
        <v>13</v>
      </c>
      <c r="R92" s="262" t="s">
        <v>68</v>
      </c>
      <c r="S92" s="123"/>
      <c r="T92" s="133"/>
      <c r="U92" s="37"/>
    </row>
    <row r="93" spans="2:21" x14ac:dyDescent="0.25">
      <c r="B93" s="566" t="s">
        <v>4</v>
      </c>
      <c r="C93" s="21">
        <v>0</v>
      </c>
      <c r="D93" s="21">
        <v>0</v>
      </c>
      <c r="E93" s="21">
        <v>0</v>
      </c>
      <c r="F93" s="21">
        <v>2</v>
      </c>
      <c r="G93" s="21">
        <v>2</v>
      </c>
      <c r="H93" s="21">
        <v>0</v>
      </c>
      <c r="I93" s="52">
        <f>SUM(C93:H93)</f>
        <v>4</v>
      </c>
      <c r="J93" s="263" t="s">
        <v>12</v>
      </c>
      <c r="K93" s="281">
        <f>I93*$L$4</f>
        <v>204</v>
      </c>
      <c r="L93" s="289">
        <f>K93</f>
        <v>204</v>
      </c>
      <c r="M93" s="58" t="s">
        <v>12</v>
      </c>
      <c r="N93" s="69">
        <f>$I93*O$4</f>
        <v>204</v>
      </c>
      <c r="O93" s="59">
        <f>N93</f>
        <v>204</v>
      </c>
      <c r="P93" s="263" t="s">
        <v>12</v>
      </c>
      <c r="Q93" s="281">
        <f>$I93*R$4</f>
        <v>204</v>
      </c>
      <c r="R93" s="289">
        <f>Q93</f>
        <v>204</v>
      </c>
      <c r="S93" s="173">
        <f t="shared" ref="S93:S98" si="16">AVERAGE(L93,O93,R93)</f>
        <v>204</v>
      </c>
      <c r="T93" s="135" t="s">
        <v>12</v>
      </c>
      <c r="U93" s="136" t="s">
        <v>12</v>
      </c>
    </row>
    <row r="94" spans="2:21" ht="13.8" thickBot="1" x14ac:dyDescent="0.3">
      <c r="B94" s="567" t="s">
        <v>8</v>
      </c>
      <c r="C94" s="34">
        <f>ROUND(C93*Labor!$D$3,0)</f>
        <v>0</v>
      </c>
      <c r="D94" s="35">
        <f>ROUND(D93*Labor!$D$4,0)</f>
        <v>0</v>
      </c>
      <c r="E94" s="35">
        <f>ROUND(E93*Labor!$D$5,0)</f>
        <v>0</v>
      </c>
      <c r="F94" s="35">
        <f>ROUND(F93*Labor!$D$6,0)</f>
        <v>99</v>
      </c>
      <c r="G94" s="35">
        <f>ROUND(G93*Labor!$D$7,0)</f>
        <v>111</v>
      </c>
      <c r="H94" s="35">
        <f>ROUND(H93*Labor!$D$8,0)</f>
        <v>0</v>
      </c>
      <c r="I94" s="39">
        <f>SUM(C94:H94)</f>
        <v>210</v>
      </c>
      <c r="J94" s="268">
        <f>HLOOKUP(Labor!$B$11,InflationTable,2)*I94</f>
        <v>283.66838821438961</v>
      </c>
      <c r="K94" s="269">
        <f>J94*$L$4</f>
        <v>14467.08779893387</v>
      </c>
      <c r="L94" s="308">
        <f>K94</f>
        <v>14467.08779893387</v>
      </c>
      <c r="M94" s="84">
        <f>HLOOKUP(Labor!$B$11,InflationTable,3)*$I94</f>
        <v>291.41612117377679</v>
      </c>
      <c r="N94" s="63">
        <f>M94*O$4</f>
        <v>14862.222179862616</v>
      </c>
      <c r="O94" s="64">
        <f>N94</f>
        <v>14862.222179862616</v>
      </c>
      <c r="P94" s="268">
        <f>HLOOKUP(Labor!$B$11,InflationTable,4)*$I94</f>
        <v>294.90815273266372</v>
      </c>
      <c r="Q94" s="269">
        <f>P94*R$4</f>
        <v>15040.31578936585</v>
      </c>
      <c r="R94" s="308">
        <f>Q94</f>
        <v>15040.31578936585</v>
      </c>
      <c r="S94" s="171">
        <f t="shared" si="16"/>
        <v>14789.875256054112</v>
      </c>
      <c r="T94" s="137" t="s">
        <v>12</v>
      </c>
      <c r="U94" s="149" t="s">
        <v>12</v>
      </c>
    </row>
    <row r="95" spans="2:21" x14ac:dyDescent="0.25">
      <c r="B95" s="559" t="s">
        <v>104</v>
      </c>
      <c r="C95" s="346">
        <v>0</v>
      </c>
      <c r="D95" s="346">
        <v>0</v>
      </c>
      <c r="E95" s="346">
        <v>0</v>
      </c>
      <c r="F95" s="346">
        <v>3</v>
      </c>
      <c r="G95" s="346">
        <v>3</v>
      </c>
      <c r="H95" s="346">
        <v>0</v>
      </c>
      <c r="I95" s="347">
        <f>SUM(C95:H95)</f>
        <v>6</v>
      </c>
      <c r="J95" s="293" t="s">
        <v>12</v>
      </c>
      <c r="K95" s="327">
        <f>I95*$L$4</f>
        <v>306</v>
      </c>
      <c r="L95" s="328">
        <f>K95</f>
        <v>306</v>
      </c>
      <c r="M95" s="61" t="s">
        <v>12</v>
      </c>
      <c r="N95" s="348">
        <f>$I95*O$4</f>
        <v>306</v>
      </c>
      <c r="O95" s="349">
        <f>N95</f>
        <v>306</v>
      </c>
      <c r="P95" s="293" t="s">
        <v>12</v>
      </c>
      <c r="Q95" s="327">
        <f>$I95*R$4</f>
        <v>306</v>
      </c>
      <c r="R95" s="328">
        <f>Q95</f>
        <v>306</v>
      </c>
      <c r="S95" s="173">
        <f t="shared" si="16"/>
        <v>306</v>
      </c>
      <c r="T95" s="135" t="s">
        <v>12</v>
      </c>
      <c r="U95" s="136" t="s">
        <v>12</v>
      </c>
    </row>
    <row r="96" spans="2:21" ht="13.8" thickBot="1" x14ac:dyDescent="0.3">
      <c r="B96" s="568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148</v>
      </c>
      <c r="G96" s="35">
        <f>ROUND(G95*Labor!$D$7,0)</f>
        <v>166</v>
      </c>
      <c r="H96" s="35">
        <f>ROUND(H95*Labor!$D$8,0)</f>
        <v>0</v>
      </c>
      <c r="I96" s="39">
        <f>SUM(C96:H96)</f>
        <v>314</v>
      </c>
      <c r="J96" s="268">
        <f>HLOOKUP(Labor!$B$11,InflationTable,2)*I96</f>
        <v>424.15178047294444</v>
      </c>
      <c r="K96" s="269">
        <f>J96*$L$4</f>
        <v>21631.740804120167</v>
      </c>
      <c r="L96" s="300">
        <f>K96</f>
        <v>21631.740804120167</v>
      </c>
      <c r="M96" s="84">
        <f>HLOOKUP(Labor!$B$11,InflationTable,3)*$I96</f>
        <v>435.73648594555198</v>
      </c>
      <c r="N96" s="63">
        <f>M96*O$4</f>
        <v>22222.560783223151</v>
      </c>
      <c r="O96" s="64">
        <f>N96</f>
        <v>22222.560783223151</v>
      </c>
      <c r="P96" s="292">
        <f>HLOOKUP(Labor!$B$11,InflationTable,4)*$I96</f>
        <v>440.95790456217338</v>
      </c>
      <c r="Q96" s="269">
        <f>P96*R$4</f>
        <v>22488.853132670843</v>
      </c>
      <c r="R96" s="300">
        <f>Q96</f>
        <v>22488.853132670843</v>
      </c>
      <c r="S96" s="128">
        <f t="shared" si="16"/>
        <v>22114.384906671388</v>
      </c>
      <c r="T96" s="137" t="s">
        <v>12</v>
      </c>
      <c r="U96" s="149" t="s">
        <v>12</v>
      </c>
    </row>
    <row r="97" spans="2:22" x14ac:dyDescent="0.25">
      <c r="B97" s="560" t="s">
        <v>66</v>
      </c>
      <c r="C97" s="36">
        <f t="shared" ref="C97:I98" si="17">C93+C95</f>
        <v>0</v>
      </c>
      <c r="D97" s="36">
        <f t="shared" si="17"/>
        <v>0</v>
      </c>
      <c r="E97" s="36">
        <f t="shared" si="17"/>
        <v>0</v>
      </c>
      <c r="F97" s="36">
        <f t="shared" si="17"/>
        <v>5</v>
      </c>
      <c r="G97" s="36">
        <f t="shared" si="17"/>
        <v>5</v>
      </c>
      <c r="H97" s="36">
        <f t="shared" si="17"/>
        <v>0</v>
      </c>
      <c r="I97" s="46">
        <f t="shared" si="17"/>
        <v>10</v>
      </c>
      <c r="J97" s="301" t="s">
        <v>12</v>
      </c>
      <c r="K97" s="320">
        <f>K93+K95</f>
        <v>510</v>
      </c>
      <c r="L97" s="321">
        <f>L93+L95</f>
        <v>510</v>
      </c>
      <c r="M97" s="85" t="s">
        <v>12</v>
      </c>
      <c r="N97" s="36">
        <f>N93+N95</f>
        <v>510</v>
      </c>
      <c r="O97" s="100">
        <f>O93+O95</f>
        <v>510</v>
      </c>
      <c r="P97" s="301" t="s">
        <v>12</v>
      </c>
      <c r="Q97" s="320">
        <f>Q93+Q95</f>
        <v>510</v>
      </c>
      <c r="R97" s="322">
        <f>R93+R95</f>
        <v>510</v>
      </c>
      <c r="S97" s="121">
        <f t="shared" si="16"/>
        <v>510</v>
      </c>
      <c r="T97" s="135" t="s">
        <v>12</v>
      </c>
      <c r="U97" s="136" t="s">
        <v>12</v>
      </c>
    </row>
    <row r="98" spans="2:22" ht="13.8" thickBot="1" x14ac:dyDescent="0.3">
      <c r="B98" s="561" t="s">
        <v>67</v>
      </c>
      <c r="C98" s="240">
        <f t="shared" si="17"/>
        <v>0</v>
      </c>
      <c r="D98" s="240">
        <f t="shared" si="17"/>
        <v>0</v>
      </c>
      <c r="E98" s="240">
        <f t="shared" si="17"/>
        <v>0</v>
      </c>
      <c r="F98" s="240">
        <f t="shared" si="17"/>
        <v>247</v>
      </c>
      <c r="G98" s="240">
        <f t="shared" si="17"/>
        <v>277</v>
      </c>
      <c r="H98" s="240">
        <f t="shared" si="17"/>
        <v>0</v>
      </c>
      <c r="I98" s="243">
        <f t="shared" si="17"/>
        <v>524</v>
      </c>
      <c r="J98" s="274">
        <f>J94+J96</f>
        <v>707.82016868733399</v>
      </c>
      <c r="K98" s="275">
        <f>K94+K96</f>
        <v>36098.828603054033</v>
      </c>
      <c r="L98" s="276">
        <f>L94+L96</f>
        <v>36098.828603054033</v>
      </c>
      <c r="M98" s="242">
        <f>M94+M96</f>
        <v>727.15260711932876</v>
      </c>
      <c r="N98" s="240">
        <f>N94+N96</f>
        <v>37084.782963085767</v>
      </c>
      <c r="O98" s="243">
        <f>O94+O96</f>
        <v>37084.782963085767</v>
      </c>
      <c r="P98" s="313">
        <f>P94+P96</f>
        <v>735.86605729483711</v>
      </c>
      <c r="Q98" s="275">
        <f>Q94+Q96</f>
        <v>37529.168922036697</v>
      </c>
      <c r="R98" s="276">
        <f>R94+R96</f>
        <v>37529.168922036697</v>
      </c>
      <c r="S98" s="257">
        <f t="shared" si="16"/>
        <v>36904.260162725499</v>
      </c>
      <c r="T98" s="258" t="s">
        <v>12</v>
      </c>
      <c r="U98" s="249" t="s">
        <v>12</v>
      </c>
    </row>
    <row r="99" spans="2:22" ht="14.4" thickTop="1" thickBot="1" x14ac:dyDescent="0.3">
      <c r="B99" s="555"/>
      <c r="C99" s="5"/>
      <c r="D99" s="618"/>
      <c r="E99" s="618"/>
      <c r="F99" s="618"/>
      <c r="G99" s="618"/>
      <c r="H99" s="618"/>
      <c r="I99" s="618"/>
      <c r="J99" s="618"/>
      <c r="K99" s="618"/>
      <c r="L99" s="618"/>
      <c r="M99" s="618"/>
      <c r="N99" s="618"/>
      <c r="O99" s="618"/>
      <c r="P99" s="618"/>
      <c r="Q99" s="618"/>
      <c r="R99" s="618"/>
      <c r="S99" s="618"/>
      <c r="T99" s="618"/>
      <c r="U99" s="620"/>
    </row>
    <row r="100" spans="2:22" ht="18.600000000000001" thickTop="1" thickBot="1" x14ac:dyDescent="0.35">
      <c r="B100" s="556" t="s">
        <v>121</v>
      </c>
      <c r="C100" s="234" t="str">
        <f>C2</f>
        <v>Pb</v>
      </c>
      <c r="D100" s="5"/>
      <c r="E100" s="4"/>
      <c r="F100" s="12"/>
      <c r="G100" s="4"/>
      <c r="H100" s="4"/>
      <c r="I100" s="41"/>
      <c r="J100" s="233" t="str">
        <f>J2</f>
        <v>Year 1</v>
      </c>
      <c r="K100" s="233">
        <f>K2</f>
        <v>2019</v>
      </c>
      <c r="L100" s="83"/>
      <c r="M100" s="79" t="str">
        <f>M2</f>
        <v>Year 2</v>
      </c>
      <c r="N100" s="79">
        <f>N2</f>
        <v>2020</v>
      </c>
      <c r="O100" s="41"/>
      <c r="P100" s="233" t="str">
        <f>P2</f>
        <v>Year 3</v>
      </c>
      <c r="Q100" s="233">
        <f>Q2</f>
        <v>2021</v>
      </c>
      <c r="R100" s="83"/>
      <c r="S100" s="152"/>
      <c r="T100" s="130"/>
      <c r="U100" s="570"/>
    </row>
    <row r="101" spans="2:22" ht="13.8" thickBot="1" x14ac:dyDescent="0.3">
      <c r="B101" s="555"/>
      <c r="C101" s="194" t="s">
        <v>45</v>
      </c>
      <c r="D101" s="190" t="s">
        <v>46</v>
      </c>
      <c r="E101" s="187" t="s">
        <v>47</v>
      </c>
      <c r="F101" s="202" t="s">
        <v>48</v>
      </c>
      <c r="G101" s="201" t="s">
        <v>49</v>
      </c>
      <c r="H101" s="187" t="s">
        <v>50</v>
      </c>
      <c r="I101" s="188" t="s">
        <v>13</v>
      </c>
      <c r="J101" s="323" t="s">
        <v>56</v>
      </c>
      <c r="K101" s="324" t="s">
        <v>13</v>
      </c>
      <c r="L101" s="325" t="s">
        <v>68</v>
      </c>
      <c r="M101" s="189" t="s">
        <v>56</v>
      </c>
      <c r="N101" s="190" t="s">
        <v>13</v>
      </c>
      <c r="O101" s="191" t="s">
        <v>68</v>
      </c>
      <c r="P101" s="323" t="s">
        <v>56</v>
      </c>
      <c r="Q101" s="324" t="s">
        <v>13</v>
      </c>
      <c r="R101" s="325" t="s">
        <v>68</v>
      </c>
      <c r="S101" s="192"/>
      <c r="T101" s="193"/>
      <c r="U101" s="571"/>
      <c r="V101" s="5"/>
    </row>
    <row r="102" spans="2:22" x14ac:dyDescent="0.25">
      <c r="B102" s="572" t="s">
        <v>97</v>
      </c>
      <c r="C102" s="196">
        <f t="shared" ref="C102:S102" si="18">C15</f>
        <v>0</v>
      </c>
      <c r="D102" s="184">
        <f t="shared" si="18"/>
        <v>6</v>
      </c>
      <c r="E102" s="184">
        <f t="shared" si="18"/>
        <v>2</v>
      </c>
      <c r="F102" s="184">
        <f t="shared" si="18"/>
        <v>7</v>
      </c>
      <c r="G102" s="184">
        <f t="shared" si="18"/>
        <v>5</v>
      </c>
      <c r="H102" s="184">
        <f t="shared" si="18"/>
        <v>5</v>
      </c>
      <c r="I102" s="185">
        <f t="shared" si="18"/>
        <v>25</v>
      </c>
      <c r="J102" s="326" t="str">
        <f t="shared" si="18"/>
        <v>NA</v>
      </c>
      <c r="K102" s="327">
        <f t="shared" si="18"/>
        <v>1875</v>
      </c>
      <c r="L102" s="328">
        <f t="shared" si="18"/>
        <v>267.85714285714289</v>
      </c>
      <c r="M102" s="186" t="str">
        <f t="shared" si="18"/>
        <v>NA</v>
      </c>
      <c r="N102" s="184">
        <f t="shared" si="18"/>
        <v>1875</v>
      </c>
      <c r="O102" s="185">
        <f t="shared" si="18"/>
        <v>267.85714285714283</v>
      </c>
      <c r="P102" s="326" t="str">
        <f t="shared" si="18"/>
        <v>NA</v>
      </c>
      <c r="Q102" s="327">
        <f t="shared" si="18"/>
        <v>1875</v>
      </c>
      <c r="R102" s="328">
        <f t="shared" si="18"/>
        <v>267.85714285714283</v>
      </c>
      <c r="S102" s="185">
        <f t="shared" si="18"/>
        <v>267.85714285714289</v>
      </c>
      <c r="T102" s="37"/>
      <c r="U102" s="138"/>
    </row>
    <row r="103" spans="2:22" ht="13.8" thickBot="1" x14ac:dyDescent="0.3">
      <c r="B103" s="573" t="s">
        <v>76</v>
      </c>
      <c r="C103" s="203">
        <f t="shared" ref="C103:S103" si="19">C16</f>
        <v>0</v>
      </c>
      <c r="D103" s="204">
        <f t="shared" si="19"/>
        <v>245</v>
      </c>
      <c r="E103" s="204">
        <f t="shared" si="19"/>
        <v>88</v>
      </c>
      <c r="F103" s="204">
        <f t="shared" si="19"/>
        <v>345</v>
      </c>
      <c r="G103" s="204">
        <f t="shared" si="19"/>
        <v>277</v>
      </c>
      <c r="H103" s="204">
        <f t="shared" si="19"/>
        <v>293</v>
      </c>
      <c r="I103" s="205">
        <f t="shared" si="19"/>
        <v>1248</v>
      </c>
      <c r="J103" s="329">
        <f t="shared" si="19"/>
        <v>1685.8007071026582</v>
      </c>
      <c r="K103" s="330">
        <f t="shared" si="19"/>
        <v>126435.05303269935</v>
      </c>
      <c r="L103" s="331">
        <f t="shared" si="19"/>
        <v>18062.150433242765</v>
      </c>
      <c r="M103" s="203">
        <f t="shared" si="19"/>
        <v>1731.844377261302</v>
      </c>
      <c r="N103" s="204">
        <f t="shared" si="19"/>
        <v>129888.32829459765</v>
      </c>
      <c r="O103" s="205">
        <f t="shared" si="19"/>
        <v>18555.475470656806</v>
      </c>
      <c r="P103" s="329">
        <f t="shared" si="19"/>
        <v>1752.5970219541157</v>
      </c>
      <c r="Q103" s="330">
        <f t="shared" si="19"/>
        <v>131444.77664655869</v>
      </c>
      <c r="R103" s="331">
        <f t="shared" si="19"/>
        <v>18777.82523522267</v>
      </c>
      <c r="S103" s="205">
        <f t="shared" si="19"/>
        <v>18465.150379707415</v>
      </c>
      <c r="T103" s="206" t="str">
        <f>T16</f>
        <v>NA</v>
      </c>
      <c r="U103" s="392" t="s">
        <v>12</v>
      </c>
    </row>
    <row r="104" spans="2:22" x14ac:dyDescent="0.25">
      <c r="B104" s="574" t="s">
        <v>98</v>
      </c>
      <c r="C104" s="196">
        <f t="shared" ref="C104:S104" si="20">C29</f>
        <v>8</v>
      </c>
      <c r="D104" s="184">
        <f t="shared" si="20"/>
        <v>8</v>
      </c>
      <c r="E104" s="184">
        <f t="shared" si="20"/>
        <v>0</v>
      </c>
      <c r="F104" s="184">
        <f t="shared" si="20"/>
        <v>0</v>
      </c>
      <c r="G104" s="184">
        <f t="shared" si="20"/>
        <v>0</v>
      </c>
      <c r="H104" s="184">
        <f t="shared" si="20"/>
        <v>0</v>
      </c>
      <c r="I104" s="185">
        <f t="shared" si="20"/>
        <v>16</v>
      </c>
      <c r="J104" s="326" t="str">
        <f t="shared" si="20"/>
        <v>NA</v>
      </c>
      <c r="K104" s="327">
        <f t="shared" si="20"/>
        <v>816</v>
      </c>
      <c r="L104" s="328">
        <f t="shared" si="20"/>
        <v>116.57142857142857</v>
      </c>
      <c r="M104" s="186" t="str">
        <f t="shared" si="20"/>
        <v>NA</v>
      </c>
      <c r="N104" s="184">
        <f t="shared" si="20"/>
        <v>816</v>
      </c>
      <c r="O104" s="185">
        <f t="shared" si="20"/>
        <v>116.57142857142857</v>
      </c>
      <c r="P104" s="326" t="str">
        <f t="shared" si="20"/>
        <v>NA</v>
      </c>
      <c r="Q104" s="327">
        <f t="shared" si="20"/>
        <v>816</v>
      </c>
      <c r="R104" s="328">
        <f t="shared" si="20"/>
        <v>116.57142857142857</v>
      </c>
      <c r="S104" s="185">
        <f t="shared" si="20"/>
        <v>116.57142857142857</v>
      </c>
      <c r="T104" s="37"/>
      <c r="U104" s="138"/>
    </row>
    <row r="105" spans="2:22" ht="13.8" thickBot="1" x14ac:dyDescent="0.3">
      <c r="B105" s="573" t="s">
        <v>76</v>
      </c>
      <c r="C105" s="207">
        <f t="shared" ref="C105:S105" si="21">C30</f>
        <v>227</v>
      </c>
      <c r="D105" s="208">
        <f t="shared" si="21"/>
        <v>327</v>
      </c>
      <c r="E105" s="208">
        <f t="shared" si="21"/>
        <v>0</v>
      </c>
      <c r="F105" s="208">
        <f t="shared" si="21"/>
        <v>0</v>
      </c>
      <c r="G105" s="208">
        <f t="shared" si="21"/>
        <v>0</v>
      </c>
      <c r="H105" s="208">
        <f t="shared" si="21"/>
        <v>0</v>
      </c>
      <c r="I105" s="209">
        <f t="shared" si="21"/>
        <v>554</v>
      </c>
      <c r="J105" s="332">
        <f t="shared" si="21"/>
        <v>748.3442241465325</v>
      </c>
      <c r="K105" s="296">
        <f t="shared" si="21"/>
        <v>0</v>
      </c>
      <c r="L105" s="297">
        <f t="shared" si="21"/>
        <v>46048.64204844326</v>
      </c>
      <c r="M105" s="207">
        <f t="shared" si="21"/>
        <v>768.78348157272546</v>
      </c>
      <c r="N105" s="208">
        <f t="shared" si="21"/>
        <v>0</v>
      </c>
      <c r="O105" s="209">
        <f t="shared" si="21"/>
        <v>47306.35209495046</v>
      </c>
      <c r="P105" s="332">
        <f t="shared" si="21"/>
        <v>777.99579339950333</v>
      </c>
      <c r="Q105" s="296">
        <f t="shared" si="21"/>
        <v>0</v>
      </c>
      <c r="R105" s="297">
        <f t="shared" si="21"/>
        <v>47873.222842478106</v>
      </c>
      <c r="S105" s="209">
        <f t="shared" si="21"/>
        <v>5573.871355002706</v>
      </c>
      <c r="T105" s="210" t="str">
        <f>T30</f>
        <v>NA</v>
      </c>
      <c r="U105" s="575">
        <f>U30</f>
        <v>41502.200973621235</v>
      </c>
    </row>
    <row r="106" spans="2:22" x14ac:dyDescent="0.25">
      <c r="B106" s="574" t="s">
        <v>156</v>
      </c>
      <c r="C106" s="197">
        <f t="shared" ref="C106:S106" si="22">C41</f>
        <v>0</v>
      </c>
      <c r="D106" s="25">
        <f t="shared" si="22"/>
        <v>30</v>
      </c>
      <c r="E106" s="25">
        <f t="shared" si="22"/>
        <v>60</v>
      </c>
      <c r="F106" s="25">
        <f t="shared" si="22"/>
        <v>0</v>
      </c>
      <c r="G106" s="25">
        <f t="shared" si="22"/>
        <v>0</v>
      </c>
      <c r="H106" s="25">
        <f t="shared" si="22"/>
        <v>0</v>
      </c>
      <c r="I106" s="198">
        <f t="shared" si="22"/>
        <v>90</v>
      </c>
      <c r="J106" s="333" t="str">
        <f t="shared" si="22"/>
        <v>NA</v>
      </c>
      <c r="K106" s="334">
        <f t="shared" si="22"/>
        <v>4590</v>
      </c>
      <c r="L106" s="335">
        <f t="shared" si="22"/>
        <v>4590</v>
      </c>
      <c r="M106" s="199" t="str">
        <f t="shared" si="22"/>
        <v>NA</v>
      </c>
      <c r="N106" s="25">
        <f t="shared" si="22"/>
        <v>4590</v>
      </c>
      <c r="O106" s="198">
        <f t="shared" si="22"/>
        <v>4590</v>
      </c>
      <c r="P106" s="333" t="str">
        <f t="shared" si="22"/>
        <v>NA</v>
      </c>
      <c r="Q106" s="334">
        <f t="shared" si="22"/>
        <v>4590</v>
      </c>
      <c r="R106" s="335">
        <f t="shared" si="22"/>
        <v>4590</v>
      </c>
      <c r="S106" s="198">
        <f t="shared" si="22"/>
        <v>4590</v>
      </c>
      <c r="T106" s="200" t="str">
        <f>T21</f>
        <v>NA</v>
      </c>
      <c r="U106" s="147" t="s">
        <v>12</v>
      </c>
    </row>
    <row r="107" spans="2:22" ht="13.8" thickBot="1" x14ac:dyDescent="0.3">
      <c r="B107" s="573" t="s">
        <v>76</v>
      </c>
      <c r="C107" s="211">
        <f t="shared" ref="C107:S107" si="23">C42</f>
        <v>0</v>
      </c>
      <c r="D107" s="208">
        <f t="shared" si="23"/>
        <v>30</v>
      </c>
      <c r="E107" s="208">
        <f t="shared" si="23"/>
        <v>60</v>
      </c>
      <c r="F107" s="208">
        <f t="shared" si="23"/>
        <v>0</v>
      </c>
      <c r="G107" s="208">
        <f t="shared" si="23"/>
        <v>0</v>
      </c>
      <c r="H107" s="208">
        <f t="shared" si="23"/>
        <v>0</v>
      </c>
      <c r="I107" s="209">
        <f t="shared" si="23"/>
        <v>4023</v>
      </c>
      <c r="J107" s="332">
        <f t="shared" si="23"/>
        <v>7811.6870906848326</v>
      </c>
      <c r="K107" s="296">
        <f t="shared" si="23"/>
        <v>398396.0416249265</v>
      </c>
      <c r="L107" s="297">
        <f t="shared" si="23"/>
        <v>398396.0416249265</v>
      </c>
      <c r="M107" s="207">
        <f t="shared" si="23"/>
        <v>5582.7002642004954</v>
      </c>
      <c r="N107" s="208">
        <f t="shared" si="23"/>
        <v>295333.58645984146</v>
      </c>
      <c r="O107" s="209">
        <f t="shared" si="23"/>
        <v>295333.58645984146</v>
      </c>
      <c r="P107" s="332">
        <f t="shared" si="23"/>
        <v>8121.2087964428292</v>
      </c>
      <c r="Q107" s="296">
        <f t="shared" si="23"/>
        <v>414181.64861858438</v>
      </c>
      <c r="R107" s="297">
        <f t="shared" si="23"/>
        <v>414181.64861858438</v>
      </c>
      <c r="S107" s="209">
        <f t="shared" si="23"/>
        <v>272767.55650808371</v>
      </c>
      <c r="T107" s="209">
        <f>T42</f>
        <v>21128.393222934446</v>
      </c>
      <c r="U107" s="765">
        <f>U42</f>
        <v>113389.04362974818</v>
      </c>
    </row>
    <row r="108" spans="2:22" x14ac:dyDescent="0.25">
      <c r="B108" s="574" t="s">
        <v>99</v>
      </c>
      <c r="C108" s="197">
        <f t="shared" ref="C108:S108" si="24">C53</f>
        <v>0</v>
      </c>
      <c r="D108" s="25">
        <f t="shared" si="24"/>
        <v>16</v>
      </c>
      <c r="E108" s="25">
        <f t="shared" si="24"/>
        <v>0</v>
      </c>
      <c r="F108" s="25">
        <f t="shared" si="24"/>
        <v>0</v>
      </c>
      <c r="G108" s="25">
        <f t="shared" si="24"/>
        <v>0</v>
      </c>
      <c r="H108" s="25">
        <f t="shared" si="24"/>
        <v>0</v>
      </c>
      <c r="I108" s="198">
        <f t="shared" si="24"/>
        <v>16</v>
      </c>
      <c r="J108" s="333" t="str">
        <f t="shared" si="24"/>
        <v>NA</v>
      </c>
      <c r="K108" s="334">
        <f t="shared" si="24"/>
        <v>816</v>
      </c>
      <c r="L108" s="335">
        <f t="shared" si="24"/>
        <v>816</v>
      </c>
      <c r="M108" s="199" t="str">
        <f t="shared" si="24"/>
        <v>NA</v>
      </c>
      <c r="N108" s="25">
        <f t="shared" si="24"/>
        <v>816</v>
      </c>
      <c r="O108" s="198">
        <f t="shared" si="24"/>
        <v>816</v>
      </c>
      <c r="P108" s="333" t="str">
        <f t="shared" si="24"/>
        <v>NA</v>
      </c>
      <c r="Q108" s="334">
        <f t="shared" si="24"/>
        <v>816</v>
      </c>
      <c r="R108" s="335">
        <f t="shared" si="24"/>
        <v>816</v>
      </c>
      <c r="S108" s="198">
        <f t="shared" si="24"/>
        <v>816</v>
      </c>
      <c r="T108" s="37"/>
      <c r="U108" s="138"/>
    </row>
    <row r="109" spans="2:22" ht="13.8" thickBot="1" x14ac:dyDescent="0.3">
      <c r="B109" s="573" t="s">
        <v>76</v>
      </c>
      <c r="C109" s="207">
        <f t="shared" ref="C109:S109" si="25">C54</f>
        <v>0</v>
      </c>
      <c r="D109" s="208">
        <f t="shared" si="25"/>
        <v>654</v>
      </c>
      <c r="E109" s="208">
        <f t="shared" si="25"/>
        <v>0</v>
      </c>
      <c r="F109" s="208">
        <f t="shared" si="25"/>
        <v>0</v>
      </c>
      <c r="G109" s="208">
        <f t="shared" si="25"/>
        <v>0</v>
      </c>
      <c r="H109" s="208">
        <f t="shared" si="25"/>
        <v>0</v>
      </c>
      <c r="I109" s="209">
        <f t="shared" si="25"/>
        <v>954</v>
      </c>
      <c r="J109" s="332">
        <f t="shared" si="25"/>
        <v>1288.6649636025127</v>
      </c>
      <c r="K109" s="296">
        <f t="shared" si="25"/>
        <v>65721.913143728147</v>
      </c>
      <c r="L109" s="297">
        <f t="shared" si="25"/>
        <v>65721.913143728147</v>
      </c>
      <c r="M109" s="211">
        <f t="shared" si="25"/>
        <v>1323.8618076180146</v>
      </c>
      <c r="N109" s="208">
        <f t="shared" si="25"/>
        <v>67516.952188518742</v>
      </c>
      <c r="O109" s="209">
        <f t="shared" si="25"/>
        <v>67516.952188518742</v>
      </c>
      <c r="P109" s="332">
        <f t="shared" si="25"/>
        <v>1339.7256081283867</v>
      </c>
      <c r="Q109" s="296">
        <f t="shared" si="25"/>
        <v>68326.006014547718</v>
      </c>
      <c r="R109" s="297">
        <f t="shared" si="25"/>
        <v>68326.006014547718</v>
      </c>
      <c r="S109" s="209">
        <f t="shared" si="25"/>
        <v>46059.897225997091</v>
      </c>
      <c r="T109" s="209">
        <f>T54</f>
        <v>21128.393222934446</v>
      </c>
      <c r="U109" s="576" t="s">
        <v>12</v>
      </c>
    </row>
    <row r="110" spans="2:22" x14ac:dyDescent="0.25">
      <c r="B110" s="574" t="s">
        <v>100</v>
      </c>
      <c r="C110" s="197">
        <f t="shared" ref="C110:U110" si="26">C67</f>
        <v>0</v>
      </c>
      <c r="D110" s="25">
        <f t="shared" si="26"/>
        <v>0</v>
      </c>
      <c r="E110" s="25">
        <f t="shared" si="26"/>
        <v>4</v>
      </c>
      <c r="F110" s="25">
        <f t="shared" si="26"/>
        <v>17</v>
      </c>
      <c r="G110" s="25">
        <f t="shared" si="26"/>
        <v>0</v>
      </c>
      <c r="H110" s="25">
        <f t="shared" si="26"/>
        <v>0</v>
      </c>
      <c r="I110" s="198">
        <f t="shared" si="26"/>
        <v>21</v>
      </c>
      <c r="J110" s="333" t="str">
        <f t="shared" si="26"/>
        <v>NA</v>
      </c>
      <c r="K110" s="334">
        <f t="shared" si="26"/>
        <v>1071</v>
      </c>
      <c r="L110" s="335">
        <f t="shared" si="26"/>
        <v>1071</v>
      </c>
      <c r="M110" s="199" t="str">
        <f t="shared" si="26"/>
        <v>NA</v>
      </c>
      <c r="N110" s="25">
        <f t="shared" si="26"/>
        <v>1071</v>
      </c>
      <c r="O110" s="198">
        <f t="shared" si="26"/>
        <v>1071</v>
      </c>
      <c r="P110" s="333" t="str">
        <f t="shared" si="26"/>
        <v>NA</v>
      </c>
      <c r="Q110" s="334">
        <f t="shared" si="26"/>
        <v>1071</v>
      </c>
      <c r="R110" s="335">
        <f t="shared" si="26"/>
        <v>1071</v>
      </c>
      <c r="S110" s="198">
        <f t="shared" si="26"/>
        <v>1071</v>
      </c>
      <c r="T110" s="212" t="str">
        <f t="shared" si="26"/>
        <v>NA</v>
      </c>
      <c r="U110" s="577" t="str">
        <f t="shared" si="26"/>
        <v>NA</v>
      </c>
    </row>
    <row r="111" spans="2:22" ht="13.8" thickBot="1" x14ac:dyDescent="0.3">
      <c r="B111" s="573" t="s">
        <v>76</v>
      </c>
      <c r="C111" s="207">
        <f t="shared" ref="C111:T111" si="27">C68</f>
        <v>0</v>
      </c>
      <c r="D111" s="208">
        <f t="shared" si="27"/>
        <v>0</v>
      </c>
      <c r="E111" s="208">
        <f t="shared" si="27"/>
        <v>176</v>
      </c>
      <c r="F111" s="208">
        <f t="shared" si="27"/>
        <v>837</v>
      </c>
      <c r="G111" s="208">
        <f t="shared" si="27"/>
        <v>0</v>
      </c>
      <c r="H111" s="208">
        <f t="shared" si="27"/>
        <v>0</v>
      </c>
      <c r="I111" s="209">
        <f t="shared" si="27"/>
        <v>1013</v>
      </c>
      <c r="J111" s="332">
        <f t="shared" si="27"/>
        <v>1368.3622726722699</v>
      </c>
      <c r="K111" s="296">
        <f t="shared" si="27"/>
        <v>69786.475906285763</v>
      </c>
      <c r="L111" s="297">
        <f t="shared" si="27"/>
        <v>69786.475906285763</v>
      </c>
      <c r="M111" s="207">
        <f t="shared" si="27"/>
        <v>1405.7358607096946</v>
      </c>
      <c r="N111" s="208">
        <f t="shared" si="27"/>
        <v>71692.528896194432</v>
      </c>
      <c r="O111" s="209">
        <f t="shared" si="27"/>
        <v>71692.528896194432</v>
      </c>
      <c r="P111" s="339">
        <f t="shared" si="27"/>
        <v>1422.5807558008969</v>
      </c>
      <c r="Q111" s="296">
        <f t="shared" si="27"/>
        <v>72551.618545845733</v>
      </c>
      <c r="R111" s="297">
        <f t="shared" si="27"/>
        <v>72551.618545845733</v>
      </c>
      <c r="S111" s="209">
        <f t="shared" si="27"/>
        <v>71343.541116108638</v>
      </c>
      <c r="T111" s="210" t="str">
        <f t="shared" si="27"/>
        <v>NA</v>
      </c>
      <c r="U111" s="392" t="s">
        <v>12</v>
      </c>
    </row>
    <row r="112" spans="2:22" x14ac:dyDescent="0.25">
      <c r="B112" s="574" t="s">
        <v>101</v>
      </c>
      <c r="C112" s="213">
        <f t="shared" ref="C112:S112" si="28">C87</f>
        <v>6</v>
      </c>
      <c r="D112" s="214">
        <f t="shared" si="28"/>
        <v>21</v>
      </c>
      <c r="E112" s="214">
        <f t="shared" si="28"/>
        <v>3.2</v>
      </c>
      <c r="F112" s="214">
        <f t="shared" si="28"/>
        <v>1.3</v>
      </c>
      <c r="G112" s="214">
        <f t="shared" si="28"/>
        <v>1</v>
      </c>
      <c r="H112" s="214">
        <f t="shared" si="28"/>
        <v>0</v>
      </c>
      <c r="I112" s="215">
        <f t="shared" si="28"/>
        <v>32.5</v>
      </c>
      <c r="J112" s="336" t="str">
        <f t="shared" si="28"/>
        <v>NA</v>
      </c>
      <c r="K112" s="337">
        <f t="shared" si="28"/>
        <v>1957.5</v>
      </c>
      <c r="L112" s="294">
        <f t="shared" si="28"/>
        <v>1237.5</v>
      </c>
      <c r="M112" s="216" t="str">
        <f t="shared" si="28"/>
        <v>NA</v>
      </c>
      <c r="N112" s="217">
        <f t="shared" si="28"/>
        <v>1957.5</v>
      </c>
      <c r="O112" s="215">
        <f t="shared" si="28"/>
        <v>1237.5</v>
      </c>
      <c r="P112" s="336" t="str">
        <f t="shared" si="28"/>
        <v>NA</v>
      </c>
      <c r="Q112" s="337">
        <f t="shared" si="28"/>
        <v>1957.5</v>
      </c>
      <c r="R112" s="294">
        <f t="shared" si="28"/>
        <v>1237.5</v>
      </c>
      <c r="S112" s="215">
        <f t="shared" si="28"/>
        <v>1237.5</v>
      </c>
      <c r="T112" s="136" t="s">
        <v>12</v>
      </c>
      <c r="U112" s="147" t="s">
        <v>12</v>
      </c>
    </row>
    <row r="113" spans="2:21" ht="13.8" thickBot="1" x14ac:dyDescent="0.3">
      <c r="B113" s="573" t="s">
        <v>76</v>
      </c>
      <c r="C113" s="207">
        <f t="shared" ref="C113:S113" si="29">C88</f>
        <v>170</v>
      </c>
      <c r="D113" s="208">
        <f t="shared" si="29"/>
        <v>857</v>
      </c>
      <c r="E113" s="208">
        <f t="shared" si="29"/>
        <v>141</v>
      </c>
      <c r="F113" s="208">
        <f t="shared" si="29"/>
        <v>64</v>
      </c>
      <c r="G113" s="208">
        <f t="shared" si="29"/>
        <v>55</v>
      </c>
      <c r="H113" s="208">
        <f t="shared" si="29"/>
        <v>0</v>
      </c>
      <c r="I113" s="209">
        <f t="shared" si="29"/>
        <v>1287</v>
      </c>
      <c r="J113" s="332">
        <f t="shared" si="29"/>
        <v>1738.481979199616</v>
      </c>
      <c r="K113" s="338">
        <f t="shared" si="29"/>
        <v>105326.07254400285</v>
      </c>
      <c r="L113" s="297">
        <f t="shared" si="29"/>
        <v>65612.498193988315</v>
      </c>
      <c r="M113" s="211">
        <f t="shared" si="29"/>
        <v>1785.9645140507178</v>
      </c>
      <c r="N113" s="219">
        <f t="shared" si="29"/>
        <v>108202.80579182332</v>
      </c>
      <c r="O113" s="209">
        <f t="shared" si="29"/>
        <v>67404.548827494582</v>
      </c>
      <c r="P113" s="332">
        <f t="shared" si="29"/>
        <v>1807.3656788901819</v>
      </c>
      <c r="Q113" s="338">
        <f t="shared" si="29"/>
        <v>109499.39710963803</v>
      </c>
      <c r="R113" s="297">
        <f t="shared" si="29"/>
        <v>68212.255727065116</v>
      </c>
      <c r="S113" s="209">
        <f t="shared" si="29"/>
        <v>67076.434249516009</v>
      </c>
      <c r="T113" s="209">
        <f>T88</f>
        <v>0</v>
      </c>
      <c r="U113" s="392" t="s">
        <v>12</v>
      </c>
    </row>
    <row r="114" spans="2:21" x14ac:dyDescent="0.25">
      <c r="B114" s="574" t="s">
        <v>102</v>
      </c>
      <c r="C114" s="197">
        <f t="shared" ref="C114:S114" si="30">C97</f>
        <v>0</v>
      </c>
      <c r="D114" s="25">
        <f t="shared" si="30"/>
        <v>0</v>
      </c>
      <c r="E114" s="25">
        <f t="shared" si="30"/>
        <v>0</v>
      </c>
      <c r="F114" s="25">
        <f t="shared" si="30"/>
        <v>5</v>
      </c>
      <c r="G114" s="25">
        <f t="shared" si="30"/>
        <v>5</v>
      </c>
      <c r="H114" s="25">
        <f t="shared" si="30"/>
        <v>0</v>
      </c>
      <c r="I114" s="198">
        <f t="shared" si="30"/>
        <v>10</v>
      </c>
      <c r="J114" s="333" t="str">
        <f t="shared" si="30"/>
        <v>NA</v>
      </c>
      <c r="K114" s="334">
        <f t="shared" si="30"/>
        <v>510</v>
      </c>
      <c r="L114" s="335">
        <f t="shared" si="30"/>
        <v>510</v>
      </c>
      <c r="M114" s="199" t="str">
        <f t="shared" si="30"/>
        <v>NA</v>
      </c>
      <c r="N114" s="25">
        <f t="shared" si="30"/>
        <v>510</v>
      </c>
      <c r="O114" s="198">
        <f t="shared" si="30"/>
        <v>510</v>
      </c>
      <c r="P114" s="333" t="str">
        <f t="shared" si="30"/>
        <v>NA</v>
      </c>
      <c r="Q114" s="334">
        <f t="shared" si="30"/>
        <v>510</v>
      </c>
      <c r="R114" s="335">
        <f t="shared" si="30"/>
        <v>510</v>
      </c>
      <c r="S114" s="198">
        <f t="shared" si="30"/>
        <v>510</v>
      </c>
      <c r="T114" s="136" t="s">
        <v>12</v>
      </c>
      <c r="U114" s="147" t="s">
        <v>12</v>
      </c>
    </row>
    <row r="115" spans="2:21" ht="13.8" thickBot="1" x14ac:dyDescent="0.3">
      <c r="B115" s="578" t="s">
        <v>76</v>
      </c>
      <c r="C115" s="220">
        <f t="shared" ref="C115:S115" si="31">C98</f>
        <v>0</v>
      </c>
      <c r="D115" s="221">
        <f t="shared" si="31"/>
        <v>0</v>
      </c>
      <c r="E115" s="221">
        <f t="shared" si="31"/>
        <v>0</v>
      </c>
      <c r="F115" s="221">
        <f t="shared" si="31"/>
        <v>247</v>
      </c>
      <c r="G115" s="221">
        <f t="shared" si="31"/>
        <v>277</v>
      </c>
      <c r="H115" s="221">
        <f t="shared" si="31"/>
        <v>0</v>
      </c>
      <c r="I115" s="222">
        <f t="shared" si="31"/>
        <v>524</v>
      </c>
      <c r="J115" s="304">
        <f t="shared" si="31"/>
        <v>707.82016868733399</v>
      </c>
      <c r="K115" s="305">
        <f t="shared" si="31"/>
        <v>36098.828603054033</v>
      </c>
      <c r="L115" s="306">
        <f t="shared" si="31"/>
        <v>36098.828603054033</v>
      </c>
      <c r="M115" s="220">
        <f t="shared" si="31"/>
        <v>727.15260711932876</v>
      </c>
      <c r="N115" s="221">
        <f t="shared" si="31"/>
        <v>37084.782963085767</v>
      </c>
      <c r="O115" s="222">
        <f t="shared" si="31"/>
        <v>37084.782963085767</v>
      </c>
      <c r="P115" s="311">
        <f t="shared" si="31"/>
        <v>735.86605729483711</v>
      </c>
      <c r="Q115" s="305">
        <f t="shared" si="31"/>
        <v>37529.168922036697</v>
      </c>
      <c r="R115" s="306">
        <f t="shared" si="31"/>
        <v>37529.168922036697</v>
      </c>
      <c r="S115" s="222">
        <f t="shared" si="31"/>
        <v>36904.260162725499</v>
      </c>
      <c r="T115" s="223" t="str">
        <f>T98</f>
        <v>NA</v>
      </c>
      <c r="U115" s="224" t="s">
        <v>12</v>
      </c>
    </row>
    <row r="116" spans="2:21" ht="18" thickTop="1" x14ac:dyDescent="0.3">
      <c r="B116" s="579" t="s">
        <v>13</v>
      </c>
      <c r="C116" s="183" t="s">
        <v>45</v>
      </c>
      <c r="D116" s="108" t="s">
        <v>46</v>
      </c>
      <c r="E116" s="107" t="s">
        <v>47</v>
      </c>
      <c r="F116" s="107" t="s">
        <v>48</v>
      </c>
      <c r="G116" s="107" t="s">
        <v>49</v>
      </c>
      <c r="H116" s="107" t="s">
        <v>50</v>
      </c>
      <c r="I116" s="109" t="s">
        <v>13</v>
      </c>
      <c r="J116" s="110" t="s">
        <v>56</v>
      </c>
      <c r="K116" s="108" t="s">
        <v>13</v>
      </c>
      <c r="L116" s="111" t="s">
        <v>68</v>
      </c>
      <c r="M116" s="110" t="s">
        <v>56</v>
      </c>
      <c r="N116" s="108" t="s">
        <v>13</v>
      </c>
      <c r="O116" s="111" t="s">
        <v>68</v>
      </c>
      <c r="P116" s="110" t="s">
        <v>56</v>
      </c>
      <c r="Q116" s="108" t="s">
        <v>13</v>
      </c>
      <c r="R116" s="111" t="s">
        <v>68</v>
      </c>
      <c r="S116" s="111"/>
      <c r="T116" s="37"/>
      <c r="U116" s="138"/>
    </row>
    <row r="117" spans="2:21" x14ac:dyDescent="0.25">
      <c r="B117" s="580" t="s">
        <v>75</v>
      </c>
      <c r="C117" s="195">
        <f t="shared" ref="C117:I118" si="32">C102+C104+C106+C108+C110+C112+C114</f>
        <v>14</v>
      </c>
      <c r="D117" s="101">
        <f t="shared" si="32"/>
        <v>81</v>
      </c>
      <c r="E117" s="101">
        <f t="shared" si="32"/>
        <v>69.2</v>
      </c>
      <c r="F117" s="101">
        <f t="shared" si="32"/>
        <v>30.3</v>
      </c>
      <c r="G117" s="101">
        <f t="shared" si="32"/>
        <v>11</v>
      </c>
      <c r="H117" s="101">
        <f t="shared" si="32"/>
        <v>5</v>
      </c>
      <c r="I117" s="102">
        <f t="shared" si="32"/>
        <v>210.5</v>
      </c>
      <c r="J117" s="340" t="s">
        <v>12</v>
      </c>
      <c r="K117" s="281">
        <f>K102+K104+K106+K108+K110+K114</f>
        <v>9678</v>
      </c>
      <c r="L117" s="289">
        <f>L102+L104+L106+L108+L110+L112+L114</f>
        <v>8608.9285714285725</v>
      </c>
      <c r="M117" s="103" t="s">
        <v>12</v>
      </c>
      <c r="N117" s="101">
        <f>N102+N104+N106+N108+N110+N114</f>
        <v>9678</v>
      </c>
      <c r="O117" s="102">
        <f>O102+O104+O106+O108+O110+O112+O114</f>
        <v>8608.9285714285725</v>
      </c>
      <c r="P117" s="340" t="s">
        <v>12</v>
      </c>
      <c r="Q117" s="281">
        <f>Q102+Q104+Q106+Q108+Q110+Q114</f>
        <v>9678</v>
      </c>
      <c r="R117" s="289">
        <f>R102+R104+R106+R108+R110+R112+R114</f>
        <v>8608.9285714285725</v>
      </c>
      <c r="S117" s="174">
        <f>S102+S104+S106+S108+S110+S112+S114</f>
        <v>8608.9285714285725</v>
      </c>
      <c r="T117" s="102"/>
      <c r="U117" s="140" t="s">
        <v>12</v>
      </c>
    </row>
    <row r="118" spans="2:21" s="235" customFormat="1" ht="16.2" thickBot="1" x14ac:dyDescent="0.35">
      <c r="B118" s="581" t="s">
        <v>76</v>
      </c>
      <c r="C118" s="582">
        <f t="shared" si="32"/>
        <v>397</v>
      </c>
      <c r="D118" s="583">
        <f t="shared" si="32"/>
        <v>2113</v>
      </c>
      <c r="E118" s="583">
        <f t="shared" si="32"/>
        <v>465</v>
      </c>
      <c r="F118" s="583">
        <f t="shared" si="32"/>
        <v>1493</v>
      </c>
      <c r="G118" s="583">
        <f t="shared" si="32"/>
        <v>609</v>
      </c>
      <c r="H118" s="583">
        <f t="shared" si="32"/>
        <v>293</v>
      </c>
      <c r="I118" s="584">
        <f t="shared" si="32"/>
        <v>9603</v>
      </c>
      <c r="J118" s="585">
        <f>J103+J105+J107+J109+J111+J113+J115</f>
        <v>15349.161406095756</v>
      </c>
      <c r="K118" s="586">
        <f>K103+K105+K107+K109+K111+K115</f>
        <v>696438.3123106939</v>
      </c>
      <c r="L118" s="587">
        <f>L103+L105+L107+L109+L111+L113+L115</f>
        <v>699726.54995366884</v>
      </c>
      <c r="M118" s="582">
        <f>M103+M105+M107+M109+M111+M113+M115</f>
        <v>13326.042912532279</v>
      </c>
      <c r="N118" s="588">
        <f>N103+N105+N107+N109+N111+N115</f>
        <v>601516.17880223808</v>
      </c>
      <c r="O118" s="584">
        <f>O103+O105+O107+O109+O111+O113+O115</f>
        <v>604894.22690074227</v>
      </c>
      <c r="P118" s="589">
        <f>P103+P105+P107+P109+P111+P113+P115</f>
        <v>15957.33971191075</v>
      </c>
      <c r="Q118" s="586">
        <f>Q103+Q105+Q107+Q109+Q111+Q115</f>
        <v>724033.21874757309</v>
      </c>
      <c r="R118" s="587">
        <f>R103+R105+R107+R109+R111+R113+R115</f>
        <v>727451.74590578047</v>
      </c>
      <c r="S118" s="590">
        <f>S103+S105+S107+S109+S111+S113+S115</f>
        <v>518190.71099714114</v>
      </c>
      <c r="T118" s="584">
        <f>SUM(T103,T105,T107,T109,T111,T113,T115)</f>
        <v>42256.786445868893</v>
      </c>
      <c r="U118" s="591">
        <f>SUM(U103,U105,U107,U109,U111,U113,U115)</f>
        <v>154891.24460336941</v>
      </c>
    </row>
  </sheetData>
  <mergeCells count="35">
    <mergeCell ref="Q91:R91"/>
    <mergeCell ref="Q33:R33"/>
    <mergeCell ref="Q45:R45"/>
    <mergeCell ref="Q57:R57"/>
    <mergeCell ref="Q84:R84"/>
    <mergeCell ref="Q72:R72"/>
    <mergeCell ref="G71:I71"/>
    <mergeCell ref="N84:O84"/>
    <mergeCell ref="K91:L91"/>
    <mergeCell ref="N33:O33"/>
    <mergeCell ref="N45:O45"/>
    <mergeCell ref="N72:O72"/>
    <mergeCell ref="N91:O91"/>
    <mergeCell ref="N57:O57"/>
    <mergeCell ref="K33:L33"/>
    <mergeCell ref="G90:I90"/>
    <mergeCell ref="K72:L72"/>
    <mergeCell ref="K57:L57"/>
    <mergeCell ref="G56:I56"/>
    <mergeCell ref="G33:I33"/>
    <mergeCell ref="K45:L45"/>
    <mergeCell ref="G18:I18"/>
    <mergeCell ref="G32:I32"/>
    <mergeCell ref="G45:I45"/>
    <mergeCell ref="G44:I44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disablePrompts="1" count="1">
    <dataValidation allowBlank="1" showInputMessage="1" showErrorMessage="1" sqref="D35:D37 D21 B37" xr:uid="{00000000-0002-0000-09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0"/>
  <sheetViews>
    <sheetView workbookViewId="0">
      <selection activeCell="G1" sqref="G1"/>
    </sheetView>
  </sheetViews>
  <sheetFormatPr defaultRowHeight="13.2" x14ac:dyDescent="0.25"/>
  <cols>
    <col min="1" max="1" width="1.109375" customWidth="1"/>
    <col min="2" max="2" width="31.44140625" customWidth="1"/>
    <col min="3" max="3" width="16.5546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  <col min="22" max="22" width="4.6640625" customWidth="1"/>
  </cols>
  <sheetData>
    <row r="1" spans="1:21" ht="13.8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644" t="s">
        <v>369</v>
      </c>
      <c r="D2" s="5"/>
      <c r="E2" s="1359" t="s">
        <v>31</v>
      </c>
      <c r="F2" s="1454">
        <v>43331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1359" t="s">
        <v>59</v>
      </c>
      <c r="J3" s="177"/>
      <c r="K3" s="426"/>
      <c r="L3" s="1362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39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371</v>
      </c>
      <c r="L4" s="20">
        <v>43</v>
      </c>
      <c r="M4" s="1359" t="s">
        <v>71</v>
      </c>
      <c r="N4" s="431" t="s">
        <v>69</v>
      </c>
      <c r="O4" s="20">
        <v>43</v>
      </c>
      <c r="P4" s="425" t="s">
        <v>71</v>
      </c>
      <c r="Q4" s="429" t="s">
        <v>69</v>
      </c>
      <c r="R4" s="20">
        <v>43</v>
      </c>
      <c r="S4" s="115" t="s">
        <v>69</v>
      </c>
      <c r="T4" s="106">
        <f>AVERAGE(L4,O4,R4)</f>
        <v>43</v>
      </c>
      <c r="U4" s="37"/>
    </row>
    <row r="5" spans="1:21" ht="13.8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630">
        <v>39</v>
      </c>
      <c r="K5" s="342" t="s">
        <v>372</v>
      </c>
      <c r="L5" s="343">
        <v>0</v>
      </c>
      <c r="M5" s="631">
        <v>39</v>
      </c>
      <c r="N5" s="344" t="s">
        <v>372</v>
      </c>
      <c r="O5" s="345">
        <v>0</v>
      </c>
      <c r="P5" s="630">
        <v>39</v>
      </c>
      <c r="Q5" s="342" t="s">
        <v>372</v>
      </c>
      <c r="R5" s="343">
        <v>0</v>
      </c>
      <c r="S5" s="237" t="s">
        <v>372</v>
      </c>
      <c r="T5" s="238">
        <f>AVERAGE(L5,O5,R5)</f>
        <v>0</v>
      </c>
      <c r="U5" s="37"/>
    </row>
    <row r="6" spans="1:21" ht="28.2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1363" t="s">
        <v>55</v>
      </c>
      <c r="N8" s="1432" t="s">
        <v>57</v>
      </c>
      <c r="O8" s="1433"/>
      <c r="P8" s="1366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1360" t="s">
        <v>45</v>
      </c>
      <c r="D9" s="1367" t="s">
        <v>46</v>
      </c>
      <c r="E9" s="1360" t="s">
        <v>47</v>
      </c>
      <c r="F9" s="1360" t="s">
        <v>48</v>
      </c>
      <c r="G9" s="1360" t="s">
        <v>49</v>
      </c>
      <c r="H9" s="1360" t="s">
        <v>50</v>
      </c>
      <c r="I9" s="47" t="s">
        <v>13</v>
      </c>
      <c r="J9" s="260" t="s">
        <v>56</v>
      </c>
      <c r="K9" s="1364" t="s">
        <v>13</v>
      </c>
      <c r="L9" s="1365" t="s">
        <v>68</v>
      </c>
      <c r="M9" s="77" t="s">
        <v>56</v>
      </c>
      <c r="N9" s="1367" t="s">
        <v>13</v>
      </c>
      <c r="O9" s="1368" t="s">
        <v>68</v>
      </c>
      <c r="P9" s="1364" t="s">
        <v>56</v>
      </c>
      <c r="Q9" s="1364" t="s">
        <v>13</v>
      </c>
      <c r="R9" s="1365" t="s">
        <v>68</v>
      </c>
      <c r="S9" s="123"/>
      <c r="T9" s="1369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1170</v>
      </c>
      <c r="L10" s="265">
        <f>K10/$E$7</f>
        <v>234</v>
      </c>
      <c r="M10" s="58" t="s">
        <v>12</v>
      </c>
      <c r="N10" s="432">
        <f>I10*$M$5</f>
        <v>1170</v>
      </c>
      <c r="O10" s="68">
        <f>N10/$E$7</f>
        <v>234</v>
      </c>
      <c r="P10" s="263" t="s">
        <v>12</v>
      </c>
      <c r="Q10" s="433">
        <f>$I10*$M$5</f>
        <v>1170</v>
      </c>
      <c r="R10" s="289">
        <f>Q10/$E$7</f>
        <v>234</v>
      </c>
      <c r="S10" s="121">
        <f>AVERAGE(L10,O10,R10)</f>
        <v>234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1360">
        <f>ROUND(D10*Labor!$D$4,0)</f>
        <v>0</v>
      </c>
      <c r="E11" s="1360">
        <f>ROUND(E10*Labor!$D$5,0)</f>
        <v>0</v>
      </c>
      <c r="F11" s="1360">
        <f>ROUND(F10*Labor!$D$6,0)</f>
        <v>493</v>
      </c>
      <c r="G11" s="1360">
        <f>ROUND(G10*Labor!$D$7,0)</f>
        <v>555</v>
      </c>
      <c r="H11" s="1360">
        <f>ROUND(H10*Labor!$D$8,0)</f>
        <v>586</v>
      </c>
      <c r="I11" s="382">
        <f>SUM(C11:H11)</f>
        <v>1634</v>
      </c>
      <c r="J11" s="383">
        <f>HLOOKUP(Labor!$B$11,InflationTable,2)*$I11</f>
        <v>2207.210220677679</v>
      </c>
      <c r="K11" s="384">
        <f>J11*$J$5</f>
        <v>86081.198606429476</v>
      </c>
      <c r="L11" s="385">
        <f>K11/$E$7</f>
        <v>17216.239721285896</v>
      </c>
      <c r="M11" s="386">
        <f>HLOOKUP(Labor!$B$11,InflationTable,3)*$I11</f>
        <v>2267.4949618950059</v>
      </c>
      <c r="N11" s="387">
        <f>M11*$J$5</f>
        <v>88432.303513905223</v>
      </c>
      <c r="O11" s="388">
        <f>N11/$E$7</f>
        <v>17686.460702781045</v>
      </c>
      <c r="P11" s="383">
        <f>HLOOKUP(Labor!$B$11,InflationTable,4)*$I11</f>
        <v>2294.6662931674882</v>
      </c>
      <c r="Q11" s="384">
        <f>P11*$J$5</f>
        <v>89491.985433532041</v>
      </c>
      <c r="R11" s="385">
        <f>Q11/$E$7</f>
        <v>17898.397086706409</v>
      </c>
      <c r="S11" s="379">
        <f>AVERAGE(L11,O11,R11)</f>
        <v>17600.365836924451</v>
      </c>
      <c r="T11" s="380" t="s">
        <v>12</v>
      </c>
      <c r="U11" s="380" t="s">
        <v>12</v>
      </c>
    </row>
    <row r="12" spans="1:21" x14ac:dyDescent="0.25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 x14ac:dyDescent="0.25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312</v>
      </c>
      <c r="L13" s="265">
        <f>K13/$E$7</f>
        <v>62.4</v>
      </c>
      <c r="M13" s="58" t="s">
        <v>12</v>
      </c>
      <c r="N13" s="60">
        <f>I13*$M$5</f>
        <v>312</v>
      </c>
      <c r="O13" s="59">
        <f>N13/$E$7</f>
        <v>62.4</v>
      </c>
      <c r="P13" s="263" t="s">
        <v>12</v>
      </c>
      <c r="Q13" s="291">
        <f>$I13*$P$5</f>
        <v>312</v>
      </c>
      <c r="R13" s="282">
        <f>Q13/$E$7</f>
        <v>62.4</v>
      </c>
      <c r="S13" s="121">
        <f>AVERAGE(L13,O13,R13)</f>
        <v>62.4</v>
      </c>
      <c r="T13" s="119" t="s">
        <v>12</v>
      </c>
      <c r="U13" s="119" t="s">
        <v>12</v>
      </c>
    </row>
    <row r="14" spans="1:21" s="1" customFormat="1" ht="13.8" thickBot="1" x14ac:dyDescent="0.3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565.98597458013921</v>
      </c>
      <c r="K14" s="296">
        <f>J14*$J$5</f>
        <v>22073.453008625431</v>
      </c>
      <c r="L14" s="297">
        <f>K14/$E$7</f>
        <v>4414.6906017250858</v>
      </c>
      <c r="M14" s="376">
        <f>HLOOKUP(Labor!$B$11,InflationTable,3)*I14</f>
        <v>581.44454653244031</v>
      </c>
      <c r="N14" s="377">
        <f>M14*$J$5</f>
        <v>22676.337314765173</v>
      </c>
      <c r="O14" s="378">
        <f>N14/$E$7</f>
        <v>4535.2674629530347</v>
      </c>
      <c r="P14" s="339">
        <f>HLOOKUP(Labor!$B$11,InflationTable,4)*I14</f>
        <v>588.41198092850516</v>
      </c>
      <c r="Q14" s="296">
        <f>P14*$J$5</f>
        <v>22948.0672562117</v>
      </c>
      <c r="R14" s="297">
        <f>Q14/$E$7</f>
        <v>4589.6134512423396</v>
      </c>
      <c r="S14" s="379">
        <f>AVERAGE(L14,O14,R14)</f>
        <v>4513.1905053068203</v>
      </c>
      <c r="T14" s="380" t="s">
        <v>12</v>
      </c>
      <c r="U14" s="380" t="s">
        <v>12</v>
      </c>
    </row>
    <row r="15" spans="1:21" x14ac:dyDescent="0.25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1482</v>
      </c>
      <c r="L15" s="273">
        <f>L10+L13</f>
        <v>296.39999999999998</v>
      </c>
      <c r="M15" s="61" t="s">
        <v>12</v>
      </c>
      <c r="N15" s="426">
        <f>I15*$M$5</f>
        <v>1482</v>
      </c>
      <c r="O15" s="62">
        <f>N15/$E$7</f>
        <v>296.39999999999998</v>
      </c>
      <c r="P15" s="293" t="s">
        <v>12</v>
      </c>
      <c r="Q15" s="433">
        <f>$I15*$P$5</f>
        <v>1482</v>
      </c>
      <c r="R15" s="294">
        <f>Q15/$E$7</f>
        <v>296.39999999999998</v>
      </c>
      <c r="S15" s="121">
        <f>AVERAGE(L15,O15,R15)</f>
        <v>296.39999999999998</v>
      </c>
      <c r="T15" s="119" t="s">
        <v>12</v>
      </c>
      <c r="U15" s="119" t="s">
        <v>12</v>
      </c>
    </row>
    <row r="16" spans="1:21" ht="13.8" thickBot="1" x14ac:dyDescent="0.3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2773.1961952578181</v>
      </c>
      <c r="K16" s="275">
        <f>K11+K14</f>
        <v>108154.6516150549</v>
      </c>
      <c r="L16" s="276">
        <f>L11+L14</f>
        <v>21630.93032301098</v>
      </c>
      <c r="M16" s="242">
        <f>M11+M14</f>
        <v>2848.9395084274461</v>
      </c>
      <c r="N16" s="240">
        <f>N11+N14</f>
        <v>111108.6408286704</v>
      </c>
      <c r="O16" s="243">
        <f>O11+O14</f>
        <v>22221.728165734079</v>
      </c>
      <c r="P16" s="295">
        <f>P11+P14</f>
        <v>2883.0782740959935</v>
      </c>
      <c r="Q16" s="296">
        <f>P16*$P$5</f>
        <v>112440.05268974375</v>
      </c>
      <c r="R16" s="297">
        <f>Q16/$E$7</f>
        <v>22488.01053794875</v>
      </c>
      <c r="S16" s="211">
        <f>AVERAGE(L16,O16,R16)</f>
        <v>22113.55634223127</v>
      </c>
      <c r="T16" s="218" t="s">
        <v>12</v>
      </c>
      <c r="U16" s="218" t="s">
        <v>12</v>
      </c>
    </row>
    <row r="17" spans="1:21" ht="14.4" thickTop="1" thickBot="1" x14ac:dyDescent="0.3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2" thickTop="1" x14ac:dyDescent="0.3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5"/>
      <c r="H18" s="1416"/>
      <c r="I18" s="1417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 x14ac:dyDescent="0.25">
      <c r="A19" s="615"/>
      <c r="B19" s="5"/>
      <c r="C19" s="107" t="s">
        <v>60</v>
      </c>
      <c r="D19" s="1360" t="s">
        <v>62</v>
      </c>
      <c r="E19" s="5"/>
      <c r="F19" s="5"/>
      <c r="G19" s="5"/>
      <c r="H19" s="6"/>
      <c r="I19" s="43"/>
      <c r="J19" s="1366" t="s">
        <v>61</v>
      </c>
      <c r="K19" s="1422" t="s">
        <v>57</v>
      </c>
      <c r="L19" s="1423"/>
      <c r="M19" s="93" t="s">
        <v>61</v>
      </c>
      <c r="N19" s="1432" t="s">
        <v>57</v>
      </c>
      <c r="O19" s="1433"/>
      <c r="P19" s="1365" t="s">
        <v>61</v>
      </c>
      <c r="Q19" s="1422" t="s">
        <v>57</v>
      </c>
      <c r="R19" s="1423"/>
      <c r="S19" s="131"/>
      <c r="T19" s="37"/>
      <c r="U19" s="138"/>
    </row>
    <row r="20" spans="1:21" x14ac:dyDescent="0.25">
      <c r="A20" s="615"/>
      <c r="B20" s="607" t="s">
        <v>58</v>
      </c>
      <c r="C20" s="1360"/>
      <c r="D20" s="1360"/>
      <c r="E20" s="9"/>
      <c r="F20" s="72"/>
      <c r="G20" s="72"/>
      <c r="H20" s="72"/>
      <c r="I20" s="73"/>
      <c r="J20" s="260" t="s">
        <v>56</v>
      </c>
      <c r="K20" s="1364" t="s">
        <v>13</v>
      </c>
      <c r="L20" s="1365" t="s">
        <v>68</v>
      </c>
      <c r="M20" s="77" t="s">
        <v>56</v>
      </c>
      <c r="N20" s="1367" t="s">
        <v>13</v>
      </c>
      <c r="O20" s="1368" t="s">
        <v>68</v>
      </c>
      <c r="P20" s="260" t="s">
        <v>56</v>
      </c>
      <c r="Q20" s="1364" t="s">
        <v>13</v>
      </c>
      <c r="R20" s="1365" t="s">
        <v>68</v>
      </c>
      <c r="S20" s="123"/>
      <c r="T20" s="37"/>
      <c r="U20" s="138"/>
    </row>
    <row r="21" spans="1:21" x14ac:dyDescent="0.25">
      <c r="A21" s="615"/>
      <c r="B21" s="608" t="s">
        <v>14</v>
      </c>
      <c r="C21" s="163">
        <f>VLOOKUP(C$2,Monitor_Costs,2,FALSE)</f>
        <v>100000</v>
      </c>
      <c r="D21" s="22">
        <f>VLOOKUP(C$2,Monitor_Costs,3,FALSE)</f>
        <v>2019</v>
      </c>
      <c r="E21" s="74"/>
      <c r="F21" s="75"/>
      <c r="G21" s="76"/>
      <c r="H21" s="76"/>
      <c r="I21" s="37"/>
      <c r="J21" s="279">
        <f>HLOOKUP(D21,InflationTable,2)*$C$21</f>
        <v>135080.18486399503</v>
      </c>
      <c r="K21" s="279">
        <f>J21*$L$4</f>
        <v>5808447.949151786</v>
      </c>
      <c r="L21" s="280">
        <f>K21/$E$18</f>
        <v>1161689.5898303571</v>
      </c>
      <c r="M21" s="78">
        <f>HLOOKUP($D$21,InflationTable,3)*$C$21</f>
        <v>138769.58151132229</v>
      </c>
      <c r="N21" s="27">
        <f>M21*$L$4</f>
        <v>5967092.0049868589</v>
      </c>
      <c r="O21" s="182">
        <f>N21/$E$18</f>
        <v>1193418.4009973719</v>
      </c>
      <c r="P21" s="298">
        <f>HLOOKUP($D$21,InflationTable,4)*$C$21</f>
        <v>140432.4536822208</v>
      </c>
      <c r="Q21" s="279">
        <f>P21*$R$4</f>
        <v>6038595.5083354944</v>
      </c>
      <c r="R21" s="280">
        <f>Q21/$E$18</f>
        <v>1207719.1016670989</v>
      </c>
      <c r="S21" s="127" t="s">
        <v>12</v>
      </c>
      <c r="T21" s="119" t="s">
        <v>12</v>
      </c>
      <c r="U21" s="139">
        <f>AVERAGE(L21,O21,R21)</f>
        <v>1187609.0308316092</v>
      </c>
    </row>
    <row r="22" spans="1:21" x14ac:dyDescent="0.25">
      <c r="A22" s="615"/>
      <c r="B22" s="728" t="s">
        <v>373</v>
      </c>
      <c r="C22" s="163">
        <f>VLOOKUP(C$2,Monitor_Costs,4,FALSE)</f>
        <v>16000</v>
      </c>
      <c r="D22" s="22">
        <f>VLOOKUP(C$2,Monitor_Costs,3,FALSE)</f>
        <v>2019</v>
      </c>
      <c r="E22" s="5"/>
      <c r="F22" s="7"/>
      <c r="G22" s="5"/>
      <c r="H22" s="5"/>
      <c r="I22" s="37"/>
      <c r="J22" s="279">
        <f>HLOOKUP(D22,InflationTable,2)*$C$22</f>
        <v>21612.829578239209</v>
      </c>
      <c r="K22" s="279">
        <f>J22*$L$5</f>
        <v>0</v>
      </c>
      <c r="L22" s="280">
        <f>K22/$E$18</f>
        <v>0</v>
      </c>
      <c r="M22" s="78">
        <f>HLOOKUP($D$21,InflationTable,3)*$C$22</f>
        <v>22203.133041811565</v>
      </c>
      <c r="N22" s="27">
        <f>M22*$L$4</f>
        <v>954734.72079789732</v>
      </c>
      <c r="O22" s="182">
        <f>N22/$E$18</f>
        <v>190946.94415957946</v>
      </c>
      <c r="P22" s="298">
        <f>HLOOKUP($D$21,InflationTable,4)*$C$22</f>
        <v>22469.192589155329</v>
      </c>
      <c r="Q22" s="279">
        <f>P22*$R$4</f>
        <v>966175.2813336791</v>
      </c>
      <c r="R22" s="280">
        <f>Q22/$E$18</f>
        <v>193235.05626673583</v>
      </c>
      <c r="S22" s="1370"/>
      <c r="T22" s="1371"/>
      <c r="U22" s="139">
        <f>AVERAGE(L22,O22,R22)</f>
        <v>128060.66680877177</v>
      </c>
    </row>
    <row r="23" spans="1:21" ht="13.8" thickBot="1" x14ac:dyDescent="0.3">
      <c r="A23" s="615"/>
      <c r="B23" s="609" t="s">
        <v>370</v>
      </c>
      <c r="C23" s="163">
        <f>VLOOKUP(C$2,Monitor_Costs,11,FALSE)</f>
        <v>5667</v>
      </c>
      <c r="D23" s="22">
        <f>VLOOKUP(C$2,Monitor_Costs,3,FALSE)</f>
        <v>2019</v>
      </c>
      <c r="E23" s="4"/>
      <c r="F23" s="12"/>
      <c r="G23" s="4"/>
      <c r="H23" s="4"/>
      <c r="I23" s="368"/>
      <c r="J23" s="279">
        <f>HLOOKUP(D23,InflationTable,2)*$C$23</f>
        <v>7654.9940762425995</v>
      </c>
      <c r="K23" s="355">
        <f>+J23*L4</f>
        <v>329164.7452784318</v>
      </c>
      <c r="L23" s="308">
        <f>K23/$E$18</f>
        <v>65832.94905568636</v>
      </c>
      <c r="M23" s="78">
        <f>HLOOKUP($D$21,InflationTable,3)*$C$23</f>
        <v>7864.0721842466337</v>
      </c>
      <c r="N23" s="104">
        <f>M23*$L$4</f>
        <v>338155.10392260522</v>
      </c>
      <c r="O23" s="370">
        <f>N23/$E$18</f>
        <v>67631.020784521039</v>
      </c>
      <c r="P23" s="298">
        <f>HLOOKUP($D$21,InflationTable,4)*$C$23</f>
        <v>7958.3071501714539</v>
      </c>
      <c r="Q23" s="355">
        <f>P23*$R$4</f>
        <v>342207.20745737251</v>
      </c>
      <c r="R23" s="308">
        <f>Q23/$E$18</f>
        <v>68441.441491474499</v>
      </c>
      <c r="S23" s="359" t="s">
        <v>12</v>
      </c>
      <c r="T23" s="149" t="s">
        <v>12</v>
      </c>
      <c r="U23" s="372">
        <f>AVERAGE(L23,O23,R23)</f>
        <v>67301.803777227295</v>
      </c>
    </row>
    <row r="24" spans="1:21" x14ac:dyDescent="0.25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 x14ac:dyDescent="0.25">
      <c r="A25" s="615"/>
      <c r="B25" s="611" t="s">
        <v>119</v>
      </c>
      <c r="C25" s="31">
        <v>0</v>
      </c>
      <c r="D25" s="21">
        <v>0</v>
      </c>
      <c r="E25" s="21">
        <v>0</v>
      </c>
      <c r="F25" s="21">
        <v>8</v>
      </c>
      <c r="G25" s="21">
        <v>0</v>
      </c>
      <c r="H25" s="21">
        <v>0</v>
      </c>
      <c r="I25" s="48">
        <f>SUM(C25:H25)</f>
        <v>8</v>
      </c>
      <c r="J25" s="263" t="s">
        <v>12</v>
      </c>
      <c r="K25" s="281">
        <f>I25*($L$4+$L$5)</f>
        <v>344</v>
      </c>
      <c r="L25" s="282">
        <f>K25/$E$18</f>
        <v>68.8</v>
      </c>
      <c r="M25" s="58" t="s">
        <v>12</v>
      </c>
      <c r="N25" s="69">
        <f>$I$25*($O$4+$O$5)</f>
        <v>344</v>
      </c>
      <c r="O25" s="59">
        <f>N25/$E$18</f>
        <v>68.8</v>
      </c>
      <c r="P25" s="263" t="s">
        <v>12</v>
      </c>
      <c r="Q25" s="281">
        <f>$I$25*($R$4+$R$5)</f>
        <v>344</v>
      </c>
      <c r="R25" s="282">
        <f>Q25/$E$18</f>
        <v>68.8</v>
      </c>
      <c r="S25" s="151">
        <f>AVERAGE(L25,O25,R25)</f>
        <v>68.8</v>
      </c>
      <c r="T25" s="119" t="s">
        <v>12</v>
      </c>
      <c r="U25" s="140" t="s">
        <v>12</v>
      </c>
    </row>
    <row r="26" spans="1:21" s="1" customFormat="1" ht="13.8" thickBot="1" x14ac:dyDescent="0.3">
      <c r="A26" s="616"/>
      <c r="B26" s="604" t="s">
        <v>8</v>
      </c>
      <c r="C26" s="389">
        <f>ROUND(C25*Labor!$D$3,0)</f>
        <v>0</v>
      </c>
      <c r="D26" s="374">
        <f>ROUND(D25*Labor!$D$4,0)</f>
        <v>0</v>
      </c>
      <c r="E26" s="374">
        <f>ROUND(E25*Labor!$D$5,0)</f>
        <v>0</v>
      </c>
      <c r="F26" s="374">
        <f>ROUND(F25*Labor!$D$6,0)</f>
        <v>394</v>
      </c>
      <c r="G26" s="374">
        <f>ROUND(G25*Labor!$D$7,0)</f>
        <v>0</v>
      </c>
      <c r="H26" s="374">
        <f>ROUND(H25*Labor!$D$8,0)</f>
        <v>0</v>
      </c>
      <c r="I26" s="375">
        <f>SUM(C26:H26)</f>
        <v>394</v>
      </c>
      <c r="J26" s="332">
        <f>HLOOKUP(Labor!$B$11,InflationTable,2)*I26</f>
        <v>532.2159283641405</v>
      </c>
      <c r="K26" s="296">
        <f>J26*($L$4+$L$5)</f>
        <v>22885.284919658043</v>
      </c>
      <c r="L26" s="297">
        <f>K26/$E$18</f>
        <v>4577.0569839316086</v>
      </c>
      <c r="M26" s="376">
        <f>HLOOKUP(Labor!$B$11,InflationTable,3)*$I26</f>
        <v>546.75215115460981</v>
      </c>
      <c r="N26" s="377">
        <f>M26*$L$4</f>
        <v>23510.342499648221</v>
      </c>
      <c r="O26" s="378">
        <f>N26/$E$18</f>
        <v>4702.0684999296445</v>
      </c>
      <c r="P26" s="332">
        <f>HLOOKUP(Labor!$B$11,InflationTable,4)*$I26</f>
        <v>553.30386750795003</v>
      </c>
      <c r="Q26" s="296">
        <f>P26*$L$4</f>
        <v>23792.066302841853</v>
      </c>
      <c r="R26" s="390">
        <f>Q26/$E$18</f>
        <v>4758.4132605683708</v>
      </c>
      <c r="S26" s="391">
        <f>AVERAGE(L26,O26,R26)</f>
        <v>4679.1795814765419</v>
      </c>
      <c r="T26" s="218" t="s">
        <v>12</v>
      </c>
      <c r="U26" s="392" t="s">
        <v>12</v>
      </c>
    </row>
    <row r="27" spans="1:21" x14ac:dyDescent="0.25">
      <c r="A27" s="615"/>
      <c r="B27" s="112" t="s">
        <v>118</v>
      </c>
      <c r="C27" s="346">
        <v>0</v>
      </c>
      <c r="D27" s="365">
        <v>0</v>
      </c>
      <c r="E27" s="365">
        <v>0</v>
      </c>
      <c r="F27" s="365">
        <v>10</v>
      </c>
      <c r="G27" s="365">
        <v>5</v>
      </c>
      <c r="H27" s="365">
        <v>0</v>
      </c>
      <c r="I27" s="366">
        <f>SUM(C27:H27)</f>
        <v>15</v>
      </c>
      <c r="J27" s="293" t="s">
        <v>12</v>
      </c>
      <c r="K27" s="334">
        <f>I27*$L$4</f>
        <v>645</v>
      </c>
      <c r="L27" s="294">
        <f>K27/$E$18</f>
        <v>129</v>
      </c>
      <c r="M27" s="61" t="s">
        <v>12</v>
      </c>
      <c r="N27" s="348">
        <f>I27*$O$4</f>
        <v>645</v>
      </c>
      <c r="O27" s="62">
        <f>N27/$E$18</f>
        <v>129</v>
      </c>
      <c r="P27" s="293" t="s">
        <v>12</v>
      </c>
      <c r="Q27" s="327">
        <f>$I27*$O$4</f>
        <v>645</v>
      </c>
      <c r="R27" s="367">
        <f>Q27/$E$18</f>
        <v>129</v>
      </c>
      <c r="S27" s="129">
        <f>AVERAGE(L27,O27,R27)</f>
        <v>129</v>
      </c>
      <c r="T27" s="136" t="s">
        <v>12</v>
      </c>
      <c r="U27" s="147" t="s">
        <v>12</v>
      </c>
    </row>
    <row r="28" spans="1:21" s="1" customFormat="1" ht="13.8" thickBot="1" x14ac:dyDescent="0.3">
      <c r="A28" s="616"/>
      <c r="B28" s="612" t="s">
        <v>8</v>
      </c>
      <c r="C28" s="373">
        <f>ROUND(C27*Labor!$D$3,0)</f>
        <v>0</v>
      </c>
      <c r="D28" s="374">
        <f>ROUND(D27*Labor!$D$4,0)</f>
        <v>0</v>
      </c>
      <c r="E28" s="374">
        <f>ROUND(E27*Labor!$D$5,0)</f>
        <v>0</v>
      </c>
      <c r="F28" s="374">
        <f>ROUND(F27*Labor!$D$6,0)</f>
        <v>493</v>
      </c>
      <c r="G28" s="374">
        <f>ROUND(G27*Labor!$D$7,0)</f>
        <v>277</v>
      </c>
      <c r="H28" s="374">
        <f>ROUND(H27*Labor!$D$8,0)</f>
        <v>0</v>
      </c>
      <c r="I28" s="375">
        <f>SUM(C28:H28)</f>
        <v>770</v>
      </c>
      <c r="J28" s="332">
        <f>HLOOKUP(Labor!$B$11,InflationTable,2)*I28</f>
        <v>1040.1174234527618</v>
      </c>
      <c r="K28" s="296">
        <f>J28*$L$4</f>
        <v>44725.049208468758</v>
      </c>
      <c r="L28" s="297">
        <f>K28/$E$18</f>
        <v>8945.0098416937508</v>
      </c>
      <c r="M28" s="376">
        <f>HLOOKUP(Labor!$B$11,InflationTable,3)*$I28</f>
        <v>1068.5257776371816</v>
      </c>
      <c r="N28" s="377">
        <f>M28*$O$4</f>
        <v>45946.608438398805</v>
      </c>
      <c r="O28" s="378">
        <f>N28/$E$18</f>
        <v>9189.3216876797615</v>
      </c>
      <c r="P28" s="339">
        <f>HLOOKUP(Labor!$B$11,InflationTable,4)*$I28</f>
        <v>1081.3298933531003</v>
      </c>
      <c r="Q28" s="296">
        <f>P28*$R$4</f>
        <v>46497.18541418331</v>
      </c>
      <c r="R28" s="297">
        <f>Q28/$E$18</f>
        <v>9299.4370828366627</v>
      </c>
      <c r="S28" s="211">
        <f>AVERAGE(L28,O28,R28)</f>
        <v>9144.5895374033917</v>
      </c>
      <c r="T28" s="393" t="s">
        <v>12</v>
      </c>
      <c r="U28" s="392" t="s">
        <v>12</v>
      </c>
    </row>
    <row r="29" spans="1:21" x14ac:dyDescent="0.25">
      <c r="A29" s="615"/>
      <c r="B29" s="605" t="s">
        <v>66</v>
      </c>
      <c r="C29" s="33">
        <f t="shared" ref="C29:I29" si="1">C25+C27</f>
        <v>0</v>
      </c>
      <c r="D29" s="33">
        <f t="shared" si="1"/>
        <v>0</v>
      </c>
      <c r="E29" s="33">
        <f t="shared" si="1"/>
        <v>0</v>
      </c>
      <c r="F29" s="33">
        <f t="shared" si="1"/>
        <v>18</v>
      </c>
      <c r="G29" s="33">
        <f t="shared" si="1"/>
        <v>5</v>
      </c>
      <c r="H29" s="33">
        <f t="shared" si="1"/>
        <v>0</v>
      </c>
      <c r="I29" s="49">
        <f t="shared" si="1"/>
        <v>23</v>
      </c>
      <c r="J29" s="284" t="s">
        <v>12</v>
      </c>
      <c r="K29" s="285">
        <f>K25+K27</f>
        <v>989</v>
      </c>
      <c r="L29" s="286">
        <f>L25+L27</f>
        <v>197.8</v>
      </c>
      <c r="M29" s="44" t="s">
        <v>12</v>
      </c>
      <c r="N29" s="33">
        <f>N25+N27</f>
        <v>989</v>
      </c>
      <c r="O29" s="40">
        <f>O25+O27</f>
        <v>197.8</v>
      </c>
      <c r="P29" s="284" t="s">
        <v>12</v>
      </c>
      <c r="Q29" s="285">
        <f>Q25+Q27</f>
        <v>989</v>
      </c>
      <c r="R29" s="286">
        <f>R25+R27</f>
        <v>197.8</v>
      </c>
      <c r="S29" s="175">
        <f>AVERAGE(L29,O29,R29)</f>
        <v>197.80000000000004</v>
      </c>
      <c r="T29" s="136" t="s">
        <v>12</v>
      </c>
      <c r="U29" s="147" t="s">
        <v>12</v>
      </c>
    </row>
    <row r="30" spans="1:21" ht="13.8" thickBot="1" x14ac:dyDescent="0.3">
      <c r="A30" s="615"/>
      <c r="B30" s="606" t="s">
        <v>67</v>
      </c>
      <c r="C30" s="240">
        <f t="shared" ref="C30:J30" si="2">C28+C26</f>
        <v>0</v>
      </c>
      <c r="D30" s="240">
        <f t="shared" si="2"/>
        <v>0</v>
      </c>
      <c r="E30" s="240">
        <f t="shared" si="2"/>
        <v>0</v>
      </c>
      <c r="F30" s="240">
        <f t="shared" si="2"/>
        <v>887</v>
      </c>
      <c r="G30" s="240">
        <f t="shared" si="2"/>
        <v>277</v>
      </c>
      <c r="H30" s="240">
        <f t="shared" si="2"/>
        <v>0</v>
      </c>
      <c r="I30" s="241">
        <f t="shared" si="2"/>
        <v>1164</v>
      </c>
      <c r="J30" s="274">
        <f t="shared" si="2"/>
        <v>1572.3333518169025</v>
      </c>
      <c r="K30" s="285">
        <f>K26+K28</f>
        <v>67610.334128126793</v>
      </c>
      <c r="L30" s="276">
        <f>L28+L26+L23+L21+L22</f>
        <v>1241044.6057116687</v>
      </c>
      <c r="M30" s="242">
        <f>M28+M26</f>
        <v>1615.2779287917915</v>
      </c>
      <c r="N30" s="33">
        <f>N26+N28</f>
        <v>69456.950938047026</v>
      </c>
      <c r="O30" s="243">
        <f>O28+O26+O23+O21+O22</f>
        <v>1465887.7561290818</v>
      </c>
      <c r="P30" s="274">
        <f>P28+P26</f>
        <v>1634.6337608610502</v>
      </c>
      <c r="Q30" s="285">
        <f>Q26+Q28</f>
        <v>70289.251717025167</v>
      </c>
      <c r="R30" s="276">
        <f>R28+R26+R23+R21+R22</f>
        <v>1483453.4497687141</v>
      </c>
      <c r="S30" s="248">
        <f>SUM(S28,S26)</f>
        <v>13823.769118879933</v>
      </c>
      <c r="T30" s="249" t="s">
        <v>12</v>
      </c>
      <c r="U30" s="250">
        <f>SUM(U21:U23)</f>
        <v>1382971.501417608</v>
      </c>
    </row>
    <row r="31" spans="1:21" ht="14.4" thickTop="1" thickBot="1" x14ac:dyDescent="0.3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2" thickTop="1" x14ac:dyDescent="0.3">
      <c r="A32" s="615"/>
      <c r="B32" s="613" t="s">
        <v>22</v>
      </c>
      <c r="C32" s="5"/>
      <c r="D32" s="5"/>
      <c r="E32" s="5"/>
      <c r="F32" s="112" t="s">
        <v>6</v>
      </c>
      <c r="G32" s="1415"/>
      <c r="H32" s="1416"/>
      <c r="I32" s="1417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 x14ac:dyDescent="0.25">
      <c r="A33" s="615"/>
      <c r="B33" s="5"/>
      <c r="C33" s="5"/>
      <c r="D33" s="5"/>
      <c r="E33" s="5"/>
      <c r="F33" s="112"/>
      <c r="G33" s="1418"/>
      <c r="H33" s="1418"/>
      <c r="I33" s="1419"/>
      <c r="J33" s="1366" t="s">
        <v>61</v>
      </c>
      <c r="K33" s="1437" t="s">
        <v>57</v>
      </c>
      <c r="L33" s="1438"/>
      <c r="M33" s="1363" t="s">
        <v>61</v>
      </c>
      <c r="N33" s="1432" t="s">
        <v>57</v>
      </c>
      <c r="O33" s="1433"/>
      <c r="P33" s="1366" t="s">
        <v>61</v>
      </c>
      <c r="Q33" s="1422" t="s">
        <v>57</v>
      </c>
      <c r="R33" s="1423"/>
      <c r="S33" s="131"/>
      <c r="T33" s="37"/>
      <c r="U33" s="138"/>
    </row>
    <row r="34" spans="1:21" x14ac:dyDescent="0.25">
      <c r="A34" s="615"/>
      <c r="B34" s="611" t="s">
        <v>18</v>
      </c>
      <c r="C34" s="1360" t="s">
        <v>60</v>
      </c>
      <c r="D34" s="1360" t="s">
        <v>62</v>
      </c>
      <c r="E34" s="9"/>
      <c r="F34" s="72"/>
      <c r="G34" s="72"/>
      <c r="H34" s="72"/>
      <c r="I34" s="37"/>
      <c r="J34" s="1364" t="s">
        <v>56</v>
      </c>
      <c r="K34" s="1364" t="s">
        <v>13</v>
      </c>
      <c r="L34" s="1365" t="s">
        <v>68</v>
      </c>
      <c r="M34" s="77" t="s">
        <v>56</v>
      </c>
      <c r="N34" s="1367" t="s">
        <v>13</v>
      </c>
      <c r="O34" s="1368" t="s">
        <v>68</v>
      </c>
      <c r="P34" s="260" t="s">
        <v>56</v>
      </c>
      <c r="Q34" s="1364" t="s">
        <v>13</v>
      </c>
      <c r="R34" s="1365" t="s">
        <v>68</v>
      </c>
      <c r="S34" s="123"/>
      <c r="T34" s="37"/>
      <c r="U34" s="138"/>
    </row>
    <row r="35" spans="1:21" ht="13.8" thickBot="1" x14ac:dyDescent="0.3">
      <c r="A35" s="615"/>
      <c r="B35" s="361"/>
      <c r="C35" s="353">
        <f>VLOOKUP(C$2,Monitor_Costs,4,FALSE)</f>
        <v>16000</v>
      </c>
      <c r="D35" s="34">
        <f>VLOOKUP(C$2,Monitor_Costs,5,FALSE)</f>
        <v>2019</v>
      </c>
      <c r="E35" s="4"/>
      <c r="F35" s="12"/>
      <c r="G35" s="4"/>
      <c r="H35" s="361"/>
      <c r="I35" s="363"/>
      <c r="J35" s="355">
        <f>HLOOKUP($D$35,InflationTable,2)*$C$35</f>
        <v>21612.829578239209</v>
      </c>
      <c r="K35" s="355">
        <f>J35*$L$4</f>
        <v>929351.67186428595</v>
      </c>
      <c r="L35" s="308">
        <f>K35</f>
        <v>929351.67186428595</v>
      </c>
      <c r="M35" s="171">
        <f>HLOOKUP($D$35,InflationTable,3)*$C$35</f>
        <v>22203.133041811565</v>
      </c>
      <c r="N35" s="357">
        <f>M35*$O$4</f>
        <v>954734.72079789732</v>
      </c>
      <c r="O35" s="95">
        <f>N35</f>
        <v>954734.72079789732</v>
      </c>
      <c r="P35" s="355">
        <f>HLOOKUP($D$35,InflationTable,4)*$C$35</f>
        <v>22469.192589155329</v>
      </c>
      <c r="Q35" s="355">
        <f>P35*$R$4</f>
        <v>966175.2813336791</v>
      </c>
      <c r="R35" s="308">
        <f>Q35</f>
        <v>966175.2813336791</v>
      </c>
      <c r="S35" s="359" t="s">
        <v>12</v>
      </c>
      <c r="T35" s="360">
        <f>AVERAGE(L35,O35,R35)</f>
        <v>950087.22466528753</v>
      </c>
      <c r="U35" s="142" t="s">
        <v>12</v>
      </c>
    </row>
    <row r="36" spans="1:21" x14ac:dyDescent="0.25">
      <c r="A36" s="615"/>
      <c r="B36" s="465" t="s">
        <v>23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2"/>
      <c r="K36" s="352"/>
      <c r="L36" s="356"/>
      <c r="M36" s="110"/>
      <c r="N36" s="108"/>
      <c r="O36" s="111"/>
      <c r="P36" s="352"/>
      <c r="Q36" s="352"/>
      <c r="R36" s="356"/>
      <c r="S36" s="123"/>
      <c r="T36" s="37"/>
      <c r="U36" s="138"/>
    </row>
    <row r="37" spans="1:21" x14ac:dyDescent="0.25">
      <c r="A37" s="615"/>
      <c r="B37" s="614" t="s">
        <v>4</v>
      </c>
      <c r="C37" s="21">
        <v>0</v>
      </c>
      <c r="D37" s="21">
        <v>0</v>
      </c>
      <c r="E37" s="21">
        <v>0</v>
      </c>
      <c r="F37" s="21">
        <v>88</v>
      </c>
      <c r="G37" s="21">
        <v>0</v>
      </c>
      <c r="H37" s="21">
        <v>0</v>
      </c>
      <c r="I37" s="48">
        <f>SUM(C37:H37)</f>
        <v>88</v>
      </c>
      <c r="J37" s="299" t="s">
        <v>12</v>
      </c>
      <c r="K37" s="281">
        <f>I37*$L$4</f>
        <v>3784</v>
      </c>
      <c r="L37" s="289">
        <f>K37</f>
        <v>3784</v>
      </c>
      <c r="M37" s="58" t="s">
        <v>12</v>
      </c>
      <c r="N37" s="69">
        <f>$I$37*$O$4</f>
        <v>3784</v>
      </c>
      <c r="O37" s="68">
        <f>N37</f>
        <v>3784</v>
      </c>
      <c r="P37" s="299" t="s">
        <v>12</v>
      </c>
      <c r="Q37" s="281">
        <f>$I$37*$R$4</f>
        <v>3784</v>
      </c>
      <c r="R37" s="289">
        <f>Q37</f>
        <v>3784</v>
      </c>
      <c r="S37" s="121">
        <f>AVERAGE(L37,O37,R37)</f>
        <v>3784</v>
      </c>
      <c r="T37" s="119" t="s">
        <v>12</v>
      </c>
      <c r="U37" s="140" t="s">
        <v>12</v>
      </c>
    </row>
    <row r="38" spans="1:21" s="1" customFormat="1" ht="13.8" thickBot="1" x14ac:dyDescent="0.3">
      <c r="A38" s="616"/>
      <c r="B38" s="604" t="s">
        <v>8</v>
      </c>
      <c r="C38" s="373">
        <f>ROUND(C37*Labor!$D$3,0)</f>
        <v>0</v>
      </c>
      <c r="D38" s="374">
        <f>ROUND(D37*Labor!$D$4,0)</f>
        <v>0</v>
      </c>
      <c r="E38" s="374">
        <f>ROUND(E37*Labor!$D$5,0)</f>
        <v>0</v>
      </c>
      <c r="F38" s="374">
        <f>ROUND(F37*Labor!$D$6,0)</f>
        <v>4335</v>
      </c>
      <c r="G38" s="374">
        <f>ROUND(G37*Labor!$D$7,0)</f>
        <v>0</v>
      </c>
      <c r="H38" s="374">
        <f>ROUND(H37*Labor!$D$8,0)</f>
        <v>0</v>
      </c>
      <c r="I38" s="375">
        <f>SUM(C38:H38)</f>
        <v>4335</v>
      </c>
      <c r="J38" s="296">
        <f>HLOOKUP(Labor!$B$11,InflationTable,2)*I38</f>
        <v>5855.7260138541851</v>
      </c>
      <c r="K38" s="296">
        <f>J38*$L$4</f>
        <v>251796.21859572997</v>
      </c>
      <c r="L38" s="390">
        <f>K38</f>
        <v>251796.21859572997</v>
      </c>
      <c r="M38" s="376">
        <f>HLOOKUP(Labor!$B$11,InflationTable,3)*I38</f>
        <v>6015.6613585158211</v>
      </c>
      <c r="N38" s="377">
        <f>M38*$O$4</f>
        <v>258673.43841618032</v>
      </c>
      <c r="O38" s="378">
        <f>N38</f>
        <v>258673.43841618032</v>
      </c>
      <c r="P38" s="296">
        <f>HLOOKUP(Labor!$B$11,InflationTable,4)*$I$38</f>
        <v>6087.7468671242723</v>
      </c>
      <c r="Q38" s="296">
        <f>P38*$R$4</f>
        <v>261773.1152863437</v>
      </c>
      <c r="R38" s="390">
        <f>Q38</f>
        <v>261773.1152863437</v>
      </c>
      <c r="S38" s="211">
        <f>AVERAGE(L38,O38,R38)</f>
        <v>257414.25743275133</v>
      </c>
      <c r="T38" s="393" t="s">
        <v>12</v>
      </c>
      <c r="U38" s="392" t="s">
        <v>12</v>
      </c>
    </row>
    <row r="39" spans="1:21" x14ac:dyDescent="0.25">
      <c r="A39" s="615"/>
      <c r="B39" s="605" t="s">
        <v>66</v>
      </c>
      <c r="C39" s="36">
        <f t="shared" ref="C39:I39" si="3">C37</f>
        <v>0</v>
      </c>
      <c r="D39" s="36">
        <f t="shared" si="3"/>
        <v>0</v>
      </c>
      <c r="E39" s="36">
        <f t="shared" si="3"/>
        <v>0</v>
      </c>
      <c r="F39" s="36">
        <f t="shared" si="3"/>
        <v>88</v>
      </c>
      <c r="G39" s="36">
        <f t="shared" si="3"/>
        <v>0</v>
      </c>
      <c r="H39" s="36">
        <f t="shared" si="3"/>
        <v>0</v>
      </c>
      <c r="I39" s="51">
        <f t="shared" si="3"/>
        <v>88</v>
      </c>
      <c r="J39" s="307" t="s">
        <v>12</v>
      </c>
      <c r="K39" s="302">
        <f>K37</f>
        <v>3784</v>
      </c>
      <c r="L39" s="303">
        <f>L37</f>
        <v>3784</v>
      </c>
      <c r="M39" s="85" t="s">
        <v>12</v>
      </c>
      <c r="N39" s="82">
        <f>N37</f>
        <v>3784</v>
      </c>
      <c r="O39" s="96">
        <f>O37</f>
        <v>3784</v>
      </c>
      <c r="P39" s="301" t="s">
        <v>12</v>
      </c>
      <c r="Q39" s="302">
        <f>Q37</f>
        <v>3784</v>
      </c>
      <c r="R39" s="303">
        <f>R37</f>
        <v>3784</v>
      </c>
      <c r="S39" s="96">
        <f>S37</f>
        <v>3784</v>
      </c>
      <c r="T39" s="136" t="s">
        <v>12</v>
      </c>
      <c r="U39" s="147" t="s">
        <v>12</v>
      </c>
    </row>
    <row r="40" spans="1:21" ht="13.8" thickBot="1" x14ac:dyDescent="0.3">
      <c r="A40" s="615"/>
      <c r="B40" s="606" t="s">
        <v>67</v>
      </c>
      <c r="C40" s="240">
        <f t="shared" ref="C40" si="4">C39</f>
        <v>0</v>
      </c>
      <c r="D40" s="240">
        <f>D38</f>
        <v>0</v>
      </c>
      <c r="E40" s="240">
        <f>E38</f>
        <v>0</v>
      </c>
      <c r="F40" s="240">
        <f>F38</f>
        <v>4335</v>
      </c>
      <c r="G40" s="240">
        <f>G38</f>
        <v>0</v>
      </c>
      <c r="H40" s="240">
        <f>H38</f>
        <v>0</v>
      </c>
      <c r="I40" s="251">
        <f>I38+C35</f>
        <v>20335</v>
      </c>
      <c r="J40" s="305">
        <f t="shared" ref="J40:R40" si="5">J38+J35</f>
        <v>27468.555592093395</v>
      </c>
      <c r="K40" s="305">
        <f t="shared" si="5"/>
        <v>1181147.890460016</v>
      </c>
      <c r="L40" s="306">
        <f t="shared" si="5"/>
        <v>1181147.890460016</v>
      </c>
      <c r="M40" s="252">
        <f t="shared" si="5"/>
        <v>28218.794400327388</v>
      </c>
      <c r="N40" s="253">
        <f t="shared" si="5"/>
        <v>1213408.1592140775</v>
      </c>
      <c r="O40" s="254">
        <f t="shared" si="5"/>
        <v>1213408.1592140775</v>
      </c>
      <c r="P40" s="304">
        <f t="shared" si="5"/>
        <v>28556.939456279601</v>
      </c>
      <c r="Q40" s="305">
        <f t="shared" si="5"/>
        <v>1227948.3966200228</v>
      </c>
      <c r="R40" s="306">
        <f t="shared" si="5"/>
        <v>1227948.3966200228</v>
      </c>
      <c r="S40" s="255">
        <f>AVERAGE(L40,O40,R40)</f>
        <v>1207501.482098039</v>
      </c>
      <c r="T40" s="251">
        <f>T35</f>
        <v>950087.22466528753</v>
      </c>
      <c r="U40" s="224" t="s">
        <v>12</v>
      </c>
    </row>
    <row r="41" spans="1:21" ht="14.4" thickTop="1" thickBot="1" x14ac:dyDescent="0.3">
      <c r="A41" s="615"/>
      <c r="B41" s="617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7"/>
      <c r="O41" s="618"/>
      <c r="P41" s="618"/>
      <c r="Q41" s="618"/>
      <c r="R41" s="618"/>
      <c r="S41" s="618"/>
      <c r="T41" s="618"/>
      <c r="U41" s="620"/>
    </row>
    <row r="42" spans="1:21" ht="16.2" thickTop="1" x14ac:dyDescent="0.3">
      <c r="A42" s="615"/>
      <c r="B42" s="80" t="s">
        <v>24</v>
      </c>
      <c r="C42" s="5"/>
      <c r="D42" s="5"/>
      <c r="E42" s="5"/>
      <c r="F42" s="112" t="s">
        <v>6</v>
      </c>
      <c r="G42" s="1415"/>
      <c r="H42" s="1416"/>
      <c r="I42" s="1417"/>
      <c r="J42" s="181" t="s">
        <v>24</v>
      </c>
      <c r="K42" s="426"/>
      <c r="L42" s="180"/>
      <c r="M42" s="181" t="s">
        <v>24</v>
      </c>
      <c r="N42" s="319"/>
      <c r="O42" s="67"/>
      <c r="P42" s="181" t="s">
        <v>24</v>
      </c>
      <c r="Q42" s="426"/>
      <c r="R42" s="67"/>
      <c r="S42" s="225"/>
      <c r="T42" s="37"/>
      <c r="U42" s="138"/>
    </row>
    <row r="43" spans="1:21" x14ac:dyDescent="0.25">
      <c r="A43" s="615"/>
      <c r="B43" s="5"/>
      <c r="C43" s="5"/>
      <c r="D43" s="5"/>
      <c r="E43" s="5"/>
      <c r="F43" s="112"/>
      <c r="G43" s="1418"/>
      <c r="H43" s="1418"/>
      <c r="I43" s="1419"/>
      <c r="J43" s="1366" t="s">
        <v>61</v>
      </c>
      <c r="K43" s="1422" t="s">
        <v>57</v>
      </c>
      <c r="L43" s="1423"/>
      <c r="M43" s="1363" t="s">
        <v>61</v>
      </c>
      <c r="N43" s="1432" t="s">
        <v>57</v>
      </c>
      <c r="O43" s="1433"/>
      <c r="P43" s="1366" t="s">
        <v>61</v>
      </c>
      <c r="Q43" s="1422" t="s">
        <v>57</v>
      </c>
      <c r="R43" s="1423"/>
      <c r="S43" s="131"/>
      <c r="T43" s="37"/>
      <c r="U43" s="138"/>
    </row>
    <row r="44" spans="1:21" x14ac:dyDescent="0.25">
      <c r="A44" s="615"/>
      <c r="B44" s="611" t="s">
        <v>19</v>
      </c>
      <c r="C44" s="1360" t="s">
        <v>60</v>
      </c>
      <c r="D44" s="1360" t="s">
        <v>62</v>
      </c>
      <c r="E44" s="9"/>
      <c r="F44" s="72"/>
      <c r="G44" s="72"/>
      <c r="H44" s="72"/>
      <c r="I44" s="73"/>
      <c r="J44" s="260" t="s">
        <v>56</v>
      </c>
      <c r="K44" s="1364" t="s">
        <v>13</v>
      </c>
      <c r="L44" s="1365" t="s">
        <v>68</v>
      </c>
      <c r="M44" s="77" t="s">
        <v>56</v>
      </c>
      <c r="N44" s="1367" t="s">
        <v>13</v>
      </c>
      <c r="O44" s="1368" t="s">
        <v>68</v>
      </c>
      <c r="P44" s="260" t="s">
        <v>56</v>
      </c>
      <c r="Q44" s="1364" t="s">
        <v>13</v>
      </c>
      <c r="R44" s="1365" t="s">
        <v>68</v>
      </c>
      <c r="S44" s="123"/>
      <c r="T44" s="73"/>
      <c r="U44" s="138"/>
    </row>
    <row r="45" spans="1:21" ht="13.8" thickBot="1" x14ac:dyDescent="0.3">
      <c r="A45" s="615"/>
      <c r="B45" s="361"/>
      <c r="C45" s="353">
        <f>VLOOKUP(C$2,Monitor_Costs,6,FALSE)</f>
        <v>3000</v>
      </c>
      <c r="D45" s="34">
        <f>VLOOKUP(C$2,Monitor_Costs,7,FALSE)</f>
        <v>2019</v>
      </c>
      <c r="E45" s="354"/>
      <c r="F45" s="71"/>
      <c r="G45" s="56"/>
      <c r="H45" s="56"/>
      <c r="I45" s="54"/>
      <c r="J45" s="355">
        <f>HLOOKUP(D45,InflationTable,2)*C45</f>
        <v>4052.4055459198512</v>
      </c>
      <c r="K45" s="355">
        <f>J45*$L$4</f>
        <v>174253.43847455361</v>
      </c>
      <c r="L45" s="308">
        <f>K45</f>
        <v>174253.43847455361</v>
      </c>
      <c r="M45" s="357">
        <f>HLOOKUP($D$45,InflationTable,3)*$C$45</f>
        <v>4163.0874453396682</v>
      </c>
      <c r="N45" s="357">
        <f>M45*$O$4</f>
        <v>179012.76014960575</v>
      </c>
      <c r="O45" s="95">
        <f>N45</f>
        <v>179012.76014960575</v>
      </c>
      <c r="P45" s="358">
        <f>HLOOKUP($D$45,InflationTable,4)*$C$45</f>
        <v>4212.9736104666245</v>
      </c>
      <c r="Q45" s="355">
        <f>P45*$R$4</f>
        <v>181157.86525006485</v>
      </c>
      <c r="R45" s="308">
        <f>Q45</f>
        <v>181157.86525006485</v>
      </c>
      <c r="S45" s="359" t="s">
        <v>12</v>
      </c>
      <c r="T45" s="360">
        <f>AVERAGE(L45,O45,R45)</f>
        <v>178141.35462474139</v>
      </c>
      <c r="U45" s="142" t="s">
        <v>12</v>
      </c>
    </row>
    <row r="46" spans="1:21" x14ac:dyDescent="0.25">
      <c r="A46" s="615"/>
      <c r="B46" s="465" t="s">
        <v>25</v>
      </c>
      <c r="C46" s="107" t="s">
        <v>45</v>
      </c>
      <c r="D46" s="108" t="s">
        <v>46</v>
      </c>
      <c r="E46" s="107" t="s">
        <v>47</v>
      </c>
      <c r="F46" s="107" t="s">
        <v>48</v>
      </c>
      <c r="G46" s="107" t="s">
        <v>49</v>
      </c>
      <c r="H46" s="107" t="s">
        <v>50</v>
      </c>
      <c r="I46" s="350" t="s">
        <v>74</v>
      </c>
      <c r="J46" s="351"/>
      <c r="K46" s="352"/>
      <c r="L46" s="356"/>
      <c r="M46" s="110"/>
      <c r="N46" s="108"/>
      <c r="O46" s="111"/>
      <c r="P46" s="351"/>
      <c r="Q46" s="352"/>
      <c r="R46" s="356"/>
      <c r="S46" s="134"/>
      <c r="T46" s="136"/>
      <c r="U46" s="138"/>
    </row>
    <row r="47" spans="1:21" x14ac:dyDescent="0.25">
      <c r="B47" s="566" t="s">
        <v>4</v>
      </c>
      <c r="C47" s="21">
        <v>0</v>
      </c>
      <c r="D47" s="21">
        <v>0</v>
      </c>
      <c r="E47" s="21">
        <v>0</v>
      </c>
      <c r="F47" s="21">
        <v>24</v>
      </c>
      <c r="G47" s="21">
        <v>8</v>
      </c>
      <c r="H47" s="21">
        <v>0</v>
      </c>
      <c r="I47" s="52">
        <f>SUM(C47:H47)</f>
        <v>32</v>
      </c>
      <c r="J47" s="263" t="s">
        <v>12</v>
      </c>
      <c r="K47" s="281">
        <f>I47*$L$4</f>
        <v>1376</v>
      </c>
      <c r="L47" s="289">
        <f>K47</f>
        <v>1376</v>
      </c>
      <c r="M47" s="58" t="s">
        <v>12</v>
      </c>
      <c r="N47" s="69">
        <f>$I$47*$O$4</f>
        <v>1376</v>
      </c>
      <c r="O47" s="68">
        <f>N47</f>
        <v>1376</v>
      </c>
      <c r="P47" s="263" t="s">
        <v>12</v>
      </c>
      <c r="Q47" s="281">
        <f>$I$47*$R$4</f>
        <v>1376</v>
      </c>
      <c r="R47" s="289">
        <f>Q47</f>
        <v>1376</v>
      </c>
      <c r="S47" s="121">
        <f>AVERAGE(L47,O47,R47)</f>
        <v>1376</v>
      </c>
      <c r="T47" s="119" t="s">
        <v>12</v>
      </c>
      <c r="U47" s="140" t="s">
        <v>12</v>
      </c>
    </row>
    <row r="48" spans="1:21" ht="13.8" thickBot="1" x14ac:dyDescent="0.3">
      <c r="B48" s="567" t="s">
        <v>8</v>
      </c>
      <c r="C48" s="34">
        <f>ROUND(C47*Labor!$D$3,0)</f>
        <v>0</v>
      </c>
      <c r="D48" s="35">
        <f>ROUND(D47*Labor!$D$4,0)</f>
        <v>0</v>
      </c>
      <c r="E48" s="35">
        <f>ROUND(E47*Labor!$D$5,0)</f>
        <v>0</v>
      </c>
      <c r="F48" s="35">
        <f>ROUND(F47*Labor!$D$6,0)</f>
        <v>1182</v>
      </c>
      <c r="G48" s="35">
        <f>ROUND(G47*Labor!$D$7,0)</f>
        <v>444</v>
      </c>
      <c r="H48" s="35">
        <f>ROUND(H47*Labor!$D$8,0)</f>
        <v>0</v>
      </c>
      <c r="I48" s="39">
        <f>SUM(C48:H48)</f>
        <v>1626</v>
      </c>
      <c r="J48" s="292">
        <f>HLOOKUP(Labor!$B$11,InflationTable,2)*I48</f>
        <v>2196.4038058885594</v>
      </c>
      <c r="K48" s="269">
        <f>J48*$L$4</f>
        <v>94445.363653208056</v>
      </c>
      <c r="L48" s="308">
        <f>K48</f>
        <v>94445.363653208056</v>
      </c>
      <c r="M48" s="84">
        <f>HLOOKUP(Labor!$B$11,InflationTable,3)*$I$48</f>
        <v>2256.3933953741002</v>
      </c>
      <c r="N48" s="63">
        <f>M48*$O$4</f>
        <v>97024.916001086312</v>
      </c>
      <c r="O48" s="95">
        <f>N48</f>
        <v>97024.916001086312</v>
      </c>
      <c r="P48" s="268">
        <f>HLOOKUP(Labor!$B$11,InflationTable,4)*$I$48</f>
        <v>2283.4316968729104</v>
      </c>
      <c r="Q48" s="269">
        <f>P48*$O$4</f>
        <v>98187.562965535151</v>
      </c>
      <c r="R48" s="308">
        <f>Q48</f>
        <v>98187.562965535151</v>
      </c>
      <c r="S48" s="128">
        <f>AVERAGE(L48,O48,R48)</f>
        <v>96552.61420660984</v>
      </c>
      <c r="T48" s="149" t="s">
        <v>12</v>
      </c>
      <c r="U48" s="142" t="s">
        <v>12</v>
      </c>
    </row>
    <row r="49" spans="2:21" x14ac:dyDescent="0.25">
      <c r="B49" s="565" t="s">
        <v>117</v>
      </c>
      <c r="C49" s="346">
        <v>0</v>
      </c>
      <c r="D49" s="346">
        <v>0</v>
      </c>
      <c r="E49" s="346">
        <v>0</v>
      </c>
      <c r="F49" s="346">
        <v>48</v>
      </c>
      <c r="G49" s="346">
        <v>16</v>
      </c>
      <c r="H49" s="346">
        <v>0</v>
      </c>
      <c r="I49" s="347">
        <f>SUM(C49:H49)</f>
        <v>64</v>
      </c>
      <c r="J49" s="293" t="s">
        <v>12</v>
      </c>
      <c r="K49" s="327">
        <f>I49*$L$4</f>
        <v>2752</v>
      </c>
      <c r="L49" s="328">
        <f>K49</f>
        <v>2752</v>
      </c>
      <c r="M49" s="61" t="s">
        <v>12</v>
      </c>
      <c r="N49" s="348">
        <f>$I$49*$O$4</f>
        <v>2752</v>
      </c>
      <c r="O49" s="349">
        <f>N49</f>
        <v>2752</v>
      </c>
      <c r="P49" s="293" t="s">
        <v>12</v>
      </c>
      <c r="Q49" s="327">
        <f>$I$49*$R$4</f>
        <v>2752</v>
      </c>
      <c r="R49" s="328">
        <f>Q49</f>
        <v>2752</v>
      </c>
      <c r="S49" s="129">
        <f>AVERAGE(L49,O49,R49)</f>
        <v>2752</v>
      </c>
      <c r="T49" s="119" t="s">
        <v>12</v>
      </c>
      <c r="U49" s="140" t="s">
        <v>12</v>
      </c>
    </row>
    <row r="50" spans="2:21" ht="13.8" thickBot="1" x14ac:dyDescent="0.3">
      <c r="B50" s="568" t="s">
        <v>8</v>
      </c>
      <c r="C50" s="34">
        <f>ROUND(C49*Labor!$D$3,0)</f>
        <v>0</v>
      </c>
      <c r="D50" s="35">
        <f>ROUND(D49*Labor!$D$4,0)</f>
        <v>0</v>
      </c>
      <c r="E50" s="35">
        <f>ROUND(E49*Labor!$D$5,0)</f>
        <v>0</v>
      </c>
      <c r="F50" s="35">
        <f>ROUND(F49*Labor!$D$6,0)</f>
        <v>2365</v>
      </c>
      <c r="G50" s="35">
        <f>ROUND(G49*Labor!$D$7,0)</f>
        <v>887</v>
      </c>
      <c r="H50" s="35">
        <f>ROUND(H49*Labor!$D$8,0)</f>
        <v>0</v>
      </c>
      <c r="I50" s="39">
        <f>SUM(C50:H50)</f>
        <v>3252</v>
      </c>
      <c r="J50" s="268">
        <f>HLOOKUP(Labor!$B$11,InflationTable,2)*$I$50</f>
        <v>4392.8076117771188</v>
      </c>
      <c r="K50" s="269">
        <f>J50*$L$4</f>
        <v>188890.72730641611</v>
      </c>
      <c r="L50" s="308">
        <f>K50</f>
        <v>188890.72730641611</v>
      </c>
      <c r="M50" s="84">
        <f>HLOOKUP(Labor!$B$11,InflationTable,3)*$I$50</f>
        <v>4512.7867907482005</v>
      </c>
      <c r="N50" s="63">
        <f>M50*$O$4</f>
        <v>194049.83200217262</v>
      </c>
      <c r="O50" s="95">
        <f>N50</f>
        <v>194049.83200217262</v>
      </c>
      <c r="P50" s="268">
        <f>HLOOKUP(Labor!$B$11,InflationTable,4)*$I$50</f>
        <v>4566.8633937458208</v>
      </c>
      <c r="Q50" s="269">
        <f>P50*$R$4</f>
        <v>196375.1259310703</v>
      </c>
      <c r="R50" s="308">
        <f>Q50</f>
        <v>196375.1259310703</v>
      </c>
      <c r="S50" s="132">
        <f>AVERAGE(L50,O50,R50)</f>
        <v>193105.22841321968</v>
      </c>
      <c r="T50" s="149" t="s">
        <v>12</v>
      </c>
      <c r="U50" s="142" t="s">
        <v>12</v>
      </c>
    </row>
    <row r="51" spans="2:21" x14ac:dyDescent="0.25">
      <c r="B51" s="560" t="s">
        <v>66</v>
      </c>
      <c r="C51" s="36">
        <f t="shared" ref="C51:I52" si="6">C47+C49</f>
        <v>0</v>
      </c>
      <c r="D51" s="36">
        <f t="shared" si="6"/>
        <v>0</v>
      </c>
      <c r="E51" s="36">
        <f t="shared" si="6"/>
        <v>0</v>
      </c>
      <c r="F51" s="36">
        <f t="shared" si="6"/>
        <v>72</v>
      </c>
      <c r="G51" s="36">
        <f t="shared" si="6"/>
        <v>24</v>
      </c>
      <c r="H51" s="36">
        <f t="shared" si="6"/>
        <v>0</v>
      </c>
      <c r="I51" s="46">
        <f t="shared" si="6"/>
        <v>96</v>
      </c>
      <c r="J51" s="301" t="s">
        <v>12</v>
      </c>
      <c r="K51" s="309">
        <f>K47+K49</f>
        <v>4128</v>
      </c>
      <c r="L51" s="310">
        <f>L47+L49</f>
        <v>4128</v>
      </c>
      <c r="M51" s="85" t="s">
        <v>12</v>
      </c>
      <c r="N51" s="86">
        <f>N47+N49</f>
        <v>4128</v>
      </c>
      <c r="O51" s="97">
        <f>O47+O49</f>
        <v>4128</v>
      </c>
      <c r="P51" s="301" t="s">
        <v>12</v>
      </c>
      <c r="Q51" s="309">
        <f>Q47+Q49</f>
        <v>4128</v>
      </c>
      <c r="R51" s="310">
        <f>R47+R49</f>
        <v>4128</v>
      </c>
      <c r="S51" s="121">
        <f>AVERAGE(L51,O51,R51)</f>
        <v>4128</v>
      </c>
      <c r="T51" s="136" t="s">
        <v>12</v>
      </c>
      <c r="U51" s="148" t="s">
        <v>12</v>
      </c>
    </row>
    <row r="52" spans="2:21" ht="13.8" thickBot="1" x14ac:dyDescent="0.3">
      <c r="B52" s="561" t="s">
        <v>67</v>
      </c>
      <c r="C52" s="240">
        <f t="shared" si="6"/>
        <v>0</v>
      </c>
      <c r="D52" s="240">
        <f t="shared" si="6"/>
        <v>0</v>
      </c>
      <c r="E52" s="240">
        <f t="shared" si="6"/>
        <v>0</v>
      </c>
      <c r="F52" s="240">
        <f t="shared" si="6"/>
        <v>3547</v>
      </c>
      <c r="G52" s="240">
        <f t="shared" si="6"/>
        <v>1331</v>
      </c>
      <c r="H52" s="240">
        <f t="shared" si="6"/>
        <v>0</v>
      </c>
      <c r="I52" s="222">
        <f>I50+I48+C45</f>
        <v>7878</v>
      </c>
      <c r="J52" s="311">
        <f t="shared" ref="J52:R52" si="7">J50+J48+J45</f>
        <v>10641.616963585529</v>
      </c>
      <c r="K52" s="305">
        <f t="shared" si="7"/>
        <v>457589.52943417779</v>
      </c>
      <c r="L52" s="306">
        <f t="shared" si="7"/>
        <v>457589.52943417779</v>
      </c>
      <c r="M52" s="252">
        <f t="shared" si="7"/>
        <v>10932.267631461969</v>
      </c>
      <c r="N52" s="253">
        <f t="shared" si="7"/>
        <v>470087.5081528647</v>
      </c>
      <c r="O52" s="254">
        <f t="shared" si="7"/>
        <v>470087.5081528647</v>
      </c>
      <c r="P52" s="311">
        <f t="shared" si="7"/>
        <v>11063.268701085355</v>
      </c>
      <c r="Q52" s="305">
        <f t="shared" si="7"/>
        <v>475720.55414667027</v>
      </c>
      <c r="R52" s="306">
        <f t="shared" si="7"/>
        <v>475720.55414667027</v>
      </c>
      <c r="S52" s="248">
        <f>S50+S48</f>
        <v>289657.84261982952</v>
      </c>
      <c r="T52" s="251">
        <f>T45</f>
        <v>178141.35462474139</v>
      </c>
      <c r="U52" s="224" t="s">
        <v>12</v>
      </c>
    </row>
    <row r="53" spans="2:21" ht="14.4" thickTop="1" thickBot="1" x14ac:dyDescent="0.3">
      <c r="B53" s="555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20"/>
    </row>
    <row r="54" spans="2:21" ht="16.2" thickTop="1" x14ac:dyDescent="0.3">
      <c r="B54" s="564" t="s">
        <v>26</v>
      </c>
      <c r="C54" s="5"/>
      <c r="D54" s="5"/>
      <c r="E54" s="5"/>
      <c r="F54" s="112" t="s">
        <v>6</v>
      </c>
      <c r="G54" s="1415"/>
      <c r="H54" s="1416"/>
      <c r="I54" s="1417"/>
      <c r="J54" s="181" t="s">
        <v>26</v>
      </c>
      <c r="K54" s="426"/>
      <c r="L54" s="67"/>
      <c r="M54" s="245" t="s">
        <v>26</v>
      </c>
      <c r="N54" s="426"/>
      <c r="O54" s="426"/>
      <c r="P54" s="245" t="s">
        <v>26</v>
      </c>
      <c r="Q54" s="426"/>
      <c r="R54" s="67"/>
      <c r="S54" s="225"/>
      <c r="T54" s="37"/>
      <c r="U54" s="138"/>
    </row>
    <row r="55" spans="2:21" x14ac:dyDescent="0.25">
      <c r="B55" s="555"/>
      <c r="C55" s="5"/>
      <c r="D55" s="5"/>
      <c r="E55" s="5"/>
      <c r="F55" s="7"/>
      <c r="G55" s="5"/>
      <c r="H55" s="5"/>
      <c r="I55" s="45" t="s">
        <v>61</v>
      </c>
      <c r="J55" s="1366" t="s">
        <v>61</v>
      </c>
      <c r="K55" s="1422" t="s">
        <v>57</v>
      </c>
      <c r="L55" s="1423"/>
      <c r="M55" s="1363" t="s">
        <v>61</v>
      </c>
      <c r="N55" s="1432" t="s">
        <v>57</v>
      </c>
      <c r="O55" s="1433"/>
      <c r="P55" s="1366" t="s">
        <v>61</v>
      </c>
      <c r="Q55" s="1422" t="s">
        <v>57</v>
      </c>
      <c r="R55" s="1423"/>
      <c r="S55" s="131"/>
      <c r="T55" s="37"/>
      <c r="U55" s="138"/>
    </row>
    <row r="56" spans="2:21" x14ac:dyDescent="0.25">
      <c r="B56" s="563" t="s">
        <v>27</v>
      </c>
      <c r="C56" s="1360" t="s">
        <v>45</v>
      </c>
      <c r="D56" s="1367" t="s">
        <v>46</v>
      </c>
      <c r="E56" s="1360" t="s">
        <v>47</v>
      </c>
      <c r="F56" s="1360" t="s">
        <v>48</v>
      </c>
      <c r="G56" s="1360" t="s">
        <v>49</v>
      </c>
      <c r="H56" s="1360" t="s">
        <v>50</v>
      </c>
      <c r="I56" s="45" t="s">
        <v>13</v>
      </c>
      <c r="J56" s="260" t="s">
        <v>56</v>
      </c>
      <c r="K56" s="1364" t="s">
        <v>13</v>
      </c>
      <c r="L56" s="1365" t="s">
        <v>68</v>
      </c>
      <c r="M56" s="77" t="s">
        <v>56</v>
      </c>
      <c r="N56" s="1367" t="s">
        <v>13</v>
      </c>
      <c r="O56" s="1368" t="s">
        <v>68</v>
      </c>
      <c r="P56" s="260" t="s">
        <v>56</v>
      </c>
      <c r="Q56" s="1364" t="s">
        <v>13</v>
      </c>
      <c r="R56" s="1365" t="s">
        <v>68</v>
      </c>
      <c r="S56" s="123"/>
      <c r="T56" s="37"/>
      <c r="U56" s="138"/>
    </row>
    <row r="57" spans="2:21" x14ac:dyDescent="0.25">
      <c r="B57" s="566" t="s">
        <v>4</v>
      </c>
      <c r="C57" s="21">
        <v>0</v>
      </c>
      <c r="D57" s="21">
        <v>0</v>
      </c>
      <c r="E57" s="21">
        <v>0</v>
      </c>
      <c r="F57" s="21">
        <v>24</v>
      </c>
      <c r="G57" s="21">
        <v>0</v>
      </c>
      <c r="H57" s="21">
        <v>0</v>
      </c>
      <c r="I57" s="52">
        <f t="shared" ref="I57:I64" si="8">SUM(C57:H57)</f>
        <v>24</v>
      </c>
      <c r="J57" s="263" t="s">
        <v>12</v>
      </c>
      <c r="K57" s="281">
        <f>I57*$L$4</f>
        <v>1032</v>
      </c>
      <c r="L57" s="289">
        <f t="shared" ref="L57:L64" si="9">K57</f>
        <v>1032</v>
      </c>
      <c r="M57" s="58" t="s">
        <v>12</v>
      </c>
      <c r="N57" s="69">
        <f>$I$57*$O$4</f>
        <v>1032</v>
      </c>
      <c r="O57" s="68">
        <f t="shared" ref="O57:O64" si="10">N57</f>
        <v>1032</v>
      </c>
      <c r="P57" s="263" t="s">
        <v>12</v>
      </c>
      <c r="Q57" s="281">
        <f>$I$57*$R$4</f>
        <v>1032</v>
      </c>
      <c r="R57" s="289">
        <f t="shared" ref="R57:R64" si="11">Q57</f>
        <v>1032</v>
      </c>
      <c r="S57" s="121">
        <f t="shared" ref="S57:S66" si="12">AVERAGE(L57,O57,R57)</f>
        <v>1032</v>
      </c>
      <c r="T57" s="119" t="s">
        <v>12</v>
      </c>
      <c r="U57" s="140" t="s">
        <v>12</v>
      </c>
    </row>
    <row r="58" spans="2:21" ht="13.8" thickBot="1" x14ac:dyDescent="0.3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0</v>
      </c>
      <c r="F58" s="35">
        <f>ROUND(F57*Labor!$D$6,0)</f>
        <v>1182</v>
      </c>
      <c r="G58" s="35">
        <f>ROUND(G57*Labor!$D$7,0)</f>
        <v>0</v>
      </c>
      <c r="H58" s="35">
        <f>ROUND(H57*Labor!$D$8,0)</f>
        <v>0</v>
      </c>
      <c r="I58" s="39">
        <f t="shared" si="8"/>
        <v>1182</v>
      </c>
      <c r="J58" s="268">
        <f>HLOOKUP(Labor!$B$11,InflationTable,2)*I58</f>
        <v>1596.6477850924214</v>
      </c>
      <c r="K58" s="269">
        <f>J58*$L$4</f>
        <v>68655.854758974121</v>
      </c>
      <c r="L58" s="308">
        <f t="shared" si="9"/>
        <v>68655.854758974121</v>
      </c>
      <c r="M58" s="84">
        <f>HLOOKUP(Labor!$B$11,InflationTable,3)*$I$58</f>
        <v>1640.2564534638293</v>
      </c>
      <c r="N58" s="63">
        <f>M58*$L$4</f>
        <v>70531.027498944663</v>
      </c>
      <c r="O58" s="95">
        <f t="shared" si="10"/>
        <v>70531.027498944663</v>
      </c>
      <c r="P58" s="268">
        <f>HLOOKUP(Labor!$B$11,InflationTable,4)*$I$58</f>
        <v>1659.91160252385</v>
      </c>
      <c r="Q58" s="269">
        <f>P58*$R$4</f>
        <v>71376.198908525548</v>
      </c>
      <c r="R58" s="308">
        <f t="shared" si="11"/>
        <v>71376.198908525548</v>
      </c>
      <c r="S58" s="128">
        <f t="shared" si="12"/>
        <v>70187.693722148106</v>
      </c>
      <c r="T58" s="149" t="s">
        <v>12</v>
      </c>
      <c r="U58" s="142" t="s">
        <v>12</v>
      </c>
    </row>
    <row r="59" spans="2:21" x14ac:dyDescent="0.25">
      <c r="B59" s="559" t="s">
        <v>114</v>
      </c>
      <c r="C59" s="346">
        <v>0</v>
      </c>
      <c r="D59" s="346">
        <v>0</v>
      </c>
      <c r="E59" s="346">
        <v>0</v>
      </c>
      <c r="F59" s="346">
        <v>8</v>
      </c>
      <c r="G59" s="346">
        <v>1</v>
      </c>
      <c r="H59" s="346">
        <v>1</v>
      </c>
      <c r="I59" s="347">
        <f t="shared" si="8"/>
        <v>10</v>
      </c>
      <c r="J59" s="293" t="s">
        <v>12</v>
      </c>
      <c r="K59" s="327">
        <f>I59*$L$4</f>
        <v>430</v>
      </c>
      <c r="L59" s="328">
        <f t="shared" si="9"/>
        <v>430</v>
      </c>
      <c r="M59" s="61" t="s">
        <v>12</v>
      </c>
      <c r="N59" s="348">
        <f>$I$59*$O$4</f>
        <v>430</v>
      </c>
      <c r="O59" s="349">
        <f t="shared" si="10"/>
        <v>430</v>
      </c>
      <c r="P59" s="293" t="s">
        <v>12</v>
      </c>
      <c r="Q59" s="327">
        <f>$I$59*$R$4</f>
        <v>430</v>
      </c>
      <c r="R59" s="328">
        <f t="shared" si="11"/>
        <v>430</v>
      </c>
      <c r="S59" s="129">
        <f t="shared" si="12"/>
        <v>430</v>
      </c>
      <c r="T59" s="136" t="s">
        <v>12</v>
      </c>
      <c r="U59" s="147" t="s">
        <v>12</v>
      </c>
    </row>
    <row r="60" spans="2:21" ht="13.8" thickBot="1" x14ac:dyDescent="0.3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0</v>
      </c>
      <c r="F60" s="35">
        <f>ROUND(F59*Labor!$D$6,0)</f>
        <v>394</v>
      </c>
      <c r="G60" s="35">
        <f>ROUND(G59*Labor!$D$7,0)</f>
        <v>55</v>
      </c>
      <c r="H60" s="35">
        <f>ROUND(H59*Labor!$D$8,0)</f>
        <v>59</v>
      </c>
      <c r="I60" s="39">
        <f t="shared" si="8"/>
        <v>508</v>
      </c>
      <c r="J60" s="292">
        <f>HLOOKUP(Labor!$B$11,InflationTable,2)*I60</f>
        <v>686.20733910909485</v>
      </c>
      <c r="K60" s="269">
        <f>J60*$L$4</f>
        <v>29506.915581691079</v>
      </c>
      <c r="L60" s="308">
        <f t="shared" si="9"/>
        <v>29506.915581691079</v>
      </c>
      <c r="M60" s="362">
        <f>HLOOKUP(Labor!$B$11,InflationTable,3)*I60</f>
        <v>704.94947407751715</v>
      </c>
      <c r="N60" s="63">
        <f>M60*$O$4</f>
        <v>30312.827385333236</v>
      </c>
      <c r="O60" s="95">
        <f t="shared" si="10"/>
        <v>30312.827385333236</v>
      </c>
      <c r="P60" s="268">
        <f>HLOOKUP(Labor!$B$11,InflationTable,4)*$I$60</f>
        <v>713.39686470568176</v>
      </c>
      <c r="Q60" s="269">
        <f>P60*$R$4</f>
        <v>30676.065182344315</v>
      </c>
      <c r="R60" s="308">
        <f t="shared" si="11"/>
        <v>30676.065182344315</v>
      </c>
      <c r="S60" s="128">
        <f t="shared" si="12"/>
        <v>30165.269383122879</v>
      </c>
      <c r="T60" s="149" t="s">
        <v>12</v>
      </c>
      <c r="U60" s="142" t="s">
        <v>12</v>
      </c>
    </row>
    <row r="61" spans="2:21" x14ac:dyDescent="0.25">
      <c r="B61" s="559" t="s">
        <v>115</v>
      </c>
      <c r="C61" s="346">
        <v>0</v>
      </c>
      <c r="D61" s="346">
        <v>0</v>
      </c>
      <c r="E61" s="346">
        <v>0</v>
      </c>
      <c r="F61" s="346">
        <v>32</v>
      </c>
      <c r="G61" s="346">
        <v>8</v>
      </c>
      <c r="H61" s="346">
        <v>0</v>
      </c>
      <c r="I61" s="347">
        <f t="shared" si="8"/>
        <v>40</v>
      </c>
      <c r="J61" s="293" t="s">
        <v>12</v>
      </c>
      <c r="K61" s="327">
        <f>I61*$L$4</f>
        <v>1720</v>
      </c>
      <c r="L61" s="328">
        <f t="shared" si="9"/>
        <v>1720</v>
      </c>
      <c r="M61" s="61" t="s">
        <v>12</v>
      </c>
      <c r="N61" s="348">
        <f>$I$61*$O$4</f>
        <v>1720</v>
      </c>
      <c r="O61" s="349">
        <f t="shared" si="10"/>
        <v>1720</v>
      </c>
      <c r="P61" s="293" t="s">
        <v>12</v>
      </c>
      <c r="Q61" s="327">
        <f>$I$61*$R$4</f>
        <v>1720</v>
      </c>
      <c r="R61" s="328">
        <f t="shared" si="11"/>
        <v>1720</v>
      </c>
      <c r="S61" s="129">
        <f t="shared" si="12"/>
        <v>1720</v>
      </c>
      <c r="T61" s="136" t="s">
        <v>12</v>
      </c>
      <c r="U61" s="147" t="s">
        <v>12</v>
      </c>
    </row>
    <row r="62" spans="2:21" ht="13.8" thickBot="1" x14ac:dyDescent="0.3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0</v>
      </c>
      <c r="F62" s="35">
        <f>ROUND(F61*Labor!$D$6,0)</f>
        <v>1576</v>
      </c>
      <c r="G62" s="35">
        <f>ROUND(G61*Labor!$D$7,0)</f>
        <v>444</v>
      </c>
      <c r="H62" s="35">
        <f>ROUND(H61*Labor!$D$8,0)</f>
        <v>0</v>
      </c>
      <c r="I62" s="39">
        <f t="shared" si="8"/>
        <v>2020</v>
      </c>
      <c r="J62" s="292">
        <f>HLOOKUP(Labor!$B$11,InflationTable,2)*I62</f>
        <v>2728.6197342526998</v>
      </c>
      <c r="K62" s="269">
        <f>J62*$L$4</f>
        <v>117330.64857286609</v>
      </c>
      <c r="L62" s="308">
        <f t="shared" si="9"/>
        <v>117330.64857286609</v>
      </c>
      <c r="M62" s="84">
        <f>HLOOKUP(Labor!$B$11,InflationTable,3)*$I$62</f>
        <v>2803.1455465287099</v>
      </c>
      <c r="N62" s="63">
        <f>M62*$O$4</f>
        <v>120535.25850073453</v>
      </c>
      <c r="O62" s="95">
        <f t="shared" si="10"/>
        <v>120535.25850073453</v>
      </c>
      <c r="P62" s="268">
        <f>HLOOKUP(Labor!$B$11,InflationTable,4)*$I$62</f>
        <v>2836.7355643808605</v>
      </c>
      <c r="Q62" s="269">
        <f>P62*$R$4</f>
        <v>121979.629268377</v>
      </c>
      <c r="R62" s="308">
        <f t="shared" si="11"/>
        <v>121979.629268377</v>
      </c>
      <c r="S62" s="128">
        <f t="shared" si="12"/>
        <v>119948.51211399255</v>
      </c>
      <c r="T62" s="149" t="s">
        <v>12</v>
      </c>
      <c r="U62" s="142" t="s">
        <v>12</v>
      </c>
    </row>
    <row r="63" spans="2:21" x14ac:dyDescent="0.25">
      <c r="B63" s="559" t="s">
        <v>116</v>
      </c>
      <c r="C63" s="346">
        <v>0</v>
      </c>
      <c r="D63" s="346">
        <v>0</v>
      </c>
      <c r="E63" s="346">
        <v>0</v>
      </c>
      <c r="F63" s="346">
        <v>70</v>
      </c>
      <c r="G63" s="346">
        <v>30</v>
      </c>
      <c r="H63" s="346">
        <v>10</v>
      </c>
      <c r="I63" s="347">
        <f t="shared" si="8"/>
        <v>110</v>
      </c>
      <c r="J63" s="293" t="s">
        <v>12</v>
      </c>
      <c r="K63" s="327">
        <f>I63*$L$4</f>
        <v>4730</v>
      </c>
      <c r="L63" s="328">
        <f t="shared" si="9"/>
        <v>4730</v>
      </c>
      <c r="M63" s="61" t="s">
        <v>12</v>
      </c>
      <c r="N63" s="348">
        <f>$I$63*$O$4</f>
        <v>4730</v>
      </c>
      <c r="O63" s="349">
        <f t="shared" si="10"/>
        <v>4730</v>
      </c>
      <c r="P63" s="293" t="s">
        <v>12</v>
      </c>
      <c r="Q63" s="327">
        <f>$I$63*$R$4</f>
        <v>4730</v>
      </c>
      <c r="R63" s="328">
        <f t="shared" si="11"/>
        <v>4730</v>
      </c>
      <c r="S63" s="129">
        <f t="shared" si="12"/>
        <v>4730</v>
      </c>
      <c r="T63" s="136" t="s">
        <v>12</v>
      </c>
      <c r="U63" s="147" t="s">
        <v>12</v>
      </c>
    </row>
    <row r="64" spans="2:21" ht="13.8" thickBot="1" x14ac:dyDescent="0.3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0</v>
      </c>
      <c r="F64" s="35">
        <f>ROUND(F63*Labor!$D$6,0)</f>
        <v>3448</v>
      </c>
      <c r="G64" s="35">
        <f>ROUND(G63*Labor!$D$7,0)</f>
        <v>1664</v>
      </c>
      <c r="H64" s="35">
        <f>ROUND(H63*Labor!$D$8,0)</f>
        <v>586</v>
      </c>
      <c r="I64" s="39">
        <f t="shared" si="8"/>
        <v>5698</v>
      </c>
      <c r="J64" s="268">
        <f>HLOOKUP(Labor!$B$11,InflationTable,2)*I64</f>
        <v>7696.8689335504378</v>
      </c>
      <c r="K64" s="269">
        <f>J64*$L$4</f>
        <v>330965.36414266884</v>
      </c>
      <c r="L64" s="300">
        <f t="shared" si="9"/>
        <v>330965.36414266884</v>
      </c>
      <c r="M64" s="84">
        <f>HLOOKUP(Labor!$B$11,InflationTable,3)*$I$64</f>
        <v>7907.090754515144</v>
      </c>
      <c r="N64" s="63">
        <f>M64*$O$4</f>
        <v>340004.90244415117</v>
      </c>
      <c r="O64" s="98">
        <f t="shared" si="10"/>
        <v>340004.90244415117</v>
      </c>
      <c r="P64" s="268">
        <f>HLOOKUP(Labor!$B$11,InflationTable,4)*$I$64</f>
        <v>8001.8412108129423</v>
      </c>
      <c r="Q64" s="269">
        <f>P64*$R$4</f>
        <v>344079.17206495651</v>
      </c>
      <c r="R64" s="300">
        <f t="shared" si="11"/>
        <v>344079.17206495651</v>
      </c>
      <c r="S64" s="128">
        <f t="shared" si="12"/>
        <v>338349.81288392551</v>
      </c>
      <c r="T64" s="137" t="s">
        <v>12</v>
      </c>
      <c r="U64" s="142" t="s">
        <v>12</v>
      </c>
    </row>
    <row r="65" spans="2:22" x14ac:dyDescent="0.25">
      <c r="B65" s="560" t="s">
        <v>66</v>
      </c>
      <c r="C65" s="36">
        <f t="shared" ref="C65:I66" si="13">C57+C59+C61+C63</f>
        <v>0</v>
      </c>
      <c r="D65" s="36">
        <f t="shared" si="13"/>
        <v>0</v>
      </c>
      <c r="E65" s="36">
        <f t="shared" si="13"/>
        <v>0</v>
      </c>
      <c r="F65" s="36">
        <f t="shared" si="13"/>
        <v>134</v>
      </c>
      <c r="G65" s="36">
        <f t="shared" si="13"/>
        <v>39</v>
      </c>
      <c r="H65" s="36">
        <f t="shared" si="13"/>
        <v>11</v>
      </c>
      <c r="I65" s="46">
        <f t="shared" si="13"/>
        <v>184</v>
      </c>
      <c r="J65" s="301" t="s">
        <v>12</v>
      </c>
      <c r="K65" s="285">
        <f>K57+K59+K61+K63</f>
        <v>7912</v>
      </c>
      <c r="L65" s="312">
        <f>L57+L59+L61+L63</f>
        <v>7912</v>
      </c>
      <c r="M65" s="85" t="s">
        <v>12</v>
      </c>
      <c r="N65" s="33">
        <f>N57+N59+N61+N63</f>
        <v>7912</v>
      </c>
      <c r="O65" s="99">
        <f>O57+O59+O61+O63</f>
        <v>7912</v>
      </c>
      <c r="P65" s="301" t="s">
        <v>12</v>
      </c>
      <c r="Q65" s="285">
        <f>Q57+Q59+Q61+Q63</f>
        <v>7912</v>
      </c>
      <c r="R65" s="312">
        <f>R57+R59+R61+R63</f>
        <v>7912</v>
      </c>
      <c r="S65" s="129">
        <f t="shared" si="12"/>
        <v>7912</v>
      </c>
      <c r="T65" s="136" t="s">
        <v>12</v>
      </c>
      <c r="U65" s="147" t="s">
        <v>12</v>
      </c>
    </row>
    <row r="66" spans="2:22" ht="13.8" thickBot="1" x14ac:dyDescent="0.3">
      <c r="B66" s="561" t="s">
        <v>67</v>
      </c>
      <c r="C66" s="240">
        <f t="shared" si="13"/>
        <v>0</v>
      </c>
      <c r="D66" s="240">
        <f t="shared" si="13"/>
        <v>0</v>
      </c>
      <c r="E66" s="240">
        <f t="shared" si="13"/>
        <v>0</v>
      </c>
      <c r="F66" s="240">
        <f t="shared" si="13"/>
        <v>6600</v>
      </c>
      <c r="G66" s="240">
        <f t="shared" si="13"/>
        <v>2163</v>
      </c>
      <c r="H66" s="240">
        <f t="shared" si="13"/>
        <v>645</v>
      </c>
      <c r="I66" s="243">
        <f t="shared" si="13"/>
        <v>9408</v>
      </c>
      <c r="J66" s="313">
        <f>J58+J60+J62+J64</f>
        <v>12708.343792004653</v>
      </c>
      <c r="K66" s="275">
        <f>K58+K60+K62+K64</f>
        <v>546458.78305620013</v>
      </c>
      <c r="L66" s="276">
        <f>L58+L60+L62+L64</f>
        <v>546458.78305620013</v>
      </c>
      <c r="M66" s="242">
        <f>M58+M60+M62+M64</f>
        <v>13055.442228585202</v>
      </c>
      <c r="N66" s="240">
        <f>N58+N60+N62+N64</f>
        <v>561384.0158291636</v>
      </c>
      <c r="O66" s="243">
        <f>O58+O60+O62+O64</f>
        <v>561384.0158291636</v>
      </c>
      <c r="P66" s="313">
        <f>P58+P60+P62+P64</f>
        <v>13211.885242423334</v>
      </c>
      <c r="Q66" s="275">
        <f>Q58+Q60+Q62+Q64</f>
        <v>568111.06542420341</v>
      </c>
      <c r="R66" s="276">
        <f>R58+R60+R62+R64</f>
        <v>568111.06542420341</v>
      </c>
      <c r="S66" s="255">
        <f t="shared" si="12"/>
        <v>558651.28810318897</v>
      </c>
      <c r="T66" s="249" t="s">
        <v>12</v>
      </c>
      <c r="U66" s="224" t="s">
        <v>12</v>
      </c>
    </row>
    <row r="67" spans="2:22" ht="13.8" thickTop="1" x14ac:dyDescent="0.25">
      <c r="B67" s="624"/>
      <c r="C67" s="621"/>
      <c r="D67" s="621"/>
      <c r="E67" s="621"/>
      <c r="F67" s="621"/>
      <c r="G67" s="621"/>
      <c r="H67" s="621"/>
      <c r="I67" s="622"/>
      <c r="J67" s="622"/>
      <c r="K67" s="622"/>
      <c r="L67" s="622"/>
      <c r="M67" s="622"/>
      <c r="N67" s="622"/>
      <c r="O67" s="622"/>
      <c r="P67" s="622"/>
      <c r="Q67" s="622"/>
      <c r="R67" s="622"/>
      <c r="S67" s="625"/>
      <c r="T67" s="626"/>
      <c r="U67" s="627"/>
      <c r="V67" s="5"/>
    </row>
    <row r="68" spans="2:22" ht="13.8" thickBot="1" x14ac:dyDescent="0.3"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5"/>
    </row>
    <row r="69" spans="2:22" ht="28.2" thickTop="1" thickBot="1" x14ac:dyDescent="0.35">
      <c r="B69" s="564" t="s">
        <v>28</v>
      </c>
      <c r="C69" s="5"/>
      <c r="D69" s="5"/>
      <c r="E69" s="5"/>
      <c r="F69" s="112" t="s">
        <v>6</v>
      </c>
      <c r="G69" s="1415"/>
      <c r="H69" s="1416"/>
      <c r="I69" s="1417"/>
      <c r="J69" s="181" t="s">
        <v>28</v>
      </c>
      <c r="K69" s="426"/>
      <c r="L69" s="67"/>
      <c r="M69" s="181" t="s">
        <v>28</v>
      </c>
      <c r="N69" s="426"/>
      <c r="O69" s="67"/>
      <c r="P69" s="181" t="s">
        <v>28</v>
      </c>
      <c r="Q69" s="426"/>
      <c r="R69" s="67"/>
      <c r="S69" s="546" t="s">
        <v>17</v>
      </c>
      <c r="T69" s="547" t="s">
        <v>103</v>
      </c>
      <c r="U69" s="628" t="s">
        <v>79</v>
      </c>
    </row>
    <row r="70" spans="2:22" x14ac:dyDescent="0.25">
      <c r="B70" s="555"/>
      <c r="C70" s="5"/>
      <c r="D70" s="5"/>
      <c r="E70" s="5"/>
      <c r="F70" s="7"/>
      <c r="G70" s="5"/>
      <c r="H70" s="5"/>
      <c r="I70" s="45" t="s">
        <v>61</v>
      </c>
      <c r="J70" s="1366" t="s">
        <v>61</v>
      </c>
      <c r="K70" s="1422" t="s">
        <v>57</v>
      </c>
      <c r="L70" s="1423"/>
      <c r="M70" s="1363" t="s">
        <v>61</v>
      </c>
      <c r="N70" s="1432" t="s">
        <v>57</v>
      </c>
      <c r="O70" s="1436"/>
      <c r="P70" s="318" t="s">
        <v>61</v>
      </c>
      <c r="Q70" s="1422" t="s">
        <v>57</v>
      </c>
      <c r="R70" s="1423"/>
      <c r="S70" s="170"/>
      <c r="T70" s="133"/>
      <c r="U70" s="37"/>
    </row>
    <row r="71" spans="2:22" x14ac:dyDescent="0.25">
      <c r="B71" s="557"/>
      <c r="C71" s="1360" t="s">
        <v>45</v>
      </c>
      <c r="D71" s="1367" t="s">
        <v>46</v>
      </c>
      <c r="E71" s="1360" t="s">
        <v>47</v>
      </c>
      <c r="F71" s="1360" t="s">
        <v>48</v>
      </c>
      <c r="G71" s="1360" t="s">
        <v>49</v>
      </c>
      <c r="H71" s="1360" t="s">
        <v>50</v>
      </c>
      <c r="I71" s="45" t="s">
        <v>13</v>
      </c>
      <c r="J71" s="260" t="s">
        <v>56</v>
      </c>
      <c r="K71" s="1364" t="s">
        <v>13</v>
      </c>
      <c r="L71" s="1365" t="s">
        <v>68</v>
      </c>
      <c r="M71" s="77" t="s">
        <v>56</v>
      </c>
      <c r="N71" s="1367" t="s">
        <v>13</v>
      </c>
      <c r="O71" s="1368" t="s">
        <v>68</v>
      </c>
      <c r="P71" s="260" t="s">
        <v>56</v>
      </c>
      <c r="Q71" s="1364" t="s">
        <v>13</v>
      </c>
      <c r="R71" s="1365" t="s">
        <v>68</v>
      </c>
      <c r="S71" s="120"/>
      <c r="T71" s="133"/>
      <c r="U71" s="37"/>
    </row>
    <row r="72" spans="2:22" x14ac:dyDescent="0.25">
      <c r="B72" s="557" t="s">
        <v>111</v>
      </c>
      <c r="C72" s="21">
        <v>0</v>
      </c>
      <c r="D72" s="21">
        <v>0</v>
      </c>
      <c r="E72" s="21">
        <v>0</v>
      </c>
      <c r="F72" s="21">
        <v>8</v>
      </c>
      <c r="G72" s="21">
        <v>8</v>
      </c>
      <c r="H72" s="21">
        <v>0</v>
      </c>
      <c r="I72" s="52">
        <f>SUM(C72:H72)</f>
        <v>16</v>
      </c>
      <c r="J72" s="263" t="s">
        <v>12</v>
      </c>
      <c r="K72" s="281">
        <f>I72*$L$4</f>
        <v>688</v>
      </c>
      <c r="L72" s="289">
        <f>K72</f>
        <v>688</v>
      </c>
      <c r="M72" s="58" t="s">
        <v>12</v>
      </c>
      <c r="N72" s="69">
        <f>$I$72*$O$4</f>
        <v>688</v>
      </c>
      <c r="O72" s="68">
        <f>N72</f>
        <v>688</v>
      </c>
      <c r="P72" s="263" t="s">
        <v>12</v>
      </c>
      <c r="Q72" s="281">
        <f>$I$72*$O$4</f>
        <v>688</v>
      </c>
      <c r="R72" s="289">
        <f>Q72</f>
        <v>688</v>
      </c>
      <c r="S72" s="121">
        <f>AVERAGE(L72,O72,R72)</f>
        <v>688</v>
      </c>
      <c r="T72" s="135" t="s">
        <v>12</v>
      </c>
      <c r="U72" s="136" t="s">
        <v>12</v>
      </c>
    </row>
    <row r="73" spans="2:22" ht="13.8" thickBot="1" x14ac:dyDescent="0.3">
      <c r="B73" s="568" t="s">
        <v>8</v>
      </c>
      <c r="C73" s="34">
        <f>ROUND(C72*Labor!$D$3,0)</f>
        <v>0</v>
      </c>
      <c r="D73" s="35">
        <f>ROUND(D72*Labor!$D$4,0)</f>
        <v>0</v>
      </c>
      <c r="E73" s="35">
        <f>ROUND(E72*Labor!$D$5,0)</f>
        <v>0</v>
      </c>
      <c r="F73" s="35">
        <f>ROUND(F72*Labor!$D$6,0)</f>
        <v>394</v>
      </c>
      <c r="G73" s="35">
        <f>ROUND(G72*Labor!$D$7,0)</f>
        <v>444</v>
      </c>
      <c r="H73" s="35">
        <f>ROUND(H72*Labor!$D$8,0)</f>
        <v>0</v>
      </c>
      <c r="I73" s="39">
        <f>SUM(C73:H73)</f>
        <v>838</v>
      </c>
      <c r="J73" s="268">
        <f>HLOOKUP(Labor!$B$11,InflationTable,2)*I73</f>
        <v>1131.9719491602784</v>
      </c>
      <c r="K73" s="269">
        <f>J73*$L$4</f>
        <v>48674.793813891971</v>
      </c>
      <c r="L73" s="308">
        <f>K73</f>
        <v>48674.793813891971</v>
      </c>
      <c r="M73" s="362">
        <f>HLOOKUP(Labor!$B$11,InflationTable,3)*$I$73</f>
        <v>1162.8890930648806</v>
      </c>
      <c r="N73" s="63">
        <f>M73*$O$4</f>
        <v>50004.231001789864</v>
      </c>
      <c r="O73" s="95">
        <f>N73</f>
        <v>50004.231001789864</v>
      </c>
      <c r="P73" s="268">
        <f>HLOOKUP(Labor!$B$11,InflationTable,4)*$I73</f>
        <v>1176.8239618570103</v>
      </c>
      <c r="Q73" s="269">
        <f>P73*$R$4</f>
        <v>50603.430359851445</v>
      </c>
      <c r="R73" s="308">
        <f>Q73</f>
        <v>50603.430359851445</v>
      </c>
      <c r="S73" s="128">
        <f>AVERAGE(L73,O73,R73)</f>
        <v>49760.818391844427</v>
      </c>
      <c r="T73" s="137" t="s">
        <v>12</v>
      </c>
      <c r="U73" s="149" t="s">
        <v>12</v>
      </c>
    </row>
    <row r="74" spans="2:22" x14ac:dyDescent="0.25">
      <c r="B74" s="559" t="s">
        <v>110</v>
      </c>
      <c r="C74" s="346">
        <v>0</v>
      </c>
      <c r="D74" s="346">
        <v>0</v>
      </c>
      <c r="E74" s="346">
        <v>0</v>
      </c>
      <c r="F74" s="346">
        <v>16</v>
      </c>
      <c r="G74" s="346">
        <v>0</v>
      </c>
      <c r="H74" s="346">
        <v>0</v>
      </c>
      <c r="I74" s="347">
        <f>SUM(C74:H74)</f>
        <v>16</v>
      </c>
      <c r="J74" s="293" t="s">
        <v>12</v>
      </c>
      <c r="K74" s="327">
        <f>I74*$L$4</f>
        <v>688</v>
      </c>
      <c r="L74" s="328">
        <f>K74</f>
        <v>688</v>
      </c>
      <c r="M74" s="61" t="s">
        <v>12</v>
      </c>
      <c r="N74" s="348">
        <f>$I$74*$O$4</f>
        <v>688</v>
      </c>
      <c r="O74" s="349">
        <f>N74</f>
        <v>688</v>
      </c>
      <c r="P74" s="293" t="s">
        <v>12</v>
      </c>
      <c r="Q74" s="327">
        <f>$I$74*$O$4</f>
        <v>688</v>
      </c>
      <c r="R74" s="328">
        <f>Q74</f>
        <v>688</v>
      </c>
      <c r="S74" s="129">
        <f>AVERAGE(L74,O74,R74)</f>
        <v>688</v>
      </c>
      <c r="T74" s="135" t="s">
        <v>12</v>
      </c>
      <c r="U74" s="136" t="s">
        <v>12</v>
      </c>
    </row>
    <row r="75" spans="2:22" ht="13.8" thickBot="1" x14ac:dyDescent="0.3">
      <c r="B75" s="568" t="s">
        <v>8</v>
      </c>
      <c r="C75" s="34">
        <f>ROUND(C74*Labor!$D$3,0)</f>
        <v>0</v>
      </c>
      <c r="D75" s="35">
        <f>ROUND(D74*Labor!$D$4,0)</f>
        <v>0</v>
      </c>
      <c r="E75" s="35">
        <f>ROUND(E74*Labor!$D$5,0)</f>
        <v>0</v>
      </c>
      <c r="F75" s="35">
        <f>ROUND(F74*Labor!$D$6,0)</f>
        <v>788</v>
      </c>
      <c r="G75" s="35">
        <f>ROUND(G74*Labor!$D$7,0)</f>
        <v>0</v>
      </c>
      <c r="H75" s="35">
        <f>ROUND(H74*Labor!$D$8,0)</f>
        <v>0</v>
      </c>
      <c r="I75" s="39">
        <f>SUM(C75:H75)</f>
        <v>788</v>
      </c>
      <c r="J75" s="268">
        <f>HLOOKUP(Labor!$B$11,InflationTable,2)*I75</f>
        <v>1064.431856728281</v>
      </c>
      <c r="K75" s="269">
        <f>J75*$L$4</f>
        <v>45770.569839316086</v>
      </c>
      <c r="L75" s="308">
        <f>K75</f>
        <v>45770.569839316086</v>
      </c>
      <c r="M75" s="362">
        <f>HLOOKUP(Labor!$B$11,InflationTable,3)*$I$75</f>
        <v>1093.5043023092196</v>
      </c>
      <c r="N75" s="63">
        <f>M75*$O$4</f>
        <v>47020.684999296442</v>
      </c>
      <c r="O75" s="95">
        <f>N75</f>
        <v>47020.684999296442</v>
      </c>
      <c r="P75" s="268">
        <f>HLOOKUP(Labor!$B$11,InflationTable,4)*$I75</f>
        <v>1106.6077350159001</v>
      </c>
      <c r="Q75" s="269">
        <f>P75*$R$4</f>
        <v>47584.132605683706</v>
      </c>
      <c r="R75" s="308">
        <f>Q75</f>
        <v>47584.132605683706</v>
      </c>
      <c r="S75" s="128">
        <f>AVERAGE(L75,O75,R75)</f>
        <v>46791.795814765414</v>
      </c>
      <c r="T75" s="137" t="s">
        <v>12</v>
      </c>
      <c r="U75" s="149" t="s">
        <v>12</v>
      </c>
    </row>
    <row r="76" spans="2:22" x14ac:dyDescent="0.25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 x14ac:dyDescent="0.25">
      <c r="B77" s="558" t="s">
        <v>4</v>
      </c>
      <c r="C77" s="21">
        <v>0</v>
      </c>
      <c r="D77" s="21">
        <v>0</v>
      </c>
      <c r="E77" s="21">
        <v>0</v>
      </c>
      <c r="F77" s="21">
        <v>4</v>
      </c>
      <c r="G77" s="21">
        <v>5</v>
      </c>
      <c r="H77" s="21">
        <v>0</v>
      </c>
      <c r="I77" s="52">
        <f t="shared" ref="I77:I82" si="14">SUM(C77:H77)</f>
        <v>9</v>
      </c>
      <c r="J77" s="263" t="s">
        <v>12</v>
      </c>
      <c r="K77" s="281">
        <f>I77*$L$4</f>
        <v>387</v>
      </c>
      <c r="L77" s="289">
        <f t="shared" ref="L77:L82" si="15">K77</f>
        <v>387</v>
      </c>
      <c r="M77" s="58" t="s">
        <v>12</v>
      </c>
      <c r="N77" s="69">
        <f>$I77*$O$4</f>
        <v>387</v>
      </c>
      <c r="O77" s="68">
        <f t="shared" ref="O77:O82" si="16">N77</f>
        <v>387</v>
      </c>
      <c r="P77" s="263" t="s">
        <v>12</v>
      </c>
      <c r="Q77" s="281">
        <f>$I77*$O$4</f>
        <v>387</v>
      </c>
      <c r="R77" s="289">
        <f t="shared" ref="R77:R82" si="17">Q77</f>
        <v>387</v>
      </c>
      <c r="S77" s="121">
        <f t="shared" ref="S77:S82" si="18">AVERAGE(L77,O77,R77)</f>
        <v>387</v>
      </c>
      <c r="T77" s="135" t="s">
        <v>12</v>
      </c>
      <c r="U77" s="136" t="s">
        <v>12</v>
      </c>
    </row>
    <row r="78" spans="2:22" ht="13.8" thickBot="1" x14ac:dyDescent="0.3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197</v>
      </c>
      <c r="G78" s="35">
        <f>ROUND(G77*Labor!$D$7,0)</f>
        <v>277</v>
      </c>
      <c r="H78" s="35">
        <f>ROUND(H77*Labor!$D$8,0)</f>
        <v>0</v>
      </c>
      <c r="I78" s="39">
        <f t="shared" si="14"/>
        <v>474</v>
      </c>
      <c r="J78" s="268">
        <f>HLOOKUP(Labor!$B$11,InflationTable,2)*I78</f>
        <v>640.28007625533655</v>
      </c>
      <c r="K78" s="269">
        <f>J78*$L$4</f>
        <v>27532.043278979472</v>
      </c>
      <c r="L78" s="308">
        <f t="shared" si="15"/>
        <v>27532.043278979472</v>
      </c>
      <c r="M78" s="362">
        <f>HLOOKUP(Labor!$B$11,InflationTable,3)*$I78</f>
        <v>657.76781636366763</v>
      </c>
      <c r="N78" s="63">
        <f>M78*$O$4</f>
        <v>28284.016103637707</v>
      </c>
      <c r="O78" s="95">
        <f t="shared" si="16"/>
        <v>28284.016103637707</v>
      </c>
      <c r="P78" s="268">
        <f>HLOOKUP(Labor!$B$11,InflationTable,4)*$I78</f>
        <v>665.64983045372662</v>
      </c>
      <c r="Q78" s="269">
        <f>P78*$R$4</f>
        <v>28622.942709510244</v>
      </c>
      <c r="R78" s="308">
        <f t="shared" si="17"/>
        <v>28622.942709510244</v>
      </c>
      <c r="S78" s="128">
        <f t="shared" si="18"/>
        <v>28146.334030709142</v>
      </c>
      <c r="T78" s="137" t="s">
        <v>12</v>
      </c>
      <c r="U78" s="149" t="s">
        <v>12</v>
      </c>
    </row>
    <row r="79" spans="2:22" x14ac:dyDescent="0.25">
      <c r="B79" s="559" t="s">
        <v>109</v>
      </c>
      <c r="C79" s="346">
        <v>0</v>
      </c>
      <c r="D79" s="346">
        <v>0</v>
      </c>
      <c r="E79" s="346">
        <v>0</v>
      </c>
      <c r="F79" s="346">
        <v>0</v>
      </c>
      <c r="G79" s="346">
        <v>20</v>
      </c>
      <c r="H79" s="346">
        <v>0</v>
      </c>
      <c r="I79" s="347">
        <f t="shared" si="14"/>
        <v>20</v>
      </c>
      <c r="J79" s="293" t="s">
        <v>12</v>
      </c>
      <c r="K79" s="327">
        <f>I79*$L$4</f>
        <v>860</v>
      </c>
      <c r="L79" s="328">
        <f t="shared" si="15"/>
        <v>860</v>
      </c>
      <c r="M79" s="61" t="s">
        <v>12</v>
      </c>
      <c r="N79" s="348">
        <f>$I79*$O$4</f>
        <v>860</v>
      </c>
      <c r="O79" s="349">
        <f t="shared" si="16"/>
        <v>860</v>
      </c>
      <c r="P79" s="293" t="s">
        <v>12</v>
      </c>
      <c r="Q79" s="327">
        <f>$I79*$O$4</f>
        <v>860</v>
      </c>
      <c r="R79" s="328">
        <f t="shared" si="17"/>
        <v>860</v>
      </c>
      <c r="S79" s="129">
        <f t="shared" si="18"/>
        <v>860</v>
      </c>
      <c r="T79" s="135" t="s">
        <v>12</v>
      </c>
      <c r="U79" s="136" t="s">
        <v>12</v>
      </c>
    </row>
    <row r="80" spans="2:22" ht="13.8" thickBot="1" x14ac:dyDescent="0.3">
      <c r="B80" s="568" t="s">
        <v>8</v>
      </c>
      <c r="C80" s="34">
        <f>ROUND(C79*Labor!$D$3,0)</f>
        <v>0</v>
      </c>
      <c r="D80" s="35">
        <f>ROUND(D79*Labor!$D$4,0)</f>
        <v>0</v>
      </c>
      <c r="E80" s="35">
        <f>ROUND(E79*Labor!$D$5,0)</f>
        <v>0</v>
      </c>
      <c r="F80" s="35">
        <f>ROUND(F79*Labor!$D$6,0)</f>
        <v>0</v>
      </c>
      <c r="G80" s="35">
        <f>ROUND(G79*Labor!$D$7,0)</f>
        <v>1109</v>
      </c>
      <c r="H80" s="35">
        <f>ROUND(H79*Labor!$D$8,0)</f>
        <v>0</v>
      </c>
      <c r="I80" s="39">
        <f t="shared" si="14"/>
        <v>1109</v>
      </c>
      <c r="J80" s="268">
        <f>HLOOKUP(Labor!$B$11,InflationTable,2)*I80</f>
        <v>1498.039250141705</v>
      </c>
      <c r="K80" s="269">
        <f>J80*$L$4</f>
        <v>64415.687756093314</v>
      </c>
      <c r="L80" s="308">
        <f t="shared" si="15"/>
        <v>64415.687756093314</v>
      </c>
      <c r="M80" s="362">
        <f>HLOOKUP(Labor!$B$11,InflationTable,3)*$I80</f>
        <v>1538.9546589605641</v>
      </c>
      <c r="N80" s="63">
        <f>M80*$O$4</f>
        <v>66175.050335304259</v>
      </c>
      <c r="O80" s="95">
        <f t="shared" si="16"/>
        <v>66175.050335304259</v>
      </c>
      <c r="P80" s="268">
        <f>HLOOKUP(Labor!$B$11,InflationTable,4)*$I80</f>
        <v>1557.3959113358289</v>
      </c>
      <c r="Q80" s="269">
        <f>P80*$R$4</f>
        <v>66968.024187440649</v>
      </c>
      <c r="R80" s="308">
        <f t="shared" si="17"/>
        <v>66968.024187440649</v>
      </c>
      <c r="S80" s="172">
        <f t="shared" si="18"/>
        <v>65852.920759612738</v>
      </c>
      <c r="T80" s="118" t="s">
        <v>12</v>
      </c>
      <c r="U80" s="119" t="s">
        <v>12</v>
      </c>
    </row>
    <row r="81" spans="2:21" x14ac:dyDescent="0.25">
      <c r="B81" s="559" t="s">
        <v>108</v>
      </c>
      <c r="C81" s="346">
        <v>0</v>
      </c>
      <c r="D81" s="346">
        <v>0</v>
      </c>
      <c r="E81" s="346">
        <v>0</v>
      </c>
      <c r="F81" s="346">
        <v>6</v>
      </c>
      <c r="G81" s="346">
        <v>2</v>
      </c>
      <c r="H81" s="346">
        <v>0</v>
      </c>
      <c r="I81" s="347">
        <f t="shared" si="14"/>
        <v>8</v>
      </c>
      <c r="J81" s="293" t="s">
        <v>12</v>
      </c>
      <c r="K81" s="327">
        <f>I81*$L$4</f>
        <v>344</v>
      </c>
      <c r="L81" s="328">
        <f t="shared" si="15"/>
        <v>344</v>
      </c>
      <c r="M81" s="61" t="s">
        <v>12</v>
      </c>
      <c r="N81" s="348">
        <f>$I81*$O$4</f>
        <v>344</v>
      </c>
      <c r="O81" s="349">
        <f t="shared" si="16"/>
        <v>344</v>
      </c>
      <c r="P81" s="293" t="s">
        <v>12</v>
      </c>
      <c r="Q81" s="327">
        <f>$I81*$O$4</f>
        <v>344</v>
      </c>
      <c r="R81" s="328">
        <f t="shared" si="17"/>
        <v>344</v>
      </c>
      <c r="S81" s="121">
        <f t="shared" si="18"/>
        <v>344</v>
      </c>
      <c r="T81" s="135" t="s">
        <v>12</v>
      </c>
      <c r="U81" s="136" t="s">
        <v>12</v>
      </c>
    </row>
    <row r="82" spans="2:21" ht="13.8" thickBot="1" x14ac:dyDescent="0.3">
      <c r="B82" s="568" t="s">
        <v>8</v>
      </c>
      <c r="C82" s="34">
        <f>ROUND(C81*Labor!$D$3,0)</f>
        <v>0</v>
      </c>
      <c r="D82" s="35">
        <f>ROUND(D81*Labor!$D$4,0)</f>
        <v>0</v>
      </c>
      <c r="E82" s="35">
        <f>ROUND(E81*Labor!$D$5,0)</f>
        <v>0</v>
      </c>
      <c r="F82" s="35">
        <f>ROUND(F81*Labor!$D$6,0)</f>
        <v>296</v>
      </c>
      <c r="G82" s="35">
        <f>ROUND(G81*Labor!$D$7,0)</f>
        <v>111</v>
      </c>
      <c r="H82" s="35">
        <f>ROUND(H81*Labor!$D$8,0)</f>
        <v>0</v>
      </c>
      <c r="I82" s="39">
        <f t="shared" si="14"/>
        <v>407</v>
      </c>
      <c r="J82" s="268">
        <f>HLOOKUP(Labor!$B$11,InflationTable,2)*I82</f>
        <v>549.77635239645986</v>
      </c>
      <c r="K82" s="269">
        <f>J82*$L$4</f>
        <v>23640.383153047773</v>
      </c>
      <c r="L82" s="308">
        <f t="shared" si="15"/>
        <v>23640.383153047773</v>
      </c>
      <c r="M82" s="362">
        <f>HLOOKUP(Labor!$B$11,InflationTable,3)*$I82</f>
        <v>564.79219675108163</v>
      </c>
      <c r="N82" s="63">
        <f>M82*$O$4</f>
        <v>24286.064460296511</v>
      </c>
      <c r="O82" s="95">
        <f t="shared" si="16"/>
        <v>24286.064460296511</v>
      </c>
      <c r="P82" s="268">
        <f>HLOOKUP(Labor!$B$11,InflationTable,4)*$I82</f>
        <v>571.56008648663874</v>
      </c>
      <c r="Q82" s="269">
        <f>P82*$R$4</f>
        <v>24577.083718925467</v>
      </c>
      <c r="R82" s="308">
        <f t="shared" si="17"/>
        <v>24577.083718925467</v>
      </c>
      <c r="S82" s="128">
        <f t="shared" si="18"/>
        <v>24167.843777423248</v>
      </c>
      <c r="T82" s="137" t="s">
        <v>12</v>
      </c>
      <c r="U82" s="149" t="s">
        <v>12</v>
      </c>
    </row>
    <row r="83" spans="2:21" x14ac:dyDescent="0.25">
      <c r="B83" s="565" t="s">
        <v>29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109" t="s">
        <v>112</v>
      </c>
      <c r="J83" s="351"/>
      <c r="K83" s="352"/>
      <c r="L83" s="356"/>
      <c r="M83" s="110" t="s">
        <v>113</v>
      </c>
      <c r="N83" s="108" t="s">
        <v>13</v>
      </c>
      <c r="O83" s="111" t="s">
        <v>68</v>
      </c>
      <c r="P83" s="351" t="s">
        <v>113</v>
      </c>
      <c r="Q83" s="352" t="s">
        <v>13</v>
      </c>
      <c r="R83" s="356" t="s">
        <v>68</v>
      </c>
      <c r="S83" s="123"/>
      <c r="T83" s="133"/>
      <c r="U83" s="37"/>
    </row>
    <row r="84" spans="2:21" x14ac:dyDescent="0.25">
      <c r="B84" s="569" t="s">
        <v>51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52">
        <f>SUM(C84:H84)</f>
        <v>0</v>
      </c>
      <c r="J84" s="263" t="s">
        <v>12</v>
      </c>
      <c r="K84" s="314">
        <f>I84*$J$5</f>
        <v>0</v>
      </c>
      <c r="L84" s="289">
        <f>K84</f>
        <v>0</v>
      </c>
      <c r="M84" s="58" t="s">
        <v>12</v>
      </c>
      <c r="N84" s="89">
        <f>$I84*M$5</f>
        <v>0</v>
      </c>
      <c r="O84" s="68">
        <f>N84</f>
        <v>0</v>
      </c>
      <c r="P84" s="263" t="s">
        <v>12</v>
      </c>
      <c r="Q84" s="314">
        <f>$I84*P$5</f>
        <v>0</v>
      </c>
      <c r="R84" s="289">
        <f>Q84</f>
        <v>0</v>
      </c>
      <c r="S84" s="121">
        <f>AVERAGE(L84,O84,R84)</f>
        <v>0</v>
      </c>
      <c r="T84" s="135" t="s">
        <v>12</v>
      </c>
      <c r="U84" s="136" t="s">
        <v>12</v>
      </c>
    </row>
    <row r="85" spans="2:21" ht="13.8" thickBot="1" x14ac:dyDescent="0.3">
      <c r="B85" s="567" t="s">
        <v>107</v>
      </c>
      <c r="C85" s="34">
        <f>ROUND(C84*Labor!$D$3,0)</f>
        <v>0</v>
      </c>
      <c r="D85" s="35">
        <f>ROUND(D84*Labor!$D$4,0)</f>
        <v>0</v>
      </c>
      <c r="E85" s="35">
        <f>ROUND(E84*Labor!$D$5,0)</f>
        <v>0</v>
      </c>
      <c r="F85" s="35">
        <f>ROUND(F84*Labor!$D$6,0)</f>
        <v>0</v>
      </c>
      <c r="G85" s="35">
        <f>ROUND(G84*Labor!$D$7,0)</f>
        <v>0</v>
      </c>
      <c r="H85" s="35">
        <f>ROUND(H84*Labor!$D$8,0)</f>
        <v>0</v>
      </c>
      <c r="I85" s="39">
        <f>SUM(C85:H85)</f>
        <v>0</v>
      </c>
      <c r="J85" s="268">
        <f>HLOOKUP(Labor!$B$11,InflationTable,2)*I85</f>
        <v>0</v>
      </c>
      <c r="K85" s="269">
        <f>J85*$J$5</f>
        <v>0</v>
      </c>
      <c r="L85" s="308">
        <f>K85</f>
        <v>0</v>
      </c>
      <c r="M85" s="362">
        <f>HLOOKUP(Labor!$B$11,InflationTable,3)*$I85</f>
        <v>0</v>
      </c>
      <c r="N85" s="63">
        <f>M85*$M$5</f>
        <v>0</v>
      </c>
      <c r="O85" s="95">
        <f>N85</f>
        <v>0</v>
      </c>
      <c r="P85" s="268">
        <f>HLOOKUP(Labor!$B$11,InflationTable,4)*$I85</f>
        <v>0</v>
      </c>
      <c r="Q85" s="269">
        <f>P85*$P$5</f>
        <v>0</v>
      </c>
      <c r="R85" s="308">
        <f>Q85</f>
        <v>0</v>
      </c>
      <c r="S85" s="132">
        <f>AVERAGE(L85,O85,R85)</f>
        <v>0</v>
      </c>
      <c r="T85" s="137" t="s">
        <v>12</v>
      </c>
      <c r="U85" s="149" t="s">
        <v>12</v>
      </c>
    </row>
    <row r="86" spans="2:21" x14ac:dyDescent="0.25">
      <c r="B86" s="565" t="s">
        <v>106</v>
      </c>
      <c r="C86" s="32"/>
      <c r="D86" s="431" t="s">
        <v>54</v>
      </c>
      <c r="E86" s="28">
        <v>5</v>
      </c>
      <c r="F86" s="7"/>
      <c r="G86" s="5"/>
      <c r="H86" s="5"/>
      <c r="I86" s="109" t="s">
        <v>55</v>
      </c>
      <c r="J86" s="259"/>
      <c r="K86" s="1361"/>
      <c r="L86" s="543"/>
      <c r="M86" s="364" t="s">
        <v>55</v>
      </c>
      <c r="N86" s="1434" t="s">
        <v>57</v>
      </c>
      <c r="O86" s="1435"/>
      <c r="P86" s="259" t="s">
        <v>55</v>
      </c>
      <c r="Q86" s="1431" t="s">
        <v>57</v>
      </c>
      <c r="R86" s="1439"/>
      <c r="S86" s="170"/>
      <c r="T86" s="133"/>
      <c r="U86" s="37"/>
    </row>
    <row r="87" spans="2:21" x14ac:dyDescent="0.25">
      <c r="B87" s="569" t="s">
        <v>51</v>
      </c>
      <c r="C87" s="21">
        <v>0</v>
      </c>
      <c r="D87" s="21">
        <v>0</v>
      </c>
      <c r="E87" s="21">
        <v>0</v>
      </c>
      <c r="F87" s="21">
        <v>0</v>
      </c>
      <c r="G87" s="21">
        <v>10</v>
      </c>
      <c r="H87" s="21">
        <v>5</v>
      </c>
      <c r="I87" s="52">
        <f>SUM(C87:H87)</f>
        <v>15</v>
      </c>
      <c r="J87" s="263" t="s">
        <v>12</v>
      </c>
      <c r="K87" s="283">
        <f>I87*$J$5</f>
        <v>585</v>
      </c>
      <c r="L87" s="282">
        <f>K87/$E$86</f>
        <v>117</v>
      </c>
      <c r="M87" s="58" t="s">
        <v>12</v>
      </c>
      <c r="N87" s="60">
        <f>$I$87*$M$5</f>
        <v>585</v>
      </c>
      <c r="O87" s="59">
        <f>N87/$E$86</f>
        <v>117</v>
      </c>
      <c r="P87" s="263" t="s">
        <v>12</v>
      </c>
      <c r="Q87" s="283">
        <f>$I$87*$P$5</f>
        <v>585</v>
      </c>
      <c r="R87" s="282">
        <f>Q87/$E$86</f>
        <v>117</v>
      </c>
      <c r="S87" s="121">
        <f>AVERAGE(L87,O87,R87)</f>
        <v>117</v>
      </c>
      <c r="T87" s="135" t="s">
        <v>12</v>
      </c>
      <c r="U87" s="136" t="s">
        <v>12</v>
      </c>
    </row>
    <row r="88" spans="2:21" ht="13.8" thickBot="1" x14ac:dyDescent="0.3">
      <c r="B88" s="567" t="s">
        <v>105</v>
      </c>
      <c r="C88" s="34">
        <f>ROUND(C87*Labor!$D$3,0)</f>
        <v>0</v>
      </c>
      <c r="D88" s="35">
        <f>ROUND(D87*Labor!$D$4,0)</f>
        <v>0</v>
      </c>
      <c r="E88" s="35">
        <f>ROUND(E87*Labor!$D$5,0)</f>
        <v>0</v>
      </c>
      <c r="F88" s="35">
        <f>ROUND(F87*Labor!$D$6,0)</f>
        <v>0</v>
      </c>
      <c r="G88" s="35">
        <f>ROUND(G87*Labor!$D$7,0)</f>
        <v>555</v>
      </c>
      <c r="H88" s="35">
        <f>ROUND(H87*Labor!$D$8,0)</f>
        <v>293</v>
      </c>
      <c r="I88" s="39">
        <f>SUM(C88:H88)</f>
        <v>848</v>
      </c>
      <c r="J88" s="268">
        <f>HLOOKUP(Labor!$B$11,InflationTable,2)*I88</f>
        <v>1145.479967646678</v>
      </c>
      <c r="K88" s="269">
        <f>J88*$J$5</f>
        <v>44673.718738220443</v>
      </c>
      <c r="L88" s="270">
        <f>K88/$E$86</f>
        <v>8934.7437476440882</v>
      </c>
      <c r="M88" s="91">
        <f>HLOOKUP(Labor!$B$11,InflationTable,3)*$I88</f>
        <v>1176.766051216013</v>
      </c>
      <c r="N88" s="63">
        <f>M88*$M$5</f>
        <v>45893.875997424504</v>
      </c>
      <c r="O88" s="64">
        <f>N88/$E$86</f>
        <v>9178.7751994849004</v>
      </c>
      <c r="P88" s="292">
        <f>HLOOKUP(Labor!$B$11,InflationTable,4)*$I88</f>
        <v>1190.8672072252325</v>
      </c>
      <c r="Q88" s="269">
        <f>P88*$P$5</f>
        <v>46443.821081784066</v>
      </c>
      <c r="R88" s="270">
        <f>Q88/$E$86</f>
        <v>9288.7642163568125</v>
      </c>
      <c r="S88" s="128">
        <f>AVERAGE(L88,O88,R88)</f>
        <v>9134.0943878285998</v>
      </c>
      <c r="T88" s="137" t="s">
        <v>12</v>
      </c>
      <c r="U88" s="149" t="s">
        <v>12</v>
      </c>
    </row>
    <row r="89" spans="2:21" x14ac:dyDescent="0.25">
      <c r="B89" s="560" t="s">
        <v>66</v>
      </c>
      <c r="C89" s="42">
        <f t="shared" ref="C89:I90" si="19">C72+C74+C77+C79+C81+C84+C87</f>
        <v>0</v>
      </c>
      <c r="D89" s="42">
        <f t="shared" si="19"/>
        <v>0</v>
      </c>
      <c r="E89" s="42">
        <f t="shared" si="19"/>
        <v>0</v>
      </c>
      <c r="F89" s="42">
        <f t="shared" si="19"/>
        <v>34</v>
      </c>
      <c r="G89" s="42">
        <f t="shared" si="19"/>
        <v>45</v>
      </c>
      <c r="H89" s="42">
        <f t="shared" si="19"/>
        <v>5</v>
      </c>
      <c r="I89" s="53">
        <f t="shared" si="19"/>
        <v>84</v>
      </c>
      <c r="J89" s="293" t="s">
        <v>12</v>
      </c>
      <c r="K89" s="315" t="s">
        <v>12</v>
      </c>
      <c r="L89" s="316">
        <f>L87+K84+K81+K79+K77+K74+K72</f>
        <v>3084</v>
      </c>
      <c r="M89" s="92" t="s">
        <v>12</v>
      </c>
      <c r="N89" s="42" t="s">
        <v>12</v>
      </c>
      <c r="O89" s="90">
        <f>O87+N84+N81+N79+N77+N74+N72</f>
        <v>3084</v>
      </c>
      <c r="P89" s="293" t="s">
        <v>12</v>
      </c>
      <c r="Q89" s="315" t="s">
        <v>12</v>
      </c>
      <c r="R89" s="316">
        <f>R87+Q84+Q81+Q79+Q77+Q74+Q72</f>
        <v>3084</v>
      </c>
      <c r="S89" s="150">
        <f>AVERAGE(L89,O89,R89)</f>
        <v>3084</v>
      </c>
      <c r="T89" s="133"/>
      <c r="U89" s="37"/>
    </row>
    <row r="90" spans="2:21" ht="13.8" thickBot="1" x14ac:dyDescent="0.3">
      <c r="B90" s="561" t="s">
        <v>67</v>
      </c>
      <c r="C90" s="240">
        <f t="shared" si="19"/>
        <v>0</v>
      </c>
      <c r="D90" s="240">
        <f t="shared" si="19"/>
        <v>0</v>
      </c>
      <c r="E90" s="240">
        <f t="shared" si="19"/>
        <v>0</v>
      </c>
      <c r="F90" s="240">
        <f t="shared" si="19"/>
        <v>1675</v>
      </c>
      <c r="G90" s="240">
        <f t="shared" si="19"/>
        <v>2496</v>
      </c>
      <c r="H90" s="240">
        <f t="shared" si="19"/>
        <v>293</v>
      </c>
      <c r="I90" s="243">
        <f t="shared" si="19"/>
        <v>4464</v>
      </c>
      <c r="J90" s="274">
        <f>J73+J75+J78+J80+J82+J85+J88</f>
        <v>6029.9794523287383</v>
      </c>
      <c r="K90" s="317" t="s">
        <v>12</v>
      </c>
      <c r="L90" s="306">
        <f>L88+K85+K82+K80+K78+K75+K73</f>
        <v>218968.22158897269</v>
      </c>
      <c r="M90" s="242">
        <f>M73+M75+M78+M80+M82+M85+M88</f>
        <v>6194.6741186654272</v>
      </c>
      <c r="N90" s="256" t="s">
        <v>12</v>
      </c>
      <c r="O90" s="254">
        <f>O88+N85+N82+N80+N78+N75+N73</f>
        <v>224948.82209980968</v>
      </c>
      <c r="P90" s="274">
        <f>P73+P75+P78+P80+P82+P85+P88</f>
        <v>6268.9047323743362</v>
      </c>
      <c r="Q90" s="317" t="s">
        <v>12</v>
      </c>
      <c r="R90" s="306">
        <f>R88+Q85+Q82+Q80+Q78+Q75+Q73</f>
        <v>227644.37779776833</v>
      </c>
      <c r="S90" s="248">
        <f>AVERAGE(L90,O90,R90)</f>
        <v>223853.80716218357</v>
      </c>
      <c r="T90" s="246"/>
      <c r="U90" s="236"/>
    </row>
    <row r="91" spans="2:21" ht="14.4" thickTop="1" thickBot="1" x14ac:dyDescent="0.3">
      <c r="B91" s="619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618"/>
      <c r="U91" s="620"/>
    </row>
    <row r="92" spans="2:21" ht="16.2" thickTop="1" x14ac:dyDescent="0.3">
      <c r="B92" s="562" t="s">
        <v>30</v>
      </c>
      <c r="C92" s="5"/>
      <c r="D92" s="5"/>
      <c r="E92" s="5"/>
      <c r="F92" s="112" t="s">
        <v>6</v>
      </c>
      <c r="G92" s="1415"/>
      <c r="H92" s="1416"/>
      <c r="I92" s="1417"/>
      <c r="J92" s="181" t="s">
        <v>30</v>
      </c>
      <c r="K92" s="426"/>
      <c r="L92" s="67"/>
      <c r="M92" s="181" t="s">
        <v>30</v>
      </c>
      <c r="N92" s="426"/>
      <c r="O92" s="67"/>
      <c r="P92" s="181" t="s">
        <v>30</v>
      </c>
      <c r="Q92" s="319"/>
      <c r="R92" s="180"/>
      <c r="S92" s="225"/>
      <c r="T92" s="133"/>
      <c r="U92" s="37"/>
    </row>
    <row r="93" spans="2:21" x14ac:dyDescent="0.25">
      <c r="B93" s="555"/>
      <c r="C93" s="5"/>
      <c r="D93" s="5"/>
      <c r="E93" s="5"/>
      <c r="F93" s="7"/>
      <c r="G93" s="5"/>
      <c r="H93" s="5"/>
      <c r="I93" s="45" t="s">
        <v>61</v>
      </c>
      <c r="J93" s="1366" t="s">
        <v>61</v>
      </c>
      <c r="K93" s="1422" t="s">
        <v>57</v>
      </c>
      <c r="L93" s="1423"/>
      <c r="M93" s="1363" t="s">
        <v>61</v>
      </c>
      <c r="N93" s="1432" t="s">
        <v>57</v>
      </c>
      <c r="O93" s="1436"/>
      <c r="P93" s="318" t="s">
        <v>61</v>
      </c>
      <c r="Q93" s="1431" t="s">
        <v>57</v>
      </c>
      <c r="R93" s="1439"/>
      <c r="S93" s="131"/>
      <c r="T93" s="133"/>
      <c r="U93" s="37"/>
    </row>
    <row r="94" spans="2:21" x14ac:dyDescent="0.25">
      <c r="B94" s="563" t="s">
        <v>21</v>
      </c>
      <c r="C94" s="1360" t="s">
        <v>45</v>
      </c>
      <c r="D94" s="1367" t="s">
        <v>46</v>
      </c>
      <c r="E94" s="1360" t="s">
        <v>47</v>
      </c>
      <c r="F94" s="1360" t="s">
        <v>48</v>
      </c>
      <c r="G94" s="1360" t="s">
        <v>49</v>
      </c>
      <c r="H94" s="1360" t="s">
        <v>50</v>
      </c>
      <c r="I94" s="45" t="s">
        <v>13</v>
      </c>
      <c r="J94" s="260" t="s">
        <v>56</v>
      </c>
      <c r="K94" s="1364" t="s">
        <v>13</v>
      </c>
      <c r="L94" s="1365" t="s">
        <v>68</v>
      </c>
      <c r="M94" s="77" t="s">
        <v>56</v>
      </c>
      <c r="N94" s="1367" t="s">
        <v>13</v>
      </c>
      <c r="O94" s="1368" t="s">
        <v>68</v>
      </c>
      <c r="P94" s="260" t="s">
        <v>56</v>
      </c>
      <c r="Q94" s="1364" t="s">
        <v>13</v>
      </c>
      <c r="R94" s="1365" t="s">
        <v>68</v>
      </c>
      <c r="S94" s="123"/>
      <c r="T94" s="133"/>
      <c r="U94" s="37"/>
    </row>
    <row r="95" spans="2:21" x14ac:dyDescent="0.25">
      <c r="B95" s="566" t="s">
        <v>4</v>
      </c>
      <c r="C95" s="21">
        <v>0</v>
      </c>
      <c r="D95" s="21">
        <v>0</v>
      </c>
      <c r="E95" s="21">
        <v>0</v>
      </c>
      <c r="F95" s="21">
        <v>0</v>
      </c>
      <c r="G95" s="21">
        <v>20</v>
      </c>
      <c r="H95" s="21">
        <v>0</v>
      </c>
      <c r="I95" s="52">
        <f>SUM(C95:H95)</f>
        <v>20</v>
      </c>
      <c r="J95" s="263" t="s">
        <v>12</v>
      </c>
      <c r="K95" s="281">
        <f>I95*$L$4</f>
        <v>860</v>
      </c>
      <c r="L95" s="289">
        <f>K95</f>
        <v>860</v>
      </c>
      <c r="M95" s="58" t="s">
        <v>12</v>
      </c>
      <c r="N95" s="69">
        <f>$I95*O$4</f>
        <v>860</v>
      </c>
      <c r="O95" s="59">
        <f>N95</f>
        <v>860</v>
      </c>
      <c r="P95" s="263" t="s">
        <v>12</v>
      </c>
      <c r="Q95" s="281">
        <f>$I95*R$4</f>
        <v>860</v>
      </c>
      <c r="R95" s="289">
        <f>Q95</f>
        <v>860</v>
      </c>
      <c r="S95" s="173">
        <f t="shared" ref="S95:S100" si="20">AVERAGE(L95,O95,R95)</f>
        <v>860</v>
      </c>
      <c r="T95" s="135" t="s">
        <v>12</v>
      </c>
      <c r="U95" s="136" t="s">
        <v>12</v>
      </c>
    </row>
    <row r="96" spans="2:21" ht="13.8" thickBot="1" x14ac:dyDescent="0.3">
      <c r="B96" s="567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0</v>
      </c>
      <c r="G96" s="35">
        <f>ROUND(G95*Labor!$D$7,0)</f>
        <v>1109</v>
      </c>
      <c r="H96" s="35">
        <f>ROUND(H95*Labor!$D$8,0)</f>
        <v>0</v>
      </c>
      <c r="I96" s="39">
        <f>SUM(C96:H96)</f>
        <v>1109</v>
      </c>
      <c r="J96" s="268">
        <f>HLOOKUP(Labor!$B$11,InflationTable,2)*I96</f>
        <v>1498.039250141705</v>
      </c>
      <c r="K96" s="269">
        <f>J96*$L$4</f>
        <v>64415.687756093314</v>
      </c>
      <c r="L96" s="308">
        <f>K96</f>
        <v>64415.687756093314</v>
      </c>
      <c r="M96" s="84">
        <f>HLOOKUP(Labor!$B$11,InflationTable,3)*$I96</f>
        <v>1538.9546589605641</v>
      </c>
      <c r="N96" s="63">
        <f>M96*O$4</f>
        <v>66175.050335304259</v>
      </c>
      <c r="O96" s="64">
        <f>N96</f>
        <v>66175.050335304259</v>
      </c>
      <c r="P96" s="268">
        <f>HLOOKUP(Labor!$B$11,InflationTable,4)*$I96</f>
        <v>1557.3959113358289</v>
      </c>
      <c r="Q96" s="269">
        <f>P96*R$4</f>
        <v>66968.024187440649</v>
      </c>
      <c r="R96" s="308">
        <f>Q96</f>
        <v>66968.024187440649</v>
      </c>
      <c r="S96" s="171">
        <f t="shared" si="20"/>
        <v>65852.920759612738</v>
      </c>
      <c r="T96" s="137" t="s">
        <v>12</v>
      </c>
      <c r="U96" s="149" t="s">
        <v>12</v>
      </c>
    </row>
    <row r="97" spans="2:22" x14ac:dyDescent="0.25">
      <c r="B97" s="559" t="s">
        <v>104</v>
      </c>
      <c r="C97" s="346">
        <v>0</v>
      </c>
      <c r="D97" s="346">
        <v>0</v>
      </c>
      <c r="E97" s="346">
        <v>0</v>
      </c>
      <c r="F97" s="346">
        <v>0</v>
      </c>
      <c r="G97" s="346">
        <v>16</v>
      </c>
      <c r="H97" s="346">
        <v>8</v>
      </c>
      <c r="I97" s="347">
        <f>SUM(C97:H97)</f>
        <v>24</v>
      </c>
      <c r="J97" s="293" t="s">
        <v>12</v>
      </c>
      <c r="K97" s="327">
        <f>I97*$L$4</f>
        <v>1032</v>
      </c>
      <c r="L97" s="328">
        <f>K97</f>
        <v>1032</v>
      </c>
      <c r="M97" s="61" t="s">
        <v>12</v>
      </c>
      <c r="N97" s="348">
        <f>$I97*O$4</f>
        <v>1032</v>
      </c>
      <c r="O97" s="349">
        <f>N97</f>
        <v>1032</v>
      </c>
      <c r="P97" s="293" t="s">
        <v>12</v>
      </c>
      <c r="Q97" s="327">
        <f>$I97*R$4</f>
        <v>1032</v>
      </c>
      <c r="R97" s="328">
        <f>Q97</f>
        <v>1032</v>
      </c>
      <c r="S97" s="173">
        <f t="shared" si="20"/>
        <v>1032</v>
      </c>
      <c r="T97" s="135" t="s">
        <v>12</v>
      </c>
      <c r="U97" s="136" t="s">
        <v>12</v>
      </c>
    </row>
    <row r="98" spans="2:22" ht="13.8" thickBot="1" x14ac:dyDescent="0.3">
      <c r="B98" s="568" t="s">
        <v>8</v>
      </c>
      <c r="C98" s="34">
        <f>ROUND(C97*Labor!$D$3,0)</f>
        <v>0</v>
      </c>
      <c r="D98" s="35">
        <f>ROUND(D97*Labor!$D$4,0)</f>
        <v>0</v>
      </c>
      <c r="E98" s="35">
        <f>ROUND(E97*Labor!$D$5,0)</f>
        <v>0</v>
      </c>
      <c r="F98" s="35">
        <f>ROUND(F97*Labor!$D$6,0)</f>
        <v>0</v>
      </c>
      <c r="G98" s="35">
        <f>ROUND(G97*Labor!$D$7,0)</f>
        <v>887</v>
      </c>
      <c r="H98" s="35">
        <f>ROUND(H97*Labor!$D$8,0)</f>
        <v>469</v>
      </c>
      <c r="I98" s="39">
        <f>SUM(C98:H98)</f>
        <v>1356</v>
      </c>
      <c r="J98" s="268">
        <f>HLOOKUP(Labor!$B$11,InflationTable,2)*I98</f>
        <v>1831.6873067557729</v>
      </c>
      <c r="K98" s="269">
        <f>J98*$L$4</f>
        <v>78762.554190498238</v>
      </c>
      <c r="L98" s="300">
        <f>K98</f>
        <v>78762.554190498238</v>
      </c>
      <c r="M98" s="84">
        <f>HLOOKUP(Labor!$B$11,InflationTable,3)*$I98</f>
        <v>1881.7155252935302</v>
      </c>
      <c r="N98" s="63">
        <f>M98*O$4</f>
        <v>80913.767587621798</v>
      </c>
      <c r="O98" s="64">
        <f>N98</f>
        <v>80913.767587621798</v>
      </c>
      <c r="P98" s="292">
        <f>HLOOKUP(Labor!$B$11,InflationTable,4)*$I98</f>
        <v>1904.2640719309143</v>
      </c>
      <c r="Q98" s="269">
        <f>P98*R$4</f>
        <v>81883.355093029313</v>
      </c>
      <c r="R98" s="300">
        <f>Q98</f>
        <v>81883.355093029313</v>
      </c>
      <c r="S98" s="128">
        <f t="shared" si="20"/>
        <v>80519.892290383112</v>
      </c>
      <c r="T98" s="137" t="s">
        <v>12</v>
      </c>
      <c r="U98" s="149" t="s">
        <v>12</v>
      </c>
    </row>
    <row r="99" spans="2:22" x14ac:dyDescent="0.25">
      <c r="B99" s="560" t="s">
        <v>66</v>
      </c>
      <c r="C99" s="36">
        <f t="shared" ref="C99:I100" si="21">C95+C97</f>
        <v>0</v>
      </c>
      <c r="D99" s="36">
        <f t="shared" si="21"/>
        <v>0</v>
      </c>
      <c r="E99" s="36">
        <f t="shared" si="21"/>
        <v>0</v>
      </c>
      <c r="F99" s="36">
        <f t="shared" si="21"/>
        <v>0</v>
      </c>
      <c r="G99" s="36">
        <f t="shared" si="21"/>
        <v>36</v>
      </c>
      <c r="H99" s="36">
        <f t="shared" si="21"/>
        <v>8</v>
      </c>
      <c r="I99" s="46">
        <f t="shared" si="21"/>
        <v>44</v>
      </c>
      <c r="J99" s="301" t="s">
        <v>12</v>
      </c>
      <c r="K99" s="320">
        <f>K95+K97</f>
        <v>1892</v>
      </c>
      <c r="L99" s="321">
        <f>L95+L97</f>
        <v>1892</v>
      </c>
      <c r="M99" s="85" t="s">
        <v>12</v>
      </c>
      <c r="N99" s="36">
        <f>N95+N97</f>
        <v>1892</v>
      </c>
      <c r="O99" s="100">
        <f>O95+O97</f>
        <v>1892</v>
      </c>
      <c r="P99" s="301" t="s">
        <v>12</v>
      </c>
      <c r="Q99" s="320">
        <f>Q95+Q97</f>
        <v>1892</v>
      </c>
      <c r="R99" s="322">
        <f>R95+R97</f>
        <v>1892</v>
      </c>
      <c r="S99" s="121">
        <f t="shared" si="20"/>
        <v>1892</v>
      </c>
      <c r="T99" s="135" t="s">
        <v>12</v>
      </c>
      <c r="U99" s="136" t="s">
        <v>12</v>
      </c>
    </row>
    <row r="100" spans="2:22" ht="13.8" thickBot="1" x14ac:dyDescent="0.3">
      <c r="B100" s="561" t="s">
        <v>67</v>
      </c>
      <c r="C100" s="240">
        <f t="shared" si="21"/>
        <v>0</v>
      </c>
      <c r="D100" s="240">
        <f t="shared" si="21"/>
        <v>0</v>
      </c>
      <c r="E100" s="240">
        <f t="shared" si="21"/>
        <v>0</v>
      </c>
      <c r="F100" s="240">
        <f t="shared" si="21"/>
        <v>0</v>
      </c>
      <c r="G100" s="240">
        <f t="shared" si="21"/>
        <v>1996</v>
      </c>
      <c r="H100" s="240">
        <f t="shared" si="21"/>
        <v>469</v>
      </c>
      <c r="I100" s="243">
        <f t="shared" si="21"/>
        <v>2465</v>
      </c>
      <c r="J100" s="274">
        <f>J96+J98</f>
        <v>3329.7265568974781</v>
      </c>
      <c r="K100" s="275">
        <f>K96+K98</f>
        <v>143178.24194659156</v>
      </c>
      <c r="L100" s="276">
        <f>L96+L98</f>
        <v>143178.24194659156</v>
      </c>
      <c r="M100" s="242">
        <f>M96+M98</f>
        <v>3420.6701842540942</v>
      </c>
      <c r="N100" s="240">
        <f>N96+N98</f>
        <v>147088.81792292604</v>
      </c>
      <c r="O100" s="243">
        <f>O96+O98</f>
        <v>147088.81792292604</v>
      </c>
      <c r="P100" s="313">
        <f>P96+P98</f>
        <v>3461.6599832667434</v>
      </c>
      <c r="Q100" s="275">
        <f>Q96+Q98</f>
        <v>148851.37928046996</v>
      </c>
      <c r="R100" s="276">
        <f>R96+R98</f>
        <v>148851.37928046996</v>
      </c>
      <c r="S100" s="257">
        <f t="shared" si="20"/>
        <v>146372.81304999584</v>
      </c>
      <c r="T100" s="258" t="s">
        <v>12</v>
      </c>
      <c r="U100" s="249" t="s">
        <v>12</v>
      </c>
    </row>
    <row r="101" spans="2:22" ht="14.4" thickTop="1" thickBot="1" x14ac:dyDescent="0.3">
      <c r="B101" s="555"/>
      <c r="C101" s="5"/>
      <c r="D101" s="618"/>
      <c r="E101" s="618"/>
      <c r="F101" s="618"/>
      <c r="G101" s="618"/>
      <c r="H101" s="618"/>
      <c r="I101" s="618"/>
      <c r="J101" s="618"/>
      <c r="K101" s="618"/>
      <c r="L101" s="618"/>
      <c r="M101" s="618"/>
      <c r="N101" s="618"/>
      <c r="O101" s="618"/>
      <c r="P101" s="618"/>
      <c r="Q101" s="618"/>
      <c r="R101" s="618"/>
      <c r="S101" s="618"/>
      <c r="T101" s="618"/>
      <c r="U101" s="620"/>
    </row>
    <row r="102" spans="2:22" ht="18.600000000000001" thickTop="1" thickBot="1" x14ac:dyDescent="0.35">
      <c r="B102" s="556" t="s">
        <v>121</v>
      </c>
      <c r="C102" s="647" t="str">
        <f>C2</f>
        <v>PAMSVOC</v>
      </c>
      <c r="D102" s="5"/>
      <c r="E102" s="4"/>
      <c r="F102" s="12"/>
      <c r="G102" s="4"/>
      <c r="H102" s="4"/>
      <c r="I102" s="41"/>
      <c r="J102" s="233" t="str">
        <f>J2</f>
        <v>Year 1</v>
      </c>
      <c r="K102" s="233">
        <f>K2</f>
        <v>2019</v>
      </c>
      <c r="L102" s="83"/>
      <c r="M102" s="79" t="str">
        <f>M2</f>
        <v>Year 2</v>
      </c>
      <c r="N102" s="79">
        <f>N2</f>
        <v>2020</v>
      </c>
      <c r="O102" s="41"/>
      <c r="P102" s="233" t="str">
        <f>P2</f>
        <v>Year 3</v>
      </c>
      <c r="Q102" s="233">
        <f>Q2</f>
        <v>2021</v>
      </c>
      <c r="R102" s="83"/>
      <c r="S102" s="152"/>
      <c r="T102" s="130"/>
      <c r="U102" s="570"/>
    </row>
    <row r="103" spans="2:22" ht="13.8" thickBot="1" x14ac:dyDescent="0.3">
      <c r="B103" s="555"/>
      <c r="C103" s="194" t="s">
        <v>45</v>
      </c>
      <c r="D103" s="190" t="s">
        <v>46</v>
      </c>
      <c r="E103" s="187" t="s">
        <v>47</v>
      </c>
      <c r="F103" s="202" t="s">
        <v>48</v>
      </c>
      <c r="G103" s="201" t="s">
        <v>49</v>
      </c>
      <c r="H103" s="187" t="s">
        <v>50</v>
      </c>
      <c r="I103" s="188" t="s">
        <v>13</v>
      </c>
      <c r="J103" s="323" t="s">
        <v>56</v>
      </c>
      <c r="K103" s="324" t="s">
        <v>13</v>
      </c>
      <c r="L103" s="325" t="s">
        <v>68</v>
      </c>
      <c r="M103" s="189" t="s">
        <v>56</v>
      </c>
      <c r="N103" s="190" t="s">
        <v>13</v>
      </c>
      <c r="O103" s="191" t="s">
        <v>68</v>
      </c>
      <c r="P103" s="323" t="s">
        <v>56</v>
      </c>
      <c r="Q103" s="324" t="s">
        <v>13</v>
      </c>
      <c r="R103" s="325" t="s">
        <v>68</v>
      </c>
      <c r="S103" s="192"/>
      <c r="T103" s="193"/>
      <c r="U103" s="571"/>
      <c r="V103" s="5"/>
    </row>
    <row r="104" spans="2:22" x14ac:dyDescent="0.25">
      <c r="B104" s="572" t="s">
        <v>97</v>
      </c>
      <c r="C104" s="196">
        <f t="shared" ref="C104:S105" si="22">C15</f>
        <v>0</v>
      </c>
      <c r="D104" s="184">
        <f t="shared" si="22"/>
        <v>0</v>
      </c>
      <c r="E104" s="184">
        <f t="shared" si="22"/>
        <v>0</v>
      </c>
      <c r="F104" s="184">
        <f t="shared" si="22"/>
        <v>14</v>
      </c>
      <c r="G104" s="184">
        <f t="shared" si="22"/>
        <v>14</v>
      </c>
      <c r="H104" s="184">
        <f t="shared" si="22"/>
        <v>10</v>
      </c>
      <c r="I104" s="185">
        <f t="shared" si="22"/>
        <v>38</v>
      </c>
      <c r="J104" s="326" t="str">
        <f t="shared" si="22"/>
        <v>NA</v>
      </c>
      <c r="K104" s="327">
        <f t="shared" si="22"/>
        <v>1482</v>
      </c>
      <c r="L104" s="328">
        <f t="shared" si="22"/>
        <v>296.39999999999998</v>
      </c>
      <c r="M104" s="186" t="str">
        <f t="shared" si="22"/>
        <v>NA</v>
      </c>
      <c r="N104" s="184">
        <f t="shared" si="22"/>
        <v>1482</v>
      </c>
      <c r="O104" s="185">
        <f t="shared" si="22"/>
        <v>296.39999999999998</v>
      </c>
      <c r="P104" s="326" t="str">
        <f t="shared" si="22"/>
        <v>NA</v>
      </c>
      <c r="Q104" s="327">
        <f t="shared" si="22"/>
        <v>1482</v>
      </c>
      <c r="R104" s="328">
        <f t="shared" si="22"/>
        <v>296.39999999999998</v>
      </c>
      <c r="S104" s="185">
        <f t="shared" si="22"/>
        <v>296.39999999999998</v>
      </c>
      <c r="T104" s="37"/>
      <c r="U104" s="138"/>
    </row>
    <row r="105" spans="2:22" ht="13.8" thickBot="1" x14ac:dyDescent="0.3">
      <c r="B105" s="573" t="s">
        <v>76</v>
      </c>
      <c r="C105" s="203">
        <f t="shared" si="22"/>
        <v>0</v>
      </c>
      <c r="D105" s="204">
        <f t="shared" si="22"/>
        <v>0</v>
      </c>
      <c r="E105" s="204">
        <f t="shared" si="22"/>
        <v>0</v>
      </c>
      <c r="F105" s="204">
        <f t="shared" si="22"/>
        <v>690</v>
      </c>
      <c r="G105" s="204">
        <f t="shared" si="22"/>
        <v>777</v>
      </c>
      <c r="H105" s="204">
        <f t="shared" si="22"/>
        <v>586</v>
      </c>
      <c r="I105" s="205">
        <f t="shared" si="22"/>
        <v>2053</v>
      </c>
      <c r="J105" s="329">
        <f t="shared" si="22"/>
        <v>2773.1961952578181</v>
      </c>
      <c r="K105" s="330">
        <f t="shared" si="22"/>
        <v>108154.6516150549</v>
      </c>
      <c r="L105" s="331">
        <f t="shared" si="22"/>
        <v>21630.93032301098</v>
      </c>
      <c r="M105" s="203">
        <f t="shared" si="22"/>
        <v>2848.9395084274461</v>
      </c>
      <c r="N105" s="204">
        <f t="shared" si="22"/>
        <v>111108.6408286704</v>
      </c>
      <c r="O105" s="205">
        <f t="shared" si="22"/>
        <v>22221.728165734079</v>
      </c>
      <c r="P105" s="329">
        <f t="shared" si="22"/>
        <v>2883.0782740959935</v>
      </c>
      <c r="Q105" s="330">
        <f t="shared" si="22"/>
        <v>112440.05268974375</v>
      </c>
      <c r="R105" s="331">
        <f t="shared" si="22"/>
        <v>22488.01053794875</v>
      </c>
      <c r="S105" s="205">
        <f t="shared" si="22"/>
        <v>22113.55634223127</v>
      </c>
      <c r="T105" s="206" t="str">
        <f>T16</f>
        <v>NA</v>
      </c>
      <c r="U105" s="392" t="s">
        <v>12</v>
      </c>
    </row>
    <row r="106" spans="2:22" x14ac:dyDescent="0.25">
      <c r="B106" s="574" t="s">
        <v>98</v>
      </c>
      <c r="C106" s="196">
        <f t="shared" ref="C106:S107" si="23">C29</f>
        <v>0</v>
      </c>
      <c r="D106" s="184">
        <f t="shared" si="23"/>
        <v>0</v>
      </c>
      <c r="E106" s="184">
        <f t="shared" si="23"/>
        <v>0</v>
      </c>
      <c r="F106" s="184">
        <f t="shared" si="23"/>
        <v>18</v>
      </c>
      <c r="G106" s="184">
        <f t="shared" si="23"/>
        <v>5</v>
      </c>
      <c r="H106" s="184">
        <f t="shared" si="23"/>
        <v>0</v>
      </c>
      <c r="I106" s="185">
        <f t="shared" si="23"/>
        <v>23</v>
      </c>
      <c r="J106" s="326" t="str">
        <f t="shared" si="23"/>
        <v>NA</v>
      </c>
      <c r="K106" s="327">
        <f t="shared" si="23"/>
        <v>989</v>
      </c>
      <c r="L106" s="328">
        <f t="shared" si="23"/>
        <v>197.8</v>
      </c>
      <c r="M106" s="186" t="str">
        <f t="shared" si="23"/>
        <v>NA</v>
      </c>
      <c r="N106" s="184">
        <f t="shared" si="23"/>
        <v>989</v>
      </c>
      <c r="O106" s="185">
        <f t="shared" si="23"/>
        <v>197.8</v>
      </c>
      <c r="P106" s="326" t="str">
        <f t="shared" si="23"/>
        <v>NA</v>
      </c>
      <c r="Q106" s="327">
        <f t="shared" si="23"/>
        <v>989</v>
      </c>
      <c r="R106" s="328">
        <f t="shared" si="23"/>
        <v>197.8</v>
      </c>
      <c r="S106" s="185">
        <f t="shared" si="23"/>
        <v>197.80000000000004</v>
      </c>
      <c r="T106" s="37"/>
      <c r="U106" s="138"/>
    </row>
    <row r="107" spans="2:22" ht="13.8" thickBot="1" x14ac:dyDescent="0.3">
      <c r="B107" s="573" t="s">
        <v>76</v>
      </c>
      <c r="C107" s="207">
        <f t="shared" si="23"/>
        <v>0</v>
      </c>
      <c r="D107" s="208">
        <f t="shared" si="23"/>
        <v>0</v>
      </c>
      <c r="E107" s="208">
        <f t="shared" si="23"/>
        <v>0</v>
      </c>
      <c r="F107" s="208">
        <f t="shared" si="23"/>
        <v>887</v>
      </c>
      <c r="G107" s="208">
        <f t="shared" si="23"/>
        <v>277</v>
      </c>
      <c r="H107" s="208">
        <f t="shared" si="23"/>
        <v>0</v>
      </c>
      <c r="I107" s="209">
        <f t="shared" si="23"/>
        <v>1164</v>
      </c>
      <c r="J107" s="332">
        <f t="shared" si="23"/>
        <v>1572.3333518169025</v>
      </c>
      <c r="K107" s="296">
        <f t="shared" si="23"/>
        <v>67610.334128126793</v>
      </c>
      <c r="L107" s="297">
        <f t="shared" si="23"/>
        <v>1241044.6057116687</v>
      </c>
      <c r="M107" s="207">
        <f t="shared" si="23"/>
        <v>1615.2779287917915</v>
      </c>
      <c r="N107" s="208">
        <f t="shared" si="23"/>
        <v>69456.950938047026</v>
      </c>
      <c r="O107" s="209">
        <f t="shared" si="23"/>
        <v>1465887.7561290818</v>
      </c>
      <c r="P107" s="332">
        <f t="shared" si="23"/>
        <v>1634.6337608610502</v>
      </c>
      <c r="Q107" s="296">
        <f t="shared" si="23"/>
        <v>70289.251717025167</v>
      </c>
      <c r="R107" s="297">
        <f t="shared" si="23"/>
        <v>1483453.4497687141</v>
      </c>
      <c r="S107" s="209">
        <f t="shared" si="23"/>
        <v>13823.769118879933</v>
      </c>
      <c r="T107" s="210" t="str">
        <f>T30</f>
        <v>NA</v>
      </c>
      <c r="U107" s="575">
        <f>U30</f>
        <v>1382971.501417608</v>
      </c>
    </row>
    <row r="108" spans="2:22" x14ac:dyDescent="0.25">
      <c r="B108" s="574" t="s">
        <v>96</v>
      </c>
      <c r="C108" s="197">
        <f t="shared" ref="C108:S109" si="24">C39</f>
        <v>0</v>
      </c>
      <c r="D108" s="25">
        <f t="shared" si="24"/>
        <v>0</v>
      </c>
      <c r="E108" s="25">
        <f t="shared" si="24"/>
        <v>0</v>
      </c>
      <c r="F108" s="25">
        <f t="shared" si="24"/>
        <v>88</v>
      </c>
      <c r="G108" s="25">
        <f t="shared" si="24"/>
        <v>0</v>
      </c>
      <c r="H108" s="25">
        <f t="shared" si="24"/>
        <v>0</v>
      </c>
      <c r="I108" s="198">
        <f t="shared" si="24"/>
        <v>88</v>
      </c>
      <c r="J108" s="333" t="str">
        <f t="shared" si="24"/>
        <v>NA</v>
      </c>
      <c r="K108" s="334">
        <f t="shared" si="24"/>
        <v>3784</v>
      </c>
      <c r="L108" s="335">
        <f t="shared" si="24"/>
        <v>3784</v>
      </c>
      <c r="M108" s="199" t="str">
        <f t="shared" si="24"/>
        <v>NA</v>
      </c>
      <c r="N108" s="25">
        <f t="shared" si="24"/>
        <v>3784</v>
      </c>
      <c r="O108" s="198">
        <f t="shared" si="24"/>
        <v>3784</v>
      </c>
      <c r="P108" s="333" t="str">
        <f t="shared" si="24"/>
        <v>NA</v>
      </c>
      <c r="Q108" s="334">
        <f t="shared" si="24"/>
        <v>3784</v>
      </c>
      <c r="R108" s="335">
        <f t="shared" si="24"/>
        <v>3784</v>
      </c>
      <c r="S108" s="198">
        <f t="shared" si="24"/>
        <v>3784</v>
      </c>
      <c r="T108" s="200" t="str">
        <f>T21</f>
        <v>NA</v>
      </c>
      <c r="U108" s="147" t="s">
        <v>12</v>
      </c>
    </row>
    <row r="109" spans="2:22" ht="13.8" thickBot="1" x14ac:dyDescent="0.3">
      <c r="B109" s="573" t="s">
        <v>76</v>
      </c>
      <c r="C109" s="211">
        <f t="shared" si="24"/>
        <v>0</v>
      </c>
      <c r="D109" s="208">
        <f t="shared" si="24"/>
        <v>0</v>
      </c>
      <c r="E109" s="208">
        <f t="shared" si="24"/>
        <v>0</v>
      </c>
      <c r="F109" s="208">
        <f t="shared" si="24"/>
        <v>4335</v>
      </c>
      <c r="G109" s="208">
        <f t="shared" si="24"/>
        <v>0</v>
      </c>
      <c r="H109" s="208">
        <f t="shared" si="24"/>
        <v>0</v>
      </c>
      <c r="I109" s="209">
        <f t="shared" si="24"/>
        <v>20335</v>
      </c>
      <c r="J109" s="332">
        <f t="shared" si="24"/>
        <v>27468.555592093395</v>
      </c>
      <c r="K109" s="296">
        <f t="shared" si="24"/>
        <v>1181147.890460016</v>
      </c>
      <c r="L109" s="297">
        <f t="shared" si="24"/>
        <v>1181147.890460016</v>
      </c>
      <c r="M109" s="207">
        <f t="shared" si="24"/>
        <v>28218.794400327388</v>
      </c>
      <c r="N109" s="208">
        <f t="shared" si="24"/>
        <v>1213408.1592140775</v>
      </c>
      <c r="O109" s="209">
        <f t="shared" si="24"/>
        <v>1213408.1592140775</v>
      </c>
      <c r="P109" s="332">
        <f t="shared" si="24"/>
        <v>28556.939456279601</v>
      </c>
      <c r="Q109" s="296">
        <f t="shared" si="24"/>
        <v>1227948.3966200228</v>
      </c>
      <c r="R109" s="297">
        <f t="shared" si="24"/>
        <v>1227948.3966200228</v>
      </c>
      <c r="S109" s="209">
        <f t="shared" si="24"/>
        <v>1207501.482098039</v>
      </c>
      <c r="T109" s="209">
        <f>T40</f>
        <v>950087.22466528753</v>
      </c>
      <c r="U109" s="392" t="s">
        <v>12</v>
      </c>
    </row>
    <row r="110" spans="2:22" x14ac:dyDescent="0.25">
      <c r="B110" s="574" t="s">
        <v>99</v>
      </c>
      <c r="C110" s="197">
        <f t="shared" ref="C110:S111" si="25">C51</f>
        <v>0</v>
      </c>
      <c r="D110" s="25">
        <f t="shared" si="25"/>
        <v>0</v>
      </c>
      <c r="E110" s="25">
        <f t="shared" si="25"/>
        <v>0</v>
      </c>
      <c r="F110" s="25">
        <f t="shared" si="25"/>
        <v>72</v>
      </c>
      <c r="G110" s="25">
        <f t="shared" si="25"/>
        <v>24</v>
      </c>
      <c r="H110" s="25">
        <f t="shared" si="25"/>
        <v>0</v>
      </c>
      <c r="I110" s="198">
        <f t="shared" si="25"/>
        <v>96</v>
      </c>
      <c r="J110" s="333" t="str">
        <f t="shared" si="25"/>
        <v>NA</v>
      </c>
      <c r="K110" s="334">
        <f t="shared" si="25"/>
        <v>4128</v>
      </c>
      <c r="L110" s="335">
        <f t="shared" si="25"/>
        <v>4128</v>
      </c>
      <c r="M110" s="199" t="str">
        <f t="shared" si="25"/>
        <v>NA</v>
      </c>
      <c r="N110" s="25">
        <f t="shared" si="25"/>
        <v>4128</v>
      </c>
      <c r="O110" s="198">
        <f t="shared" si="25"/>
        <v>4128</v>
      </c>
      <c r="P110" s="333" t="str">
        <f t="shared" si="25"/>
        <v>NA</v>
      </c>
      <c r="Q110" s="334">
        <f t="shared" si="25"/>
        <v>4128</v>
      </c>
      <c r="R110" s="335">
        <f t="shared" si="25"/>
        <v>4128</v>
      </c>
      <c r="S110" s="198">
        <f t="shared" si="25"/>
        <v>4128</v>
      </c>
      <c r="T110" s="37"/>
      <c r="U110" s="138"/>
    </row>
    <row r="111" spans="2:22" ht="13.8" thickBot="1" x14ac:dyDescent="0.3">
      <c r="B111" s="573" t="s">
        <v>76</v>
      </c>
      <c r="C111" s="207">
        <f t="shared" si="25"/>
        <v>0</v>
      </c>
      <c r="D111" s="208">
        <f t="shared" si="25"/>
        <v>0</v>
      </c>
      <c r="E111" s="208">
        <f t="shared" si="25"/>
        <v>0</v>
      </c>
      <c r="F111" s="208">
        <f t="shared" si="25"/>
        <v>3547</v>
      </c>
      <c r="G111" s="208">
        <f t="shared" si="25"/>
        <v>1331</v>
      </c>
      <c r="H111" s="208">
        <f t="shared" si="25"/>
        <v>0</v>
      </c>
      <c r="I111" s="209">
        <f t="shared" si="25"/>
        <v>7878</v>
      </c>
      <c r="J111" s="332">
        <f t="shared" si="25"/>
        <v>10641.616963585529</v>
      </c>
      <c r="K111" s="296">
        <f t="shared" si="25"/>
        <v>457589.52943417779</v>
      </c>
      <c r="L111" s="297">
        <f t="shared" si="25"/>
        <v>457589.52943417779</v>
      </c>
      <c r="M111" s="211">
        <f t="shared" si="25"/>
        <v>10932.267631461969</v>
      </c>
      <c r="N111" s="208">
        <f t="shared" si="25"/>
        <v>470087.5081528647</v>
      </c>
      <c r="O111" s="209">
        <f t="shared" si="25"/>
        <v>470087.5081528647</v>
      </c>
      <c r="P111" s="332">
        <f t="shared" si="25"/>
        <v>11063.268701085355</v>
      </c>
      <c r="Q111" s="296">
        <f t="shared" si="25"/>
        <v>475720.55414667027</v>
      </c>
      <c r="R111" s="297">
        <f t="shared" si="25"/>
        <v>475720.55414667027</v>
      </c>
      <c r="S111" s="209">
        <f t="shared" si="25"/>
        <v>289657.84261982952</v>
      </c>
      <c r="T111" s="209">
        <f>T52</f>
        <v>178141.35462474139</v>
      </c>
      <c r="U111" s="576" t="s">
        <v>12</v>
      </c>
    </row>
    <row r="112" spans="2:22" x14ac:dyDescent="0.25">
      <c r="B112" s="574" t="s">
        <v>100</v>
      </c>
      <c r="C112" s="197">
        <f t="shared" ref="C112:U113" si="26">C65</f>
        <v>0</v>
      </c>
      <c r="D112" s="25">
        <f t="shared" si="26"/>
        <v>0</v>
      </c>
      <c r="E112" s="25">
        <f t="shared" si="26"/>
        <v>0</v>
      </c>
      <c r="F112" s="25">
        <f t="shared" si="26"/>
        <v>134</v>
      </c>
      <c r="G112" s="25">
        <f t="shared" si="26"/>
        <v>39</v>
      </c>
      <c r="H112" s="25">
        <f t="shared" si="26"/>
        <v>11</v>
      </c>
      <c r="I112" s="198">
        <f t="shared" si="26"/>
        <v>184</v>
      </c>
      <c r="J112" s="333" t="str">
        <f t="shared" si="26"/>
        <v>NA</v>
      </c>
      <c r="K112" s="334">
        <f t="shared" si="26"/>
        <v>7912</v>
      </c>
      <c r="L112" s="335">
        <f t="shared" si="26"/>
        <v>7912</v>
      </c>
      <c r="M112" s="199" t="str">
        <f t="shared" si="26"/>
        <v>NA</v>
      </c>
      <c r="N112" s="25">
        <f t="shared" si="26"/>
        <v>7912</v>
      </c>
      <c r="O112" s="198">
        <f t="shared" si="26"/>
        <v>7912</v>
      </c>
      <c r="P112" s="333" t="str">
        <f t="shared" si="26"/>
        <v>NA</v>
      </c>
      <c r="Q112" s="334">
        <f t="shared" si="26"/>
        <v>7912</v>
      </c>
      <c r="R112" s="335">
        <f t="shared" si="26"/>
        <v>7912</v>
      </c>
      <c r="S112" s="198">
        <f t="shared" si="26"/>
        <v>7912</v>
      </c>
      <c r="T112" s="212" t="str">
        <f t="shared" si="26"/>
        <v>NA</v>
      </c>
      <c r="U112" s="577" t="str">
        <f t="shared" si="26"/>
        <v>NA</v>
      </c>
    </row>
    <row r="113" spans="2:21" ht="13.8" thickBot="1" x14ac:dyDescent="0.3">
      <c r="B113" s="573" t="s">
        <v>76</v>
      </c>
      <c r="C113" s="207">
        <f t="shared" si="26"/>
        <v>0</v>
      </c>
      <c r="D113" s="208">
        <f t="shared" si="26"/>
        <v>0</v>
      </c>
      <c r="E113" s="208">
        <f t="shared" si="26"/>
        <v>0</v>
      </c>
      <c r="F113" s="208">
        <f t="shared" si="26"/>
        <v>6600</v>
      </c>
      <c r="G113" s="208">
        <f t="shared" si="26"/>
        <v>2163</v>
      </c>
      <c r="H113" s="208">
        <f t="shared" si="26"/>
        <v>645</v>
      </c>
      <c r="I113" s="209">
        <f t="shared" si="26"/>
        <v>9408</v>
      </c>
      <c r="J113" s="332">
        <f t="shared" si="26"/>
        <v>12708.343792004653</v>
      </c>
      <c r="K113" s="296">
        <f t="shared" si="26"/>
        <v>546458.78305620013</v>
      </c>
      <c r="L113" s="297">
        <f t="shared" si="26"/>
        <v>546458.78305620013</v>
      </c>
      <c r="M113" s="207">
        <f t="shared" si="26"/>
        <v>13055.442228585202</v>
      </c>
      <c r="N113" s="208">
        <f t="shared" si="26"/>
        <v>561384.0158291636</v>
      </c>
      <c r="O113" s="209">
        <f t="shared" si="26"/>
        <v>561384.0158291636</v>
      </c>
      <c r="P113" s="339">
        <f t="shared" si="26"/>
        <v>13211.885242423334</v>
      </c>
      <c r="Q113" s="296">
        <f t="shared" si="26"/>
        <v>568111.06542420341</v>
      </c>
      <c r="R113" s="297">
        <f t="shared" si="26"/>
        <v>568111.06542420341</v>
      </c>
      <c r="S113" s="209">
        <f t="shared" si="26"/>
        <v>558651.28810318897</v>
      </c>
      <c r="T113" s="210" t="str">
        <f t="shared" si="26"/>
        <v>NA</v>
      </c>
      <c r="U113" s="392" t="s">
        <v>12</v>
      </c>
    </row>
    <row r="114" spans="2:21" x14ac:dyDescent="0.25">
      <c r="B114" s="574" t="s">
        <v>101</v>
      </c>
      <c r="C114" s="213">
        <f t="shared" ref="C114:S115" si="27">C89</f>
        <v>0</v>
      </c>
      <c r="D114" s="214">
        <f t="shared" si="27"/>
        <v>0</v>
      </c>
      <c r="E114" s="214">
        <f t="shared" si="27"/>
        <v>0</v>
      </c>
      <c r="F114" s="214">
        <f t="shared" si="27"/>
        <v>34</v>
      </c>
      <c r="G114" s="214">
        <f t="shared" si="27"/>
        <v>45</v>
      </c>
      <c r="H114" s="214">
        <f t="shared" si="27"/>
        <v>5</v>
      </c>
      <c r="I114" s="215">
        <f t="shared" si="27"/>
        <v>84</v>
      </c>
      <c r="J114" s="336" t="str">
        <f t="shared" si="27"/>
        <v>NA</v>
      </c>
      <c r="K114" s="337" t="str">
        <f t="shared" si="27"/>
        <v>NA</v>
      </c>
      <c r="L114" s="294">
        <f t="shared" si="27"/>
        <v>3084</v>
      </c>
      <c r="M114" s="216" t="str">
        <f t="shared" si="27"/>
        <v>NA</v>
      </c>
      <c r="N114" s="217" t="str">
        <f t="shared" si="27"/>
        <v>NA</v>
      </c>
      <c r="O114" s="215">
        <f t="shared" si="27"/>
        <v>3084</v>
      </c>
      <c r="P114" s="336" t="str">
        <f t="shared" si="27"/>
        <v>NA</v>
      </c>
      <c r="Q114" s="337" t="str">
        <f t="shared" si="27"/>
        <v>NA</v>
      </c>
      <c r="R114" s="294">
        <f t="shared" si="27"/>
        <v>3084</v>
      </c>
      <c r="S114" s="215">
        <f t="shared" si="27"/>
        <v>3084</v>
      </c>
      <c r="T114" s="136" t="s">
        <v>12</v>
      </c>
      <c r="U114" s="147" t="s">
        <v>12</v>
      </c>
    </row>
    <row r="115" spans="2:21" ht="13.8" thickBot="1" x14ac:dyDescent="0.3">
      <c r="B115" s="573" t="s">
        <v>76</v>
      </c>
      <c r="C115" s="207">
        <f t="shared" si="27"/>
        <v>0</v>
      </c>
      <c r="D115" s="208">
        <f t="shared" si="27"/>
        <v>0</v>
      </c>
      <c r="E115" s="208">
        <f t="shared" si="27"/>
        <v>0</v>
      </c>
      <c r="F115" s="208">
        <f t="shared" si="27"/>
        <v>1675</v>
      </c>
      <c r="G115" s="208">
        <f t="shared" si="27"/>
        <v>2496</v>
      </c>
      <c r="H115" s="208">
        <f t="shared" si="27"/>
        <v>293</v>
      </c>
      <c r="I115" s="209">
        <f t="shared" si="27"/>
        <v>4464</v>
      </c>
      <c r="J115" s="332">
        <f t="shared" si="27"/>
        <v>6029.9794523287383</v>
      </c>
      <c r="K115" s="338" t="str">
        <f t="shared" si="27"/>
        <v>NA</v>
      </c>
      <c r="L115" s="297">
        <f t="shared" si="27"/>
        <v>218968.22158897269</v>
      </c>
      <c r="M115" s="211">
        <f t="shared" si="27"/>
        <v>6194.6741186654272</v>
      </c>
      <c r="N115" s="219" t="str">
        <f t="shared" si="27"/>
        <v>NA</v>
      </c>
      <c r="O115" s="209">
        <f t="shared" si="27"/>
        <v>224948.82209980968</v>
      </c>
      <c r="P115" s="332">
        <f t="shared" si="27"/>
        <v>6268.9047323743362</v>
      </c>
      <c r="Q115" s="338" t="str">
        <f t="shared" si="27"/>
        <v>NA</v>
      </c>
      <c r="R115" s="297">
        <f t="shared" si="27"/>
        <v>227644.37779776833</v>
      </c>
      <c r="S115" s="209">
        <f t="shared" si="27"/>
        <v>223853.80716218357</v>
      </c>
      <c r="T115" s="209">
        <f>T90</f>
        <v>0</v>
      </c>
      <c r="U115" s="392" t="s">
        <v>12</v>
      </c>
    </row>
    <row r="116" spans="2:21" x14ac:dyDescent="0.25">
      <c r="B116" s="574" t="s">
        <v>102</v>
      </c>
      <c r="C116" s="197">
        <f t="shared" ref="C116:S117" si="28">C99</f>
        <v>0</v>
      </c>
      <c r="D116" s="25">
        <f t="shared" si="28"/>
        <v>0</v>
      </c>
      <c r="E116" s="25">
        <f t="shared" si="28"/>
        <v>0</v>
      </c>
      <c r="F116" s="25">
        <f t="shared" si="28"/>
        <v>0</v>
      </c>
      <c r="G116" s="25">
        <f t="shared" si="28"/>
        <v>36</v>
      </c>
      <c r="H116" s="25">
        <f t="shared" si="28"/>
        <v>8</v>
      </c>
      <c r="I116" s="198">
        <f t="shared" si="28"/>
        <v>44</v>
      </c>
      <c r="J116" s="333" t="str">
        <f t="shared" si="28"/>
        <v>NA</v>
      </c>
      <c r="K116" s="334">
        <f t="shared" si="28"/>
        <v>1892</v>
      </c>
      <c r="L116" s="335">
        <f t="shared" si="28"/>
        <v>1892</v>
      </c>
      <c r="M116" s="199" t="str">
        <f t="shared" si="28"/>
        <v>NA</v>
      </c>
      <c r="N116" s="25">
        <f t="shared" si="28"/>
        <v>1892</v>
      </c>
      <c r="O116" s="198">
        <f t="shared" si="28"/>
        <v>1892</v>
      </c>
      <c r="P116" s="333" t="str">
        <f t="shared" si="28"/>
        <v>NA</v>
      </c>
      <c r="Q116" s="334">
        <f t="shared" si="28"/>
        <v>1892</v>
      </c>
      <c r="R116" s="335">
        <f t="shared" si="28"/>
        <v>1892</v>
      </c>
      <c r="S116" s="198">
        <f t="shared" si="28"/>
        <v>1892</v>
      </c>
      <c r="T116" s="136" t="s">
        <v>12</v>
      </c>
      <c r="U116" s="147" t="s">
        <v>12</v>
      </c>
    </row>
    <row r="117" spans="2:21" ht="13.8" thickBot="1" x14ac:dyDescent="0.3">
      <c r="B117" s="578" t="s">
        <v>76</v>
      </c>
      <c r="C117" s="220">
        <f t="shared" si="28"/>
        <v>0</v>
      </c>
      <c r="D117" s="221">
        <f t="shared" si="28"/>
        <v>0</v>
      </c>
      <c r="E117" s="221">
        <f t="shared" si="28"/>
        <v>0</v>
      </c>
      <c r="F117" s="221">
        <f t="shared" si="28"/>
        <v>0</v>
      </c>
      <c r="G117" s="221">
        <f t="shared" si="28"/>
        <v>1996</v>
      </c>
      <c r="H117" s="221">
        <f t="shared" si="28"/>
        <v>469</v>
      </c>
      <c r="I117" s="222">
        <f t="shared" si="28"/>
        <v>2465</v>
      </c>
      <c r="J117" s="304">
        <f t="shared" si="28"/>
        <v>3329.7265568974781</v>
      </c>
      <c r="K117" s="305">
        <f t="shared" si="28"/>
        <v>143178.24194659156</v>
      </c>
      <c r="L117" s="306">
        <f t="shared" si="28"/>
        <v>143178.24194659156</v>
      </c>
      <c r="M117" s="220">
        <f t="shared" si="28"/>
        <v>3420.6701842540942</v>
      </c>
      <c r="N117" s="221">
        <f t="shared" si="28"/>
        <v>147088.81792292604</v>
      </c>
      <c r="O117" s="222">
        <f t="shared" si="28"/>
        <v>147088.81792292604</v>
      </c>
      <c r="P117" s="311">
        <f t="shared" si="28"/>
        <v>3461.6599832667434</v>
      </c>
      <c r="Q117" s="305">
        <f t="shared" si="28"/>
        <v>148851.37928046996</v>
      </c>
      <c r="R117" s="306">
        <f t="shared" si="28"/>
        <v>148851.37928046996</v>
      </c>
      <c r="S117" s="222">
        <f t="shared" si="28"/>
        <v>146372.81304999584</v>
      </c>
      <c r="T117" s="223" t="str">
        <f>T100</f>
        <v>NA</v>
      </c>
      <c r="U117" s="224" t="s">
        <v>12</v>
      </c>
    </row>
    <row r="118" spans="2:21" ht="18" thickTop="1" x14ac:dyDescent="0.3">
      <c r="B118" s="579" t="s">
        <v>13</v>
      </c>
      <c r="C118" s="183" t="s">
        <v>45</v>
      </c>
      <c r="D118" s="108" t="s">
        <v>46</v>
      </c>
      <c r="E118" s="107" t="s">
        <v>47</v>
      </c>
      <c r="F118" s="107" t="s">
        <v>48</v>
      </c>
      <c r="G118" s="107" t="s">
        <v>49</v>
      </c>
      <c r="H118" s="107" t="s">
        <v>50</v>
      </c>
      <c r="I118" s="109" t="s">
        <v>13</v>
      </c>
      <c r="J118" s="110" t="s">
        <v>56</v>
      </c>
      <c r="K118" s="108" t="s">
        <v>13</v>
      </c>
      <c r="L118" s="111" t="s">
        <v>68</v>
      </c>
      <c r="M118" s="110" t="s">
        <v>56</v>
      </c>
      <c r="N118" s="108" t="s">
        <v>13</v>
      </c>
      <c r="O118" s="111" t="s">
        <v>68</v>
      </c>
      <c r="P118" s="110" t="s">
        <v>56</v>
      </c>
      <c r="Q118" s="108" t="s">
        <v>13</v>
      </c>
      <c r="R118" s="111" t="s">
        <v>68</v>
      </c>
      <c r="S118" s="111"/>
      <c r="T118" s="37"/>
      <c r="U118" s="138"/>
    </row>
    <row r="119" spans="2:21" x14ac:dyDescent="0.25">
      <c r="B119" s="580" t="s">
        <v>75</v>
      </c>
      <c r="C119" s="195">
        <f t="shared" ref="C119:I120" si="29">C104+C106+C108+C110+C112+C114+C116</f>
        <v>0</v>
      </c>
      <c r="D119" s="101">
        <f t="shared" si="29"/>
        <v>0</v>
      </c>
      <c r="E119" s="101">
        <f t="shared" si="29"/>
        <v>0</v>
      </c>
      <c r="F119" s="101">
        <f t="shared" si="29"/>
        <v>360</v>
      </c>
      <c r="G119" s="101">
        <f t="shared" si="29"/>
        <v>163</v>
      </c>
      <c r="H119" s="101">
        <f t="shared" si="29"/>
        <v>34</v>
      </c>
      <c r="I119" s="102">
        <f t="shared" si="29"/>
        <v>557</v>
      </c>
      <c r="J119" s="340" t="s">
        <v>12</v>
      </c>
      <c r="K119" s="281">
        <f>K104+K106+K108+K110+K112+K116</f>
        <v>20187</v>
      </c>
      <c r="L119" s="289">
        <f>L104+L106+L108+L110+L112+L114+L116</f>
        <v>21294.2</v>
      </c>
      <c r="M119" s="103" t="s">
        <v>12</v>
      </c>
      <c r="N119" s="101">
        <f>N104+N106+N108+N110+N112+N116</f>
        <v>20187</v>
      </c>
      <c r="O119" s="102">
        <f>O104+O106+O108+O110+O112+O114+O116</f>
        <v>21294.2</v>
      </c>
      <c r="P119" s="340" t="s">
        <v>12</v>
      </c>
      <c r="Q119" s="281">
        <f>Q104+Q106+Q108+Q110+Q112+Q116</f>
        <v>20187</v>
      </c>
      <c r="R119" s="289">
        <f>R104+R106+R108+R110+R112+R114+R116</f>
        <v>21294.2</v>
      </c>
      <c r="S119" s="174">
        <f>S104+S106+S108+S110+S112+S114+S116</f>
        <v>21294.2</v>
      </c>
      <c r="T119" s="102"/>
      <c r="U119" s="140" t="s">
        <v>12</v>
      </c>
    </row>
    <row r="120" spans="2:21" s="235" customFormat="1" ht="16.2" thickBot="1" x14ac:dyDescent="0.35">
      <c r="B120" s="581" t="s">
        <v>76</v>
      </c>
      <c r="C120" s="582">
        <f t="shared" si="29"/>
        <v>0</v>
      </c>
      <c r="D120" s="583">
        <f t="shared" si="29"/>
        <v>0</v>
      </c>
      <c r="E120" s="583">
        <f t="shared" si="29"/>
        <v>0</v>
      </c>
      <c r="F120" s="583">
        <f t="shared" si="29"/>
        <v>17734</v>
      </c>
      <c r="G120" s="583">
        <f t="shared" si="29"/>
        <v>9040</v>
      </c>
      <c r="H120" s="583">
        <f t="shared" si="29"/>
        <v>1993</v>
      </c>
      <c r="I120" s="584">
        <f t="shared" si="29"/>
        <v>47767</v>
      </c>
      <c r="J120" s="585">
        <f>J105+J107+J109+J111+J113+J115+J117</f>
        <v>64523.751903984514</v>
      </c>
      <c r="K120" s="586">
        <f>K105+K107+K109+K111+K113+K117</f>
        <v>2504139.4306401671</v>
      </c>
      <c r="L120" s="587">
        <f>L105+L107+L109+L111+L113+L115+L117</f>
        <v>3810018.2025206373</v>
      </c>
      <c r="M120" s="582">
        <f>M105+M107+M109+M111+M113+M115+M117</f>
        <v>66286.06600051331</v>
      </c>
      <c r="N120" s="588">
        <f>N105+N107+N109+N111+N113+N117</f>
        <v>2572534.0928857489</v>
      </c>
      <c r="O120" s="584">
        <f>O105+O107+O109+O111+O113+O115+O117</f>
        <v>4105026.8075136575</v>
      </c>
      <c r="P120" s="589">
        <f>P105+P107+P109+P111+P113+P115+P117</f>
        <v>67080.370150386414</v>
      </c>
      <c r="Q120" s="586">
        <f>Q105+Q107+Q109+Q111+Q113+Q117</f>
        <v>2603360.6998781352</v>
      </c>
      <c r="R120" s="587">
        <f>R105+R107+R109+R111+R113+R115+R117</f>
        <v>4154217.2335757976</v>
      </c>
      <c r="S120" s="590">
        <f>S105+S107+S109+S111+S113+S115+S117</f>
        <v>2461974.5584943485</v>
      </c>
      <c r="T120" s="584">
        <f>SUM(T105,T107,T109,T111,T113,T115,T117)</f>
        <v>1128228.5792900289</v>
      </c>
      <c r="U120" s="591">
        <f>SUM(U105,U107,U109,U111,U113,U115,U117)</f>
        <v>1382971.501417608</v>
      </c>
    </row>
  </sheetData>
  <mergeCells count="35">
    <mergeCell ref="F2:G2"/>
    <mergeCell ref="S2:T2"/>
    <mergeCell ref="C5:I5"/>
    <mergeCell ref="G7:I7"/>
    <mergeCell ref="K8:L8"/>
    <mergeCell ref="N8:O8"/>
    <mergeCell ref="Q8:R8"/>
    <mergeCell ref="G54:I54"/>
    <mergeCell ref="G18:I18"/>
    <mergeCell ref="K19:L19"/>
    <mergeCell ref="N19:O19"/>
    <mergeCell ref="Q19:R19"/>
    <mergeCell ref="G32:I32"/>
    <mergeCell ref="G33:I33"/>
    <mergeCell ref="K33:L33"/>
    <mergeCell ref="N33:O33"/>
    <mergeCell ref="Q33:R33"/>
    <mergeCell ref="G42:I42"/>
    <mergeCell ref="G43:I43"/>
    <mergeCell ref="K43:L43"/>
    <mergeCell ref="N43:O43"/>
    <mergeCell ref="Q43:R43"/>
    <mergeCell ref="K55:L55"/>
    <mergeCell ref="N55:O55"/>
    <mergeCell ref="Q55:R55"/>
    <mergeCell ref="G69:I69"/>
    <mergeCell ref="K70:L70"/>
    <mergeCell ref="N70:O70"/>
    <mergeCell ref="Q70:R70"/>
    <mergeCell ref="N86:O86"/>
    <mergeCell ref="Q86:R86"/>
    <mergeCell ref="G92:I92"/>
    <mergeCell ref="K93:L93"/>
    <mergeCell ref="N93:O93"/>
    <mergeCell ref="Q93:R93"/>
  </mergeCells>
  <dataValidations count="1">
    <dataValidation allowBlank="1" showInputMessage="1" showErrorMessage="1" sqref="D35 D21:D23" xr:uid="{00000000-0002-0000-0A00-000000000000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19"/>
  <sheetViews>
    <sheetView zoomScaleNormal="100" workbookViewId="0">
      <selection activeCell="F3" sqref="F3"/>
    </sheetView>
  </sheetViews>
  <sheetFormatPr defaultRowHeight="13.2" x14ac:dyDescent="0.25"/>
  <cols>
    <col min="1" max="1" width="1.109375" customWidth="1"/>
    <col min="2" max="2" width="31.44140625" customWidth="1"/>
    <col min="3" max="3" width="16.5546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  <col min="22" max="22" width="4.6640625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644" t="s">
        <v>368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/>
      <c r="L2" s="426"/>
      <c r="M2" s="592" t="s">
        <v>10</v>
      </c>
      <c r="N2" s="550">
        <f>K2+1</f>
        <v>1</v>
      </c>
      <c r="O2" s="549"/>
      <c r="P2" s="551" t="s">
        <v>11</v>
      </c>
      <c r="Q2" s="552">
        <f>N2+1</f>
        <v>2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0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0</v>
      </c>
      <c r="M4" s="396" t="s">
        <v>71</v>
      </c>
      <c r="N4" s="431" t="s">
        <v>69</v>
      </c>
      <c r="O4" s="20">
        <v>0</v>
      </c>
      <c r="P4" s="425" t="s">
        <v>71</v>
      </c>
      <c r="Q4" s="429" t="s">
        <v>69</v>
      </c>
      <c r="R4" s="20">
        <v>0</v>
      </c>
      <c r="S4" s="115" t="s">
        <v>69</v>
      </c>
      <c r="T4" s="106">
        <f>AVERAGE(L4,O4,R4)</f>
        <v>0</v>
      </c>
      <c r="U4" s="37"/>
    </row>
    <row r="5" spans="1:21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630">
        <v>0</v>
      </c>
      <c r="K5" s="342" t="s">
        <v>70</v>
      </c>
      <c r="L5" s="343">
        <f>L4*$I$4</f>
        <v>0</v>
      </c>
      <c r="M5" s="631">
        <v>0</v>
      </c>
      <c r="N5" s="344" t="s">
        <v>70</v>
      </c>
      <c r="O5" s="345">
        <f>O4*$I$4</f>
        <v>0</v>
      </c>
      <c r="P5" s="630">
        <v>0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57" t="s">
        <v>55</v>
      </c>
      <c r="N8" s="1432" t="s">
        <v>57</v>
      </c>
      <c r="O8" s="1433"/>
      <c r="P8" s="277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 x14ac:dyDescent="0.25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 x14ac:dyDescent="0.25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8" thickBot="1" x14ac:dyDescent="0.3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 x14ac:dyDescent="0.25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8" thickBot="1" x14ac:dyDescent="0.3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1" ht="14.4" thickTop="1" thickBot="1" x14ac:dyDescent="0.3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2" thickTop="1" x14ac:dyDescent="0.3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5"/>
      <c r="H18" s="1416"/>
      <c r="I18" s="1417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 x14ac:dyDescent="0.25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22" t="s">
        <v>57</v>
      </c>
      <c r="L19" s="1423"/>
      <c r="M19" s="93" t="s">
        <v>61</v>
      </c>
      <c r="N19" s="1432" t="s">
        <v>57</v>
      </c>
      <c r="O19" s="1433"/>
      <c r="P19" s="262" t="s">
        <v>61</v>
      </c>
      <c r="Q19" s="1422" t="s">
        <v>57</v>
      </c>
      <c r="R19" s="1423"/>
      <c r="S19" s="131"/>
      <c r="T19" s="37"/>
      <c r="U19" s="138"/>
    </row>
    <row r="20" spans="1:21" x14ac:dyDescent="0.25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 x14ac:dyDescent="0.25">
      <c r="A21" s="615"/>
      <c r="B21" s="608" t="s">
        <v>14</v>
      </c>
      <c r="C21" s="163">
        <f>VLOOKUP(C$2,Monitor_Costs,2,FALSE)</f>
        <v>11426</v>
      </c>
      <c r="D21" s="22">
        <f>VLOOKUP(C$2,Monitor_Costs,3,FALSE)</f>
        <v>2019</v>
      </c>
      <c r="E21" s="74"/>
      <c r="F21" s="75"/>
      <c r="G21" s="76"/>
      <c r="H21" s="76"/>
      <c r="I21" s="37"/>
      <c r="J21" s="279">
        <f>HLOOKUP(D21,InflationTable,2)*$C$21</f>
        <v>15434.261922560074</v>
      </c>
      <c r="K21" s="279">
        <f>J21*$L$4</f>
        <v>0</v>
      </c>
      <c r="L21" s="280">
        <f>K21/$E$18</f>
        <v>0</v>
      </c>
      <c r="M21" s="78">
        <f>HLOOKUP($D$21,InflationTable,3)*$C$21</f>
        <v>15855.812383483684</v>
      </c>
      <c r="N21" s="27">
        <f>M21*$L$4</f>
        <v>0</v>
      </c>
      <c r="O21" s="182">
        <f>N21/$E$18</f>
        <v>0</v>
      </c>
      <c r="P21" s="298">
        <f>HLOOKUP($D$21,InflationTable,4)*$C$21</f>
        <v>16045.81215773055</v>
      </c>
      <c r="Q21" s="279">
        <f>P21*$L$4</f>
        <v>0</v>
      </c>
      <c r="R21" s="280">
        <f>Q21/$E$18</f>
        <v>0</v>
      </c>
      <c r="S21" s="127" t="s">
        <v>12</v>
      </c>
      <c r="T21" s="119" t="s">
        <v>12</v>
      </c>
      <c r="U21" s="139">
        <f>AVERAGE(L21,O21,R21)</f>
        <v>0</v>
      </c>
    </row>
    <row r="22" spans="1:21" ht="13.8" thickBot="1" x14ac:dyDescent="0.3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1" x14ac:dyDescent="0.25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 x14ac:dyDescent="0.25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0</v>
      </c>
      <c r="L24" s="282">
        <f>K24/$E$18</f>
        <v>0</v>
      </c>
      <c r="M24" s="58" t="s">
        <v>12</v>
      </c>
      <c r="N24" s="69">
        <f>$I$24*($O$4+$O$5)</f>
        <v>0</v>
      </c>
      <c r="O24" s="59">
        <f>N24/$E$18</f>
        <v>0</v>
      </c>
      <c r="P24" s="263" t="s">
        <v>12</v>
      </c>
      <c r="Q24" s="281">
        <f>$I$24*($R$4+$R$5)</f>
        <v>0</v>
      </c>
      <c r="R24" s="282">
        <f>Q24/$E$18</f>
        <v>0</v>
      </c>
      <c r="S24" s="151">
        <f>AVERAGE(L24,O24,R24)</f>
        <v>0</v>
      </c>
      <c r="T24" s="119" t="s">
        <v>12</v>
      </c>
      <c r="U24" s="140" t="s">
        <v>12</v>
      </c>
    </row>
    <row r="25" spans="1:21" s="1" customFormat="1" ht="13.8" thickBot="1" x14ac:dyDescent="0.3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266.10796418207025</v>
      </c>
      <c r="K25" s="296">
        <f>J25*($L$4+$L$5)</f>
        <v>0</v>
      </c>
      <c r="L25" s="297">
        <f>K25/$E$18</f>
        <v>0</v>
      </c>
      <c r="M25" s="376">
        <f>HLOOKUP(Labor!$B$11,InflationTable,3)*$I25</f>
        <v>273.3760755773049</v>
      </c>
      <c r="N25" s="377">
        <f>M25*$L$4</f>
        <v>0</v>
      </c>
      <c r="O25" s="378">
        <f>N25/$E$18</f>
        <v>0</v>
      </c>
      <c r="P25" s="332">
        <f>HLOOKUP(Labor!$B$11,InflationTable,4)*$I25</f>
        <v>276.65193375397502</v>
      </c>
      <c r="Q25" s="296">
        <f>P25*$L$4</f>
        <v>0</v>
      </c>
      <c r="R25" s="390">
        <f>Q25/$E$18</f>
        <v>0</v>
      </c>
      <c r="S25" s="391">
        <f>AVERAGE(L25,O25,R25)</f>
        <v>0</v>
      </c>
      <c r="T25" s="218" t="s">
        <v>12</v>
      </c>
      <c r="U25" s="392" t="s">
        <v>12</v>
      </c>
    </row>
    <row r="26" spans="1:21" x14ac:dyDescent="0.25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0</v>
      </c>
      <c r="L26" s="294">
        <f>K26/$E$18</f>
        <v>0</v>
      </c>
      <c r="M26" s="61" t="s">
        <v>12</v>
      </c>
      <c r="N26" s="348">
        <f>I26*$O$4</f>
        <v>0</v>
      </c>
      <c r="O26" s="62">
        <f>N26/$E$18</f>
        <v>0</v>
      </c>
      <c r="P26" s="293" t="s">
        <v>12</v>
      </c>
      <c r="Q26" s="327">
        <f>$I26*$O$4</f>
        <v>0</v>
      </c>
      <c r="R26" s="367">
        <f>Q26/$E$18</f>
        <v>0</v>
      </c>
      <c r="S26" s="129">
        <f>AVERAGE(L26,O26,R26)</f>
        <v>0</v>
      </c>
      <c r="T26" s="136" t="s">
        <v>12</v>
      </c>
      <c r="U26" s="147" t="s">
        <v>12</v>
      </c>
    </row>
    <row r="27" spans="1:21" s="1" customFormat="1" ht="13.8" thickBot="1" x14ac:dyDescent="0.3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918.54525707516632</v>
      </c>
      <c r="K27" s="296">
        <f>J27*$L$4</f>
        <v>0</v>
      </c>
      <c r="L27" s="297">
        <f>K27/$E$18</f>
        <v>0</v>
      </c>
      <c r="M27" s="376">
        <f>HLOOKUP(Labor!$B$11,InflationTable,3)*$I27</f>
        <v>943.63315427699149</v>
      </c>
      <c r="N27" s="377">
        <f>M27*$O$4</f>
        <v>0</v>
      </c>
      <c r="O27" s="378">
        <f>N27/$E$18</f>
        <v>0</v>
      </c>
      <c r="P27" s="339">
        <f>HLOOKUP(Labor!$B$11,InflationTable,4)*$I27</f>
        <v>954.9406850391016</v>
      </c>
      <c r="Q27" s="296">
        <f>P27*$R$4</f>
        <v>0</v>
      </c>
      <c r="R27" s="297">
        <f>Q27/$E$18</f>
        <v>0</v>
      </c>
      <c r="S27" s="211">
        <f>AVERAGE(L27,O27,R27)</f>
        <v>0</v>
      </c>
      <c r="T27" s="393" t="s">
        <v>12</v>
      </c>
      <c r="U27" s="392" t="s">
        <v>12</v>
      </c>
    </row>
    <row r="28" spans="1:21" x14ac:dyDescent="0.25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0</v>
      </c>
      <c r="L28" s="286">
        <f>L24+L26</f>
        <v>0</v>
      </c>
      <c r="M28" s="44" t="s">
        <v>12</v>
      </c>
      <c r="N28" s="33">
        <f>N24+N26</f>
        <v>0</v>
      </c>
      <c r="O28" s="40">
        <f>O24+O26</f>
        <v>0</v>
      </c>
      <c r="P28" s="284" t="s">
        <v>12</v>
      </c>
      <c r="Q28" s="285">
        <f>Q24+Q26</f>
        <v>0</v>
      </c>
      <c r="R28" s="286">
        <f>R24+R26</f>
        <v>0</v>
      </c>
      <c r="S28" s="175">
        <f>AVERAGE(L28,O28,R28)</f>
        <v>0</v>
      </c>
      <c r="T28" s="136" t="s">
        <v>12</v>
      </c>
      <c r="U28" s="147" t="s">
        <v>12</v>
      </c>
    </row>
    <row r="29" spans="1:21" ht="13.8" thickBot="1" x14ac:dyDescent="0.3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1184.6532212572365</v>
      </c>
      <c r="K29" s="287"/>
      <c r="L29" s="276">
        <f>L27+L25+L22+L21</f>
        <v>0</v>
      </c>
      <c r="M29" s="242">
        <f>M27+M25</f>
        <v>1217.0092298542963</v>
      </c>
      <c r="N29" s="247"/>
      <c r="O29" s="243">
        <f>O27+O25+O22+O21</f>
        <v>0</v>
      </c>
      <c r="P29" s="274">
        <f>P27+P25</f>
        <v>1231.5926187930766</v>
      </c>
      <c r="Q29" s="287"/>
      <c r="R29" s="276">
        <f>R27+R25+R22+R21</f>
        <v>0</v>
      </c>
      <c r="S29" s="248">
        <f>SUM(S27,S25)</f>
        <v>0</v>
      </c>
      <c r="T29" s="249" t="s">
        <v>12</v>
      </c>
      <c r="U29" s="250">
        <f>SUM(U21:U22)</f>
        <v>0</v>
      </c>
    </row>
    <row r="30" spans="1:21" ht="14.4" thickTop="1" thickBot="1" x14ac:dyDescent="0.3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2" thickTop="1" x14ac:dyDescent="0.3">
      <c r="A31" s="615"/>
      <c r="B31" s="613" t="s">
        <v>22</v>
      </c>
      <c r="C31" s="5"/>
      <c r="D31" s="5"/>
      <c r="E31" s="5"/>
      <c r="F31" s="112" t="s">
        <v>6</v>
      </c>
      <c r="G31" s="1415"/>
      <c r="H31" s="1416"/>
      <c r="I31" s="1417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 x14ac:dyDescent="0.25">
      <c r="A32" s="615"/>
      <c r="B32" s="5"/>
      <c r="C32" s="5"/>
      <c r="D32" s="5"/>
      <c r="E32" s="5"/>
      <c r="F32" s="112"/>
      <c r="G32" s="1418"/>
      <c r="H32" s="1418"/>
      <c r="I32" s="1419"/>
      <c r="J32" s="277" t="s">
        <v>61</v>
      </c>
      <c r="K32" s="1437" t="s">
        <v>57</v>
      </c>
      <c r="L32" s="1438"/>
      <c r="M32" s="57" t="s">
        <v>61</v>
      </c>
      <c r="N32" s="1432" t="s">
        <v>57</v>
      </c>
      <c r="O32" s="1433"/>
      <c r="P32" s="277" t="s">
        <v>61</v>
      </c>
      <c r="Q32" s="1422" t="s">
        <v>57</v>
      </c>
      <c r="R32" s="1423"/>
      <c r="S32" s="131"/>
      <c r="T32" s="37"/>
      <c r="U32" s="138"/>
    </row>
    <row r="33" spans="1:21" x14ac:dyDescent="0.25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8" thickBot="1" x14ac:dyDescent="0.3">
      <c r="A34" s="615"/>
      <c r="B34" s="361"/>
      <c r="C34" s="353">
        <f>VLOOKUP(C$2,Monitor_Costs,4,FALSE)</f>
        <v>800</v>
      </c>
      <c r="D34" s="34">
        <f>VLOOKUP(C$2,Monitor_Costs,5,FALSE)</f>
        <v>2019</v>
      </c>
      <c r="E34" s="4"/>
      <c r="F34" s="12"/>
      <c r="G34" s="4"/>
      <c r="H34" s="361"/>
      <c r="I34" s="363"/>
      <c r="J34" s="355">
        <f>HLOOKUP($D$34,InflationTable,2)*$C$34</f>
        <v>1080.6414789119603</v>
      </c>
      <c r="K34" s="355">
        <f>J34*$L$4</f>
        <v>0</v>
      </c>
      <c r="L34" s="308">
        <f>K34</f>
        <v>0</v>
      </c>
      <c r="M34" s="171">
        <f>HLOOKUP($D$34,InflationTable,3)*$C$34</f>
        <v>1110.1566520905783</v>
      </c>
      <c r="N34" s="357">
        <f>M34*$O$4</f>
        <v>0</v>
      </c>
      <c r="O34" s="95">
        <f>N34</f>
        <v>0</v>
      </c>
      <c r="P34" s="355">
        <f>HLOOKUP($D$34,InflationTable,4)*$C$34</f>
        <v>1123.4596294577666</v>
      </c>
      <c r="Q34" s="355">
        <f>P34*$R$4</f>
        <v>0</v>
      </c>
      <c r="R34" s="308">
        <f>Q34</f>
        <v>0</v>
      </c>
      <c r="S34" s="359" t="s">
        <v>12</v>
      </c>
      <c r="T34" s="360">
        <f>AVERAGE(L34,O34,R34)</f>
        <v>0</v>
      </c>
      <c r="U34" s="142" t="s">
        <v>12</v>
      </c>
    </row>
    <row r="35" spans="1:21" x14ac:dyDescent="0.25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 x14ac:dyDescent="0.25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0</v>
      </c>
      <c r="L36" s="289">
        <f>K36</f>
        <v>0</v>
      </c>
      <c r="M36" s="58" t="s">
        <v>12</v>
      </c>
      <c r="N36" s="69">
        <f>$I$36*$O$4</f>
        <v>0</v>
      </c>
      <c r="O36" s="68">
        <f>N36</f>
        <v>0</v>
      </c>
      <c r="P36" s="299" t="s">
        <v>12</v>
      </c>
      <c r="Q36" s="281">
        <f>$I$36*$R$4</f>
        <v>0</v>
      </c>
      <c r="R36" s="289">
        <f>Q36</f>
        <v>0</v>
      </c>
      <c r="S36" s="121">
        <f>AVERAGE(L36,O36,R36)</f>
        <v>0</v>
      </c>
      <c r="T36" s="119" t="s">
        <v>12</v>
      </c>
      <c r="U36" s="140" t="s">
        <v>12</v>
      </c>
    </row>
    <row r="37" spans="1:21" s="1" customFormat="1" ht="13.8" thickBot="1" x14ac:dyDescent="0.3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6886.3878243664676</v>
      </c>
      <c r="K37" s="296">
        <f>J37*$L$4</f>
        <v>0</v>
      </c>
      <c r="L37" s="390">
        <f>K37</f>
        <v>0</v>
      </c>
      <c r="M37" s="376">
        <f>HLOOKUP(Labor!$B$11,InflationTable,3)*I37</f>
        <v>7074.47326544721</v>
      </c>
      <c r="N37" s="377">
        <f>M37*$O$4</f>
        <v>0</v>
      </c>
      <c r="O37" s="378">
        <f>N37</f>
        <v>0</v>
      </c>
      <c r="P37" s="296">
        <f>HLOOKUP(Labor!$B$11,InflationTable,4)*$I$37</f>
        <v>7159.2464887196174</v>
      </c>
      <c r="Q37" s="296">
        <f>P37*$R$4</f>
        <v>0</v>
      </c>
      <c r="R37" s="390">
        <f>Q37</f>
        <v>0</v>
      </c>
      <c r="S37" s="211">
        <f>AVERAGE(L37,O37,R37)</f>
        <v>0</v>
      </c>
      <c r="T37" s="393" t="s">
        <v>12</v>
      </c>
      <c r="U37" s="392" t="s">
        <v>12</v>
      </c>
    </row>
    <row r="38" spans="1:21" x14ac:dyDescent="0.25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0</v>
      </c>
      <c r="L38" s="303">
        <f>L36</f>
        <v>0</v>
      </c>
      <c r="M38" s="85" t="s">
        <v>12</v>
      </c>
      <c r="N38" s="82">
        <f>N36</f>
        <v>0</v>
      </c>
      <c r="O38" s="96">
        <f>O36</f>
        <v>0</v>
      </c>
      <c r="P38" s="301" t="s">
        <v>12</v>
      </c>
      <c r="Q38" s="302">
        <f>Q36</f>
        <v>0</v>
      </c>
      <c r="R38" s="303">
        <f>R36</f>
        <v>0</v>
      </c>
      <c r="S38" s="96">
        <f>S36</f>
        <v>0</v>
      </c>
      <c r="T38" s="136" t="s">
        <v>12</v>
      </c>
      <c r="U38" s="147" t="s">
        <v>12</v>
      </c>
    </row>
    <row r="39" spans="1:21" ht="13.8" thickBot="1" x14ac:dyDescent="0.3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7967.0293032784284</v>
      </c>
      <c r="K39" s="305">
        <f t="shared" si="5"/>
        <v>0</v>
      </c>
      <c r="L39" s="306">
        <f t="shared" si="5"/>
        <v>0</v>
      </c>
      <c r="M39" s="252">
        <f t="shared" si="5"/>
        <v>8184.6299175377881</v>
      </c>
      <c r="N39" s="253">
        <f t="shared" si="5"/>
        <v>0</v>
      </c>
      <c r="O39" s="254">
        <f t="shared" si="5"/>
        <v>0</v>
      </c>
      <c r="P39" s="304">
        <f t="shared" si="5"/>
        <v>8282.7061181773843</v>
      </c>
      <c r="Q39" s="305">
        <f t="shared" si="5"/>
        <v>0</v>
      </c>
      <c r="R39" s="306">
        <f t="shared" si="5"/>
        <v>0</v>
      </c>
      <c r="S39" s="255">
        <f>AVERAGE(L39,O39,R39)</f>
        <v>0</v>
      </c>
      <c r="T39" s="251">
        <f>T34</f>
        <v>0</v>
      </c>
      <c r="U39" s="224" t="s">
        <v>12</v>
      </c>
    </row>
    <row r="40" spans="1:21" ht="14.4" thickTop="1" thickBot="1" x14ac:dyDescent="0.3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2" thickTop="1" x14ac:dyDescent="0.3">
      <c r="A41" s="615"/>
      <c r="B41" s="80" t="s">
        <v>24</v>
      </c>
      <c r="C41" s="5"/>
      <c r="D41" s="5"/>
      <c r="E41" s="5"/>
      <c r="F41" s="112" t="s">
        <v>6</v>
      </c>
      <c r="G41" s="1415"/>
      <c r="H41" s="1416"/>
      <c r="I41" s="1417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 x14ac:dyDescent="0.25">
      <c r="A42" s="615"/>
      <c r="B42" s="5"/>
      <c r="C42" s="5"/>
      <c r="D42" s="5"/>
      <c r="E42" s="5"/>
      <c r="F42" s="112"/>
      <c r="G42" s="1418"/>
      <c r="H42" s="1418"/>
      <c r="I42" s="1419"/>
      <c r="J42" s="277" t="s">
        <v>61</v>
      </c>
      <c r="K42" s="1422" t="s">
        <v>57</v>
      </c>
      <c r="L42" s="1423"/>
      <c r="M42" s="57" t="s">
        <v>61</v>
      </c>
      <c r="N42" s="1432" t="s">
        <v>57</v>
      </c>
      <c r="O42" s="1433"/>
      <c r="P42" s="277" t="s">
        <v>61</v>
      </c>
      <c r="Q42" s="1422" t="s">
        <v>57</v>
      </c>
      <c r="R42" s="1423"/>
      <c r="S42" s="131"/>
      <c r="T42" s="37"/>
      <c r="U42" s="138"/>
    </row>
    <row r="43" spans="1:21" x14ac:dyDescent="0.25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8" thickBot="1" x14ac:dyDescent="0.3">
      <c r="A44" s="615"/>
      <c r="B44" s="361"/>
      <c r="C44" s="353">
        <f>VLOOKUP(C$2,Monitor_Costs,6,FALSE)</f>
        <v>1000</v>
      </c>
      <c r="D44" s="34">
        <f>VLOOKUP(C$2,Monitor_Costs,7,FALSE)</f>
        <v>2019</v>
      </c>
      <c r="E44" s="354"/>
      <c r="F44" s="71"/>
      <c r="G44" s="56"/>
      <c r="H44" s="56"/>
      <c r="I44" s="54"/>
      <c r="J44" s="355">
        <f>HLOOKUP(D44,InflationTable,2)*C44</f>
        <v>1350.8018486399505</v>
      </c>
      <c r="K44" s="355">
        <f>J44*$L$4</f>
        <v>0</v>
      </c>
      <c r="L44" s="308">
        <f>K44</f>
        <v>0</v>
      </c>
      <c r="M44" s="357">
        <f>HLOOKUP($D$44,InflationTable,3)*$C$44</f>
        <v>1387.6958151132228</v>
      </c>
      <c r="N44" s="357">
        <f>M44*$O$4</f>
        <v>0</v>
      </c>
      <c r="O44" s="95">
        <f>N44</f>
        <v>0</v>
      </c>
      <c r="P44" s="358">
        <f>HLOOKUP($D$44,InflationTable,4)*$C$44</f>
        <v>1404.3245368222081</v>
      </c>
      <c r="Q44" s="355">
        <f>P44*$R$4</f>
        <v>0</v>
      </c>
      <c r="R44" s="308">
        <f>Q44</f>
        <v>0</v>
      </c>
      <c r="S44" s="359" t="s">
        <v>12</v>
      </c>
      <c r="T44" s="360">
        <f>AVERAGE(L44,O44,R44)</f>
        <v>0</v>
      </c>
      <c r="U44" s="142" t="s">
        <v>12</v>
      </c>
    </row>
    <row r="45" spans="1:21" x14ac:dyDescent="0.25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 x14ac:dyDescent="0.25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0</v>
      </c>
      <c r="L46" s="289">
        <f>K46</f>
        <v>0</v>
      </c>
      <c r="M46" s="58" t="s">
        <v>12</v>
      </c>
      <c r="N46" s="69">
        <f>$I$46*$O$4</f>
        <v>0</v>
      </c>
      <c r="O46" s="68">
        <f>N46</f>
        <v>0</v>
      </c>
      <c r="P46" s="263" t="s">
        <v>12</v>
      </c>
      <c r="Q46" s="281">
        <f>$I$46*$R$4</f>
        <v>0</v>
      </c>
      <c r="R46" s="289">
        <f>Q46</f>
        <v>0</v>
      </c>
      <c r="S46" s="121">
        <f>AVERAGE(L46,O46,R46)</f>
        <v>0</v>
      </c>
      <c r="T46" s="119" t="s">
        <v>12</v>
      </c>
      <c r="U46" s="140" t="s">
        <v>12</v>
      </c>
    </row>
    <row r="47" spans="1:21" ht="13.8" thickBot="1" x14ac:dyDescent="0.3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709.17097053597399</v>
      </c>
      <c r="K47" s="269">
        <f>J47*$L$4</f>
        <v>0</v>
      </c>
      <c r="L47" s="308">
        <f>K47</f>
        <v>0</v>
      </c>
      <c r="M47" s="84">
        <f>HLOOKUP(Labor!$B$11,InflationTable,3)*$I$47</f>
        <v>728.54030293444202</v>
      </c>
      <c r="N47" s="63">
        <f>M47*$O$4</f>
        <v>0</v>
      </c>
      <c r="O47" s="95">
        <f>N47</f>
        <v>0</v>
      </c>
      <c r="P47" s="268">
        <f>HLOOKUP(Labor!$B$11,InflationTable,4)*$I$47</f>
        <v>737.27038183165928</v>
      </c>
      <c r="Q47" s="269">
        <f>P47*$O$4</f>
        <v>0</v>
      </c>
      <c r="R47" s="308">
        <f>Q47</f>
        <v>0</v>
      </c>
      <c r="S47" s="128">
        <f>AVERAGE(L47,O47,R47)</f>
        <v>0</v>
      </c>
      <c r="T47" s="149" t="s">
        <v>12</v>
      </c>
      <c r="U47" s="142" t="s">
        <v>12</v>
      </c>
    </row>
    <row r="48" spans="1:21" x14ac:dyDescent="0.25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0</v>
      </c>
      <c r="L48" s="328">
        <f>K48</f>
        <v>0</v>
      </c>
      <c r="M48" s="61" t="s">
        <v>12</v>
      </c>
      <c r="N48" s="348">
        <f>$I$48*$O$4</f>
        <v>0</v>
      </c>
      <c r="O48" s="349">
        <f>N48</f>
        <v>0</v>
      </c>
      <c r="P48" s="293" t="s">
        <v>12</v>
      </c>
      <c r="Q48" s="327">
        <f>$I$48*$R$4</f>
        <v>0</v>
      </c>
      <c r="R48" s="328">
        <f>Q48</f>
        <v>0</v>
      </c>
      <c r="S48" s="129">
        <f>AVERAGE(L48,O48,R48)</f>
        <v>0</v>
      </c>
      <c r="T48" s="119" t="s">
        <v>12</v>
      </c>
      <c r="U48" s="140" t="s">
        <v>12</v>
      </c>
    </row>
    <row r="49" spans="2:21" ht="13.8" thickBot="1" x14ac:dyDescent="0.3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3489.1211750369921</v>
      </c>
      <c r="K49" s="269">
        <f>J49*$L$4</f>
        <v>0</v>
      </c>
      <c r="L49" s="308">
        <f>K49</f>
        <v>0</v>
      </c>
      <c r="M49" s="84">
        <f>HLOOKUP(Labor!$B$11,InflationTable,3)*$I$49</f>
        <v>3584.4182904374547</v>
      </c>
      <c r="N49" s="63">
        <f>M49*$O$4</f>
        <v>0</v>
      </c>
      <c r="O49" s="95">
        <f>N49</f>
        <v>0</v>
      </c>
      <c r="P49" s="268">
        <f>HLOOKUP(Labor!$B$11,InflationTable,4)*$I$49</f>
        <v>3627.3702786117638</v>
      </c>
      <c r="Q49" s="269">
        <f>P49*$R$4</f>
        <v>0</v>
      </c>
      <c r="R49" s="308">
        <f>Q49</f>
        <v>0</v>
      </c>
      <c r="S49" s="132">
        <f>AVERAGE(L49,O49,R49)</f>
        <v>0</v>
      </c>
      <c r="T49" s="149" t="s">
        <v>12</v>
      </c>
      <c r="U49" s="142" t="s">
        <v>12</v>
      </c>
    </row>
    <row r="50" spans="2:21" x14ac:dyDescent="0.25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0</v>
      </c>
      <c r="L50" s="310">
        <f>L46+L48</f>
        <v>0</v>
      </c>
      <c r="M50" s="85" t="s">
        <v>12</v>
      </c>
      <c r="N50" s="86">
        <f>N46+N48</f>
        <v>0</v>
      </c>
      <c r="O50" s="97">
        <f>O46+O48</f>
        <v>0</v>
      </c>
      <c r="P50" s="301" t="s">
        <v>12</v>
      </c>
      <c r="Q50" s="309">
        <f>Q46+Q48</f>
        <v>0</v>
      </c>
      <c r="R50" s="310">
        <f>R46+R48</f>
        <v>0</v>
      </c>
      <c r="S50" s="121">
        <f>AVERAGE(L50,O50,R50)</f>
        <v>0</v>
      </c>
      <c r="T50" s="136" t="s">
        <v>12</v>
      </c>
      <c r="U50" s="148" t="s">
        <v>12</v>
      </c>
    </row>
    <row r="51" spans="2:21" ht="13.8" thickBot="1" x14ac:dyDescent="0.3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5549.0939942129171</v>
      </c>
      <c r="K51" s="305">
        <f t="shared" si="8"/>
        <v>0</v>
      </c>
      <c r="L51" s="306">
        <f t="shared" si="8"/>
        <v>0</v>
      </c>
      <c r="M51" s="252">
        <f t="shared" si="8"/>
        <v>5700.6544084851203</v>
      </c>
      <c r="N51" s="253">
        <f t="shared" si="8"/>
        <v>0</v>
      </c>
      <c r="O51" s="254">
        <f t="shared" si="8"/>
        <v>0</v>
      </c>
      <c r="P51" s="311">
        <f t="shared" si="8"/>
        <v>5768.9651972656311</v>
      </c>
      <c r="Q51" s="305">
        <f t="shared" si="8"/>
        <v>0</v>
      </c>
      <c r="R51" s="306">
        <f t="shared" si="8"/>
        <v>0</v>
      </c>
      <c r="S51" s="248">
        <f>S49+S47</f>
        <v>0</v>
      </c>
      <c r="T51" s="251">
        <f>T44</f>
        <v>0</v>
      </c>
      <c r="U51" s="224" t="s">
        <v>12</v>
      </c>
    </row>
    <row r="52" spans="2:21" ht="14.4" thickTop="1" thickBot="1" x14ac:dyDescent="0.3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2" thickTop="1" x14ac:dyDescent="0.3">
      <c r="B53" s="564" t="s">
        <v>26</v>
      </c>
      <c r="C53" s="5"/>
      <c r="D53" s="5"/>
      <c r="E53" s="5"/>
      <c r="F53" s="112" t="s">
        <v>6</v>
      </c>
      <c r="G53" s="1415"/>
      <c r="H53" s="1416"/>
      <c r="I53" s="1417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 x14ac:dyDescent="0.25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22" t="s">
        <v>57</v>
      </c>
      <c r="L54" s="1423"/>
      <c r="M54" s="57" t="s">
        <v>61</v>
      </c>
      <c r="N54" s="1432" t="s">
        <v>57</v>
      </c>
      <c r="O54" s="1433"/>
      <c r="P54" s="277" t="s">
        <v>61</v>
      </c>
      <c r="Q54" s="1422" t="s">
        <v>57</v>
      </c>
      <c r="R54" s="1423"/>
      <c r="S54" s="131"/>
      <c r="T54" s="37"/>
      <c r="U54" s="138"/>
    </row>
    <row r="55" spans="2:21" x14ac:dyDescent="0.25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 x14ac:dyDescent="0.25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0</v>
      </c>
      <c r="L56" s="289">
        <f t="shared" ref="L56:L63" si="10">K56</f>
        <v>0</v>
      </c>
      <c r="M56" s="58" t="s">
        <v>12</v>
      </c>
      <c r="N56" s="69">
        <f>$I$56*$O$4</f>
        <v>0</v>
      </c>
      <c r="O56" s="68">
        <f t="shared" ref="O56:O63" si="11">N56</f>
        <v>0</v>
      </c>
      <c r="P56" s="263" t="s">
        <v>12</v>
      </c>
      <c r="Q56" s="281">
        <f>$I$56*$R$4</f>
        <v>0</v>
      </c>
      <c r="R56" s="289">
        <f t="shared" ref="R56:R63" si="12">Q56</f>
        <v>0</v>
      </c>
      <c r="S56" s="121">
        <f t="shared" ref="S56:S65" si="13">AVERAGE(L56,O56,R56)</f>
        <v>0</v>
      </c>
      <c r="T56" s="119" t="s">
        <v>12</v>
      </c>
      <c r="U56" s="140" t="s">
        <v>12</v>
      </c>
    </row>
    <row r="57" spans="2:21" ht="13.8" thickBot="1" x14ac:dyDescent="0.3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859.10997573500845</v>
      </c>
      <c r="K57" s="269">
        <f>J57*$L$4</f>
        <v>0</v>
      </c>
      <c r="L57" s="308">
        <f t="shared" si="10"/>
        <v>0</v>
      </c>
      <c r="M57" s="84">
        <f>HLOOKUP(Labor!$B$11,InflationTable,3)*$I$57</f>
        <v>882.5745384120097</v>
      </c>
      <c r="N57" s="63">
        <f>M57*$L$4</f>
        <v>0</v>
      </c>
      <c r="O57" s="95">
        <f t="shared" si="11"/>
        <v>0</v>
      </c>
      <c r="P57" s="268">
        <f>HLOOKUP(Labor!$B$11,InflationTable,4)*$I$57</f>
        <v>893.15040541892438</v>
      </c>
      <c r="Q57" s="269">
        <f>P57*$R$4</f>
        <v>0</v>
      </c>
      <c r="R57" s="308">
        <f t="shared" si="12"/>
        <v>0</v>
      </c>
      <c r="S57" s="128">
        <f t="shared" si="13"/>
        <v>0</v>
      </c>
      <c r="T57" s="149" t="s">
        <v>12</v>
      </c>
      <c r="U57" s="142" t="s">
        <v>12</v>
      </c>
    </row>
    <row r="58" spans="2:21" x14ac:dyDescent="0.25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0</v>
      </c>
      <c r="L58" s="328">
        <f t="shared" si="10"/>
        <v>0</v>
      </c>
      <c r="M58" s="61" t="s">
        <v>12</v>
      </c>
      <c r="N58" s="348">
        <f>$I$58*$O$4</f>
        <v>0</v>
      </c>
      <c r="O58" s="349">
        <f t="shared" si="11"/>
        <v>0</v>
      </c>
      <c r="P58" s="293" t="s">
        <v>12</v>
      </c>
      <c r="Q58" s="327">
        <f>$I$58*$R$4</f>
        <v>0</v>
      </c>
      <c r="R58" s="328">
        <f t="shared" si="12"/>
        <v>0</v>
      </c>
      <c r="S58" s="129">
        <f t="shared" si="13"/>
        <v>0</v>
      </c>
      <c r="T58" s="136" t="s">
        <v>12</v>
      </c>
      <c r="U58" s="147" t="s">
        <v>12</v>
      </c>
    </row>
    <row r="59" spans="2:21" ht="13.8" thickBot="1" x14ac:dyDescent="0.3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590.30040785565836</v>
      </c>
      <c r="K59" s="269">
        <f>J59*$L$4</f>
        <v>0</v>
      </c>
      <c r="L59" s="308">
        <f t="shared" si="10"/>
        <v>0</v>
      </c>
      <c r="M59" s="362">
        <f>HLOOKUP(Labor!$B$11,InflationTable,3)*I59</f>
        <v>606.42307120447833</v>
      </c>
      <c r="N59" s="63">
        <f>M59*$O$4</f>
        <v>0</v>
      </c>
      <c r="O59" s="95">
        <f t="shared" si="11"/>
        <v>0</v>
      </c>
      <c r="P59" s="268">
        <f>HLOOKUP(Labor!$B$11,InflationTable,4)*$I$59</f>
        <v>613.68982259130496</v>
      </c>
      <c r="Q59" s="269">
        <f>P59*$R$4</f>
        <v>0</v>
      </c>
      <c r="R59" s="308">
        <f t="shared" si="12"/>
        <v>0</v>
      </c>
      <c r="S59" s="128">
        <f t="shared" si="13"/>
        <v>0</v>
      </c>
      <c r="T59" s="149" t="s">
        <v>12</v>
      </c>
      <c r="U59" s="142" t="s">
        <v>12</v>
      </c>
    </row>
    <row r="60" spans="2:21" x14ac:dyDescent="0.25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0</v>
      </c>
      <c r="L60" s="328">
        <f t="shared" si="10"/>
        <v>0</v>
      </c>
      <c r="M60" s="61" t="s">
        <v>12</v>
      </c>
      <c r="N60" s="348">
        <f>$I$60*$O$4</f>
        <v>0</v>
      </c>
      <c r="O60" s="349">
        <f t="shared" si="11"/>
        <v>0</v>
      </c>
      <c r="P60" s="293" t="s">
        <v>12</v>
      </c>
      <c r="Q60" s="327">
        <f>$I$60*$R$4</f>
        <v>0</v>
      </c>
      <c r="R60" s="328">
        <f t="shared" si="12"/>
        <v>0</v>
      </c>
      <c r="S60" s="129">
        <f t="shared" si="13"/>
        <v>0</v>
      </c>
      <c r="T60" s="136" t="s">
        <v>12</v>
      </c>
      <c r="U60" s="147" t="s">
        <v>12</v>
      </c>
    </row>
    <row r="61" spans="2:21" ht="13.8" thickBot="1" x14ac:dyDescent="0.3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769.95705372477175</v>
      </c>
      <c r="K61" s="269">
        <f>J61*$L$4</f>
        <v>0</v>
      </c>
      <c r="L61" s="308">
        <f t="shared" si="10"/>
        <v>0</v>
      </c>
      <c r="M61" s="84">
        <f>HLOOKUP(Labor!$B$11,InflationTable,3)*$I$61</f>
        <v>790.98661461453696</v>
      </c>
      <c r="N61" s="63">
        <f>M61*$O$4</f>
        <v>0</v>
      </c>
      <c r="O61" s="95">
        <f t="shared" si="11"/>
        <v>0</v>
      </c>
      <c r="P61" s="268">
        <f>HLOOKUP(Labor!$B$11,InflationTable,4)*$I$61</f>
        <v>800.46498598865867</v>
      </c>
      <c r="Q61" s="269">
        <f>P61*$R$4</f>
        <v>0</v>
      </c>
      <c r="R61" s="308">
        <f t="shared" si="12"/>
        <v>0</v>
      </c>
      <c r="S61" s="128">
        <f t="shared" si="13"/>
        <v>0</v>
      </c>
      <c r="T61" s="149" t="s">
        <v>12</v>
      </c>
      <c r="U61" s="142" t="s">
        <v>12</v>
      </c>
    </row>
    <row r="62" spans="2:21" x14ac:dyDescent="0.25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0</v>
      </c>
      <c r="L62" s="328">
        <f t="shared" si="10"/>
        <v>0</v>
      </c>
      <c r="M62" s="61" t="s">
        <v>12</v>
      </c>
      <c r="N62" s="348">
        <f>$I$62*$O$4</f>
        <v>0</v>
      </c>
      <c r="O62" s="349">
        <f t="shared" si="11"/>
        <v>0</v>
      </c>
      <c r="P62" s="293" t="s">
        <v>12</v>
      </c>
      <c r="Q62" s="327">
        <f>$I$62*$R$4</f>
        <v>0</v>
      </c>
      <c r="R62" s="328">
        <f t="shared" si="12"/>
        <v>0</v>
      </c>
      <c r="S62" s="129">
        <f t="shared" si="13"/>
        <v>0</v>
      </c>
      <c r="T62" s="136" t="s">
        <v>12</v>
      </c>
      <c r="U62" s="147" t="s">
        <v>12</v>
      </c>
    </row>
    <row r="63" spans="2:21" ht="13.8" thickBot="1" x14ac:dyDescent="0.3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248.54754014975089</v>
      </c>
      <c r="K63" s="269">
        <f>J63*$L$4</f>
        <v>0</v>
      </c>
      <c r="L63" s="300">
        <f t="shared" si="10"/>
        <v>0</v>
      </c>
      <c r="M63" s="84">
        <f>HLOOKUP(Labor!$B$11,InflationTable,3)*$I$63</f>
        <v>255.33602998083299</v>
      </c>
      <c r="N63" s="63">
        <f>M63*$O$4</f>
        <v>0</v>
      </c>
      <c r="O63" s="98">
        <f t="shared" si="11"/>
        <v>0</v>
      </c>
      <c r="P63" s="268">
        <f>HLOOKUP(Labor!$B$11,InflationTable,4)*$I$63</f>
        <v>258.39571477528631</v>
      </c>
      <c r="Q63" s="269">
        <f>P63*$R$4</f>
        <v>0</v>
      </c>
      <c r="R63" s="300">
        <f t="shared" si="12"/>
        <v>0</v>
      </c>
      <c r="S63" s="128">
        <f t="shared" si="13"/>
        <v>0</v>
      </c>
      <c r="T63" s="137" t="s">
        <v>12</v>
      </c>
      <c r="U63" s="142" t="s">
        <v>12</v>
      </c>
    </row>
    <row r="64" spans="2:21" x14ac:dyDescent="0.25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0</v>
      </c>
      <c r="L64" s="312">
        <f>L56+L58+L60+L62</f>
        <v>0</v>
      </c>
      <c r="M64" s="85" t="s">
        <v>12</v>
      </c>
      <c r="N64" s="33">
        <f>N56+N58+N60+N62</f>
        <v>0</v>
      </c>
      <c r="O64" s="99">
        <f>O56+O58+O60+O62</f>
        <v>0</v>
      </c>
      <c r="P64" s="301" t="s">
        <v>12</v>
      </c>
      <c r="Q64" s="285">
        <f>Q56+Q58+Q60+Q62</f>
        <v>0</v>
      </c>
      <c r="R64" s="312">
        <f>R56+R58+R60+R62</f>
        <v>0</v>
      </c>
      <c r="S64" s="129">
        <f t="shared" si="13"/>
        <v>0</v>
      </c>
      <c r="T64" s="136" t="s">
        <v>12</v>
      </c>
      <c r="U64" s="147" t="s">
        <v>12</v>
      </c>
    </row>
    <row r="65" spans="2:22" ht="13.8" thickBot="1" x14ac:dyDescent="0.3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2467.9149774651896</v>
      </c>
      <c r="K65" s="275">
        <f>K57+K59+K61+K63</f>
        <v>0</v>
      </c>
      <c r="L65" s="276">
        <f>L57+L59+L61+L63</f>
        <v>0</v>
      </c>
      <c r="M65" s="242">
        <f>M57+M59+M61+M63</f>
        <v>2535.3202542118579</v>
      </c>
      <c r="N65" s="240">
        <f>N57+N59+N61+N63</f>
        <v>0</v>
      </c>
      <c r="O65" s="243">
        <f>O57+O59+O61+O63</f>
        <v>0</v>
      </c>
      <c r="P65" s="313">
        <f>P57+P59+P61+P63</f>
        <v>2565.7009287741744</v>
      </c>
      <c r="Q65" s="275">
        <f>Q57+Q59+Q61+Q63</f>
        <v>0</v>
      </c>
      <c r="R65" s="276">
        <f>R57+R59+R61+R63</f>
        <v>0</v>
      </c>
      <c r="S65" s="255">
        <f t="shared" si="13"/>
        <v>0</v>
      </c>
      <c r="T65" s="249" t="s">
        <v>12</v>
      </c>
      <c r="U65" s="224" t="s">
        <v>12</v>
      </c>
    </row>
    <row r="66" spans="2:22" ht="13.8" thickTop="1" x14ac:dyDescent="0.25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8" thickBot="1" x14ac:dyDescent="0.3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8.2" thickTop="1" thickBot="1" x14ac:dyDescent="0.35">
      <c r="B68" s="564" t="s">
        <v>28</v>
      </c>
      <c r="C68" s="5"/>
      <c r="D68" s="5"/>
      <c r="E68" s="5"/>
      <c r="F68" s="112" t="s">
        <v>6</v>
      </c>
      <c r="G68" s="1415"/>
      <c r="H68" s="1416"/>
      <c r="I68" s="1417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 x14ac:dyDescent="0.25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22" t="s">
        <v>57</v>
      </c>
      <c r="L69" s="1423"/>
      <c r="M69" s="57" t="s">
        <v>61</v>
      </c>
      <c r="N69" s="1432" t="s">
        <v>57</v>
      </c>
      <c r="O69" s="1436"/>
      <c r="P69" s="318" t="s">
        <v>61</v>
      </c>
      <c r="Q69" s="1422" t="s">
        <v>57</v>
      </c>
      <c r="R69" s="1423"/>
      <c r="S69" s="170"/>
      <c r="T69" s="133"/>
      <c r="U69" s="37"/>
    </row>
    <row r="70" spans="2:22" x14ac:dyDescent="0.25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 x14ac:dyDescent="0.25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0</v>
      </c>
      <c r="L71" s="289">
        <f>K71</f>
        <v>0</v>
      </c>
      <c r="M71" s="58" t="s">
        <v>12</v>
      </c>
      <c r="N71" s="69">
        <f>$I$71*$O$4</f>
        <v>0</v>
      </c>
      <c r="O71" s="68">
        <f>N71</f>
        <v>0</v>
      </c>
      <c r="P71" s="263" t="s">
        <v>12</v>
      </c>
      <c r="Q71" s="281">
        <f>$I$71*$O$4</f>
        <v>0</v>
      </c>
      <c r="R71" s="289">
        <f>Q71</f>
        <v>0</v>
      </c>
      <c r="S71" s="121">
        <f>AVERAGE(L71,O71,R71)</f>
        <v>0</v>
      </c>
      <c r="T71" s="135" t="s">
        <v>12</v>
      </c>
      <c r="U71" s="136" t="s">
        <v>12</v>
      </c>
    </row>
    <row r="72" spans="2:22" ht="13.8" thickBot="1" x14ac:dyDescent="0.3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2528.701060653987</v>
      </c>
      <c r="K72" s="269">
        <f>J72*$L$4</f>
        <v>0</v>
      </c>
      <c r="L72" s="308">
        <f>K72</f>
        <v>0</v>
      </c>
      <c r="M72" s="362">
        <f>HLOOKUP(Labor!$B$11,InflationTable,3)*$I$72</f>
        <v>2597.7665658919532</v>
      </c>
      <c r="N72" s="63">
        <f>M72*$O$4</f>
        <v>0</v>
      </c>
      <c r="O72" s="95">
        <f>N72</f>
        <v>0</v>
      </c>
      <c r="P72" s="268">
        <f>HLOOKUP(Labor!$B$11,InflationTable,4)*$I72</f>
        <v>2628.8955329311739</v>
      </c>
      <c r="Q72" s="269">
        <f>P72*$R$4</f>
        <v>0</v>
      </c>
      <c r="R72" s="308">
        <f>Q72</f>
        <v>0</v>
      </c>
      <c r="S72" s="128">
        <f>AVERAGE(L72,O72,R72)</f>
        <v>0</v>
      </c>
      <c r="T72" s="137" t="s">
        <v>12</v>
      </c>
      <c r="U72" s="149" t="s">
        <v>12</v>
      </c>
    </row>
    <row r="73" spans="2:22" x14ac:dyDescent="0.25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0</v>
      </c>
      <c r="L73" s="328">
        <f>K73</f>
        <v>0</v>
      </c>
      <c r="M73" s="61" t="s">
        <v>12</v>
      </c>
      <c r="N73" s="348">
        <f>$I$73*$O$4</f>
        <v>0</v>
      </c>
      <c r="O73" s="349">
        <f>N73</f>
        <v>0</v>
      </c>
      <c r="P73" s="293" t="s">
        <v>12</v>
      </c>
      <c r="Q73" s="327">
        <f>$I$73*$O$4</f>
        <v>0</v>
      </c>
      <c r="R73" s="328">
        <f>Q73</f>
        <v>0</v>
      </c>
      <c r="S73" s="129">
        <f>AVERAGE(L73,O73,R73)</f>
        <v>0</v>
      </c>
      <c r="T73" s="135" t="s">
        <v>12</v>
      </c>
      <c r="U73" s="136" t="s">
        <v>12</v>
      </c>
    </row>
    <row r="74" spans="2:22" ht="13.8" thickBot="1" x14ac:dyDescent="0.3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1434.5515632556273</v>
      </c>
      <c r="K74" s="269">
        <f>J74*$L$4</f>
        <v>0</v>
      </c>
      <c r="L74" s="308">
        <f>K74</f>
        <v>0</v>
      </c>
      <c r="M74" s="362">
        <f>HLOOKUP(Labor!$B$11,InflationTable,3)*$I$74</f>
        <v>1473.7329556502427</v>
      </c>
      <c r="N74" s="63">
        <f>M74*$O$4</f>
        <v>0</v>
      </c>
      <c r="O74" s="95">
        <f>N74</f>
        <v>0</v>
      </c>
      <c r="P74" s="268">
        <f>HLOOKUP(Labor!$B$11,InflationTable,4)*$I74</f>
        <v>1491.3926581051851</v>
      </c>
      <c r="Q74" s="269">
        <f>P74*$R$4</f>
        <v>0</v>
      </c>
      <c r="R74" s="308">
        <f>Q74</f>
        <v>0</v>
      </c>
      <c r="S74" s="128">
        <f>AVERAGE(L74,O74,R74)</f>
        <v>0</v>
      </c>
      <c r="T74" s="137" t="s">
        <v>12</v>
      </c>
      <c r="U74" s="149" t="s">
        <v>12</v>
      </c>
    </row>
    <row r="75" spans="2:22" x14ac:dyDescent="0.25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 x14ac:dyDescent="0.25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0</v>
      </c>
      <c r="L76" s="289">
        <f t="shared" ref="L76:L81" si="16">K76</f>
        <v>0</v>
      </c>
      <c r="M76" s="58" t="s">
        <v>12</v>
      </c>
      <c r="N76" s="69">
        <f>$I76*$O$4</f>
        <v>0</v>
      </c>
      <c r="O76" s="68">
        <f t="shared" ref="O76:O81" si="17">N76</f>
        <v>0</v>
      </c>
      <c r="P76" s="263" t="s">
        <v>12</v>
      </c>
      <c r="Q76" s="281">
        <f>$I76*$O$4</f>
        <v>0</v>
      </c>
      <c r="R76" s="289">
        <f t="shared" ref="R76:R81" si="18">Q76</f>
        <v>0</v>
      </c>
      <c r="S76" s="121">
        <f t="shared" ref="S76:S81" si="19">AVERAGE(L76,O76,R76)</f>
        <v>0</v>
      </c>
      <c r="T76" s="135" t="s">
        <v>12</v>
      </c>
      <c r="U76" s="136" t="s">
        <v>12</v>
      </c>
    </row>
    <row r="77" spans="2:22" ht="13.8" thickBot="1" x14ac:dyDescent="0.3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283.66838821438961</v>
      </c>
      <c r="K77" s="269">
        <f>J77*$L$4</f>
        <v>0</v>
      </c>
      <c r="L77" s="308">
        <f t="shared" si="16"/>
        <v>0</v>
      </c>
      <c r="M77" s="362">
        <f>HLOOKUP(Labor!$B$11,InflationTable,3)*$I77</f>
        <v>291.41612117377679</v>
      </c>
      <c r="N77" s="63">
        <f>M77*$O$4</f>
        <v>0</v>
      </c>
      <c r="O77" s="95">
        <f t="shared" si="17"/>
        <v>0</v>
      </c>
      <c r="P77" s="268">
        <f>HLOOKUP(Labor!$B$11,InflationTable,4)*$I77</f>
        <v>294.90815273266372</v>
      </c>
      <c r="Q77" s="269">
        <f>P77*$R$4</f>
        <v>0</v>
      </c>
      <c r="R77" s="308">
        <f t="shared" si="18"/>
        <v>0</v>
      </c>
      <c r="S77" s="128">
        <f t="shared" si="19"/>
        <v>0</v>
      </c>
      <c r="T77" s="137" t="s">
        <v>12</v>
      </c>
      <c r="U77" s="149" t="s">
        <v>12</v>
      </c>
    </row>
    <row r="78" spans="2:22" x14ac:dyDescent="0.25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0</v>
      </c>
      <c r="L78" s="328">
        <f t="shared" si="16"/>
        <v>0</v>
      </c>
      <c r="M78" s="61" t="s">
        <v>12</v>
      </c>
      <c r="N78" s="348">
        <f>$I78*$O$4</f>
        <v>0</v>
      </c>
      <c r="O78" s="349">
        <f t="shared" si="17"/>
        <v>0</v>
      </c>
      <c r="P78" s="293" t="s">
        <v>12</v>
      </c>
      <c r="Q78" s="327">
        <f>$I78*$O$4</f>
        <v>0</v>
      </c>
      <c r="R78" s="328">
        <f t="shared" si="18"/>
        <v>0</v>
      </c>
      <c r="S78" s="129">
        <f t="shared" si="19"/>
        <v>0</v>
      </c>
      <c r="T78" s="135" t="s">
        <v>12</v>
      </c>
      <c r="U78" s="136" t="s">
        <v>12</v>
      </c>
    </row>
    <row r="79" spans="2:22" ht="13.8" thickBot="1" x14ac:dyDescent="0.3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322.84164182494817</v>
      </c>
      <c r="K79" s="269">
        <f>J79*$L$4</f>
        <v>0</v>
      </c>
      <c r="L79" s="308">
        <f t="shared" si="16"/>
        <v>0</v>
      </c>
      <c r="M79" s="362">
        <f>HLOOKUP(Labor!$B$11,InflationTable,3)*$I79</f>
        <v>331.65929981206023</v>
      </c>
      <c r="N79" s="63">
        <f>M79*$O$4</f>
        <v>0</v>
      </c>
      <c r="O79" s="95">
        <f t="shared" si="17"/>
        <v>0</v>
      </c>
      <c r="P79" s="268">
        <f>HLOOKUP(Labor!$B$11,InflationTable,4)*$I79</f>
        <v>335.63356430050777</v>
      </c>
      <c r="Q79" s="269">
        <f>P79*$R$4</f>
        <v>0</v>
      </c>
      <c r="R79" s="308">
        <f t="shared" si="18"/>
        <v>0</v>
      </c>
      <c r="S79" s="172">
        <f t="shared" si="19"/>
        <v>0</v>
      </c>
      <c r="T79" s="118" t="s">
        <v>12</v>
      </c>
      <c r="U79" s="119" t="s">
        <v>12</v>
      </c>
    </row>
    <row r="80" spans="2:22" x14ac:dyDescent="0.25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0</v>
      </c>
      <c r="L80" s="328">
        <f t="shared" si="16"/>
        <v>0</v>
      </c>
      <c r="M80" s="61" t="s">
        <v>12</v>
      </c>
      <c r="N80" s="348">
        <f>$I80*$O$4</f>
        <v>0</v>
      </c>
      <c r="O80" s="349">
        <f t="shared" si="17"/>
        <v>0</v>
      </c>
      <c r="P80" s="293" t="s">
        <v>12</v>
      </c>
      <c r="Q80" s="327">
        <f>$I80*$O$4</f>
        <v>0</v>
      </c>
      <c r="R80" s="328">
        <f t="shared" si="18"/>
        <v>0</v>
      </c>
      <c r="S80" s="121">
        <f t="shared" si="19"/>
        <v>0</v>
      </c>
      <c r="T80" s="135" t="s">
        <v>12</v>
      </c>
      <c r="U80" s="136" t="s">
        <v>12</v>
      </c>
    </row>
    <row r="81" spans="2:21" ht="13.8" thickBot="1" x14ac:dyDescent="0.3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424.15178047294444</v>
      </c>
      <c r="K81" s="269">
        <f>J81*$L$4</f>
        <v>0</v>
      </c>
      <c r="L81" s="308">
        <f t="shared" si="16"/>
        <v>0</v>
      </c>
      <c r="M81" s="362">
        <f>HLOOKUP(Labor!$B$11,InflationTable,3)*$I81</f>
        <v>435.73648594555198</v>
      </c>
      <c r="N81" s="63">
        <f>M81*$O$4</f>
        <v>0</v>
      </c>
      <c r="O81" s="95">
        <f t="shared" si="17"/>
        <v>0</v>
      </c>
      <c r="P81" s="268">
        <f>HLOOKUP(Labor!$B$11,InflationTable,4)*$I81</f>
        <v>440.95790456217338</v>
      </c>
      <c r="Q81" s="269">
        <f>P81*$R$4</f>
        <v>0</v>
      </c>
      <c r="R81" s="308">
        <f t="shared" si="18"/>
        <v>0</v>
      </c>
      <c r="S81" s="128">
        <f t="shared" si="19"/>
        <v>0</v>
      </c>
      <c r="T81" s="137" t="s">
        <v>12</v>
      </c>
      <c r="U81" s="149" t="s">
        <v>12</v>
      </c>
    </row>
    <row r="82" spans="2:21" x14ac:dyDescent="0.25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 x14ac:dyDescent="0.25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0</v>
      </c>
      <c r="L83" s="289">
        <f>K83</f>
        <v>0</v>
      </c>
      <c r="M83" s="58" t="s">
        <v>12</v>
      </c>
      <c r="N83" s="89">
        <f>$I83*M$5</f>
        <v>0</v>
      </c>
      <c r="O83" s="68">
        <f>N83</f>
        <v>0</v>
      </c>
      <c r="P83" s="263" t="s">
        <v>12</v>
      </c>
      <c r="Q83" s="314">
        <f>$I83*P$5</f>
        <v>0</v>
      </c>
      <c r="R83" s="289">
        <f>Q83</f>
        <v>0</v>
      </c>
      <c r="S83" s="121">
        <f>AVERAGE(L83,O83,R83)</f>
        <v>0</v>
      </c>
      <c r="T83" s="135" t="s">
        <v>12</v>
      </c>
      <c r="U83" s="136" t="s">
        <v>12</v>
      </c>
    </row>
    <row r="84" spans="2:21" ht="13.8" thickBot="1" x14ac:dyDescent="0.3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32.419244367358814</v>
      </c>
      <c r="K84" s="269">
        <f>J84*$J$5</f>
        <v>0</v>
      </c>
      <c r="L84" s="308">
        <f>K84</f>
        <v>0</v>
      </c>
      <c r="M84" s="362">
        <f>HLOOKUP(Labor!$B$11,InflationTable,3)*$I84</f>
        <v>33.304699562717346</v>
      </c>
      <c r="N84" s="63">
        <f>M84*$M$5</f>
        <v>0</v>
      </c>
      <c r="O84" s="95">
        <f>N84</f>
        <v>0</v>
      </c>
      <c r="P84" s="268">
        <f>HLOOKUP(Labor!$B$11,InflationTable,4)*$I84</f>
        <v>33.703788883732997</v>
      </c>
      <c r="Q84" s="269">
        <f>P84*$P$5</f>
        <v>0</v>
      </c>
      <c r="R84" s="308">
        <f>Q84</f>
        <v>0</v>
      </c>
      <c r="S84" s="132">
        <f>AVERAGE(L84,O84,R84)</f>
        <v>0</v>
      </c>
      <c r="T84" s="137" t="s">
        <v>12</v>
      </c>
      <c r="U84" s="149" t="s">
        <v>12</v>
      </c>
    </row>
    <row r="85" spans="2:21" x14ac:dyDescent="0.25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4" t="s">
        <v>57</v>
      </c>
      <c r="O85" s="1435"/>
      <c r="P85" s="259" t="s">
        <v>55</v>
      </c>
      <c r="Q85" s="1431" t="s">
        <v>57</v>
      </c>
      <c r="R85" s="1439"/>
      <c r="S85" s="170"/>
      <c r="T85" s="133"/>
      <c r="U85" s="37"/>
    </row>
    <row r="86" spans="2:21" x14ac:dyDescent="0.25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0</v>
      </c>
      <c r="L86" s="282">
        <f>K86/$E$85</f>
        <v>0</v>
      </c>
      <c r="M86" s="58" t="s">
        <v>12</v>
      </c>
      <c r="N86" s="60">
        <f>$I$86*$M$5</f>
        <v>0</v>
      </c>
      <c r="O86" s="59">
        <f>N86/$E$85</f>
        <v>0</v>
      </c>
      <c r="P86" s="263" t="s">
        <v>12</v>
      </c>
      <c r="Q86" s="283">
        <f>$I$86*$P$5</f>
        <v>0</v>
      </c>
      <c r="R86" s="282">
        <f>Q86/$E$85</f>
        <v>0</v>
      </c>
      <c r="S86" s="121">
        <f>AVERAGE(L86,O86,R86)</f>
        <v>0</v>
      </c>
      <c r="T86" s="135" t="s">
        <v>12</v>
      </c>
      <c r="U86" s="136" t="s">
        <v>12</v>
      </c>
    </row>
    <row r="87" spans="2:21" ht="13.8" thickBot="1" x14ac:dyDescent="0.3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1102.2543084901995</v>
      </c>
      <c r="K87" s="269">
        <f>J87*$J$5</f>
        <v>0</v>
      </c>
      <c r="L87" s="270">
        <f>K87/$E$85</f>
        <v>0</v>
      </c>
      <c r="M87" s="91">
        <f>HLOOKUP(Labor!$B$11,InflationTable,3)*$I87</f>
        <v>1132.3597851323898</v>
      </c>
      <c r="N87" s="63">
        <f>M87*$M$5</f>
        <v>0</v>
      </c>
      <c r="O87" s="64">
        <f>N87/$E$85</f>
        <v>0</v>
      </c>
      <c r="P87" s="292">
        <f>HLOOKUP(Labor!$B$11,InflationTable,4)*$I87</f>
        <v>1145.9288220469218</v>
      </c>
      <c r="Q87" s="269">
        <f>P87*$P$5</f>
        <v>0</v>
      </c>
      <c r="R87" s="270">
        <f>Q87/$E$85</f>
        <v>0</v>
      </c>
      <c r="S87" s="128">
        <f>AVERAGE(L87,O87,R87)</f>
        <v>0</v>
      </c>
      <c r="T87" s="137" t="s">
        <v>12</v>
      </c>
      <c r="U87" s="149" t="s">
        <v>12</v>
      </c>
    </row>
    <row r="88" spans="2:21" x14ac:dyDescent="0.25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0</v>
      </c>
      <c r="M88" s="92" t="s">
        <v>12</v>
      </c>
      <c r="N88" s="42" t="s">
        <v>12</v>
      </c>
      <c r="O88" s="90">
        <f>O86+N83+N80+N78+N76+N73+N71</f>
        <v>0</v>
      </c>
      <c r="P88" s="293" t="s">
        <v>12</v>
      </c>
      <c r="Q88" s="315" t="s">
        <v>12</v>
      </c>
      <c r="R88" s="316">
        <f>R86+Q83+Q80+Q78+Q76+Q73+Q71</f>
        <v>0</v>
      </c>
      <c r="S88" s="150">
        <f>AVERAGE(L88,O88,R88)</f>
        <v>0</v>
      </c>
      <c r="T88" s="133"/>
      <c r="U88" s="37"/>
    </row>
    <row r="89" spans="2:21" ht="13.8" thickBot="1" x14ac:dyDescent="0.3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6128.5879872794558</v>
      </c>
      <c r="K89" s="317" t="s">
        <v>12</v>
      </c>
      <c r="L89" s="306">
        <f>L87+K84+K81+K79+K77+K74+K72</f>
        <v>0</v>
      </c>
      <c r="M89" s="242">
        <f>M72+M74+M77+M79+M81+M84+M87</f>
        <v>6295.9759131686915</v>
      </c>
      <c r="N89" s="256" t="s">
        <v>12</v>
      </c>
      <c r="O89" s="254">
        <f>O87+N84+N81+N79+N77+N74+N72</f>
        <v>0</v>
      </c>
      <c r="P89" s="274">
        <f>P72+P74+P77+P79+P81+P84+P87</f>
        <v>6371.4204235623583</v>
      </c>
      <c r="Q89" s="317" t="s">
        <v>12</v>
      </c>
      <c r="R89" s="306">
        <f>R87+Q84+Q81+Q79+Q77+Q74+Q72</f>
        <v>0</v>
      </c>
      <c r="S89" s="248">
        <f>AVERAGE(L89,O89,R89)</f>
        <v>0</v>
      </c>
      <c r="T89" s="246"/>
      <c r="U89" s="236"/>
    </row>
    <row r="90" spans="2:21" ht="14.4" thickTop="1" thickBot="1" x14ac:dyDescent="0.3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2" thickTop="1" x14ac:dyDescent="0.3">
      <c r="B91" s="562" t="s">
        <v>30</v>
      </c>
      <c r="C91" s="5"/>
      <c r="D91" s="5"/>
      <c r="E91" s="5"/>
      <c r="F91" s="112" t="s">
        <v>6</v>
      </c>
      <c r="G91" s="1415"/>
      <c r="H91" s="1416"/>
      <c r="I91" s="1417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 x14ac:dyDescent="0.25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22" t="s">
        <v>57</v>
      </c>
      <c r="L92" s="1423"/>
      <c r="M92" s="57" t="s">
        <v>61</v>
      </c>
      <c r="N92" s="1432" t="s">
        <v>57</v>
      </c>
      <c r="O92" s="1436"/>
      <c r="P92" s="318" t="s">
        <v>61</v>
      </c>
      <c r="Q92" s="1431" t="s">
        <v>57</v>
      </c>
      <c r="R92" s="1439"/>
      <c r="S92" s="131"/>
      <c r="T92" s="133"/>
      <c r="U92" s="37"/>
    </row>
    <row r="93" spans="2:21" x14ac:dyDescent="0.25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 x14ac:dyDescent="0.25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0</v>
      </c>
      <c r="L94" s="289">
        <f>K94</f>
        <v>0</v>
      </c>
      <c r="M94" s="58" t="s">
        <v>12</v>
      </c>
      <c r="N94" s="69">
        <f>$I94*O$4</f>
        <v>0</v>
      </c>
      <c r="O94" s="59">
        <f>N94</f>
        <v>0</v>
      </c>
      <c r="P94" s="263" t="s">
        <v>12</v>
      </c>
      <c r="Q94" s="281">
        <f>$I94*R$4</f>
        <v>0</v>
      </c>
      <c r="R94" s="289">
        <f>Q94</f>
        <v>0</v>
      </c>
      <c r="S94" s="173">
        <f t="shared" ref="S94:S99" si="21">AVERAGE(L94,O94,R94)</f>
        <v>0</v>
      </c>
      <c r="T94" s="135" t="s">
        <v>12</v>
      </c>
      <c r="U94" s="136" t="s">
        <v>12</v>
      </c>
    </row>
    <row r="95" spans="2:21" ht="13.8" thickBot="1" x14ac:dyDescent="0.3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915.84365337788643</v>
      </c>
      <c r="K95" s="269">
        <f>J95*$L$4</f>
        <v>0</v>
      </c>
      <c r="L95" s="308">
        <f>K95</f>
        <v>0</v>
      </c>
      <c r="M95" s="84">
        <f>HLOOKUP(Labor!$B$11,InflationTable,3)*$I95</f>
        <v>940.85776264676508</v>
      </c>
      <c r="N95" s="63">
        <f>M95*O$4</f>
        <v>0</v>
      </c>
      <c r="O95" s="64">
        <f>N95</f>
        <v>0</v>
      </c>
      <c r="P95" s="268">
        <f>HLOOKUP(Labor!$B$11,InflationTable,4)*$I95</f>
        <v>952.13203596545713</v>
      </c>
      <c r="Q95" s="269">
        <f>P95*R$4</f>
        <v>0</v>
      </c>
      <c r="R95" s="308">
        <f>Q95</f>
        <v>0</v>
      </c>
      <c r="S95" s="171">
        <f t="shared" si="21"/>
        <v>0</v>
      </c>
      <c r="T95" s="137" t="s">
        <v>12</v>
      </c>
      <c r="U95" s="149" t="s">
        <v>12</v>
      </c>
    </row>
    <row r="96" spans="2:21" x14ac:dyDescent="0.25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0</v>
      </c>
      <c r="L96" s="328">
        <f>K96</f>
        <v>0</v>
      </c>
      <c r="M96" s="61" t="s">
        <v>12</v>
      </c>
      <c r="N96" s="348">
        <f>$I96*O$4</f>
        <v>0</v>
      </c>
      <c r="O96" s="349">
        <f>N96</f>
        <v>0</v>
      </c>
      <c r="P96" s="293" t="s">
        <v>12</v>
      </c>
      <c r="Q96" s="327">
        <f>$I96*R$4</f>
        <v>0</v>
      </c>
      <c r="R96" s="328">
        <f>Q96</f>
        <v>0</v>
      </c>
      <c r="S96" s="173">
        <f t="shared" si="21"/>
        <v>0</v>
      </c>
      <c r="T96" s="135" t="s">
        <v>12</v>
      </c>
      <c r="U96" s="136" t="s">
        <v>12</v>
      </c>
    </row>
    <row r="97" spans="2:22" ht="13.8" thickBot="1" x14ac:dyDescent="0.3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1943.8038601928888</v>
      </c>
      <c r="K97" s="269">
        <f>J97*$L$4</f>
        <v>0</v>
      </c>
      <c r="L97" s="300">
        <f>K97</f>
        <v>0</v>
      </c>
      <c r="M97" s="84">
        <f>HLOOKUP(Labor!$B$11,InflationTable,3)*$I97</f>
        <v>1996.8942779479275</v>
      </c>
      <c r="N97" s="63">
        <f>M97*O$4</f>
        <v>0</v>
      </c>
      <c r="O97" s="64">
        <f>N97</f>
        <v>0</v>
      </c>
      <c r="P97" s="292">
        <f>HLOOKUP(Labor!$B$11,InflationTable,4)*$I97</f>
        <v>2020.8230084871575</v>
      </c>
      <c r="Q97" s="269">
        <f>P97*R$4</f>
        <v>0</v>
      </c>
      <c r="R97" s="300">
        <f>Q97</f>
        <v>0</v>
      </c>
      <c r="S97" s="128">
        <f t="shared" si="21"/>
        <v>0</v>
      </c>
      <c r="T97" s="137" t="s">
        <v>12</v>
      </c>
      <c r="U97" s="149" t="s">
        <v>12</v>
      </c>
    </row>
    <row r="98" spans="2:22" x14ac:dyDescent="0.25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0</v>
      </c>
      <c r="L98" s="321">
        <f>L94+L96</f>
        <v>0</v>
      </c>
      <c r="M98" s="85" t="s">
        <v>12</v>
      </c>
      <c r="N98" s="36">
        <f>N94+N96</f>
        <v>0</v>
      </c>
      <c r="O98" s="100">
        <f>O94+O96</f>
        <v>0</v>
      </c>
      <c r="P98" s="301" t="s">
        <v>12</v>
      </c>
      <c r="Q98" s="320">
        <f>Q94+Q96</f>
        <v>0</v>
      </c>
      <c r="R98" s="322">
        <f>R94+R96</f>
        <v>0</v>
      </c>
      <c r="S98" s="121">
        <f t="shared" si="21"/>
        <v>0</v>
      </c>
      <c r="T98" s="135" t="s">
        <v>12</v>
      </c>
      <c r="U98" s="136" t="s">
        <v>12</v>
      </c>
    </row>
    <row r="99" spans="2:22" ht="13.8" thickBot="1" x14ac:dyDescent="0.3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2859.6475135707751</v>
      </c>
      <c r="K99" s="275">
        <f>K95+K97</f>
        <v>0</v>
      </c>
      <c r="L99" s="276">
        <f>L95+L97</f>
        <v>0</v>
      </c>
      <c r="M99" s="242">
        <f>M95+M97</f>
        <v>2937.7520405946925</v>
      </c>
      <c r="N99" s="240">
        <f>N95+N97</f>
        <v>0</v>
      </c>
      <c r="O99" s="243">
        <f>O95+O97</f>
        <v>0</v>
      </c>
      <c r="P99" s="313">
        <f>P95+P97</f>
        <v>2972.9550444526149</v>
      </c>
      <c r="Q99" s="275">
        <f>Q95+Q97</f>
        <v>0</v>
      </c>
      <c r="R99" s="276">
        <f>R95+R97</f>
        <v>0</v>
      </c>
      <c r="S99" s="257">
        <f t="shared" si="21"/>
        <v>0</v>
      </c>
      <c r="T99" s="258" t="s">
        <v>12</v>
      </c>
      <c r="U99" s="249" t="s">
        <v>12</v>
      </c>
    </row>
    <row r="100" spans="2:22" ht="14.4" thickTop="1" thickBot="1" x14ac:dyDescent="0.3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8.600000000000001" thickTop="1" thickBot="1" x14ac:dyDescent="0.35">
      <c r="B101" s="556" t="s">
        <v>121</v>
      </c>
      <c r="C101" s="647" t="str">
        <f>C2</f>
        <v>PAMSNMOC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0</v>
      </c>
      <c r="L101" s="83"/>
      <c r="M101" s="79" t="str">
        <f>M2</f>
        <v>Year 2</v>
      </c>
      <c r="N101" s="79">
        <f>N2</f>
        <v>1</v>
      </c>
      <c r="O101" s="41"/>
      <c r="P101" s="233" t="str">
        <f>P2</f>
        <v>Year 3</v>
      </c>
      <c r="Q101" s="233">
        <f>Q2</f>
        <v>2</v>
      </c>
      <c r="R101" s="83"/>
      <c r="S101" s="152"/>
      <c r="T101" s="130"/>
      <c r="U101" s="570"/>
    </row>
    <row r="102" spans="2:22" ht="13.8" thickBot="1" x14ac:dyDescent="0.3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 x14ac:dyDescent="0.25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0</v>
      </c>
      <c r="G103" s="184">
        <f t="shared" si="23"/>
        <v>0</v>
      </c>
      <c r="H103" s="184">
        <f t="shared" si="23"/>
        <v>0</v>
      </c>
      <c r="I103" s="185">
        <f t="shared" si="23"/>
        <v>0</v>
      </c>
      <c r="J103" s="326" t="str">
        <f t="shared" si="23"/>
        <v>NA</v>
      </c>
      <c r="K103" s="327">
        <f t="shared" si="23"/>
        <v>0</v>
      </c>
      <c r="L103" s="328">
        <f t="shared" si="23"/>
        <v>0</v>
      </c>
      <c r="M103" s="186" t="str">
        <f t="shared" si="23"/>
        <v>NA</v>
      </c>
      <c r="N103" s="184">
        <f t="shared" si="23"/>
        <v>0</v>
      </c>
      <c r="O103" s="185">
        <f t="shared" si="23"/>
        <v>0</v>
      </c>
      <c r="P103" s="326" t="str">
        <f t="shared" si="23"/>
        <v>NA</v>
      </c>
      <c r="Q103" s="327">
        <f t="shared" si="23"/>
        <v>0</v>
      </c>
      <c r="R103" s="328">
        <f t="shared" si="23"/>
        <v>0</v>
      </c>
      <c r="S103" s="185">
        <f t="shared" si="23"/>
        <v>0</v>
      </c>
      <c r="T103" s="37"/>
      <c r="U103" s="138"/>
    </row>
    <row r="104" spans="2:22" ht="13.8" thickBot="1" x14ac:dyDescent="0.3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0</v>
      </c>
      <c r="G104" s="204">
        <f t="shared" si="24"/>
        <v>0</v>
      </c>
      <c r="H104" s="204">
        <f t="shared" si="24"/>
        <v>0</v>
      </c>
      <c r="I104" s="205">
        <f t="shared" si="24"/>
        <v>0</v>
      </c>
      <c r="J104" s="329">
        <f t="shared" si="24"/>
        <v>0</v>
      </c>
      <c r="K104" s="330">
        <f t="shared" si="24"/>
        <v>0</v>
      </c>
      <c r="L104" s="331">
        <f t="shared" si="24"/>
        <v>0</v>
      </c>
      <c r="M104" s="203">
        <f t="shared" si="24"/>
        <v>0</v>
      </c>
      <c r="N104" s="204">
        <f t="shared" si="24"/>
        <v>0</v>
      </c>
      <c r="O104" s="205">
        <f t="shared" si="24"/>
        <v>0</v>
      </c>
      <c r="P104" s="329">
        <f t="shared" si="24"/>
        <v>0</v>
      </c>
      <c r="Q104" s="330">
        <f t="shared" si="24"/>
        <v>0</v>
      </c>
      <c r="R104" s="331">
        <f t="shared" si="24"/>
        <v>0</v>
      </c>
      <c r="S104" s="205">
        <f t="shared" si="24"/>
        <v>0</v>
      </c>
      <c r="T104" s="206" t="str">
        <f>T16</f>
        <v>NA</v>
      </c>
      <c r="U104" s="392" t="s">
        <v>12</v>
      </c>
    </row>
    <row r="105" spans="2:22" x14ac:dyDescent="0.25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0</v>
      </c>
      <c r="L105" s="328">
        <f t="shared" si="25"/>
        <v>0</v>
      </c>
      <c r="M105" s="186" t="str">
        <f t="shared" si="25"/>
        <v>NA</v>
      </c>
      <c r="N105" s="184">
        <f t="shared" si="25"/>
        <v>0</v>
      </c>
      <c r="O105" s="185">
        <f t="shared" si="25"/>
        <v>0</v>
      </c>
      <c r="P105" s="326" t="str">
        <f t="shared" si="25"/>
        <v>NA</v>
      </c>
      <c r="Q105" s="327">
        <f t="shared" si="25"/>
        <v>0</v>
      </c>
      <c r="R105" s="328">
        <f t="shared" si="25"/>
        <v>0</v>
      </c>
      <c r="S105" s="185">
        <f t="shared" si="25"/>
        <v>0</v>
      </c>
      <c r="T105" s="37"/>
      <c r="U105" s="138"/>
    </row>
    <row r="106" spans="2:22" ht="13.8" thickBot="1" x14ac:dyDescent="0.3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1184.6532212572365</v>
      </c>
      <c r="K106" s="296">
        <f t="shared" si="26"/>
        <v>0</v>
      </c>
      <c r="L106" s="297">
        <f t="shared" si="26"/>
        <v>0</v>
      </c>
      <c r="M106" s="207">
        <f t="shared" si="26"/>
        <v>1217.0092298542963</v>
      </c>
      <c r="N106" s="208">
        <f t="shared" si="26"/>
        <v>0</v>
      </c>
      <c r="O106" s="209">
        <f t="shared" si="26"/>
        <v>0</v>
      </c>
      <c r="P106" s="332">
        <f t="shared" si="26"/>
        <v>1231.5926187930766</v>
      </c>
      <c r="Q106" s="296">
        <f t="shared" si="26"/>
        <v>0</v>
      </c>
      <c r="R106" s="297">
        <f t="shared" si="26"/>
        <v>0</v>
      </c>
      <c r="S106" s="209">
        <f t="shared" si="26"/>
        <v>0</v>
      </c>
      <c r="T106" s="210" t="str">
        <f>T29</f>
        <v>NA</v>
      </c>
      <c r="U106" s="575">
        <f>U29</f>
        <v>0</v>
      </c>
    </row>
    <row r="107" spans="2:22" x14ac:dyDescent="0.25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0</v>
      </c>
      <c r="L107" s="335">
        <f t="shared" si="27"/>
        <v>0</v>
      </c>
      <c r="M107" s="199" t="str">
        <f t="shared" si="27"/>
        <v>NA</v>
      </c>
      <c r="N107" s="25">
        <f t="shared" si="27"/>
        <v>0</v>
      </c>
      <c r="O107" s="198">
        <f t="shared" si="27"/>
        <v>0</v>
      </c>
      <c r="P107" s="333" t="str">
        <f t="shared" si="27"/>
        <v>NA</v>
      </c>
      <c r="Q107" s="334">
        <f t="shared" si="27"/>
        <v>0</v>
      </c>
      <c r="R107" s="335">
        <f t="shared" si="27"/>
        <v>0</v>
      </c>
      <c r="S107" s="198">
        <f t="shared" si="27"/>
        <v>0</v>
      </c>
      <c r="T107" s="200" t="str">
        <f>T21</f>
        <v>NA</v>
      </c>
      <c r="U107" s="147" t="s">
        <v>12</v>
      </c>
    </row>
    <row r="108" spans="2:22" ht="13.8" thickBot="1" x14ac:dyDescent="0.3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7967.0293032784284</v>
      </c>
      <c r="K108" s="296">
        <f t="shared" si="28"/>
        <v>0</v>
      </c>
      <c r="L108" s="297">
        <f t="shared" si="28"/>
        <v>0</v>
      </c>
      <c r="M108" s="207">
        <f t="shared" si="28"/>
        <v>8184.6299175377881</v>
      </c>
      <c r="N108" s="208">
        <f t="shared" si="28"/>
        <v>0</v>
      </c>
      <c r="O108" s="209">
        <f t="shared" si="28"/>
        <v>0</v>
      </c>
      <c r="P108" s="332">
        <f t="shared" si="28"/>
        <v>8282.7061181773843</v>
      </c>
      <c r="Q108" s="296">
        <f t="shared" si="28"/>
        <v>0</v>
      </c>
      <c r="R108" s="297">
        <f t="shared" si="28"/>
        <v>0</v>
      </c>
      <c r="S108" s="209">
        <f t="shared" si="28"/>
        <v>0</v>
      </c>
      <c r="T108" s="209">
        <f>T39</f>
        <v>0</v>
      </c>
      <c r="U108" s="392" t="s">
        <v>12</v>
      </c>
    </row>
    <row r="109" spans="2:22" x14ac:dyDescent="0.25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0</v>
      </c>
      <c r="L109" s="335">
        <f t="shared" si="29"/>
        <v>0</v>
      </c>
      <c r="M109" s="199" t="str">
        <f t="shared" si="29"/>
        <v>NA</v>
      </c>
      <c r="N109" s="25">
        <f t="shared" si="29"/>
        <v>0</v>
      </c>
      <c r="O109" s="198">
        <f t="shared" si="29"/>
        <v>0</v>
      </c>
      <c r="P109" s="333" t="str">
        <f t="shared" si="29"/>
        <v>NA</v>
      </c>
      <c r="Q109" s="334">
        <f t="shared" si="29"/>
        <v>0</v>
      </c>
      <c r="R109" s="335">
        <f t="shared" si="29"/>
        <v>0</v>
      </c>
      <c r="S109" s="198">
        <f t="shared" si="29"/>
        <v>0</v>
      </c>
      <c r="T109" s="37"/>
      <c r="U109" s="138"/>
    </row>
    <row r="110" spans="2:22" ht="13.8" thickBot="1" x14ac:dyDescent="0.3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5549.0939942129171</v>
      </c>
      <c r="K110" s="296">
        <f t="shared" si="30"/>
        <v>0</v>
      </c>
      <c r="L110" s="297">
        <f t="shared" si="30"/>
        <v>0</v>
      </c>
      <c r="M110" s="211">
        <f t="shared" si="30"/>
        <v>5700.6544084851203</v>
      </c>
      <c r="N110" s="208">
        <f t="shared" si="30"/>
        <v>0</v>
      </c>
      <c r="O110" s="209">
        <f t="shared" si="30"/>
        <v>0</v>
      </c>
      <c r="P110" s="332">
        <f t="shared" si="30"/>
        <v>5768.9651972656311</v>
      </c>
      <c r="Q110" s="296">
        <f t="shared" si="30"/>
        <v>0</v>
      </c>
      <c r="R110" s="297">
        <f t="shared" si="30"/>
        <v>0</v>
      </c>
      <c r="S110" s="209">
        <f t="shared" si="30"/>
        <v>0</v>
      </c>
      <c r="T110" s="209">
        <f>T51</f>
        <v>0</v>
      </c>
      <c r="U110" s="576" t="s">
        <v>12</v>
      </c>
    </row>
    <row r="111" spans="2:22" x14ac:dyDescent="0.25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0</v>
      </c>
      <c r="L111" s="335">
        <f t="shared" si="31"/>
        <v>0</v>
      </c>
      <c r="M111" s="199" t="str">
        <f t="shared" si="31"/>
        <v>NA</v>
      </c>
      <c r="N111" s="25">
        <f t="shared" si="31"/>
        <v>0</v>
      </c>
      <c r="O111" s="198">
        <f t="shared" si="31"/>
        <v>0</v>
      </c>
      <c r="P111" s="333" t="str">
        <f t="shared" si="31"/>
        <v>NA</v>
      </c>
      <c r="Q111" s="334">
        <f t="shared" si="31"/>
        <v>0</v>
      </c>
      <c r="R111" s="335">
        <f t="shared" si="31"/>
        <v>0</v>
      </c>
      <c r="S111" s="198">
        <f t="shared" si="31"/>
        <v>0</v>
      </c>
      <c r="T111" s="212" t="str">
        <f t="shared" si="31"/>
        <v>NA</v>
      </c>
      <c r="U111" s="577" t="str">
        <f t="shared" si="31"/>
        <v>NA</v>
      </c>
    </row>
    <row r="112" spans="2:22" ht="13.8" thickBot="1" x14ac:dyDescent="0.3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2467.9149774651896</v>
      </c>
      <c r="K112" s="296">
        <f t="shared" si="32"/>
        <v>0</v>
      </c>
      <c r="L112" s="297">
        <f t="shared" si="32"/>
        <v>0</v>
      </c>
      <c r="M112" s="207">
        <f t="shared" si="32"/>
        <v>2535.3202542118579</v>
      </c>
      <c r="N112" s="208">
        <f t="shared" si="32"/>
        <v>0</v>
      </c>
      <c r="O112" s="209">
        <f t="shared" si="32"/>
        <v>0</v>
      </c>
      <c r="P112" s="339">
        <f t="shared" si="32"/>
        <v>2565.7009287741744</v>
      </c>
      <c r="Q112" s="296">
        <f t="shared" si="32"/>
        <v>0</v>
      </c>
      <c r="R112" s="297">
        <f t="shared" si="32"/>
        <v>0</v>
      </c>
      <c r="S112" s="209">
        <f t="shared" si="32"/>
        <v>0</v>
      </c>
      <c r="T112" s="210" t="str">
        <f t="shared" si="32"/>
        <v>NA</v>
      </c>
      <c r="U112" s="392" t="s">
        <v>12</v>
      </c>
    </row>
    <row r="113" spans="2:21" x14ac:dyDescent="0.25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0</v>
      </c>
      <c r="M113" s="216" t="str">
        <f t="shared" si="33"/>
        <v>NA</v>
      </c>
      <c r="N113" s="217" t="str">
        <f t="shared" si="33"/>
        <v>NA</v>
      </c>
      <c r="O113" s="215">
        <f t="shared" si="33"/>
        <v>0</v>
      </c>
      <c r="P113" s="336" t="str">
        <f t="shared" si="33"/>
        <v>NA</v>
      </c>
      <c r="Q113" s="337" t="str">
        <f t="shared" si="33"/>
        <v>NA</v>
      </c>
      <c r="R113" s="294">
        <f t="shared" si="33"/>
        <v>0</v>
      </c>
      <c r="S113" s="215">
        <f t="shared" si="33"/>
        <v>0</v>
      </c>
      <c r="T113" s="136" t="s">
        <v>12</v>
      </c>
      <c r="U113" s="147" t="s">
        <v>12</v>
      </c>
    </row>
    <row r="114" spans="2:21" ht="13.8" thickBot="1" x14ac:dyDescent="0.3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6128.5879872794558</v>
      </c>
      <c r="K114" s="338" t="str">
        <f t="shared" si="34"/>
        <v>NA</v>
      </c>
      <c r="L114" s="297">
        <f t="shared" si="34"/>
        <v>0</v>
      </c>
      <c r="M114" s="211">
        <f t="shared" si="34"/>
        <v>6295.9759131686915</v>
      </c>
      <c r="N114" s="219" t="str">
        <f t="shared" si="34"/>
        <v>NA</v>
      </c>
      <c r="O114" s="209">
        <f t="shared" si="34"/>
        <v>0</v>
      </c>
      <c r="P114" s="332">
        <f t="shared" si="34"/>
        <v>6371.4204235623583</v>
      </c>
      <c r="Q114" s="338" t="str">
        <f t="shared" si="34"/>
        <v>NA</v>
      </c>
      <c r="R114" s="297">
        <f t="shared" si="34"/>
        <v>0</v>
      </c>
      <c r="S114" s="209">
        <f t="shared" si="34"/>
        <v>0</v>
      </c>
      <c r="T114" s="209">
        <f>T89</f>
        <v>0</v>
      </c>
      <c r="U114" s="392" t="s">
        <v>12</v>
      </c>
    </row>
    <row r="115" spans="2:21" x14ac:dyDescent="0.25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0</v>
      </c>
      <c r="L115" s="335">
        <f t="shared" si="35"/>
        <v>0</v>
      </c>
      <c r="M115" s="199" t="str">
        <f t="shared" si="35"/>
        <v>NA</v>
      </c>
      <c r="N115" s="25">
        <f t="shared" si="35"/>
        <v>0</v>
      </c>
      <c r="O115" s="198">
        <f t="shared" si="35"/>
        <v>0</v>
      </c>
      <c r="P115" s="333" t="str">
        <f t="shared" si="35"/>
        <v>NA</v>
      </c>
      <c r="Q115" s="334">
        <f t="shared" si="35"/>
        <v>0</v>
      </c>
      <c r="R115" s="335">
        <f t="shared" si="35"/>
        <v>0</v>
      </c>
      <c r="S115" s="198">
        <f t="shared" si="35"/>
        <v>0</v>
      </c>
      <c r="T115" s="136" t="s">
        <v>12</v>
      </c>
      <c r="U115" s="147" t="s">
        <v>12</v>
      </c>
    </row>
    <row r="116" spans="2:21" ht="13.8" thickBot="1" x14ac:dyDescent="0.3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2859.6475135707751</v>
      </c>
      <c r="K116" s="305">
        <f t="shared" si="36"/>
        <v>0</v>
      </c>
      <c r="L116" s="306">
        <f t="shared" si="36"/>
        <v>0</v>
      </c>
      <c r="M116" s="220">
        <f t="shared" si="36"/>
        <v>2937.7520405946925</v>
      </c>
      <c r="N116" s="221">
        <f t="shared" si="36"/>
        <v>0</v>
      </c>
      <c r="O116" s="222">
        <f t="shared" si="36"/>
        <v>0</v>
      </c>
      <c r="P116" s="311">
        <f t="shared" si="36"/>
        <v>2972.9550444526149</v>
      </c>
      <c r="Q116" s="305">
        <f t="shared" si="36"/>
        <v>0</v>
      </c>
      <c r="R116" s="306">
        <f t="shared" si="36"/>
        <v>0</v>
      </c>
      <c r="S116" s="222">
        <f t="shared" si="36"/>
        <v>0</v>
      </c>
      <c r="T116" s="223" t="str">
        <f>T99</f>
        <v>NA</v>
      </c>
      <c r="U116" s="224" t="s">
        <v>12</v>
      </c>
    </row>
    <row r="117" spans="2:21" ht="18" thickTop="1" x14ac:dyDescent="0.3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 x14ac:dyDescent="0.25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96.3</v>
      </c>
      <c r="G118" s="101">
        <f t="shared" si="37"/>
        <v>43</v>
      </c>
      <c r="H118" s="101">
        <f t="shared" si="37"/>
        <v>11</v>
      </c>
      <c r="I118" s="102">
        <f t="shared" si="37"/>
        <v>381.5</v>
      </c>
      <c r="J118" s="340" t="s">
        <v>12</v>
      </c>
      <c r="K118" s="281">
        <f>K103+K105+K107+K109+K111+K115</f>
        <v>0</v>
      </c>
      <c r="L118" s="289">
        <f>L103+L105+L107+L109+L111+L113+L115</f>
        <v>0</v>
      </c>
      <c r="M118" s="103" t="s">
        <v>12</v>
      </c>
      <c r="N118" s="101">
        <f>N103+N105+N107+N109+N111+N115</f>
        <v>0</v>
      </c>
      <c r="O118" s="102">
        <f>O103+O105+O107+O109+O111+O113+O115</f>
        <v>0</v>
      </c>
      <c r="P118" s="340" t="s">
        <v>12</v>
      </c>
      <c r="Q118" s="281">
        <f>Q103+Q105+Q107+Q109+Q111+Q115</f>
        <v>0</v>
      </c>
      <c r="R118" s="289">
        <f>R103+R105+R107+R109+R111+R113+R115</f>
        <v>0</v>
      </c>
      <c r="S118" s="174">
        <f>S103+S105+S107+S109+S111+S113+S115</f>
        <v>0</v>
      </c>
      <c r="T118" s="102"/>
      <c r="U118" s="140" t="s">
        <v>12</v>
      </c>
    </row>
    <row r="119" spans="2:21" s="235" customFormat="1" ht="16.2" thickBot="1" x14ac:dyDescent="0.35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4745</v>
      </c>
      <c r="G119" s="583">
        <f t="shared" si="37"/>
        <v>2384</v>
      </c>
      <c r="H119" s="583">
        <f t="shared" si="37"/>
        <v>644</v>
      </c>
      <c r="I119" s="584">
        <f t="shared" si="37"/>
        <v>19364</v>
      </c>
      <c r="J119" s="585">
        <f>J104+J106+J108+J110+J112+J114+J116</f>
        <v>26156.926997064002</v>
      </c>
      <c r="K119" s="586">
        <f>K104+K106+K108+K110+K112+K116</f>
        <v>0</v>
      </c>
      <c r="L119" s="587">
        <f>L104+L106+L108+L110+L112+L114+L116</f>
        <v>0</v>
      </c>
      <c r="M119" s="582">
        <f>M104+M106+M108+M110+M112+M114+M116</f>
        <v>26871.341763852444</v>
      </c>
      <c r="N119" s="588">
        <f>N104+N106+N108+N110+N112+N116</f>
        <v>0</v>
      </c>
      <c r="O119" s="584">
        <f>O104+O106+O108+O110+O112+O114+O116</f>
        <v>0</v>
      </c>
      <c r="P119" s="589">
        <f>P104+P106+P108+P110+P112+P114+P116</f>
        <v>27193.34033102524</v>
      </c>
      <c r="Q119" s="586">
        <f>Q104+Q106+Q108+Q110+Q112+Q116</f>
        <v>0</v>
      </c>
      <c r="R119" s="587">
        <f>R104+R106+R108+R110+R112+R114+R116</f>
        <v>0</v>
      </c>
      <c r="S119" s="590">
        <f>S104+S106+S108+S110+S112+S114+S116</f>
        <v>0</v>
      </c>
      <c r="T119" s="584">
        <f>SUM(T104,T106,T108,T110,T112,T114,T116)</f>
        <v>0</v>
      </c>
      <c r="U119" s="591">
        <f>SUM(U104,U106,U108,U110,U112,U114,U116)</f>
        <v>0</v>
      </c>
    </row>
  </sheetData>
  <mergeCells count="35"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disablePrompts="1" count="1">
    <dataValidation allowBlank="1" showInputMessage="1" showErrorMessage="1" sqref="D34 D21" xr:uid="{00000000-0002-0000-0B00-000000000000}"/>
  </dataValidations>
  <pageMargins left="0.25" right="0.28000000000000003" top="0.64" bottom="0.47" header="0.5" footer="0.44"/>
  <pageSetup scale="46" fitToHeight="25" orientation="landscape" r:id="rId1"/>
  <headerFooter alignWithMargins="0"/>
  <rowBreaks count="1" manualBreakCount="1">
    <brk id="66" max="2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21"/>
  <sheetViews>
    <sheetView topLeftCell="A74" zoomScaleNormal="100" workbookViewId="0">
      <selection activeCell="F3" sqref="F3"/>
    </sheetView>
  </sheetViews>
  <sheetFormatPr defaultRowHeight="13.2" x14ac:dyDescent="0.25"/>
  <cols>
    <col min="1" max="1" width="1.109375" customWidth="1"/>
    <col min="2" max="2" width="31.44140625" customWidth="1"/>
    <col min="3" max="3" width="12.88671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593" t="s">
        <v>157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AVERAGE(J6,M6,P6)</f>
        <v>39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161</v>
      </c>
      <c r="L4" s="20">
        <v>43</v>
      </c>
      <c r="M4" s="396" t="s">
        <v>71</v>
      </c>
      <c r="N4" s="429" t="s">
        <v>161</v>
      </c>
      <c r="O4" s="20">
        <v>43</v>
      </c>
      <c r="P4" s="425" t="s">
        <v>71</v>
      </c>
      <c r="Q4" s="429" t="s">
        <v>161</v>
      </c>
      <c r="R4" s="20">
        <v>43</v>
      </c>
      <c r="S4" s="429" t="s">
        <v>161</v>
      </c>
      <c r="T4" s="106">
        <f>AVERAGE(L4,O4,R4)</f>
        <v>43</v>
      </c>
      <c r="U4" s="37"/>
    </row>
    <row r="5" spans="1:21" x14ac:dyDescent="0.25">
      <c r="A5" s="615"/>
      <c r="B5" s="5"/>
      <c r="C5" s="5"/>
      <c r="D5" s="5"/>
      <c r="E5" s="5"/>
      <c r="F5" s="7"/>
      <c r="G5" s="5"/>
      <c r="H5" s="5"/>
      <c r="J5" s="425"/>
      <c r="K5" s="429" t="s">
        <v>152</v>
      </c>
      <c r="L5" s="650">
        <v>0</v>
      </c>
      <c r="M5" s="396"/>
      <c r="N5" s="429" t="s">
        <v>152</v>
      </c>
      <c r="O5" s="651">
        <v>0</v>
      </c>
      <c r="P5" s="425"/>
      <c r="Q5" s="429" t="s">
        <v>152</v>
      </c>
      <c r="R5" s="650">
        <v>0</v>
      </c>
      <c r="S5" s="429" t="s">
        <v>152</v>
      </c>
      <c r="T5" s="106">
        <f>AVERAGE(L5,O5,R5)</f>
        <v>0</v>
      </c>
      <c r="U5" s="37"/>
    </row>
    <row r="6" spans="1:21" ht="12.75" customHeight="1" thickBot="1" x14ac:dyDescent="0.3">
      <c r="A6" s="615"/>
      <c r="B6" s="597" t="s">
        <v>2</v>
      </c>
      <c r="C6" s="1455"/>
      <c r="D6" s="1430"/>
      <c r="E6" s="1430"/>
      <c r="F6" s="1430"/>
      <c r="G6" s="1430"/>
      <c r="H6" s="1430"/>
      <c r="I6" s="1430"/>
      <c r="J6" s="341">
        <v>39</v>
      </c>
      <c r="K6" s="342" t="s">
        <v>70</v>
      </c>
      <c r="L6" s="343">
        <f>L4*$I$4</f>
        <v>0</v>
      </c>
      <c r="M6" s="631">
        <v>39</v>
      </c>
      <c r="N6" s="344" t="s">
        <v>70</v>
      </c>
      <c r="O6" s="345">
        <f>O4*$I$4</f>
        <v>0</v>
      </c>
      <c r="P6" s="630">
        <v>39</v>
      </c>
      <c r="Q6" s="342" t="s">
        <v>70</v>
      </c>
      <c r="R6" s="343">
        <f>R4*$I$4</f>
        <v>0</v>
      </c>
      <c r="S6" s="237" t="s">
        <v>70</v>
      </c>
      <c r="T6" s="238">
        <f>AVERAGE(L6,O6,R6)</f>
        <v>0</v>
      </c>
      <c r="U6" s="37"/>
    </row>
    <row r="7" spans="1:21" ht="30" customHeight="1" thickTop="1" thickBot="1" x14ac:dyDescent="0.35">
      <c r="A7" s="615"/>
      <c r="B7" s="598" t="s">
        <v>73</v>
      </c>
      <c r="C7" s="4"/>
      <c r="D7" s="4"/>
      <c r="E7" s="4"/>
      <c r="F7" s="12"/>
      <c r="G7" s="4"/>
      <c r="H7" s="4"/>
      <c r="I7" s="4"/>
      <c r="J7" s="544"/>
      <c r="K7" s="87"/>
      <c r="L7" s="87"/>
      <c r="M7" s="545"/>
      <c r="N7" s="4"/>
      <c r="O7" s="4"/>
      <c r="P7" s="544"/>
      <c r="Q7" s="87"/>
      <c r="R7" s="87"/>
      <c r="S7" s="546" t="s">
        <v>17</v>
      </c>
      <c r="T7" s="547" t="s">
        <v>103</v>
      </c>
      <c r="U7" s="548"/>
    </row>
    <row r="8" spans="1:21" ht="15.6" x14ac:dyDescent="0.3">
      <c r="A8" s="615"/>
      <c r="B8" s="599" t="s">
        <v>158</v>
      </c>
      <c r="C8" s="239"/>
      <c r="D8" s="431" t="s">
        <v>54</v>
      </c>
      <c r="E8" s="28">
        <v>5</v>
      </c>
      <c r="F8" s="112" t="s">
        <v>6</v>
      </c>
      <c r="G8" s="1424"/>
      <c r="H8" s="1425"/>
      <c r="I8" s="1426"/>
      <c r="J8" s="88" t="s">
        <v>3</v>
      </c>
      <c r="K8" s="179"/>
      <c r="L8" s="180"/>
      <c r="M8" s="55" t="s">
        <v>3</v>
      </c>
      <c r="N8" s="426"/>
      <c r="O8" s="67"/>
      <c r="P8" s="55" t="s">
        <v>3</v>
      </c>
      <c r="Q8" s="426"/>
      <c r="R8" s="67"/>
      <c r="S8" s="124"/>
      <c r="T8" s="117"/>
      <c r="U8" s="141"/>
    </row>
    <row r="9" spans="1:21" x14ac:dyDescent="0.25">
      <c r="A9" s="615"/>
      <c r="B9" s="600" t="s">
        <v>44</v>
      </c>
      <c r="C9" s="6"/>
      <c r="D9" s="6"/>
      <c r="E9" s="6"/>
      <c r="F9" s="11"/>
      <c r="G9" s="6"/>
      <c r="H9" s="6"/>
      <c r="I9" s="47" t="s">
        <v>55</v>
      </c>
      <c r="J9" s="259" t="s">
        <v>55</v>
      </c>
      <c r="K9" s="1431" t="s">
        <v>57</v>
      </c>
      <c r="L9" s="1423"/>
      <c r="M9" s="57" t="s">
        <v>55</v>
      </c>
      <c r="N9" s="1432" t="s">
        <v>57</v>
      </c>
      <c r="O9" s="1433"/>
      <c r="P9" s="277" t="s">
        <v>55</v>
      </c>
      <c r="Q9" s="1422" t="s">
        <v>57</v>
      </c>
      <c r="R9" s="1423"/>
      <c r="S9" s="125"/>
      <c r="T9" s="145"/>
      <c r="U9" s="143"/>
    </row>
    <row r="10" spans="1:21" x14ac:dyDescent="0.25">
      <c r="A10" s="615"/>
      <c r="B10" s="601" t="s">
        <v>53</v>
      </c>
      <c r="C10" s="23" t="s">
        <v>45</v>
      </c>
      <c r="D10" s="24" t="s">
        <v>46</v>
      </c>
      <c r="E10" s="23" t="s">
        <v>47</v>
      </c>
      <c r="F10" s="23" t="s">
        <v>48</v>
      </c>
      <c r="G10" s="23" t="s">
        <v>49</v>
      </c>
      <c r="H10" s="23" t="s">
        <v>50</v>
      </c>
      <c r="I10" s="47" t="s">
        <v>13</v>
      </c>
      <c r="J10" s="260" t="s">
        <v>56</v>
      </c>
      <c r="K10" s="261" t="s">
        <v>13</v>
      </c>
      <c r="L10" s="262" t="s">
        <v>68</v>
      </c>
      <c r="M10" s="77" t="s">
        <v>56</v>
      </c>
      <c r="N10" s="24" t="s">
        <v>13</v>
      </c>
      <c r="O10" s="38" t="s">
        <v>68</v>
      </c>
      <c r="P10" s="261" t="s">
        <v>56</v>
      </c>
      <c r="Q10" s="261" t="s">
        <v>13</v>
      </c>
      <c r="R10" s="262" t="s">
        <v>68</v>
      </c>
      <c r="S10" s="123"/>
      <c r="T10" s="146"/>
      <c r="U10" s="144"/>
    </row>
    <row r="11" spans="1:21" x14ac:dyDescent="0.25">
      <c r="A11" s="615"/>
      <c r="B11" s="602" t="s">
        <v>51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48">
        <f>SUM(C11:H11)</f>
        <v>0</v>
      </c>
      <c r="J11" s="263" t="s">
        <v>12</v>
      </c>
      <c r="K11" s="264">
        <f>I11*$J$6</f>
        <v>0</v>
      </c>
      <c r="L11" s="265">
        <f>K11/$E$8</f>
        <v>0</v>
      </c>
      <c r="M11" s="58" t="s">
        <v>12</v>
      </c>
      <c r="N11" s="432">
        <f>I11*$M$6</f>
        <v>0</v>
      </c>
      <c r="O11" s="68">
        <f>N11/$E$8</f>
        <v>0</v>
      </c>
      <c r="P11" s="263" t="s">
        <v>12</v>
      </c>
      <c r="Q11" s="433">
        <f>$I11*$M$6</f>
        <v>0</v>
      </c>
      <c r="R11" s="289">
        <f>Q11/$E$8</f>
        <v>0</v>
      </c>
      <c r="S11" s="121">
        <f>AVERAGE(L11,O11,R11)</f>
        <v>0</v>
      </c>
      <c r="T11" s="119" t="s">
        <v>12</v>
      </c>
      <c r="U11" s="119" t="s">
        <v>12</v>
      </c>
    </row>
    <row r="12" spans="1:21" s="1" customFormat="1" x14ac:dyDescent="0.25">
      <c r="A12" s="616"/>
      <c r="B12" s="603" t="s">
        <v>52</v>
      </c>
      <c r="C12" s="381">
        <f>ROUND(C11*Labor!$D$3,0)</f>
        <v>0</v>
      </c>
      <c r="D12" s="23">
        <f>ROUND(D11*Labor!$D$4,0)</f>
        <v>0</v>
      </c>
      <c r="E12" s="23">
        <f>ROUND(E11*Labor!$D$5,0)</f>
        <v>0</v>
      </c>
      <c r="F12" s="23">
        <f>ROUND(F11*Labor!$D$6,0)</f>
        <v>0</v>
      </c>
      <c r="G12" s="23">
        <f>ROUND(G11*Labor!$D$7,0)</f>
        <v>0</v>
      </c>
      <c r="H12" s="23">
        <f>ROUND(H11*Labor!$D$8,0)</f>
        <v>0</v>
      </c>
      <c r="I12" s="382">
        <f>SUM(C12:H12)</f>
        <v>0</v>
      </c>
      <c r="J12" s="383">
        <f>HLOOKUP(Labor!$B$11,InflationTable,2)*$I12</f>
        <v>0</v>
      </c>
      <c r="K12" s="384">
        <f>J12*$J$6</f>
        <v>0</v>
      </c>
      <c r="L12" s="385">
        <f>K12/$E$8</f>
        <v>0</v>
      </c>
      <c r="M12" s="386">
        <f>HLOOKUP(Labor!$B$11,InflationTable,3)*$I12</f>
        <v>0</v>
      </c>
      <c r="N12" s="387">
        <f>M12*$J$6</f>
        <v>0</v>
      </c>
      <c r="O12" s="388">
        <f>N12/$E$8</f>
        <v>0</v>
      </c>
      <c r="P12" s="383">
        <f>HLOOKUP(Labor!$B$11,InflationTable,4)*$I12</f>
        <v>0</v>
      </c>
      <c r="Q12" s="384">
        <f>P12*$J$6</f>
        <v>0</v>
      </c>
      <c r="R12" s="385">
        <f>Q12/$E$8</f>
        <v>0</v>
      </c>
      <c r="S12" s="379">
        <f>AVERAGE(L12,O12,R12)</f>
        <v>0</v>
      </c>
      <c r="T12" s="380" t="s">
        <v>12</v>
      </c>
      <c r="U12" s="380" t="s">
        <v>12</v>
      </c>
    </row>
    <row r="13" spans="1:21" x14ac:dyDescent="0.25">
      <c r="A13" s="615"/>
      <c r="B13" s="112" t="s">
        <v>7</v>
      </c>
      <c r="C13" s="5"/>
      <c r="D13" s="5"/>
      <c r="E13" s="5"/>
      <c r="F13" s="7"/>
      <c r="G13" s="5"/>
      <c r="H13" s="8"/>
      <c r="I13" s="37"/>
      <c r="J13" s="266"/>
      <c r="K13" s="266"/>
      <c r="L13" s="267"/>
      <c r="M13" s="426"/>
      <c r="N13" s="426"/>
      <c r="O13" s="65"/>
      <c r="P13" s="404"/>
      <c r="Q13" s="404"/>
      <c r="R13" s="290"/>
      <c r="S13" s="122"/>
      <c r="T13" s="37"/>
      <c r="U13" s="37"/>
    </row>
    <row r="14" spans="1:21" x14ac:dyDescent="0.25">
      <c r="A14" s="615"/>
      <c r="B14" s="602" t="s">
        <v>51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48">
        <f>SUM(C14:H14)</f>
        <v>0</v>
      </c>
      <c r="J14" s="263" t="s">
        <v>12</v>
      </c>
      <c r="K14" s="264">
        <f>I14*$J$6</f>
        <v>0</v>
      </c>
      <c r="L14" s="265">
        <f>K14/$E$8</f>
        <v>0</v>
      </c>
      <c r="M14" s="58" t="s">
        <v>12</v>
      </c>
      <c r="N14" s="60">
        <f>I14*$M$6</f>
        <v>0</v>
      </c>
      <c r="O14" s="59">
        <f>N14/$E$8</f>
        <v>0</v>
      </c>
      <c r="P14" s="263" t="s">
        <v>12</v>
      </c>
      <c r="Q14" s="291">
        <f>$I14*$P$6</f>
        <v>0</v>
      </c>
      <c r="R14" s="282">
        <f>Q14/$E$8</f>
        <v>0</v>
      </c>
      <c r="S14" s="121">
        <f>AVERAGE(L14,O14,R14)</f>
        <v>0</v>
      </c>
      <c r="T14" s="119" t="s">
        <v>12</v>
      </c>
      <c r="U14" s="119" t="s">
        <v>12</v>
      </c>
    </row>
    <row r="15" spans="1:21" s="1" customFormat="1" ht="13.8" thickBot="1" x14ac:dyDescent="0.3">
      <c r="A15" s="616"/>
      <c r="B15" s="604" t="s">
        <v>52</v>
      </c>
      <c r="C15" s="373">
        <f>ROUND(C14*Labor!$D$3,0)</f>
        <v>0</v>
      </c>
      <c r="D15" s="374">
        <f>ROUND(D14*Labor!$D$4,0)</f>
        <v>0</v>
      </c>
      <c r="E15" s="374">
        <f>ROUND(E14*Labor!$D$5,0)</f>
        <v>0</v>
      </c>
      <c r="F15" s="374">
        <f>ROUND(F14*Labor!$D$6,0)</f>
        <v>0</v>
      </c>
      <c r="G15" s="374">
        <f>ROUND(G14*Labor!$D$7,0)</f>
        <v>0</v>
      </c>
      <c r="H15" s="374">
        <f>ROUND(H14*Labor!$D$8,0)</f>
        <v>0</v>
      </c>
      <c r="I15" s="375">
        <f>SUM(C15:H15)</f>
        <v>0</v>
      </c>
      <c r="J15" s="332">
        <f>HLOOKUP(Labor!$B$11,InflationTable,2)*I15</f>
        <v>0</v>
      </c>
      <c r="K15" s="296">
        <f>J15*$J$6</f>
        <v>0</v>
      </c>
      <c r="L15" s="297">
        <f>K15/$E$8</f>
        <v>0</v>
      </c>
      <c r="M15" s="376">
        <f>HLOOKUP(Labor!$B$11,InflationTable,3)*I15</f>
        <v>0</v>
      </c>
      <c r="N15" s="377">
        <f>M15*$J$6</f>
        <v>0</v>
      </c>
      <c r="O15" s="378">
        <f>N15/$E$8</f>
        <v>0</v>
      </c>
      <c r="P15" s="339">
        <f>HLOOKUP(Labor!$B$11,InflationTable,4)*I15</f>
        <v>0</v>
      </c>
      <c r="Q15" s="296">
        <f>P15*$J$6</f>
        <v>0</v>
      </c>
      <c r="R15" s="297">
        <f>Q15/$E$8</f>
        <v>0</v>
      </c>
      <c r="S15" s="379">
        <f>AVERAGE(L15,O15,R15)</f>
        <v>0</v>
      </c>
      <c r="T15" s="380" t="s">
        <v>12</v>
      </c>
      <c r="U15" s="380" t="s">
        <v>12</v>
      </c>
    </row>
    <row r="16" spans="1:21" x14ac:dyDescent="0.25">
      <c r="A16" s="615"/>
      <c r="B16" s="605" t="s">
        <v>66</v>
      </c>
      <c r="C16" s="33">
        <f t="shared" ref="C16:I17" si="0">C11+C14</f>
        <v>0</v>
      </c>
      <c r="D16" s="33">
        <f t="shared" si="0"/>
        <v>0</v>
      </c>
      <c r="E16" s="33">
        <f t="shared" si="0"/>
        <v>0</v>
      </c>
      <c r="F16" s="33">
        <f t="shared" si="0"/>
        <v>0</v>
      </c>
      <c r="G16" s="33">
        <f t="shared" si="0"/>
        <v>0</v>
      </c>
      <c r="H16" s="33">
        <f t="shared" si="0"/>
        <v>0</v>
      </c>
      <c r="I16" s="49">
        <f t="shared" si="0"/>
        <v>0</v>
      </c>
      <c r="J16" s="271" t="s">
        <v>12</v>
      </c>
      <c r="K16" s="272">
        <f>K11+K14</f>
        <v>0</v>
      </c>
      <c r="L16" s="273">
        <f>L11+L14</f>
        <v>0</v>
      </c>
      <c r="M16" s="61" t="s">
        <v>12</v>
      </c>
      <c r="N16" s="426">
        <f>I16*$M$6</f>
        <v>0</v>
      </c>
      <c r="O16" s="62">
        <f>N16/$E$8</f>
        <v>0</v>
      </c>
      <c r="P16" s="293" t="s">
        <v>12</v>
      </c>
      <c r="Q16" s="433">
        <f>$I16*$P$6</f>
        <v>0</v>
      </c>
      <c r="R16" s="294">
        <f>Q16/$E$8</f>
        <v>0</v>
      </c>
      <c r="S16" s="121">
        <f>AVERAGE(L16,O16,R16)</f>
        <v>0</v>
      </c>
      <c r="T16" s="119" t="s">
        <v>12</v>
      </c>
      <c r="U16" s="119" t="s">
        <v>12</v>
      </c>
    </row>
    <row r="17" spans="1:21" ht="13.8" thickBot="1" x14ac:dyDescent="0.3">
      <c r="A17" s="615"/>
      <c r="B17" s="606" t="s">
        <v>67</v>
      </c>
      <c r="C17" s="240">
        <f t="shared" si="0"/>
        <v>0</v>
      </c>
      <c r="D17" s="240">
        <f t="shared" si="0"/>
        <v>0</v>
      </c>
      <c r="E17" s="240">
        <f t="shared" si="0"/>
        <v>0</v>
      </c>
      <c r="F17" s="240">
        <f t="shared" si="0"/>
        <v>0</v>
      </c>
      <c r="G17" s="240">
        <f t="shared" si="0"/>
        <v>0</v>
      </c>
      <c r="H17" s="240">
        <f t="shared" si="0"/>
        <v>0</v>
      </c>
      <c r="I17" s="241">
        <f t="shared" si="0"/>
        <v>0</v>
      </c>
      <c r="J17" s="274">
        <f>J12+J15</f>
        <v>0</v>
      </c>
      <c r="K17" s="275">
        <f>K12+K15</f>
        <v>0</v>
      </c>
      <c r="L17" s="276">
        <f>L12+L15</f>
        <v>0</v>
      </c>
      <c r="M17" s="242">
        <f>M12+M15</f>
        <v>0</v>
      </c>
      <c r="N17" s="240">
        <f>N12+N15</f>
        <v>0</v>
      </c>
      <c r="O17" s="243">
        <f>O12+O15</f>
        <v>0</v>
      </c>
      <c r="P17" s="295">
        <f>P12+P15</f>
        <v>0</v>
      </c>
      <c r="Q17" s="296">
        <f>P17*$P$6</f>
        <v>0</v>
      </c>
      <c r="R17" s="297">
        <f>Q17/$E$8</f>
        <v>0</v>
      </c>
      <c r="S17" s="211">
        <f>AVERAGE(L17,O17,R17)</f>
        <v>0</v>
      </c>
      <c r="T17" s="218" t="s">
        <v>12</v>
      </c>
      <c r="U17" s="218" t="s">
        <v>12</v>
      </c>
    </row>
    <row r="18" spans="1:21" ht="14.4" thickTop="1" thickBot="1" x14ac:dyDescent="0.3">
      <c r="A18" s="615"/>
      <c r="B18" s="617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410"/>
      <c r="O18" s="410"/>
      <c r="P18" s="410"/>
      <c r="Q18" s="410"/>
      <c r="R18" s="410"/>
      <c r="S18" s="410"/>
      <c r="T18" s="410"/>
      <c r="U18" s="236"/>
    </row>
    <row r="19" spans="1:21" ht="16.2" thickTop="1" x14ac:dyDescent="0.3">
      <c r="A19" s="615"/>
      <c r="B19" s="181" t="s">
        <v>160</v>
      </c>
      <c r="C19" s="72"/>
      <c r="D19" s="431" t="s">
        <v>54</v>
      </c>
      <c r="E19" s="70">
        <v>5</v>
      </c>
      <c r="F19" s="112" t="s">
        <v>6</v>
      </c>
      <c r="G19" s="1415"/>
      <c r="H19" s="1416"/>
      <c r="I19" s="1417"/>
      <c r="J19" s="181" t="s">
        <v>16</v>
      </c>
      <c r="K19" s="426"/>
      <c r="L19" s="180"/>
      <c r="M19" s="181" t="s">
        <v>16</v>
      </c>
      <c r="N19" s="426"/>
      <c r="O19" s="67"/>
      <c r="P19" s="181" t="s">
        <v>16</v>
      </c>
      <c r="Q19" s="426"/>
      <c r="R19" s="180"/>
      <c r="S19" s="225"/>
      <c r="T19" s="37"/>
      <c r="U19" s="138"/>
    </row>
    <row r="20" spans="1:21" x14ac:dyDescent="0.25">
      <c r="A20" s="615"/>
      <c r="B20" s="5"/>
      <c r="C20" s="107" t="s">
        <v>60</v>
      </c>
      <c r="D20" s="23" t="s">
        <v>62</v>
      </c>
      <c r="E20" s="5"/>
      <c r="F20" s="5"/>
      <c r="G20" s="5"/>
      <c r="H20" s="6"/>
      <c r="I20" s="43"/>
      <c r="J20" s="277" t="s">
        <v>61</v>
      </c>
      <c r="K20" s="1422" t="s">
        <v>57</v>
      </c>
      <c r="L20" s="1423"/>
      <c r="M20" s="93" t="s">
        <v>61</v>
      </c>
      <c r="N20" s="1432" t="s">
        <v>57</v>
      </c>
      <c r="O20" s="1433"/>
      <c r="P20" s="262" t="s">
        <v>61</v>
      </c>
      <c r="Q20" s="1422" t="s">
        <v>57</v>
      </c>
      <c r="R20" s="1423"/>
      <c r="S20" s="131"/>
      <c r="T20" s="37"/>
      <c r="U20" s="138"/>
    </row>
    <row r="21" spans="1:21" x14ac:dyDescent="0.25">
      <c r="A21" s="615"/>
      <c r="B21" s="607" t="s">
        <v>58</v>
      </c>
      <c r="C21" s="23"/>
      <c r="D21" s="23"/>
      <c r="E21" s="9"/>
      <c r="F21" s="72"/>
      <c r="G21" s="72"/>
      <c r="H21" s="72"/>
      <c r="I21" s="73"/>
      <c r="J21" s="260" t="s">
        <v>56</v>
      </c>
      <c r="K21" s="261" t="s">
        <v>13</v>
      </c>
      <c r="L21" s="262" t="s">
        <v>68</v>
      </c>
      <c r="M21" s="77" t="s">
        <v>56</v>
      </c>
      <c r="N21" s="24" t="s">
        <v>13</v>
      </c>
      <c r="O21" s="38" t="s">
        <v>68</v>
      </c>
      <c r="P21" s="260" t="s">
        <v>56</v>
      </c>
      <c r="Q21" s="261" t="s">
        <v>13</v>
      </c>
      <c r="R21" s="262" t="s">
        <v>68</v>
      </c>
      <c r="S21" s="123"/>
      <c r="T21" s="37"/>
      <c r="U21" s="138"/>
    </row>
    <row r="22" spans="1:21" x14ac:dyDescent="0.25">
      <c r="A22" s="615"/>
      <c r="B22" s="608" t="s">
        <v>14</v>
      </c>
      <c r="C22" s="163">
        <f>VLOOKUP(C$2,Monitor_Costs,2,FALSE)</f>
        <v>20500</v>
      </c>
      <c r="D22" s="22">
        <f>VLOOKUP(C$2,Monitor_Costs,3,FALSE)</f>
        <v>2019</v>
      </c>
      <c r="E22" s="74"/>
      <c r="F22" s="75"/>
      <c r="G22" s="76"/>
      <c r="H22" s="76"/>
      <c r="I22" s="37"/>
      <c r="J22" s="279">
        <f>HLOOKUP(D22,InflationTable,2)*$C$22</f>
        <v>27691.437897118984</v>
      </c>
      <c r="K22" s="279">
        <f>J22*$L$4</f>
        <v>1190731.8295761163</v>
      </c>
      <c r="L22" s="280">
        <f>K22/$E$19</f>
        <v>238146.36591522326</v>
      </c>
      <c r="M22" s="78">
        <f>HLOOKUP($D$22,InflationTable,3)*$C$22</f>
        <v>28447.764209821067</v>
      </c>
      <c r="N22" s="27">
        <f>M22*$L$4</f>
        <v>1223253.8610223059</v>
      </c>
      <c r="O22" s="182">
        <f>N22/$E$19</f>
        <v>244650.77220446119</v>
      </c>
      <c r="P22" s="298">
        <f>HLOOKUP($D$22,InflationTable,4)*$C$22</f>
        <v>28788.653004855267</v>
      </c>
      <c r="Q22" s="279">
        <f>P22*$L$4</f>
        <v>1237912.0792087764</v>
      </c>
      <c r="R22" s="280">
        <f>Q22/$E$19</f>
        <v>247582.41584175528</v>
      </c>
      <c r="S22" s="127" t="s">
        <v>12</v>
      </c>
      <c r="T22" s="119" t="s">
        <v>12</v>
      </c>
      <c r="U22" s="139">
        <f>AVERAGE(L22,O22,R22)</f>
        <v>243459.85132047991</v>
      </c>
    </row>
    <row r="23" spans="1:21" ht="13.8" thickBot="1" x14ac:dyDescent="0.3">
      <c r="A23" s="615"/>
      <c r="B23" s="609" t="s">
        <v>15</v>
      </c>
      <c r="C23" s="4"/>
      <c r="D23" s="4"/>
      <c r="E23" s="4"/>
      <c r="F23" s="12"/>
      <c r="G23" s="4"/>
      <c r="H23" s="4"/>
      <c r="I23" s="368"/>
      <c r="J23" s="369"/>
      <c r="K23" s="355">
        <f>J22*$L$6</f>
        <v>0</v>
      </c>
      <c r="L23" s="308">
        <f>K23/$E$19</f>
        <v>0</v>
      </c>
      <c r="M23" s="4"/>
      <c r="N23" s="104">
        <f>M22*$L$6</f>
        <v>0</v>
      </c>
      <c r="O23" s="370">
        <f>N23/$E$19</f>
        <v>0</v>
      </c>
      <c r="P23" s="371"/>
      <c r="Q23" s="355">
        <f>P22*$L$6</f>
        <v>0</v>
      </c>
      <c r="R23" s="308">
        <f>Q23/$E$19</f>
        <v>0</v>
      </c>
      <c r="S23" s="359" t="s">
        <v>12</v>
      </c>
      <c r="T23" s="149" t="s">
        <v>12</v>
      </c>
      <c r="U23" s="372">
        <f>AVERAGE(L23,O23,R23)</f>
        <v>0</v>
      </c>
    </row>
    <row r="24" spans="1:21" x14ac:dyDescent="0.25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 x14ac:dyDescent="0.25">
      <c r="A25" s="615"/>
      <c r="B25" s="611" t="s">
        <v>119</v>
      </c>
      <c r="C25" s="3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48">
        <f>SUM(C25:H25)</f>
        <v>0</v>
      </c>
      <c r="J25" s="263" t="s">
        <v>12</v>
      </c>
      <c r="K25" s="281">
        <f>I25*($L$4+$L$6)</f>
        <v>0</v>
      </c>
      <c r="L25" s="282">
        <f>K25/$E$19</f>
        <v>0</v>
      </c>
      <c r="M25" s="58" t="s">
        <v>12</v>
      </c>
      <c r="N25" s="69">
        <f>$I$25*($O$4+$O$6)</f>
        <v>0</v>
      </c>
      <c r="O25" s="59">
        <f>N25/$E$19</f>
        <v>0</v>
      </c>
      <c r="P25" s="263" t="s">
        <v>12</v>
      </c>
      <c r="Q25" s="281">
        <f>$I$25*($R$4+$R$6)</f>
        <v>0</v>
      </c>
      <c r="R25" s="282">
        <f>Q25/$E$19</f>
        <v>0</v>
      </c>
      <c r="S25" s="151">
        <f>AVERAGE(L25,O25,R25)</f>
        <v>0</v>
      </c>
      <c r="T25" s="119" t="s">
        <v>12</v>
      </c>
      <c r="U25" s="140" t="s">
        <v>12</v>
      </c>
    </row>
    <row r="26" spans="1:21" s="1" customFormat="1" ht="13.8" thickBot="1" x14ac:dyDescent="0.3">
      <c r="A26" s="616"/>
      <c r="B26" s="604" t="s">
        <v>8</v>
      </c>
      <c r="C26" s="389">
        <f>ROUND(C25*Labor!$D$3,0)</f>
        <v>0</v>
      </c>
      <c r="D26" s="374">
        <f>ROUND(D25*Labor!$D$4,0)</f>
        <v>0</v>
      </c>
      <c r="E26" s="374">
        <f>ROUND(E25*Labor!$D$5,0)</f>
        <v>0</v>
      </c>
      <c r="F26" s="374">
        <f>ROUND(F25*Labor!$D$6,0)</f>
        <v>0</v>
      </c>
      <c r="G26" s="374">
        <f>ROUND(G25*Labor!$D$7,0)</f>
        <v>0</v>
      </c>
      <c r="H26" s="374">
        <f>ROUND(H25*Labor!$D$8,0)</f>
        <v>0</v>
      </c>
      <c r="I26" s="375">
        <f>SUM(C26:H26)</f>
        <v>0</v>
      </c>
      <c r="J26" s="332">
        <f>HLOOKUP(Labor!$B$11,InflationTable,2)*I26</f>
        <v>0</v>
      </c>
      <c r="K26" s="296">
        <f>J26*($L$4+$L$6)</f>
        <v>0</v>
      </c>
      <c r="L26" s="297">
        <f>K26/$E$19</f>
        <v>0</v>
      </c>
      <c r="M26" s="376">
        <f>HLOOKUP(Labor!$B$11,InflationTable,3)*$I26</f>
        <v>0</v>
      </c>
      <c r="N26" s="377">
        <f>M26*$L$4</f>
        <v>0</v>
      </c>
      <c r="O26" s="378">
        <f>N26/$E$19</f>
        <v>0</v>
      </c>
      <c r="P26" s="332">
        <f>HLOOKUP(Labor!$B$11,InflationTable,4)*$I26</f>
        <v>0</v>
      </c>
      <c r="Q26" s="296">
        <f>P26*$L$4</f>
        <v>0</v>
      </c>
      <c r="R26" s="390">
        <f>Q26/$E$19</f>
        <v>0</v>
      </c>
      <c r="S26" s="391">
        <f>AVERAGE(L26,O26,R26)</f>
        <v>0</v>
      </c>
      <c r="T26" s="218" t="s">
        <v>12</v>
      </c>
      <c r="U26" s="392" t="s">
        <v>12</v>
      </c>
    </row>
    <row r="27" spans="1:21" x14ac:dyDescent="0.25">
      <c r="A27" s="615"/>
      <c r="B27" s="112" t="s">
        <v>118</v>
      </c>
      <c r="C27" s="346">
        <v>0</v>
      </c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6">
        <f>SUM(C27:H27)</f>
        <v>0</v>
      </c>
      <c r="J27" s="293" t="s">
        <v>12</v>
      </c>
      <c r="K27" s="334">
        <f>I27*$L$4</f>
        <v>0</v>
      </c>
      <c r="L27" s="294">
        <f>K27/$E$19</f>
        <v>0</v>
      </c>
      <c r="M27" s="61" t="s">
        <v>12</v>
      </c>
      <c r="N27" s="348">
        <f>I27*$O$4</f>
        <v>0</v>
      </c>
      <c r="O27" s="62">
        <f>N27/$E$19</f>
        <v>0</v>
      </c>
      <c r="P27" s="293" t="s">
        <v>12</v>
      </c>
      <c r="Q27" s="327">
        <f>$I27*$O$4</f>
        <v>0</v>
      </c>
      <c r="R27" s="367">
        <f>Q27/$E$19</f>
        <v>0</v>
      </c>
      <c r="S27" s="129">
        <f>AVERAGE(L27,O27,R27)</f>
        <v>0</v>
      </c>
      <c r="T27" s="136" t="s">
        <v>12</v>
      </c>
      <c r="U27" s="147" t="s">
        <v>12</v>
      </c>
    </row>
    <row r="28" spans="1:21" s="1" customFormat="1" ht="13.8" thickBot="1" x14ac:dyDescent="0.3">
      <c r="A28" s="616"/>
      <c r="B28" s="612" t="s">
        <v>8</v>
      </c>
      <c r="C28" s="373">
        <f>ROUND(C27*Labor!$D$3,0)</f>
        <v>0</v>
      </c>
      <c r="D28" s="374">
        <f>ROUND(D27*Labor!$D$4,0)</f>
        <v>0</v>
      </c>
      <c r="E28" s="374">
        <f>ROUND(E27*Labor!$D$5,0)</f>
        <v>0</v>
      </c>
      <c r="F28" s="374">
        <f>ROUND(F27*Labor!$D$6,0)</f>
        <v>0</v>
      </c>
      <c r="G28" s="374">
        <f>ROUND(G27*Labor!$D$7,0)</f>
        <v>0</v>
      </c>
      <c r="H28" s="374">
        <f>ROUND(H27*Labor!$D$8,0)</f>
        <v>0</v>
      </c>
      <c r="I28" s="375">
        <f>SUM(C28:H28)</f>
        <v>0</v>
      </c>
      <c r="J28" s="332">
        <f>HLOOKUP(Labor!$B$11,InflationTable,2)*I28</f>
        <v>0</v>
      </c>
      <c r="K28" s="296">
        <f>J28*$L$4</f>
        <v>0</v>
      </c>
      <c r="L28" s="297">
        <f>K28/$E$19</f>
        <v>0</v>
      </c>
      <c r="M28" s="376">
        <f>HLOOKUP(Labor!$B$11,InflationTable,3)*$I28</f>
        <v>0</v>
      </c>
      <c r="N28" s="377">
        <f>M28*$O$4</f>
        <v>0</v>
      </c>
      <c r="O28" s="378">
        <f>N28/$E$19</f>
        <v>0</v>
      </c>
      <c r="P28" s="339">
        <f>HLOOKUP(Labor!$B$11,InflationTable,4)*$I28</f>
        <v>0</v>
      </c>
      <c r="Q28" s="296">
        <f>P28*$R$4</f>
        <v>0</v>
      </c>
      <c r="R28" s="297">
        <f>Q28/$E$19</f>
        <v>0</v>
      </c>
      <c r="S28" s="211">
        <f>AVERAGE(L28,O28,R28)</f>
        <v>0</v>
      </c>
      <c r="T28" s="393" t="s">
        <v>12</v>
      </c>
      <c r="U28" s="392" t="s">
        <v>12</v>
      </c>
    </row>
    <row r="29" spans="1:21" x14ac:dyDescent="0.25">
      <c r="A29" s="615"/>
      <c r="B29" s="605" t="s">
        <v>66</v>
      </c>
      <c r="C29" s="33">
        <f t="shared" ref="C29:I29" si="1">C25+C27</f>
        <v>0</v>
      </c>
      <c r="D29" s="33">
        <f t="shared" si="1"/>
        <v>0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49">
        <f t="shared" si="1"/>
        <v>0</v>
      </c>
      <c r="J29" s="284" t="s">
        <v>12</v>
      </c>
      <c r="K29" s="285">
        <f>K25+K27</f>
        <v>0</v>
      </c>
      <c r="L29" s="286">
        <f>L25+L27</f>
        <v>0</v>
      </c>
      <c r="M29" s="44" t="s">
        <v>12</v>
      </c>
      <c r="N29" s="33">
        <f>N25+N27</f>
        <v>0</v>
      </c>
      <c r="O29" s="40">
        <f>O25+O27</f>
        <v>0</v>
      </c>
      <c r="P29" s="284" t="s">
        <v>12</v>
      </c>
      <c r="Q29" s="285">
        <f>Q25+Q27</f>
        <v>0</v>
      </c>
      <c r="R29" s="286">
        <f>R25+R27</f>
        <v>0</v>
      </c>
      <c r="S29" s="175">
        <f>AVERAGE(L29,O29,R29)</f>
        <v>0</v>
      </c>
      <c r="T29" s="136" t="s">
        <v>12</v>
      </c>
      <c r="U29" s="147" t="s">
        <v>12</v>
      </c>
    </row>
    <row r="30" spans="1:21" ht="13.8" thickBot="1" x14ac:dyDescent="0.3">
      <c r="A30" s="615"/>
      <c r="B30" s="606" t="s">
        <v>67</v>
      </c>
      <c r="C30" s="240">
        <f t="shared" ref="C30:J30" si="2">C28+C26</f>
        <v>0</v>
      </c>
      <c r="D30" s="240">
        <f t="shared" si="2"/>
        <v>0</v>
      </c>
      <c r="E30" s="240">
        <f t="shared" si="2"/>
        <v>0</v>
      </c>
      <c r="F30" s="240">
        <f t="shared" si="2"/>
        <v>0</v>
      </c>
      <c r="G30" s="240">
        <f t="shared" si="2"/>
        <v>0</v>
      </c>
      <c r="H30" s="240">
        <f t="shared" si="2"/>
        <v>0</v>
      </c>
      <c r="I30" s="241">
        <f t="shared" si="2"/>
        <v>0</v>
      </c>
      <c r="J30" s="274">
        <f t="shared" si="2"/>
        <v>0</v>
      </c>
      <c r="K30" s="287"/>
      <c r="L30" s="276">
        <f>L28+L26+L23+L22</f>
        <v>238146.36591522326</v>
      </c>
      <c r="M30" s="242">
        <f>M28+M26</f>
        <v>0</v>
      </c>
      <c r="N30" s="247"/>
      <c r="O30" s="243">
        <f>O28+O26+O23+O22</f>
        <v>244650.77220446119</v>
      </c>
      <c r="P30" s="274">
        <f>P28+P26</f>
        <v>0</v>
      </c>
      <c r="Q30" s="287"/>
      <c r="R30" s="276">
        <f>R28+R26+R23+R22</f>
        <v>247582.41584175528</v>
      </c>
      <c r="S30" s="248">
        <f>SUM(S28,S26)</f>
        <v>0</v>
      </c>
      <c r="T30" s="249" t="s">
        <v>12</v>
      </c>
      <c r="U30" s="250">
        <f>SUM(U22:U23)</f>
        <v>243459.85132047991</v>
      </c>
    </row>
    <row r="31" spans="1:21" ht="14.4" thickTop="1" thickBot="1" x14ac:dyDescent="0.3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2" thickTop="1" x14ac:dyDescent="0.3">
      <c r="A32" s="615"/>
      <c r="B32" s="613" t="s">
        <v>146</v>
      </c>
      <c r="C32" s="5"/>
      <c r="D32" s="5"/>
      <c r="E32" s="5"/>
      <c r="F32" s="112" t="s">
        <v>6</v>
      </c>
      <c r="G32" s="1415"/>
      <c r="H32" s="1416"/>
      <c r="I32" s="1417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 x14ac:dyDescent="0.25">
      <c r="A33" s="615"/>
      <c r="B33" s="5"/>
      <c r="C33" s="5"/>
      <c r="D33" s="5"/>
      <c r="E33" s="5"/>
      <c r="F33" s="112"/>
      <c r="G33" s="1418"/>
      <c r="H33" s="1418"/>
      <c r="I33" s="1419"/>
      <c r="J33" s="277" t="s">
        <v>61</v>
      </c>
      <c r="K33" s="1437" t="s">
        <v>57</v>
      </c>
      <c r="L33" s="1438"/>
      <c r="M33" s="57" t="s">
        <v>61</v>
      </c>
      <c r="N33" s="1432" t="s">
        <v>57</v>
      </c>
      <c r="O33" s="1433"/>
      <c r="P33" s="277" t="s">
        <v>61</v>
      </c>
      <c r="Q33" s="1422" t="s">
        <v>57</v>
      </c>
      <c r="R33" s="1423"/>
      <c r="S33" s="131"/>
      <c r="T33" s="37"/>
      <c r="U33" s="138"/>
    </row>
    <row r="34" spans="1:21" x14ac:dyDescent="0.25">
      <c r="A34" s="615"/>
      <c r="B34" s="611" t="s">
        <v>18</v>
      </c>
      <c r="C34" s="23" t="s">
        <v>60</v>
      </c>
      <c r="D34" s="23" t="s">
        <v>62</v>
      </c>
      <c r="E34" s="9"/>
      <c r="F34" s="72"/>
      <c r="G34" s="72"/>
      <c r="H34" s="72"/>
      <c r="I34" s="37"/>
      <c r="J34" s="261" t="s">
        <v>56</v>
      </c>
      <c r="K34" s="261" t="s">
        <v>13</v>
      </c>
      <c r="L34" s="262" t="s">
        <v>68</v>
      </c>
      <c r="M34" s="77" t="s">
        <v>56</v>
      </c>
      <c r="N34" s="24" t="s">
        <v>13</v>
      </c>
      <c r="O34" s="38" t="s">
        <v>68</v>
      </c>
      <c r="P34" s="260" t="s">
        <v>56</v>
      </c>
      <c r="Q34" s="261" t="s">
        <v>13</v>
      </c>
      <c r="R34" s="262" t="s">
        <v>68</v>
      </c>
      <c r="S34" s="123"/>
      <c r="T34" s="37"/>
      <c r="U34" s="138"/>
    </row>
    <row r="35" spans="1:21" ht="13.8" thickBot="1" x14ac:dyDescent="0.3">
      <c r="A35" s="615"/>
      <c r="B35" s="361"/>
      <c r="C35" s="353">
        <f>VLOOKUP(C$2,Monitor_Costs,4,FALSE)</f>
        <v>800</v>
      </c>
      <c r="D35" s="34">
        <f>VLOOKUP(C$2,Monitor_Costs,5,FALSE)</f>
        <v>2019</v>
      </c>
      <c r="E35" s="4"/>
      <c r="F35" s="12"/>
      <c r="G35" s="4"/>
      <c r="H35" s="361"/>
      <c r="I35" s="363"/>
      <c r="J35" s="355">
        <f>HLOOKUP($D$35,InflationTable,2)*$C$35</f>
        <v>1080.6414789119603</v>
      </c>
      <c r="K35" s="355">
        <f>J35*$L$4</f>
        <v>46467.583593214295</v>
      </c>
      <c r="L35" s="308">
        <f>K35</f>
        <v>46467.583593214295</v>
      </c>
      <c r="M35" s="171">
        <f>HLOOKUP($D$35,InflationTable,3)*$C$35</f>
        <v>1110.1566520905783</v>
      </c>
      <c r="N35" s="357">
        <f>M35*$O$4</f>
        <v>47736.736039894866</v>
      </c>
      <c r="O35" s="95">
        <f>N35</f>
        <v>47736.736039894866</v>
      </c>
      <c r="P35" s="355">
        <f>HLOOKUP($D$35,InflationTable,4)*$C$35</f>
        <v>1123.4596294577666</v>
      </c>
      <c r="Q35" s="355">
        <f>P35*$R$4</f>
        <v>48308.764066683965</v>
      </c>
      <c r="R35" s="308">
        <f>Q35</f>
        <v>48308.764066683965</v>
      </c>
      <c r="S35" s="359" t="s">
        <v>12</v>
      </c>
      <c r="T35" s="360">
        <f>AVERAGE(L35,O35,R35)</f>
        <v>47504.361233264375</v>
      </c>
      <c r="U35" s="142" t="s">
        <v>12</v>
      </c>
    </row>
    <row r="36" spans="1:21" x14ac:dyDescent="0.25">
      <c r="A36" s="615"/>
      <c r="B36" s="465" t="s">
        <v>23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2"/>
      <c r="K36" s="352"/>
      <c r="L36" s="356"/>
      <c r="M36" s="110"/>
      <c r="N36" s="108"/>
      <c r="O36" s="111"/>
      <c r="P36" s="352"/>
      <c r="Q36" s="352"/>
      <c r="R36" s="356"/>
      <c r="S36" s="123"/>
      <c r="T36" s="37"/>
      <c r="U36" s="138"/>
    </row>
    <row r="37" spans="1:21" x14ac:dyDescent="0.25">
      <c r="A37" s="615"/>
      <c r="B37" s="614" t="s">
        <v>4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48">
        <f>SUM(C37:H37)</f>
        <v>0</v>
      </c>
      <c r="J37" s="299" t="s">
        <v>12</v>
      </c>
      <c r="K37" s="281">
        <f>I37*$L$4</f>
        <v>0</v>
      </c>
      <c r="L37" s="289">
        <f>K37</f>
        <v>0</v>
      </c>
      <c r="M37" s="58" t="s">
        <v>12</v>
      </c>
      <c r="N37" s="69">
        <f>$I$37*$O$4</f>
        <v>0</v>
      </c>
      <c r="O37" s="68">
        <f>N37</f>
        <v>0</v>
      </c>
      <c r="P37" s="299" t="s">
        <v>12</v>
      </c>
      <c r="Q37" s="281">
        <f>$I$37*$R$4</f>
        <v>0</v>
      </c>
      <c r="R37" s="289">
        <f>Q37</f>
        <v>0</v>
      </c>
      <c r="S37" s="121">
        <f>AVERAGE(L37,O37,R37)</f>
        <v>0</v>
      </c>
      <c r="T37" s="119" t="s">
        <v>12</v>
      </c>
      <c r="U37" s="140" t="s">
        <v>12</v>
      </c>
    </row>
    <row r="38" spans="1:21" s="1" customFormat="1" ht="13.8" thickBot="1" x14ac:dyDescent="0.3">
      <c r="A38" s="616"/>
      <c r="B38" s="604" t="s">
        <v>8</v>
      </c>
      <c r="C38" s="373">
        <f>ROUND(C37*Labor!$D$3,0)</f>
        <v>0</v>
      </c>
      <c r="D38" s="374">
        <f>ROUND(D37*Labor!$D$4,0)</f>
        <v>0</v>
      </c>
      <c r="E38" s="374">
        <f>ROUND(E37*Labor!$D$5,0)</f>
        <v>0</v>
      </c>
      <c r="F38" s="374">
        <f>ROUND(F37*Labor!$D$6,0)</f>
        <v>0</v>
      </c>
      <c r="G38" s="374">
        <f>ROUND(G37*Labor!$D$7,0)</f>
        <v>0</v>
      </c>
      <c r="H38" s="374">
        <f>ROUND(H37*Labor!$D$8,0)</f>
        <v>0</v>
      </c>
      <c r="I38" s="375">
        <f>SUM(C38:H38)</f>
        <v>0</v>
      </c>
      <c r="J38" s="296">
        <f>HLOOKUP(Labor!$B$11,InflationTable,2)*I38</f>
        <v>0</v>
      </c>
      <c r="K38" s="296">
        <f>J38*$L$4</f>
        <v>0</v>
      </c>
      <c r="L38" s="390">
        <f>K38</f>
        <v>0</v>
      </c>
      <c r="M38" s="376">
        <f>HLOOKUP(Labor!$B$11,InflationTable,3)*I38</f>
        <v>0</v>
      </c>
      <c r="N38" s="377">
        <f>M38*$O$4</f>
        <v>0</v>
      </c>
      <c r="O38" s="378">
        <f>N38</f>
        <v>0</v>
      </c>
      <c r="P38" s="296">
        <f>HLOOKUP(Labor!$B$11,InflationTable,4)*$I$38</f>
        <v>0</v>
      </c>
      <c r="Q38" s="296">
        <f>P38*$R$4</f>
        <v>0</v>
      </c>
      <c r="R38" s="390">
        <f>Q38</f>
        <v>0</v>
      </c>
      <c r="S38" s="211">
        <f>AVERAGE(L38,O38,R38)</f>
        <v>0</v>
      </c>
      <c r="T38" s="393" t="s">
        <v>12</v>
      </c>
      <c r="U38" s="392" t="s">
        <v>12</v>
      </c>
    </row>
    <row r="39" spans="1:21" x14ac:dyDescent="0.25">
      <c r="A39" s="615"/>
      <c r="B39" s="605" t="s">
        <v>66</v>
      </c>
      <c r="C39" s="36">
        <f t="shared" ref="C39:I40" si="3">C37</f>
        <v>0</v>
      </c>
      <c r="D39" s="36">
        <f t="shared" si="3"/>
        <v>0</v>
      </c>
      <c r="E39" s="36">
        <f t="shared" si="3"/>
        <v>0</v>
      </c>
      <c r="F39" s="36">
        <f t="shared" si="3"/>
        <v>0</v>
      </c>
      <c r="G39" s="36">
        <f t="shared" si="3"/>
        <v>0</v>
      </c>
      <c r="H39" s="36">
        <f t="shared" si="3"/>
        <v>0</v>
      </c>
      <c r="I39" s="51">
        <f t="shared" si="3"/>
        <v>0</v>
      </c>
      <c r="J39" s="307" t="s">
        <v>12</v>
      </c>
      <c r="K39" s="302">
        <f>K37</f>
        <v>0</v>
      </c>
      <c r="L39" s="303">
        <f>L37</f>
        <v>0</v>
      </c>
      <c r="M39" s="85" t="s">
        <v>12</v>
      </c>
      <c r="N39" s="82">
        <f>N37</f>
        <v>0</v>
      </c>
      <c r="O39" s="96">
        <f>O37</f>
        <v>0</v>
      </c>
      <c r="P39" s="301" t="s">
        <v>12</v>
      </c>
      <c r="Q39" s="302">
        <f>Q37</f>
        <v>0</v>
      </c>
      <c r="R39" s="303">
        <f>R37</f>
        <v>0</v>
      </c>
      <c r="S39" s="96">
        <f>S37</f>
        <v>0</v>
      </c>
      <c r="T39" s="136" t="s">
        <v>12</v>
      </c>
      <c r="U39" s="147" t="s">
        <v>12</v>
      </c>
    </row>
    <row r="40" spans="1:21" ht="13.8" thickBot="1" x14ac:dyDescent="0.3">
      <c r="A40" s="615"/>
      <c r="B40" s="606" t="s">
        <v>67</v>
      </c>
      <c r="C40" s="240">
        <f t="shared" ref="C40:H40" si="4">C39</f>
        <v>0</v>
      </c>
      <c r="D40" s="240">
        <f t="shared" si="4"/>
        <v>0</v>
      </c>
      <c r="E40" s="240">
        <f t="shared" si="4"/>
        <v>0</v>
      </c>
      <c r="F40" s="240">
        <f t="shared" si="4"/>
        <v>0</v>
      </c>
      <c r="G40" s="240">
        <f t="shared" si="4"/>
        <v>0</v>
      </c>
      <c r="H40" s="240">
        <f t="shared" si="4"/>
        <v>0</v>
      </c>
      <c r="I40" s="51">
        <f t="shared" si="3"/>
        <v>0</v>
      </c>
      <c r="J40" s="305">
        <f t="shared" ref="J40:R40" si="5">J38+J35</f>
        <v>1080.6414789119603</v>
      </c>
      <c r="K40" s="305">
        <f t="shared" si="5"/>
        <v>46467.583593214295</v>
      </c>
      <c r="L40" s="306">
        <f t="shared" si="5"/>
        <v>46467.583593214295</v>
      </c>
      <c r="M40" s="252">
        <f t="shared" si="5"/>
        <v>1110.1566520905783</v>
      </c>
      <c r="N40" s="253">
        <f t="shared" si="5"/>
        <v>47736.736039894866</v>
      </c>
      <c r="O40" s="254">
        <f t="shared" si="5"/>
        <v>47736.736039894866</v>
      </c>
      <c r="P40" s="304">
        <f t="shared" si="5"/>
        <v>1123.4596294577666</v>
      </c>
      <c r="Q40" s="305">
        <f t="shared" si="5"/>
        <v>48308.764066683965</v>
      </c>
      <c r="R40" s="306">
        <f t="shared" si="5"/>
        <v>48308.764066683965</v>
      </c>
      <c r="S40" s="255">
        <f>AVERAGE(L40,O40,R40)</f>
        <v>47504.361233264375</v>
      </c>
      <c r="T40" s="251">
        <f>T35</f>
        <v>47504.361233264375</v>
      </c>
      <c r="U40" s="224" t="s">
        <v>12</v>
      </c>
    </row>
    <row r="41" spans="1:21" ht="14.4" thickTop="1" thickBot="1" x14ac:dyDescent="0.3">
      <c r="A41" s="615"/>
      <c r="B41" s="617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7"/>
      <c r="O41" s="618"/>
      <c r="P41" s="618"/>
      <c r="Q41" s="618"/>
      <c r="R41" s="618"/>
      <c r="S41" s="618"/>
      <c r="T41" s="618"/>
      <c r="U41" s="620"/>
    </row>
    <row r="42" spans="1:21" ht="16.2" thickTop="1" x14ac:dyDescent="0.3">
      <c r="A42" s="615"/>
      <c r="B42" s="80" t="s">
        <v>147</v>
      </c>
      <c r="C42" s="5"/>
      <c r="D42" s="5"/>
      <c r="E42" s="5"/>
      <c r="F42" s="112" t="s">
        <v>6</v>
      </c>
      <c r="G42" s="1415"/>
      <c r="H42" s="1416"/>
      <c r="I42" s="1417"/>
      <c r="J42" s="181" t="s">
        <v>24</v>
      </c>
      <c r="K42" s="426"/>
      <c r="L42" s="180"/>
      <c r="M42" s="181" t="s">
        <v>24</v>
      </c>
      <c r="N42" s="319"/>
      <c r="O42" s="67"/>
      <c r="P42" s="181" t="s">
        <v>24</v>
      </c>
      <c r="Q42" s="426"/>
      <c r="R42" s="67"/>
      <c r="S42" s="225"/>
      <c r="T42" s="37"/>
      <c r="U42" s="138"/>
    </row>
    <row r="43" spans="1:21" x14ac:dyDescent="0.25">
      <c r="A43" s="615"/>
      <c r="B43" s="5"/>
      <c r="C43" s="5"/>
      <c r="D43" s="5"/>
      <c r="E43" s="5"/>
      <c r="F43" s="112"/>
      <c r="G43" s="1418"/>
      <c r="H43" s="1418"/>
      <c r="I43" s="1419"/>
      <c r="J43" s="277" t="s">
        <v>61</v>
      </c>
      <c r="K43" s="1422" t="s">
        <v>57</v>
      </c>
      <c r="L43" s="1423"/>
      <c r="M43" s="57" t="s">
        <v>61</v>
      </c>
      <c r="N43" s="1432" t="s">
        <v>57</v>
      </c>
      <c r="O43" s="1433"/>
      <c r="P43" s="277" t="s">
        <v>61</v>
      </c>
      <c r="Q43" s="1422" t="s">
        <v>57</v>
      </c>
      <c r="R43" s="1423"/>
      <c r="S43" s="131"/>
      <c r="T43" s="37"/>
      <c r="U43" s="138"/>
    </row>
    <row r="44" spans="1:21" x14ac:dyDescent="0.25">
      <c r="A44" s="615"/>
      <c r="B44" s="611" t="s">
        <v>19</v>
      </c>
      <c r="C44" s="23" t="s">
        <v>60</v>
      </c>
      <c r="D44" s="23" t="s">
        <v>62</v>
      </c>
      <c r="E44" s="9"/>
      <c r="F44" s="72"/>
      <c r="G44" s="72"/>
      <c r="H44" s="72"/>
      <c r="I44" s="73"/>
      <c r="J44" s="260" t="s">
        <v>56</v>
      </c>
      <c r="K44" s="261" t="s">
        <v>13</v>
      </c>
      <c r="L44" s="262" t="s">
        <v>68</v>
      </c>
      <c r="M44" s="77" t="s">
        <v>56</v>
      </c>
      <c r="N44" s="24" t="s">
        <v>13</v>
      </c>
      <c r="O44" s="38" t="s">
        <v>68</v>
      </c>
      <c r="P44" s="260" t="s">
        <v>56</v>
      </c>
      <c r="Q44" s="261" t="s">
        <v>13</v>
      </c>
      <c r="R44" s="262" t="s">
        <v>68</v>
      </c>
      <c r="S44" s="123"/>
      <c r="T44" s="73"/>
      <c r="U44" s="138"/>
    </row>
    <row r="45" spans="1:21" ht="13.8" thickBot="1" x14ac:dyDescent="0.3">
      <c r="A45" s="615"/>
      <c r="B45" s="361"/>
      <c r="C45" s="353">
        <f>VLOOKUP(C$2,Monitor_Costs,6,FALSE)</f>
        <v>1000</v>
      </c>
      <c r="D45" s="34">
        <f>VLOOKUP(C$2,Monitor_Costs,7,FALSE)</f>
        <v>2019</v>
      </c>
      <c r="E45" s="354"/>
      <c r="F45" s="71"/>
      <c r="G45" s="56"/>
      <c r="H45" s="56"/>
      <c r="I45" s="54"/>
      <c r="J45" s="355">
        <f>HLOOKUP(D45,InflationTable,2)*C45</f>
        <v>1350.8018486399505</v>
      </c>
      <c r="K45" s="355">
        <f>J45*$L$4</f>
        <v>58084.479491517872</v>
      </c>
      <c r="L45" s="308">
        <f>K45</f>
        <v>58084.479491517872</v>
      </c>
      <c r="M45" s="357">
        <f>HLOOKUP($D$45,InflationTable,3)*$C$45</f>
        <v>1387.6958151132228</v>
      </c>
      <c r="N45" s="357">
        <f>M45*$O$4</f>
        <v>59670.920049868582</v>
      </c>
      <c r="O45" s="95">
        <f>N45</f>
        <v>59670.920049868582</v>
      </c>
      <c r="P45" s="358">
        <f>HLOOKUP($D$45,InflationTable,4)*$C$45</f>
        <v>1404.3245368222081</v>
      </c>
      <c r="Q45" s="355">
        <f>P45*$R$4</f>
        <v>60385.955083354944</v>
      </c>
      <c r="R45" s="308">
        <f>Q45</f>
        <v>60385.955083354944</v>
      </c>
      <c r="S45" s="359" t="s">
        <v>12</v>
      </c>
      <c r="T45" s="360">
        <f>AVERAGE(L45,O45,R45)</f>
        <v>59380.451541580471</v>
      </c>
      <c r="U45" s="142" t="s">
        <v>12</v>
      </c>
    </row>
    <row r="46" spans="1:21" x14ac:dyDescent="0.25">
      <c r="A46" s="615"/>
      <c r="B46" s="465" t="s">
        <v>25</v>
      </c>
      <c r="C46" s="107" t="s">
        <v>45</v>
      </c>
      <c r="D46" s="108" t="s">
        <v>46</v>
      </c>
      <c r="E46" s="107" t="s">
        <v>47</v>
      </c>
      <c r="F46" s="107" t="s">
        <v>48</v>
      </c>
      <c r="G46" s="107" t="s">
        <v>49</v>
      </c>
      <c r="H46" s="107" t="s">
        <v>50</v>
      </c>
      <c r="I46" s="350" t="s">
        <v>74</v>
      </c>
      <c r="J46" s="351"/>
      <c r="K46" s="352"/>
      <c r="L46" s="356"/>
      <c r="M46" s="110"/>
      <c r="N46" s="108"/>
      <c r="O46" s="111"/>
      <c r="P46" s="351"/>
      <c r="Q46" s="352"/>
      <c r="R46" s="356"/>
      <c r="S46" s="134"/>
      <c r="T46" s="136"/>
      <c r="U46" s="138"/>
    </row>
    <row r="47" spans="1:21" x14ac:dyDescent="0.25">
      <c r="B47" s="566" t="s">
        <v>4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52">
        <f>SUM(C47:H47)</f>
        <v>0</v>
      </c>
      <c r="J47" s="263" t="s">
        <v>12</v>
      </c>
      <c r="K47" s="281">
        <f>I47*$L$4</f>
        <v>0</v>
      </c>
      <c r="L47" s="289">
        <f>K47</f>
        <v>0</v>
      </c>
      <c r="M47" s="58" t="s">
        <v>12</v>
      </c>
      <c r="N47" s="69">
        <f>$I$47*$O$4</f>
        <v>0</v>
      </c>
      <c r="O47" s="68">
        <f>N47</f>
        <v>0</v>
      </c>
      <c r="P47" s="263" t="s">
        <v>12</v>
      </c>
      <c r="Q47" s="281">
        <f>$I$47*$R$4</f>
        <v>0</v>
      </c>
      <c r="R47" s="289">
        <f>Q47</f>
        <v>0</v>
      </c>
      <c r="S47" s="121">
        <f>AVERAGE(L47,O47,R47)</f>
        <v>0</v>
      </c>
      <c r="T47" s="119" t="s">
        <v>12</v>
      </c>
      <c r="U47" s="140" t="s">
        <v>12</v>
      </c>
    </row>
    <row r="48" spans="1:21" ht="13.8" thickBot="1" x14ac:dyDescent="0.3">
      <c r="B48" s="567" t="s">
        <v>8</v>
      </c>
      <c r="C48" s="34">
        <f>ROUND(C47*Labor!$D$3,0)</f>
        <v>0</v>
      </c>
      <c r="D48" s="35">
        <f>ROUND(D47*Labor!$D$4,0)</f>
        <v>0</v>
      </c>
      <c r="E48" s="35">
        <f>ROUND(E47*Labor!$D$5,0)</f>
        <v>0</v>
      </c>
      <c r="F48" s="35">
        <f>ROUND(F47*Labor!$D$6,0)</f>
        <v>0</v>
      </c>
      <c r="G48" s="35">
        <f>ROUND(G47*Labor!$D$7,0)</f>
        <v>0</v>
      </c>
      <c r="H48" s="35">
        <f>ROUND(H47*Labor!$D$8,0)</f>
        <v>0</v>
      </c>
      <c r="I48" s="39">
        <f>SUM(C48:H48)</f>
        <v>0</v>
      </c>
      <c r="J48" s="292">
        <f>HLOOKUP(Labor!$B$11,InflationTable,2)*I48</f>
        <v>0</v>
      </c>
      <c r="K48" s="269">
        <f>J48*$L$4</f>
        <v>0</v>
      </c>
      <c r="L48" s="308">
        <f>K48</f>
        <v>0</v>
      </c>
      <c r="M48" s="84">
        <f>HLOOKUP(Labor!$B$11,InflationTable,3)*$I$48</f>
        <v>0</v>
      </c>
      <c r="N48" s="63">
        <f>M48*$O$4</f>
        <v>0</v>
      </c>
      <c r="O48" s="95">
        <f>N48</f>
        <v>0</v>
      </c>
      <c r="P48" s="268">
        <f>HLOOKUP(Labor!$B$11,InflationTable,4)*$I$48</f>
        <v>0</v>
      </c>
      <c r="Q48" s="269">
        <f>P48*$O$4</f>
        <v>0</v>
      </c>
      <c r="R48" s="308">
        <f>Q48</f>
        <v>0</v>
      </c>
      <c r="S48" s="128">
        <f>AVERAGE(L48,O48,R48)</f>
        <v>0</v>
      </c>
      <c r="T48" s="149" t="s">
        <v>12</v>
      </c>
      <c r="U48" s="142" t="s">
        <v>12</v>
      </c>
    </row>
    <row r="49" spans="2:21" x14ac:dyDescent="0.25">
      <c r="B49" s="565" t="s">
        <v>117</v>
      </c>
      <c r="C49" s="346">
        <v>0</v>
      </c>
      <c r="D49" s="346">
        <v>0</v>
      </c>
      <c r="E49" s="346">
        <v>0</v>
      </c>
      <c r="F49" s="346">
        <v>0</v>
      </c>
      <c r="G49" s="346">
        <v>0</v>
      </c>
      <c r="H49" s="346">
        <v>0</v>
      </c>
      <c r="I49" s="347">
        <f>SUM(C49:H49)</f>
        <v>0</v>
      </c>
      <c r="J49" s="293" t="s">
        <v>12</v>
      </c>
      <c r="K49" s="327">
        <f>I49*$L$4</f>
        <v>0</v>
      </c>
      <c r="L49" s="328">
        <f>K49</f>
        <v>0</v>
      </c>
      <c r="M49" s="61" t="s">
        <v>12</v>
      </c>
      <c r="N49" s="348">
        <f>$I$49*$O$4</f>
        <v>0</v>
      </c>
      <c r="O49" s="349">
        <f>N49</f>
        <v>0</v>
      </c>
      <c r="P49" s="293" t="s">
        <v>12</v>
      </c>
      <c r="Q49" s="327">
        <f>$I$49*$R$4</f>
        <v>0</v>
      </c>
      <c r="R49" s="328">
        <f>Q49</f>
        <v>0</v>
      </c>
      <c r="S49" s="129">
        <f>AVERAGE(L49,O49,R49)</f>
        <v>0</v>
      </c>
      <c r="T49" s="119" t="s">
        <v>12</v>
      </c>
      <c r="U49" s="140" t="s">
        <v>12</v>
      </c>
    </row>
    <row r="50" spans="2:21" ht="13.8" thickBot="1" x14ac:dyDescent="0.3">
      <c r="B50" s="568" t="s">
        <v>8</v>
      </c>
      <c r="C50" s="34">
        <f>ROUND(C49*Labor!$D$3,0)</f>
        <v>0</v>
      </c>
      <c r="D50" s="35">
        <f>ROUND(D49*Labor!$D$4,0)</f>
        <v>0</v>
      </c>
      <c r="E50" s="35">
        <f>ROUND(E49*Labor!$D$5,0)</f>
        <v>0</v>
      </c>
      <c r="F50" s="35">
        <f>ROUND(F49*Labor!$D$6,0)</f>
        <v>0</v>
      </c>
      <c r="G50" s="35">
        <f>ROUND(G49*Labor!$D$7,0)</f>
        <v>0</v>
      </c>
      <c r="H50" s="35">
        <f>ROUND(H49*Labor!$D$8,0)</f>
        <v>0</v>
      </c>
      <c r="I50" s="39">
        <f>SUM(C50:H50)</f>
        <v>0</v>
      </c>
      <c r="J50" s="268">
        <f>HLOOKUP(Labor!$B$11,InflationTable,2)*$I$50</f>
        <v>0</v>
      </c>
      <c r="K50" s="269">
        <f>J50*$L$4</f>
        <v>0</v>
      </c>
      <c r="L50" s="308">
        <f>K50</f>
        <v>0</v>
      </c>
      <c r="M50" s="84">
        <f>HLOOKUP(Labor!$B$11,InflationTable,3)*$I$50</f>
        <v>0</v>
      </c>
      <c r="N50" s="63">
        <f>M50*$O$4</f>
        <v>0</v>
      </c>
      <c r="O50" s="95">
        <f>N50</f>
        <v>0</v>
      </c>
      <c r="P50" s="268">
        <f>HLOOKUP(Labor!$B$11,InflationTable,4)*$I$50</f>
        <v>0</v>
      </c>
      <c r="Q50" s="269">
        <f>P50*$R$4</f>
        <v>0</v>
      </c>
      <c r="R50" s="308">
        <f>Q50</f>
        <v>0</v>
      </c>
      <c r="S50" s="132">
        <f>AVERAGE(L50,O50,R50)</f>
        <v>0</v>
      </c>
      <c r="T50" s="149" t="s">
        <v>12</v>
      </c>
      <c r="U50" s="142" t="s">
        <v>12</v>
      </c>
    </row>
    <row r="51" spans="2:21" x14ac:dyDescent="0.25">
      <c r="B51" s="560" t="s">
        <v>66</v>
      </c>
      <c r="C51" s="36">
        <f t="shared" ref="C51:I52" si="6">C47+C49</f>
        <v>0</v>
      </c>
      <c r="D51" s="36">
        <f t="shared" si="6"/>
        <v>0</v>
      </c>
      <c r="E51" s="36">
        <f t="shared" si="6"/>
        <v>0</v>
      </c>
      <c r="F51" s="36">
        <f t="shared" si="6"/>
        <v>0</v>
      </c>
      <c r="G51" s="36">
        <f t="shared" si="6"/>
        <v>0</v>
      </c>
      <c r="H51" s="36">
        <f t="shared" si="6"/>
        <v>0</v>
      </c>
      <c r="I51" s="46">
        <f t="shared" si="6"/>
        <v>0</v>
      </c>
      <c r="J51" s="301" t="s">
        <v>12</v>
      </c>
      <c r="K51" s="309">
        <f>K47+K49</f>
        <v>0</v>
      </c>
      <c r="L51" s="310">
        <f>L47+L49</f>
        <v>0</v>
      </c>
      <c r="M51" s="85" t="s">
        <v>12</v>
      </c>
      <c r="N51" s="86">
        <f>N47+N49</f>
        <v>0</v>
      </c>
      <c r="O51" s="97">
        <f>O47+O49</f>
        <v>0</v>
      </c>
      <c r="P51" s="301" t="s">
        <v>12</v>
      </c>
      <c r="Q51" s="309">
        <f>Q47+Q49</f>
        <v>0</v>
      </c>
      <c r="R51" s="310">
        <f>R47+R49</f>
        <v>0</v>
      </c>
      <c r="S51" s="121">
        <f>AVERAGE(L51,O51,R51)</f>
        <v>0</v>
      </c>
      <c r="T51" s="136" t="s">
        <v>12</v>
      </c>
      <c r="U51" s="148" t="s">
        <v>12</v>
      </c>
    </row>
    <row r="52" spans="2:21" ht="13.8" thickBot="1" x14ac:dyDescent="0.3">
      <c r="B52" s="561" t="s">
        <v>67</v>
      </c>
      <c r="C52" s="240">
        <f t="shared" ref="C52:H52" si="7">C48+C50</f>
        <v>0</v>
      </c>
      <c r="D52" s="240">
        <f t="shared" si="7"/>
        <v>0</v>
      </c>
      <c r="E52" s="240">
        <f t="shared" si="7"/>
        <v>0</v>
      </c>
      <c r="F52" s="240">
        <f t="shared" si="7"/>
        <v>0</v>
      </c>
      <c r="G52" s="240">
        <f t="shared" si="7"/>
        <v>0</v>
      </c>
      <c r="H52" s="240">
        <f t="shared" si="7"/>
        <v>0</v>
      </c>
      <c r="I52" s="46">
        <f t="shared" si="6"/>
        <v>0</v>
      </c>
      <c r="J52" s="311">
        <f t="shared" ref="J52:R52" si="8">J50+J48+J45</f>
        <v>1350.8018486399505</v>
      </c>
      <c r="K52" s="305">
        <f t="shared" si="8"/>
        <v>58084.479491517872</v>
      </c>
      <c r="L52" s="306">
        <f t="shared" si="8"/>
        <v>58084.479491517872</v>
      </c>
      <c r="M52" s="252">
        <f t="shared" si="8"/>
        <v>1387.6958151132228</v>
      </c>
      <c r="N52" s="253">
        <f t="shared" si="8"/>
        <v>59670.920049868582</v>
      </c>
      <c r="O52" s="254">
        <f t="shared" si="8"/>
        <v>59670.920049868582</v>
      </c>
      <c r="P52" s="311">
        <f t="shared" si="8"/>
        <v>1404.3245368222081</v>
      </c>
      <c r="Q52" s="305">
        <f t="shared" si="8"/>
        <v>60385.955083354944</v>
      </c>
      <c r="R52" s="306">
        <f t="shared" si="8"/>
        <v>60385.955083354944</v>
      </c>
      <c r="S52" s="248">
        <f>S50+S48</f>
        <v>0</v>
      </c>
      <c r="T52" s="251">
        <f>T45</f>
        <v>59380.451541580471</v>
      </c>
      <c r="U52" s="224" t="s">
        <v>12</v>
      </c>
    </row>
    <row r="53" spans="2:21" ht="14.4" thickTop="1" thickBot="1" x14ac:dyDescent="0.3">
      <c r="B53" s="555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20"/>
    </row>
    <row r="54" spans="2:21" ht="16.2" thickTop="1" x14ac:dyDescent="0.3">
      <c r="B54" s="652" t="s">
        <v>26</v>
      </c>
      <c r="C54" s="5"/>
      <c r="D54" s="5"/>
      <c r="E54" s="5"/>
      <c r="F54" s="112" t="s">
        <v>6</v>
      </c>
      <c r="G54" s="1415"/>
      <c r="H54" s="1416"/>
      <c r="I54" s="1417"/>
      <c r="J54" s="181" t="s">
        <v>26</v>
      </c>
      <c r="K54" s="426"/>
      <c r="L54" s="67"/>
      <c r="M54" s="245" t="s">
        <v>26</v>
      </c>
      <c r="N54" s="426"/>
      <c r="O54" s="426"/>
      <c r="P54" s="245" t="s">
        <v>26</v>
      </c>
      <c r="Q54" s="426"/>
      <c r="R54" s="67"/>
      <c r="S54" s="225"/>
      <c r="T54" s="37"/>
      <c r="U54" s="138"/>
    </row>
    <row r="55" spans="2:21" x14ac:dyDescent="0.25">
      <c r="B55" s="555"/>
      <c r="C55" s="5"/>
      <c r="D55" s="5"/>
      <c r="E55" s="5"/>
      <c r="F55" s="7"/>
      <c r="G55" s="5"/>
      <c r="H55" s="5"/>
      <c r="I55" s="45" t="s">
        <v>61</v>
      </c>
      <c r="J55" s="277" t="s">
        <v>61</v>
      </c>
      <c r="K55" s="1422" t="s">
        <v>57</v>
      </c>
      <c r="L55" s="1423"/>
      <c r="M55" s="57" t="s">
        <v>61</v>
      </c>
      <c r="N55" s="1432" t="s">
        <v>57</v>
      </c>
      <c r="O55" s="1433"/>
      <c r="P55" s="277" t="s">
        <v>61</v>
      </c>
      <c r="Q55" s="1422" t="s">
        <v>57</v>
      </c>
      <c r="R55" s="1423"/>
      <c r="S55" s="131"/>
      <c r="T55" s="37"/>
      <c r="U55" s="138"/>
    </row>
    <row r="56" spans="2:21" x14ac:dyDescent="0.25">
      <c r="B56" s="563" t="s">
        <v>27</v>
      </c>
      <c r="C56" s="23" t="s">
        <v>45</v>
      </c>
      <c r="D56" s="24" t="s">
        <v>46</v>
      </c>
      <c r="E56" s="23" t="s">
        <v>47</v>
      </c>
      <c r="F56" s="23" t="s">
        <v>48</v>
      </c>
      <c r="G56" s="23" t="s">
        <v>49</v>
      </c>
      <c r="H56" s="23" t="s">
        <v>50</v>
      </c>
      <c r="I56" s="45" t="s">
        <v>13</v>
      </c>
      <c r="J56" s="260" t="s">
        <v>56</v>
      </c>
      <c r="K56" s="261" t="s">
        <v>13</v>
      </c>
      <c r="L56" s="262" t="s">
        <v>68</v>
      </c>
      <c r="M56" s="77" t="s">
        <v>56</v>
      </c>
      <c r="N56" s="24" t="s">
        <v>13</v>
      </c>
      <c r="O56" s="38" t="s">
        <v>68</v>
      </c>
      <c r="P56" s="260" t="s">
        <v>56</v>
      </c>
      <c r="Q56" s="261" t="s">
        <v>13</v>
      </c>
      <c r="R56" s="262" t="s">
        <v>68</v>
      </c>
      <c r="S56" s="123"/>
      <c r="T56" s="37"/>
      <c r="U56" s="138"/>
    </row>
    <row r="57" spans="2:21" x14ac:dyDescent="0.25">
      <c r="B57" s="566" t="s">
        <v>4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52">
        <f t="shared" ref="I57:I64" si="9">SUM(C57:H57)</f>
        <v>0</v>
      </c>
      <c r="J57" s="263" t="s">
        <v>12</v>
      </c>
      <c r="K57" s="281">
        <f>I57*(L$5+L$4)</f>
        <v>0</v>
      </c>
      <c r="L57" s="289">
        <f t="shared" ref="L57:L64" si="10">K57</f>
        <v>0</v>
      </c>
      <c r="M57" s="58" t="s">
        <v>12</v>
      </c>
      <c r="N57" s="69">
        <f>I57*(O$5+O$4)</f>
        <v>0</v>
      </c>
      <c r="O57" s="68">
        <f t="shared" ref="O57:O64" si="11">N57</f>
        <v>0</v>
      </c>
      <c r="P57" s="263" t="s">
        <v>12</v>
      </c>
      <c r="Q57" s="281">
        <f>$I57*(R$5+R$4)</f>
        <v>0</v>
      </c>
      <c r="R57" s="289">
        <f t="shared" ref="R57:R64" si="12">Q57</f>
        <v>0</v>
      </c>
      <c r="S57" s="121">
        <f t="shared" ref="S57:S66" si="13">AVERAGE(L57,O57,R57)</f>
        <v>0</v>
      </c>
      <c r="T57" s="119" t="s">
        <v>12</v>
      </c>
      <c r="U57" s="140" t="s">
        <v>12</v>
      </c>
    </row>
    <row r="58" spans="2:21" ht="13.8" thickBot="1" x14ac:dyDescent="0.3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0</v>
      </c>
      <c r="F58" s="35">
        <f>ROUND(F57*Labor!$D$6,0)</f>
        <v>0</v>
      </c>
      <c r="G58" s="35">
        <f>ROUND(G57*Labor!$D$7,0)</f>
        <v>0</v>
      </c>
      <c r="H58" s="35">
        <f>ROUND(H57*Labor!$D$8,0)</f>
        <v>0</v>
      </c>
      <c r="I58" s="39">
        <f t="shared" si="9"/>
        <v>0</v>
      </c>
      <c r="J58" s="268">
        <f>HLOOKUP(Labor!$B$11,InflationTable,2)*$I58</f>
        <v>0</v>
      </c>
      <c r="K58" s="355">
        <f>J58*(L$4+L$5)</f>
        <v>0</v>
      </c>
      <c r="L58" s="308">
        <f t="shared" si="10"/>
        <v>0</v>
      </c>
      <c r="M58" s="84">
        <f>HLOOKUP(Labor!$B$11,InflationTable,3)*$I58</f>
        <v>0</v>
      </c>
      <c r="N58" s="357">
        <f>M58*(O$4+O$5)</f>
        <v>0</v>
      </c>
      <c r="O58" s="95">
        <f t="shared" si="11"/>
        <v>0</v>
      </c>
      <c r="P58" s="268">
        <f>HLOOKUP(Labor!$B$11,InflationTable,4)*$I58</f>
        <v>0</v>
      </c>
      <c r="Q58" s="355">
        <f>P58*(R$4+R$5)</f>
        <v>0</v>
      </c>
      <c r="R58" s="308">
        <f t="shared" si="12"/>
        <v>0</v>
      </c>
      <c r="S58" s="128">
        <f t="shared" si="13"/>
        <v>0</v>
      </c>
      <c r="T58" s="149" t="s">
        <v>12</v>
      </c>
      <c r="U58" s="142" t="s">
        <v>12</v>
      </c>
    </row>
    <row r="59" spans="2:21" x14ac:dyDescent="0.25">
      <c r="B59" s="559" t="s">
        <v>114</v>
      </c>
      <c r="C59" s="346">
        <v>0</v>
      </c>
      <c r="D59" s="346">
        <v>0</v>
      </c>
      <c r="E59" s="346">
        <v>0</v>
      </c>
      <c r="F59" s="346">
        <v>0</v>
      </c>
      <c r="G59" s="346">
        <v>0</v>
      </c>
      <c r="H59" s="346">
        <v>0</v>
      </c>
      <c r="I59" s="347">
        <f t="shared" si="9"/>
        <v>0</v>
      </c>
      <c r="J59" s="293" t="s">
        <v>12</v>
      </c>
      <c r="K59" s="281">
        <f>I59*(L$5+L$4)</f>
        <v>0</v>
      </c>
      <c r="L59" s="328">
        <f t="shared" si="10"/>
        <v>0</v>
      </c>
      <c r="M59" s="61" t="s">
        <v>12</v>
      </c>
      <c r="N59" s="69">
        <f>I59*(O$5+O$4)</f>
        <v>0</v>
      </c>
      <c r="O59" s="349">
        <f t="shared" si="11"/>
        <v>0</v>
      </c>
      <c r="P59" s="293" t="s">
        <v>12</v>
      </c>
      <c r="Q59" s="281">
        <f>$I59*(R$5+R$4)</f>
        <v>0</v>
      </c>
      <c r="R59" s="328">
        <f t="shared" si="12"/>
        <v>0</v>
      </c>
      <c r="S59" s="129">
        <f t="shared" si="13"/>
        <v>0</v>
      </c>
      <c r="T59" s="136" t="s">
        <v>12</v>
      </c>
      <c r="U59" s="147" t="s">
        <v>12</v>
      </c>
    </row>
    <row r="60" spans="2:21" ht="13.8" thickBot="1" x14ac:dyDescent="0.3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0</v>
      </c>
      <c r="F60" s="35">
        <f>ROUND(F59*Labor!$D$6,0)</f>
        <v>0</v>
      </c>
      <c r="G60" s="35">
        <f>ROUND(G59*Labor!$D$7,0)</f>
        <v>0</v>
      </c>
      <c r="H60" s="35">
        <f>ROUND(H59*Labor!$D$8,0)</f>
        <v>0</v>
      </c>
      <c r="I60" s="39">
        <f t="shared" si="9"/>
        <v>0</v>
      </c>
      <c r="J60" s="292">
        <f>HLOOKUP(Labor!$B$11,InflationTable,2)*$I60</f>
        <v>0</v>
      </c>
      <c r="K60" s="355">
        <f>J60*(L$4+L$5)</f>
        <v>0</v>
      </c>
      <c r="L60" s="308">
        <f t="shared" si="10"/>
        <v>0</v>
      </c>
      <c r="M60" s="84">
        <f>HLOOKUP(Labor!$B$11,InflationTable,3)*$I60</f>
        <v>0</v>
      </c>
      <c r="N60" s="357">
        <f>M60*(O$4+O$5)</f>
        <v>0</v>
      </c>
      <c r="O60" s="95">
        <f t="shared" si="11"/>
        <v>0</v>
      </c>
      <c r="P60" s="268">
        <f>HLOOKUP(Labor!$B$11,InflationTable,4)*$I60</f>
        <v>0</v>
      </c>
      <c r="Q60" s="355">
        <f>P60*(R$4+R$5)</f>
        <v>0</v>
      </c>
      <c r="R60" s="308">
        <f t="shared" si="12"/>
        <v>0</v>
      </c>
      <c r="S60" s="128">
        <f t="shared" si="13"/>
        <v>0</v>
      </c>
      <c r="T60" s="149" t="s">
        <v>12</v>
      </c>
      <c r="U60" s="142" t="s">
        <v>12</v>
      </c>
    </row>
    <row r="61" spans="2:21" x14ac:dyDescent="0.25">
      <c r="B61" s="559" t="s">
        <v>115</v>
      </c>
      <c r="C61" s="346">
        <v>0</v>
      </c>
      <c r="D61" s="346">
        <v>0</v>
      </c>
      <c r="E61" s="346">
        <v>5</v>
      </c>
      <c r="F61" s="346">
        <v>10</v>
      </c>
      <c r="G61" s="346">
        <v>0</v>
      </c>
      <c r="H61" s="346">
        <v>0</v>
      </c>
      <c r="I61" s="347">
        <f t="shared" si="9"/>
        <v>15</v>
      </c>
      <c r="J61" s="293" t="s">
        <v>12</v>
      </c>
      <c r="K61" s="281">
        <f>I61*(L$5+L$4)</f>
        <v>645</v>
      </c>
      <c r="L61" s="328">
        <f t="shared" si="10"/>
        <v>645</v>
      </c>
      <c r="M61" s="61" t="s">
        <v>12</v>
      </c>
      <c r="N61" s="69">
        <f>I61*(O$5+O$4)</f>
        <v>645</v>
      </c>
      <c r="O61" s="349">
        <f t="shared" si="11"/>
        <v>645</v>
      </c>
      <c r="P61" s="293" t="s">
        <v>12</v>
      </c>
      <c r="Q61" s="281">
        <f>$I61*(R$5+R$4)</f>
        <v>645</v>
      </c>
      <c r="R61" s="328">
        <f t="shared" si="12"/>
        <v>645</v>
      </c>
      <c r="S61" s="129">
        <f t="shared" si="13"/>
        <v>645</v>
      </c>
      <c r="T61" s="136" t="s">
        <v>12</v>
      </c>
      <c r="U61" s="147" t="s">
        <v>12</v>
      </c>
    </row>
    <row r="62" spans="2:21" ht="13.8" thickBot="1" x14ac:dyDescent="0.3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221</v>
      </c>
      <c r="F62" s="35">
        <f>ROUND(F61*Labor!$D$6,0)</f>
        <v>493</v>
      </c>
      <c r="G62" s="35">
        <f>ROUND(G61*Labor!$D$7,0)</f>
        <v>0</v>
      </c>
      <c r="H62" s="35">
        <f>ROUND(H61*Labor!$D$8,0)</f>
        <v>0</v>
      </c>
      <c r="I62" s="39">
        <f t="shared" si="9"/>
        <v>714</v>
      </c>
      <c r="J62" s="292">
        <f>HLOOKUP(Labor!$B$11,InflationTable,2)*$I62</f>
        <v>964.47251992892461</v>
      </c>
      <c r="K62" s="355">
        <f>J62*(L$4+L$5)</f>
        <v>41472.318356943761</v>
      </c>
      <c r="L62" s="308">
        <f t="shared" si="10"/>
        <v>41472.318356943761</v>
      </c>
      <c r="M62" s="84">
        <f>HLOOKUP(Labor!$B$11,InflationTable,3)*$I62</f>
        <v>990.81481199084112</v>
      </c>
      <c r="N62" s="357">
        <f>M62*(O$4+O$5)</f>
        <v>42605.036915606172</v>
      </c>
      <c r="O62" s="95">
        <f t="shared" si="11"/>
        <v>42605.036915606172</v>
      </c>
      <c r="P62" s="268">
        <f>HLOOKUP(Labor!$B$11,InflationTable,4)*$I62</f>
        <v>1002.6877192910566</v>
      </c>
      <c r="Q62" s="355">
        <f>P62*(R$4+R$5)</f>
        <v>43115.571929515434</v>
      </c>
      <c r="R62" s="308">
        <f t="shared" si="12"/>
        <v>43115.571929515434</v>
      </c>
      <c r="S62" s="128">
        <f t="shared" si="13"/>
        <v>42397.642400688455</v>
      </c>
      <c r="T62" s="149" t="s">
        <v>12</v>
      </c>
      <c r="U62" s="142" t="s">
        <v>12</v>
      </c>
    </row>
    <row r="63" spans="2:21" x14ac:dyDescent="0.25">
      <c r="B63" s="559" t="s">
        <v>116</v>
      </c>
      <c r="C63" s="346">
        <v>0</v>
      </c>
      <c r="D63" s="346">
        <v>0</v>
      </c>
      <c r="E63" s="346">
        <v>2</v>
      </c>
      <c r="F63" s="346">
        <v>3</v>
      </c>
      <c r="G63" s="346">
        <v>0</v>
      </c>
      <c r="H63" s="346">
        <v>0</v>
      </c>
      <c r="I63" s="347">
        <f t="shared" si="9"/>
        <v>5</v>
      </c>
      <c r="J63" s="293" t="s">
        <v>12</v>
      </c>
      <c r="K63" s="281">
        <f>I63*(L$5+L$4)</f>
        <v>215</v>
      </c>
      <c r="L63" s="328">
        <f t="shared" si="10"/>
        <v>215</v>
      </c>
      <c r="M63" s="61" t="s">
        <v>12</v>
      </c>
      <c r="N63" s="69">
        <f>I63*(O$5+O$4)</f>
        <v>215</v>
      </c>
      <c r="O63" s="349">
        <f t="shared" si="11"/>
        <v>215</v>
      </c>
      <c r="P63" s="293" t="s">
        <v>12</v>
      </c>
      <c r="Q63" s="281">
        <f>$I63*(R$5+R$4)</f>
        <v>215</v>
      </c>
      <c r="R63" s="328">
        <f t="shared" si="12"/>
        <v>215</v>
      </c>
      <c r="S63" s="129">
        <f t="shared" si="13"/>
        <v>215</v>
      </c>
      <c r="T63" s="136" t="s">
        <v>12</v>
      </c>
      <c r="U63" s="147" t="s">
        <v>12</v>
      </c>
    </row>
    <row r="64" spans="2:21" ht="13.8" thickBot="1" x14ac:dyDescent="0.3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88</v>
      </c>
      <c r="F64" s="35">
        <f>ROUND(F63*Labor!$D$6,0)</f>
        <v>148</v>
      </c>
      <c r="G64" s="35">
        <f>ROUND(G63*Labor!$D$7,0)</f>
        <v>0</v>
      </c>
      <c r="H64" s="35">
        <f>ROUND(H63*Labor!$D$8,0)</f>
        <v>0</v>
      </c>
      <c r="I64" s="39">
        <f t="shared" si="9"/>
        <v>236</v>
      </c>
      <c r="J64" s="292">
        <f>HLOOKUP(Labor!$B$11,InflationTable,2)*$I64</f>
        <v>318.78923627902833</v>
      </c>
      <c r="K64" s="355">
        <f>J64*(L$4+L$5)</f>
        <v>13707.937159998219</v>
      </c>
      <c r="L64" s="300">
        <f t="shared" si="10"/>
        <v>13707.937159998219</v>
      </c>
      <c r="M64" s="84">
        <f>HLOOKUP(Labor!$B$11,InflationTable,3)*$I64</f>
        <v>327.49621236672061</v>
      </c>
      <c r="N64" s="357">
        <f>M64*(O$4+O$5)</f>
        <v>14082.337131768987</v>
      </c>
      <c r="O64" s="98">
        <f t="shared" si="11"/>
        <v>14082.337131768987</v>
      </c>
      <c r="P64" s="268">
        <f>HLOOKUP(Labor!$B$11,InflationTable,4)*$I64</f>
        <v>331.42059069004114</v>
      </c>
      <c r="Q64" s="355">
        <f>P64*(R$4+R$5)</f>
        <v>14251.085399671769</v>
      </c>
      <c r="R64" s="300">
        <f t="shared" si="12"/>
        <v>14251.085399671769</v>
      </c>
      <c r="S64" s="128">
        <f t="shared" si="13"/>
        <v>14013.786563812993</v>
      </c>
      <c r="T64" s="137" t="s">
        <v>12</v>
      </c>
      <c r="U64" s="142" t="s">
        <v>12</v>
      </c>
    </row>
    <row r="65" spans="2:22" x14ac:dyDescent="0.25">
      <c r="B65" s="560" t="s">
        <v>66</v>
      </c>
      <c r="C65" s="36">
        <f t="shared" ref="C65:I66" si="14">C57+C59+C61+C63</f>
        <v>0</v>
      </c>
      <c r="D65" s="36">
        <f t="shared" si="14"/>
        <v>0</v>
      </c>
      <c r="E65" s="36">
        <f t="shared" si="14"/>
        <v>7</v>
      </c>
      <c r="F65" s="36">
        <f t="shared" si="14"/>
        <v>13</v>
      </c>
      <c r="G65" s="36">
        <f t="shared" si="14"/>
        <v>0</v>
      </c>
      <c r="H65" s="36">
        <f t="shared" si="14"/>
        <v>0</v>
      </c>
      <c r="I65" s="46">
        <f t="shared" si="14"/>
        <v>20</v>
      </c>
      <c r="J65" s="301" t="s">
        <v>12</v>
      </c>
      <c r="K65" s="285">
        <f>K57+K59+K61+K63</f>
        <v>860</v>
      </c>
      <c r="L65" s="312">
        <f>L57+L59+L61+L63</f>
        <v>860</v>
      </c>
      <c r="M65" s="85" t="s">
        <v>12</v>
      </c>
      <c r="N65" s="33">
        <f>N57+N59+N61+N63</f>
        <v>860</v>
      </c>
      <c r="O65" s="99">
        <f>O57+O59+O61+O63</f>
        <v>860</v>
      </c>
      <c r="P65" s="301" t="s">
        <v>12</v>
      </c>
      <c r="Q65" s="285">
        <f>Q57+Q59+Q61+Q63</f>
        <v>860</v>
      </c>
      <c r="R65" s="312">
        <f>R57+R59+R61+R63</f>
        <v>860</v>
      </c>
      <c r="S65" s="129">
        <f t="shared" si="13"/>
        <v>860</v>
      </c>
      <c r="T65" s="136" t="s">
        <v>12</v>
      </c>
      <c r="U65" s="147" t="s">
        <v>12</v>
      </c>
    </row>
    <row r="66" spans="2:22" ht="13.8" thickBot="1" x14ac:dyDescent="0.3">
      <c r="B66" s="561" t="s">
        <v>67</v>
      </c>
      <c r="C66" s="240">
        <f t="shared" si="14"/>
        <v>0</v>
      </c>
      <c r="D66" s="240">
        <f t="shared" si="14"/>
        <v>0</v>
      </c>
      <c r="E66" s="240">
        <f t="shared" si="14"/>
        <v>309</v>
      </c>
      <c r="F66" s="240">
        <f t="shared" si="14"/>
        <v>641</v>
      </c>
      <c r="G66" s="240">
        <f t="shared" si="14"/>
        <v>0</v>
      </c>
      <c r="H66" s="240">
        <f t="shared" si="14"/>
        <v>0</v>
      </c>
      <c r="I66" s="243">
        <f t="shared" si="14"/>
        <v>950</v>
      </c>
      <c r="J66" s="313">
        <f>J58+J60+J62+J64</f>
        <v>1283.2617562079529</v>
      </c>
      <c r="K66" s="275">
        <f>K58+K60+K62+K64</f>
        <v>55180.255516941979</v>
      </c>
      <c r="L66" s="276">
        <f>L58+L60+L62+L64</f>
        <v>55180.255516941979</v>
      </c>
      <c r="M66" s="242">
        <f>M58+M60+M62+M64</f>
        <v>1318.3110243575618</v>
      </c>
      <c r="N66" s="240">
        <f>N58+N60+N62+N64</f>
        <v>56687.37404737516</v>
      </c>
      <c r="O66" s="243">
        <f>O58+O60+O62+O64</f>
        <v>56687.37404737516</v>
      </c>
      <c r="P66" s="313">
        <f>P58+P60+P62+P64</f>
        <v>1334.1083099810978</v>
      </c>
      <c r="Q66" s="275">
        <f>Q58+Q60+Q62+Q64</f>
        <v>57366.657329187205</v>
      </c>
      <c r="R66" s="276">
        <f>R58+R60+R62+R64</f>
        <v>57366.657329187205</v>
      </c>
      <c r="S66" s="255">
        <f t="shared" si="13"/>
        <v>56411.428964501451</v>
      </c>
      <c r="T66" s="249" t="s">
        <v>12</v>
      </c>
      <c r="U66" s="224" t="s">
        <v>12</v>
      </c>
    </row>
    <row r="67" spans="2:22" ht="13.8" thickTop="1" x14ac:dyDescent="0.25">
      <c r="B67" s="624"/>
      <c r="C67" s="621"/>
      <c r="D67" s="621"/>
      <c r="E67" s="621"/>
      <c r="F67" s="621"/>
      <c r="G67" s="621"/>
      <c r="H67" s="621"/>
      <c r="I67" s="622"/>
      <c r="J67" s="622"/>
      <c r="K67" s="622"/>
      <c r="L67" s="622"/>
      <c r="M67" s="622"/>
      <c r="N67" s="622"/>
      <c r="O67" s="622"/>
      <c r="P67" s="622"/>
      <c r="Q67" s="622"/>
      <c r="R67" s="622"/>
      <c r="S67" s="625"/>
      <c r="T67" s="626"/>
      <c r="U67" s="627"/>
      <c r="V67" s="5"/>
    </row>
    <row r="68" spans="2:22" ht="13.8" thickBot="1" x14ac:dyDescent="0.3"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5"/>
    </row>
    <row r="69" spans="2:22" ht="28.2" thickTop="1" thickBot="1" x14ac:dyDescent="0.35">
      <c r="B69" s="564" t="s">
        <v>149</v>
      </c>
      <c r="C69" s="5"/>
      <c r="D69" s="5"/>
      <c r="E69" s="5"/>
      <c r="F69" s="112" t="s">
        <v>6</v>
      </c>
      <c r="G69" s="1415"/>
      <c r="H69" s="1416"/>
      <c r="I69" s="1417"/>
      <c r="J69" s="181" t="s">
        <v>28</v>
      </c>
      <c r="K69" s="426"/>
      <c r="L69" s="67"/>
      <c r="M69" s="181" t="s">
        <v>28</v>
      </c>
      <c r="N69" s="426"/>
      <c r="O69" s="67"/>
      <c r="P69" s="181" t="s">
        <v>28</v>
      </c>
      <c r="Q69" s="426"/>
      <c r="R69" s="67"/>
      <c r="S69" s="546" t="s">
        <v>17</v>
      </c>
      <c r="T69" s="547" t="s">
        <v>103</v>
      </c>
      <c r="U69" s="628" t="s">
        <v>79</v>
      </c>
    </row>
    <row r="70" spans="2:22" x14ac:dyDescent="0.25">
      <c r="B70" s="555"/>
      <c r="C70" s="5"/>
      <c r="D70" s="5"/>
      <c r="E70" s="5"/>
      <c r="F70" s="7"/>
      <c r="G70" s="5"/>
      <c r="H70" s="5"/>
      <c r="I70" s="45" t="s">
        <v>61</v>
      </c>
      <c r="J70" s="277" t="s">
        <v>61</v>
      </c>
      <c r="K70" s="1422" t="s">
        <v>57</v>
      </c>
      <c r="L70" s="1423"/>
      <c r="M70" s="57" t="s">
        <v>61</v>
      </c>
      <c r="N70" s="1432" t="s">
        <v>57</v>
      </c>
      <c r="O70" s="1436"/>
      <c r="P70" s="318" t="s">
        <v>61</v>
      </c>
      <c r="Q70" s="1422" t="s">
        <v>57</v>
      </c>
      <c r="R70" s="1423"/>
      <c r="S70" s="170"/>
      <c r="T70" s="133"/>
      <c r="U70" s="37"/>
    </row>
    <row r="71" spans="2:22" x14ac:dyDescent="0.25">
      <c r="B71" s="557"/>
      <c r="C71" s="23" t="s">
        <v>45</v>
      </c>
      <c r="D71" s="24" t="s">
        <v>46</v>
      </c>
      <c r="E71" s="23" t="s">
        <v>47</v>
      </c>
      <c r="F71" s="23" t="s">
        <v>48</v>
      </c>
      <c r="G71" s="23" t="s">
        <v>49</v>
      </c>
      <c r="H71" s="23" t="s">
        <v>50</v>
      </c>
      <c r="I71" s="45" t="s">
        <v>13</v>
      </c>
      <c r="J71" s="260" t="s">
        <v>56</v>
      </c>
      <c r="K71" s="261" t="s">
        <v>13</v>
      </c>
      <c r="L71" s="262" t="s">
        <v>68</v>
      </c>
      <c r="M71" s="77" t="s">
        <v>56</v>
      </c>
      <c r="N71" s="24" t="s">
        <v>13</v>
      </c>
      <c r="O71" s="38" t="s">
        <v>68</v>
      </c>
      <c r="P71" s="260" t="s">
        <v>56</v>
      </c>
      <c r="Q71" s="261" t="s">
        <v>13</v>
      </c>
      <c r="R71" s="262" t="s">
        <v>68</v>
      </c>
      <c r="S71" s="120"/>
      <c r="T71" s="133"/>
      <c r="U71" s="37"/>
    </row>
    <row r="72" spans="2:22" x14ac:dyDescent="0.25">
      <c r="B72" s="557" t="s">
        <v>111</v>
      </c>
      <c r="C72" s="21">
        <v>0</v>
      </c>
      <c r="D72" s="21">
        <v>0</v>
      </c>
      <c r="E72" s="21">
        <v>36</v>
      </c>
      <c r="F72" s="21">
        <v>36</v>
      </c>
      <c r="G72" s="21">
        <v>0</v>
      </c>
      <c r="H72" s="21">
        <v>0</v>
      </c>
      <c r="I72" s="52">
        <f>SUM(C72:H72)</f>
        <v>72</v>
      </c>
      <c r="J72" s="263" t="s">
        <v>12</v>
      </c>
      <c r="K72" s="281">
        <f>I72*$L$4</f>
        <v>3096</v>
      </c>
      <c r="L72" s="289">
        <f>K72</f>
        <v>3096</v>
      </c>
      <c r="M72" s="58" t="s">
        <v>12</v>
      </c>
      <c r="N72" s="69">
        <f>$I$72*$O$4</f>
        <v>3096</v>
      </c>
      <c r="O72" s="68">
        <f>N72</f>
        <v>3096</v>
      </c>
      <c r="P72" s="263" t="s">
        <v>12</v>
      </c>
      <c r="Q72" s="281">
        <f>$I$72*$O$4</f>
        <v>3096</v>
      </c>
      <c r="R72" s="289">
        <f>Q72</f>
        <v>3096</v>
      </c>
      <c r="S72" s="121">
        <f>AVERAGE(L72,O72,R72)</f>
        <v>3096</v>
      </c>
      <c r="T72" s="135" t="s">
        <v>12</v>
      </c>
      <c r="U72" s="136" t="s">
        <v>12</v>
      </c>
    </row>
    <row r="73" spans="2:22" ht="13.8" thickBot="1" x14ac:dyDescent="0.3">
      <c r="B73" s="568" t="s">
        <v>8</v>
      </c>
      <c r="C73" s="34">
        <f>ROUND(C72*Labor!$D$3,0)</f>
        <v>0</v>
      </c>
      <c r="D73" s="35">
        <f>ROUND(D72*Labor!$D$4,0)</f>
        <v>0</v>
      </c>
      <c r="E73" s="35">
        <f>ROUND(E72*Labor!$D$5,0)</f>
        <v>1588</v>
      </c>
      <c r="F73" s="35">
        <f>ROUND(F72*Labor!$D$6,0)</f>
        <v>1773</v>
      </c>
      <c r="G73" s="35">
        <f>ROUND(G72*Labor!$D$7,0)</f>
        <v>0</v>
      </c>
      <c r="H73" s="35">
        <f>ROUND(H72*Labor!$D$8,0)</f>
        <v>0</v>
      </c>
      <c r="I73" s="39">
        <f>SUM(C73:H73)</f>
        <v>3361</v>
      </c>
      <c r="J73" s="268">
        <f>HLOOKUP(Labor!$B$11,InflationTable,2)*I73</f>
        <v>4540.0450132788737</v>
      </c>
      <c r="K73" s="269">
        <f>J73*$L$4</f>
        <v>195221.93557099157</v>
      </c>
      <c r="L73" s="308">
        <f>K73</f>
        <v>195221.93557099157</v>
      </c>
      <c r="M73" s="362">
        <f>HLOOKUP(Labor!$B$11,InflationTable,3)*$I$73</f>
        <v>4664.0456345955417</v>
      </c>
      <c r="N73" s="63">
        <f>M73*$O$4</f>
        <v>200553.9622876083</v>
      </c>
      <c r="O73" s="95">
        <f>N73</f>
        <v>200553.9622876083</v>
      </c>
      <c r="P73" s="268">
        <f>HLOOKUP(Labor!$B$11,InflationTable,4)*$I73</f>
        <v>4719.9347682594416</v>
      </c>
      <c r="Q73" s="269">
        <f>P73*$R$4</f>
        <v>202957.19503515598</v>
      </c>
      <c r="R73" s="308">
        <f>Q73</f>
        <v>202957.19503515598</v>
      </c>
      <c r="S73" s="128">
        <f>AVERAGE(L73,O73,R73)</f>
        <v>199577.69763125197</v>
      </c>
      <c r="T73" s="137" t="s">
        <v>12</v>
      </c>
      <c r="U73" s="149" t="s">
        <v>12</v>
      </c>
    </row>
    <row r="74" spans="2:22" x14ac:dyDescent="0.25">
      <c r="B74" s="559" t="s">
        <v>110</v>
      </c>
      <c r="C74" s="346">
        <v>0</v>
      </c>
      <c r="D74" s="346">
        <v>24</v>
      </c>
      <c r="E74" s="346">
        <v>24</v>
      </c>
      <c r="F74" s="346">
        <v>0</v>
      </c>
      <c r="G74" s="346">
        <v>0</v>
      </c>
      <c r="H74" s="346">
        <v>0</v>
      </c>
      <c r="I74" s="347">
        <f>SUM(C74:H74)</f>
        <v>48</v>
      </c>
      <c r="J74" s="293" t="s">
        <v>12</v>
      </c>
      <c r="K74" s="327">
        <f>I74*$L$4</f>
        <v>2064</v>
      </c>
      <c r="L74" s="328">
        <f>K74</f>
        <v>2064</v>
      </c>
      <c r="M74" s="61" t="s">
        <v>12</v>
      </c>
      <c r="N74" s="348">
        <f>$I$74*$O$4</f>
        <v>2064</v>
      </c>
      <c r="O74" s="349">
        <f>N74</f>
        <v>2064</v>
      </c>
      <c r="P74" s="293" t="s">
        <v>12</v>
      </c>
      <c r="Q74" s="327">
        <f>$I$74*$O$4</f>
        <v>2064</v>
      </c>
      <c r="R74" s="328">
        <f>Q74</f>
        <v>2064</v>
      </c>
      <c r="S74" s="129">
        <f>AVERAGE(L74,O74,R74)</f>
        <v>2064</v>
      </c>
      <c r="T74" s="135" t="s">
        <v>12</v>
      </c>
      <c r="U74" s="136" t="s">
        <v>12</v>
      </c>
    </row>
    <row r="75" spans="2:22" ht="13.8" thickBot="1" x14ac:dyDescent="0.3">
      <c r="B75" s="568" t="s">
        <v>8</v>
      </c>
      <c r="C75" s="34">
        <f>ROUND(C74*Labor!$D$3,0)</f>
        <v>0</v>
      </c>
      <c r="D75" s="35">
        <f>ROUND(D74*Labor!$D$4,0)</f>
        <v>981</v>
      </c>
      <c r="E75" s="35">
        <f>ROUND(E74*Labor!$D$5,0)</f>
        <v>1059</v>
      </c>
      <c r="F75" s="35">
        <f>ROUND(F74*Labor!$D$6,0)</f>
        <v>0</v>
      </c>
      <c r="G75" s="35">
        <f>ROUND(G74*Labor!$D$7,0)</f>
        <v>0</v>
      </c>
      <c r="H75" s="35">
        <f>ROUND(H74*Labor!$D$8,0)</f>
        <v>0</v>
      </c>
      <c r="I75" s="39">
        <f>SUM(C75:H75)</f>
        <v>2040</v>
      </c>
      <c r="J75" s="268">
        <f>HLOOKUP(Labor!$B$11,InflationTable,2)*I75</f>
        <v>2755.635771225499</v>
      </c>
      <c r="K75" s="269">
        <f>J75*$L$4</f>
        <v>118492.33816269645</v>
      </c>
      <c r="L75" s="308">
        <f>K75</f>
        <v>118492.33816269645</v>
      </c>
      <c r="M75" s="362">
        <f>HLOOKUP(Labor!$B$11,InflationTable,3)*$I$75</f>
        <v>2830.8994628309747</v>
      </c>
      <c r="N75" s="63">
        <f>M75*$O$4</f>
        <v>121728.67690173192</v>
      </c>
      <c r="O75" s="95">
        <f>N75</f>
        <v>121728.67690173192</v>
      </c>
      <c r="P75" s="268">
        <f>HLOOKUP(Labor!$B$11,InflationTable,4)*$I75</f>
        <v>2864.8220551173044</v>
      </c>
      <c r="Q75" s="269">
        <f>P75*$R$4</f>
        <v>123187.34837004408</v>
      </c>
      <c r="R75" s="308">
        <f>Q75</f>
        <v>123187.34837004408</v>
      </c>
      <c r="S75" s="128">
        <f>AVERAGE(L75,O75,R75)</f>
        <v>121136.12114482415</v>
      </c>
      <c r="T75" s="137" t="s">
        <v>12</v>
      </c>
      <c r="U75" s="149" t="s">
        <v>12</v>
      </c>
    </row>
    <row r="76" spans="2:22" x14ac:dyDescent="0.25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 x14ac:dyDescent="0.25">
      <c r="B77" s="558" t="s">
        <v>4</v>
      </c>
      <c r="C77" s="21">
        <v>0</v>
      </c>
      <c r="D77" s="21">
        <v>0</v>
      </c>
      <c r="E77" s="21">
        <v>0</v>
      </c>
      <c r="F77" s="21">
        <v>2</v>
      </c>
      <c r="G77" s="21">
        <v>2</v>
      </c>
      <c r="H77" s="21">
        <v>0</v>
      </c>
      <c r="I77" s="52">
        <f t="shared" ref="I77:I82" si="15">SUM(C77:H77)</f>
        <v>4</v>
      </c>
      <c r="J77" s="263" t="s">
        <v>12</v>
      </c>
      <c r="K77" s="281">
        <f>I77*$L$4</f>
        <v>172</v>
      </c>
      <c r="L77" s="289">
        <f t="shared" ref="L77:L82" si="16">K77</f>
        <v>172</v>
      </c>
      <c r="M77" s="58" t="s">
        <v>12</v>
      </c>
      <c r="N77" s="69">
        <f>$I77*$O$4</f>
        <v>172</v>
      </c>
      <c r="O77" s="68">
        <f t="shared" ref="O77:O82" si="17">N77</f>
        <v>172</v>
      </c>
      <c r="P77" s="263" t="s">
        <v>12</v>
      </c>
      <c r="Q77" s="281">
        <f>$I77*$O$4</f>
        <v>172</v>
      </c>
      <c r="R77" s="289">
        <f t="shared" ref="R77:R82" si="18">Q77</f>
        <v>172</v>
      </c>
      <c r="S77" s="121">
        <f t="shared" ref="S77:S82" si="19">AVERAGE(L77,O77,R77)</f>
        <v>172</v>
      </c>
      <c r="T77" s="135" t="s">
        <v>12</v>
      </c>
      <c r="U77" s="136" t="s">
        <v>12</v>
      </c>
    </row>
    <row r="78" spans="2:22" ht="13.8" thickBot="1" x14ac:dyDescent="0.3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99</v>
      </c>
      <c r="G78" s="35">
        <f>ROUND(G77*Labor!$D$7,0)</f>
        <v>111</v>
      </c>
      <c r="H78" s="35">
        <f>ROUND(H77*Labor!$D$8,0)</f>
        <v>0</v>
      </c>
      <c r="I78" s="39">
        <f t="shared" si="15"/>
        <v>210</v>
      </c>
      <c r="J78" s="268">
        <f>HLOOKUP(Labor!$B$11,InflationTable,2)*I78</f>
        <v>283.66838821438961</v>
      </c>
      <c r="K78" s="269">
        <f>J78*$L$4</f>
        <v>12197.740693218753</v>
      </c>
      <c r="L78" s="308">
        <f t="shared" si="16"/>
        <v>12197.740693218753</v>
      </c>
      <c r="M78" s="362">
        <f>HLOOKUP(Labor!$B$11,InflationTable,3)*$I78</f>
        <v>291.41612117377679</v>
      </c>
      <c r="N78" s="63">
        <f>M78*$O$4</f>
        <v>12530.893210472403</v>
      </c>
      <c r="O78" s="95">
        <f t="shared" si="17"/>
        <v>12530.893210472403</v>
      </c>
      <c r="P78" s="268">
        <f>HLOOKUP(Labor!$B$11,InflationTable,4)*$I78</f>
        <v>294.90815273266372</v>
      </c>
      <c r="Q78" s="269">
        <f>P78*$R$4</f>
        <v>12681.050567504541</v>
      </c>
      <c r="R78" s="308">
        <f t="shared" si="18"/>
        <v>12681.050567504541</v>
      </c>
      <c r="S78" s="128">
        <f t="shared" si="19"/>
        <v>12469.894823731898</v>
      </c>
      <c r="T78" s="137" t="s">
        <v>12</v>
      </c>
      <c r="U78" s="149" t="s">
        <v>12</v>
      </c>
    </row>
    <row r="79" spans="2:22" x14ac:dyDescent="0.25">
      <c r="B79" s="559" t="s">
        <v>109</v>
      </c>
      <c r="C79" s="346">
        <v>0</v>
      </c>
      <c r="D79" s="346">
        <v>1</v>
      </c>
      <c r="E79" s="346">
        <v>1</v>
      </c>
      <c r="F79" s="346">
        <v>2</v>
      </c>
      <c r="G79" s="346">
        <v>1</v>
      </c>
      <c r="H79" s="346">
        <v>0</v>
      </c>
      <c r="I79" s="347">
        <f t="shared" si="15"/>
        <v>5</v>
      </c>
      <c r="J79" s="293" t="s">
        <v>12</v>
      </c>
      <c r="K79" s="327">
        <f>I79*$L$4</f>
        <v>215</v>
      </c>
      <c r="L79" s="328">
        <f t="shared" si="16"/>
        <v>215</v>
      </c>
      <c r="M79" s="61" t="s">
        <v>12</v>
      </c>
      <c r="N79" s="348">
        <f>$I79*$O$4</f>
        <v>215</v>
      </c>
      <c r="O79" s="349">
        <f t="shared" si="17"/>
        <v>215</v>
      </c>
      <c r="P79" s="293" t="s">
        <v>12</v>
      </c>
      <c r="Q79" s="327">
        <f>$I79*$O$4</f>
        <v>215</v>
      </c>
      <c r="R79" s="328">
        <f t="shared" si="18"/>
        <v>215</v>
      </c>
      <c r="S79" s="129">
        <f t="shared" si="19"/>
        <v>215</v>
      </c>
      <c r="T79" s="135" t="s">
        <v>12</v>
      </c>
      <c r="U79" s="136" t="s">
        <v>12</v>
      </c>
    </row>
    <row r="80" spans="2:22" ht="13.8" thickBot="1" x14ac:dyDescent="0.3">
      <c r="B80" s="568" t="s">
        <v>8</v>
      </c>
      <c r="C80" s="34">
        <f>ROUND(C79*Labor!$D$3,0)</f>
        <v>0</v>
      </c>
      <c r="D80" s="35">
        <f>ROUND(D79*Labor!$D$4,0)</f>
        <v>41</v>
      </c>
      <c r="E80" s="35">
        <f>ROUND(E79*Labor!$D$5,0)</f>
        <v>44</v>
      </c>
      <c r="F80" s="35">
        <f>ROUND(F79*Labor!$D$6,0)</f>
        <v>99</v>
      </c>
      <c r="G80" s="35">
        <f>ROUND(G79*Labor!$D$7,0)</f>
        <v>55</v>
      </c>
      <c r="H80" s="35">
        <f>ROUND(H79*Labor!$D$8,0)</f>
        <v>0</v>
      </c>
      <c r="I80" s="39">
        <f t="shared" si="15"/>
        <v>239</v>
      </c>
      <c r="J80" s="268">
        <f>HLOOKUP(Labor!$B$11,InflationTable,2)*I80</f>
        <v>322.84164182494817</v>
      </c>
      <c r="K80" s="269">
        <f>J80*$L$4</f>
        <v>13882.190598472771</v>
      </c>
      <c r="L80" s="308">
        <f t="shared" si="16"/>
        <v>13882.190598472771</v>
      </c>
      <c r="M80" s="362">
        <f>HLOOKUP(Labor!$B$11,InflationTable,3)*$I80</f>
        <v>331.65929981206023</v>
      </c>
      <c r="N80" s="63">
        <f>M80*$O$4</f>
        <v>14261.349891918589</v>
      </c>
      <c r="O80" s="95">
        <f t="shared" si="17"/>
        <v>14261.349891918589</v>
      </c>
      <c r="P80" s="268">
        <f>HLOOKUP(Labor!$B$11,InflationTable,4)*$I80</f>
        <v>335.63356430050777</v>
      </c>
      <c r="Q80" s="269">
        <f>P80*$R$4</f>
        <v>14432.243264921834</v>
      </c>
      <c r="R80" s="308">
        <f t="shared" si="18"/>
        <v>14432.243264921834</v>
      </c>
      <c r="S80" s="172">
        <f t="shared" si="19"/>
        <v>14191.92791843773</v>
      </c>
      <c r="T80" s="118" t="s">
        <v>12</v>
      </c>
      <c r="U80" s="119" t="s">
        <v>12</v>
      </c>
    </row>
    <row r="81" spans="2:21" x14ac:dyDescent="0.25">
      <c r="B81" s="559" t="s">
        <v>108</v>
      </c>
      <c r="C81" s="346">
        <v>0</v>
      </c>
      <c r="D81" s="346">
        <v>0</v>
      </c>
      <c r="E81" s="346">
        <v>3</v>
      </c>
      <c r="F81" s="346">
        <v>3</v>
      </c>
      <c r="G81" s="346">
        <v>0</v>
      </c>
      <c r="H81" s="346">
        <v>0</v>
      </c>
      <c r="I81" s="347">
        <f t="shared" si="15"/>
        <v>6</v>
      </c>
      <c r="J81" s="293" t="s">
        <v>12</v>
      </c>
      <c r="K81" s="327">
        <f>I81*$L$4</f>
        <v>258</v>
      </c>
      <c r="L81" s="328">
        <f t="shared" si="16"/>
        <v>258</v>
      </c>
      <c r="M81" s="61" t="s">
        <v>12</v>
      </c>
      <c r="N81" s="348">
        <f>$I81*$O$4</f>
        <v>258</v>
      </c>
      <c r="O81" s="349">
        <f t="shared" si="17"/>
        <v>258</v>
      </c>
      <c r="P81" s="293" t="s">
        <v>12</v>
      </c>
      <c r="Q81" s="327">
        <f>$I81*$O$4</f>
        <v>258</v>
      </c>
      <c r="R81" s="328">
        <f t="shared" si="18"/>
        <v>258</v>
      </c>
      <c r="S81" s="121">
        <f t="shared" si="19"/>
        <v>258</v>
      </c>
      <c r="T81" s="135" t="s">
        <v>12</v>
      </c>
      <c r="U81" s="136" t="s">
        <v>12</v>
      </c>
    </row>
    <row r="82" spans="2:21" ht="13.8" thickBot="1" x14ac:dyDescent="0.3">
      <c r="B82" s="568" t="s">
        <v>8</v>
      </c>
      <c r="C82" s="34">
        <f>ROUND(C81*Labor!$D$3,0)</f>
        <v>0</v>
      </c>
      <c r="D82" s="35">
        <f>ROUND(D81*Labor!$D$4,0)</f>
        <v>0</v>
      </c>
      <c r="E82" s="35">
        <f>ROUND(E81*Labor!$D$5,0)</f>
        <v>132</v>
      </c>
      <c r="F82" s="35">
        <f>ROUND(F81*Labor!$D$6,0)</f>
        <v>148</v>
      </c>
      <c r="G82" s="35">
        <f>ROUND(G81*Labor!$D$7,0)</f>
        <v>0</v>
      </c>
      <c r="H82" s="35">
        <f>ROUND(H81*Labor!$D$8,0)</f>
        <v>0</v>
      </c>
      <c r="I82" s="39">
        <f t="shared" si="15"/>
        <v>280</v>
      </c>
      <c r="J82" s="268">
        <f>HLOOKUP(Labor!$B$11,InflationTable,2)*I82</f>
        <v>378.22451761918614</v>
      </c>
      <c r="K82" s="269">
        <f>J82*$L$4</f>
        <v>16263.654257625005</v>
      </c>
      <c r="L82" s="308">
        <f t="shared" si="16"/>
        <v>16263.654257625005</v>
      </c>
      <c r="M82" s="362">
        <f>HLOOKUP(Labor!$B$11,InflationTable,3)*$I82</f>
        <v>388.5548282317024</v>
      </c>
      <c r="N82" s="63">
        <f>M82*$O$4</f>
        <v>16707.857613963202</v>
      </c>
      <c r="O82" s="95">
        <f t="shared" si="17"/>
        <v>16707.857613963202</v>
      </c>
      <c r="P82" s="268">
        <f>HLOOKUP(Labor!$B$11,InflationTable,4)*$I82</f>
        <v>393.2108703102183</v>
      </c>
      <c r="Q82" s="269">
        <f>P82*$R$4</f>
        <v>16908.067423339387</v>
      </c>
      <c r="R82" s="308">
        <f t="shared" si="18"/>
        <v>16908.067423339387</v>
      </c>
      <c r="S82" s="128">
        <f t="shared" si="19"/>
        <v>16626.526431642531</v>
      </c>
      <c r="T82" s="137" t="s">
        <v>12</v>
      </c>
      <c r="U82" s="149" t="s">
        <v>12</v>
      </c>
    </row>
    <row r="83" spans="2:21" x14ac:dyDescent="0.25">
      <c r="B83" s="565" t="s">
        <v>29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109" t="s">
        <v>112</v>
      </c>
      <c r="J83" s="351"/>
      <c r="K83" s="352"/>
      <c r="L83" s="356"/>
      <c r="M83" s="110" t="s">
        <v>113</v>
      </c>
      <c r="N83" s="108" t="s">
        <v>13</v>
      </c>
      <c r="O83" s="111" t="s">
        <v>68</v>
      </c>
      <c r="P83" s="351" t="s">
        <v>113</v>
      </c>
      <c r="Q83" s="352" t="s">
        <v>13</v>
      </c>
      <c r="R83" s="356" t="s">
        <v>68</v>
      </c>
      <c r="S83" s="123"/>
      <c r="T83" s="133"/>
      <c r="U83" s="37"/>
    </row>
    <row r="84" spans="2:21" x14ac:dyDescent="0.25">
      <c r="B84" s="569" t="s">
        <v>51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52">
        <f>SUM(C84:H84)</f>
        <v>0</v>
      </c>
      <c r="J84" s="263" t="s">
        <v>12</v>
      </c>
      <c r="K84" s="314">
        <f>I84*$J$6</f>
        <v>0</v>
      </c>
      <c r="L84" s="289">
        <f>K84</f>
        <v>0</v>
      </c>
      <c r="M84" s="58" t="s">
        <v>12</v>
      </c>
      <c r="N84" s="89">
        <f>$I84*M$6</f>
        <v>0</v>
      </c>
      <c r="O84" s="68">
        <f>N84</f>
        <v>0</v>
      </c>
      <c r="P84" s="263" t="s">
        <v>12</v>
      </c>
      <c r="Q84" s="314">
        <f>$I84*P$6</f>
        <v>0</v>
      </c>
      <c r="R84" s="289">
        <f>Q84</f>
        <v>0</v>
      </c>
      <c r="S84" s="121">
        <f>AVERAGE(L84,O84,R84)</f>
        <v>0</v>
      </c>
      <c r="T84" s="135" t="s">
        <v>12</v>
      </c>
      <c r="U84" s="136" t="s">
        <v>12</v>
      </c>
    </row>
    <row r="85" spans="2:21" ht="13.8" thickBot="1" x14ac:dyDescent="0.3">
      <c r="B85" s="567" t="s">
        <v>107</v>
      </c>
      <c r="C85" s="34">
        <f>ROUND(C84*Labor!$D$3,0)</f>
        <v>0</v>
      </c>
      <c r="D85" s="35">
        <f>ROUND(D84*Labor!$D$4,0)</f>
        <v>0</v>
      </c>
      <c r="E85" s="35">
        <f>ROUND(E84*Labor!$D$5,0)</f>
        <v>0</v>
      </c>
      <c r="F85" s="35">
        <f>ROUND(F84*Labor!$D$6,0)</f>
        <v>0</v>
      </c>
      <c r="G85" s="35">
        <f>ROUND(G84*Labor!$D$7,0)</f>
        <v>0</v>
      </c>
      <c r="H85" s="35">
        <f>ROUND(H84*Labor!$D$8,0)</f>
        <v>0</v>
      </c>
      <c r="I85" s="39">
        <f>SUM(C85:H85)</f>
        <v>0</v>
      </c>
      <c r="J85" s="268">
        <f>HLOOKUP(Labor!$B$11,InflationTable,2)*I85</f>
        <v>0</v>
      </c>
      <c r="K85" s="269">
        <f>J85*$J$6</f>
        <v>0</v>
      </c>
      <c r="L85" s="308">
        <f>K85</f>
        <v>0</v>
      </c>
      <c r="M85" s="362">
        <f>HLOOKUP(Labor!$B$11,InflationTable,3)*$I85</f>
        <v>0</v>
      </c>
      <c r="N85" s="63">
        <f>M85*$M$6</f>
        <v>0</v>
      </c>
      <c r="O85" s="95">
        <f>N85</f>
        <v>0</v>
      </c>
      <c r="P85" s="268">
        <f>HLOOKUP(Labor!$B$11,InflationTable,4)*$I85</f>
        <v>0</v>
      </c>
      <c r="Q85" s="269">
        <f>P85*$P$6</f>
        <v>0</v>
      </c>
      <c r="R85" s="308">
        <f>Q85</f>
        <v>0</v>
      </c>
      <c r="S85" s="132">
        <f>AVERAGE(L85,O85,R85)</f>
        <v>0</v>
      </c>
      <c r="T85" s="137" t="s">
        <v>12</v>
      </c>
      <c r="U85" s="149" t="s">
        <v>12</v>
      </c>
    </row>
    <row r="86" spans="2:21" x14ac:dyDescent="0.25">
      <c r="B86" s="565" t="s">
        <v>106</v>
      </c>
      <c r="C86" s="32"/>
      <c r="D86" s="431" t="s">
        <v>54</v>
      </c>
      <c r="E86" s="28">
        <v>5</v>
      </c>
      <c r="F86" s="7"/>
      <c r="G86" s="5"/>
      <c r="H86" s="5"/>
      <c r="I86" s="109" t="s">
        <v>55</v>
      </c>
      <c r="J86" s="259"/>
      <c r="K86" s="542"/>
      <c r="L86" s="543"/>
      <c r="M86" s="364" t="s">
        <v>55</v>
      </c>
      <c r="N86" s="1434" t="s">
        <v>57</v>
      </c>
      <c r="O86" s="1435"/>
      <c r="P86" s="259" t="s">
        <v>55</v>
      </c>
      <c r="Q86" s="1431" t="s">
        <v>57</v>
      </c>
      <c r="R86" s="1439"/>
      <c r="S86" s="170"/>
      <c r="T86" s="133"/>
      <c r="U86" s="37"/>
    </row>
    <row r="87" spans="2:21" x14ac:dyDescent="0.25">
      <c r="B87" s="569" t="s">
        <v>51</v>
      </c>
      <c r="C87" s="21">
        <v>0</v>
      </c>
      <c r="D87" s="21">
        <v>0</v>
      </c>
      <c r="E87" s="21">
        <v>5</v>
      </c>
      <c r="F87" s="21">
        <v>5</v>
      </c>
      <c r="G87" s="21">
        <v>5</v>
      </c>
      <c r="H87" s="21">
        <v>0</v>
      </c>
      <c r="I87" s="52">
        <f>SUM(C87:H87)</f>
        <v>15</v>
      </c>
      <c r="J87" s="263" t="s">
        <v>12</v>
      </c>
      <c r="K87" s="283">
        <f>I87*$J$6</f>
        <v>585</v>
      </c>
      <c r="L87" s="282">
        <f>K87/$E$86</f>
        <v>117</v>
      </c>
      <c r="M87" s="58" t="s">
        <v>12</v>
      </c>
      <c r="N87" s="60">
        <f>$I$87*$M$6</f>
        <v>585</v>
      </c>
      <c r="O87" s="59">
        <f>N87/$E$86</f>
        <v>117</v>
      </c>
      <c r="P87" s="263" t="s">
        <v>12</v>
      </c>
      <c r="Q87" s="283">
        <f>$I$87*$P$6</f>
        <v>585</v>
      </c>
      <c r="R87" s="282">
        <f>Q87/$E$86</f>
        <v>117</v>
      </c>
      <c r="S87" s="121">
        <f>AVERAGE(L87,O87,R87)</f>
        <v>117</v>
      </c>
      <c r="T87" s="135" t="s">
        <v>12</v>
      </c>
      <c r="U87" s="136" t="s">
        <v>12</v>
      </c>
    </row>
    <row r="88" spans="2:21" ht="13.8" thickBot="1" x14ac:dyDescent="0.3">
      <c r="B88" s="567" t="s">
        <v>105</v>
      </c>
      <c r="C88" s="34">
        <f>ROUND(C87*Labor!$D$3,0)</f>
        <v>0</v>
      </c>
      <c r="D88" s="35">
        <f>ROUND(D87*Labor!$D$4,0)</f>
        <v>0</v>
      </c>
      <c r="E88" s="35">
        <f>ROUND(E87*Labor!$D$5,0)</f>
        <v>221</v>
      </c>
      <c r="F88" s="35">
        <f>ROUND(F87*Labor!$D$6,0)</f>
        <v>246</v>
      </c>
      <c r="G88" s="35">
        <f>ROUND(G87*Labor!$D$7,0)</f>
        <v>277</v>
      </c>
      <c r="H88" s="35">
        <f>ROUND(H87*Labor!$D$8,0)</f>
        <v>0</v>
      </c>
      <c r="I88" s="39">
        <f>SUM(C88:H88)</f>
        <v>744</v>
      </c>
      <c r="J88" s="268">
        <f>HLOOKUP(Labor!$B$11,InflationTable,2)*I88</f>
        <v>1004.9965753881231</v>
      </c>
      <c r="K88" s="269">
        <f>J88*$J$6</f>
        <v>39194.866440136801</v>
      </c>
      <c r="L88" s="270">
        <f>K88/$E$86</f>
        <v>7838.9732880273605</v>
      </c>
      <c r="M88" s="91">
        <f>HLOOKUP(Labor!$B$11,InflationTable,3)*$I88</f>
        <v>1032.4456864442377</v>
      </c>
      <c r="N88" s="63">
        <f>M88*$M$6</f>
        <v>40265.381771325272</v>
      </c>
      <c r="O88" s="64">
        <f>N88/$E$86</f>
        <v>8053.0763542650548</v>
      </c>
      <c r="P88" s="292">
        <f>HLOOKUP(Labor!$B$11,InflationTable,4)*$I88</f>
        <v>1044.8174553957228</v>
      </c>
      <c r="Q88" s="269">
        <f>P88*$P$6</f>
        <v>40747.880760433189</v>
      </c>
      <c r="R88" s="270">
        <f>Q88/$E$86</f>
        <v>8149.5761520866381</v>
      </c>
      <c r="S88" s="128">
        <f>AVERAGE(L88,O88,R88)</f>
        <v>8013.8752647930187</v>
      </c>
      <c r="T88" s="137" t="s">
        <v>12</v>
      </c>
      <c r="U88" s="149" t="s">
        <v>12</v>
      </c>
    </row>
    <row r="89" spans="2:21" x14ac:dyDescent="0.25">
      <c r="B89" s="560" t="s">
        <v>66</v>
      </c>
      <c r="C89" s="42">
        <f t="shared" ref="C89:I90" si="20">C72+C74+C77+C79+C81+C84+C87</f>
        <v>0</v>
      </c>
      <c r="D89" s="42">
        <f t="shared" si="20"/>
        <v>25</v>
      </c>
      <c r="E89" s="42">
        <f t="shared" si="20"/>
        <v>69</v>
      </c>
      <c r="F89" s="42">
        <f t="shared" si="20"/>
        <v>48</v>
      </c>
      <c r="G89" s="42">
        <f t="shared" si="20"/>
        <v>8</v>
      </c>
      <c r="H89" s="42">
        <f t="shared" si="20"/>
        <v>0</v>
      </c>
      <c r="I89" s="53">
        <f t="shared" si="20"/>
        <v>150</v>
      </c>
      <c r="J89" s="293" t="s">
        <v>12</v>
      </c>
      <c r="K89" s="315" t="s">
        <v>12</v>
      </c>
      <c r="L89" s="316">
        <f>L87+K84+K81+K79+K77+K74+K72</f>
        <v>5922</v>
      </c>
      <c r="M89" s="92" t="s">
        <v>12</v>
      </c>
      <c r="N89" s="42" t="s">
        <v>12</v>
      </c>
      <c r="O89" s="90">
        <f>O87+N84+N81+N79+N77+N74+N72</f>
        <v>5922</v>
      </c>
      <c r="P89" s="293" t="s">
        <v>12</v>
      </c>
      <c r="Q89" s="315" t="s">
        <v>12</v>
      </c>
      <c r="R89" s="316">
        <f>R87+Q84+Q81+Q79+Q77+Q74+Q72</f>
        <v>5922</v>
      </c>
      <c r="S89" s="150">
        <f>AVERAGE(L89,O89,R89)</f>
        <v>5922</v>
      </c>
      <c r="T89" s="133"/>
      <c r="U89" s="37"/>
    </row>
    <row r="90" spans="2:21" ht="13.8" thickBot="1" x14ac:dyDescent="0.3">
      <c r="B90" s="561" t="s">
        <v>67</v>
      </c>
      <c r="C90" s="240">
        <f t="shared" si="20"/>
        <v>0</v>
      </c>
      <c r="D90" s="240">
        <f t="shared" si="20"/>
        <v>1022</v>
      </c>
      <c r="E90" s="240">
        <f t="shared" si="20"/>
        <v>3044</v>
      </c>
      <c r="F90" s="240">
        <f t="shared" si="20"/>
        <v>2365</v>
      </c>
      <c r="G90" s="240">
        <f t="shared" si="20"/>
        <v>443</v>
      </c>
      <c r="H90" s="240">
        <f t="shared" si="20"/>
        <v>0</v>
      </c>
      <c r="I90" s="243">
        <f t="shared" si="20"/>
        <v>6874</v>
      </c>
      <c r="J90" s="274">
        <f>J73+J75+J78+J80+J82+J85+J88</f>
        <v>9285.4119075510189</v>
      </c>
      <c r="K90" s="317" t="s">
        <v>12</v>
      </c>
      <c r="L90" s="306">
        <f>L88+K85+K82+K80+K78+K75+K73</f>
        <v>363896.83257103187</v>
      </c>
      <c r="M90" s="242">
        <f>M73+M75+M78+M80+M82+M85+M88</f>
        <v>9539.0210330882946</v>
      </c>
      <c r="N90" s="256" t="s">
        <v>12</v>
      </c>
      <c r="O90" s="254">
        <f>O88+N85+N82+N80+N78+N75+N73</f>
        <v>373835.81625995948</v>
      </c>
      <c r="P90" s="274">
        <f>P73+P75+P78+P80+P82+P85+P88</f>
        <v>9653.32686611586</v>
      </c>
      <c r="Q90" s="317" t="s">
        <v>12</v>
      </c>
      <c r="R90" s="306">
        <f>R88+Q85+Q82+Q80+Q78+Q75+Q73</f>
        <v>378315.48081305245</v>
      </c>
      <c r="S90" s="248">
        <f>AVERAGE(L90,O90,R90)</f>
        <v>372016.04321468127</v>
      </c>
      <c r="T90" s="246"/>
      <c r="U90" s="236"/>
    </row>
    <row r="91" spans="2:21" ht="14.4" thickTop="1" thickBot="1" x14ac:dyDescent="0.3">
      <c r="B91" s="619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618"/>
      <c r="U91" s="620"/>
    </row>
    <row r="92" spans="2:21" ht="16.2" thickTop="1" x14ac:dyDescent="0.3">
      <c r="B92" s="649" t="s">
        <v>30</v>
      </c>
      <c r="C92" s="5"/>
      <c r="D92" s="5"/>
      <c r="E92" s="5"/>
      <c r="F92" s="112" t="s">
        <v>6</v>
      </c>
      <c r="G92" s="1415"/>
      <c r="H92" s="1416"/>
      <c r="I92" s="1417"/>
      <c r="J92" s="181" t="s">
        <v>30</v>
      </c>
      <c r="K92" s="426"/>
      <c r="L92" s="67"/>
      <c r="M92" s="181" t="s">
        <v>30</v>
      </c>
      <c r="N92" s="426"/>
      <c r="O92" s="67"/>
      <c r="P92" s="181" t="s">
        <v>30</v>
      </c>
      <c r="Q92" s="319"/>
      <c r="R92" s="180"/>
      <c r="S92" s="225"/>
      <c r="T92" s="133"/>
      <c r="U92" s="37"/>
    </row>
    <row r="93" spans="2:21" x14ac:dyDescent="0.25">
      <c r="B93" s="555"/>
      <c r="C93" s="5"/>
      <c r="D93" s="5"/>
      <c r="E93" s="5"/>
      <c r="F93" s="7"/>
      <c r="G93" s="5"/>
      <c r="H93" s="5"/>
      <c r="I93" s="45" t="s">
        <v>61</v>
      </c>
      <c r="J93" s="277" t="s">
        <v>61</v>
      </c>
      <c r="K93" s="1422" t="s">
        <v>57</v>
      </c>
      <c r="L93" s="1423"/>
      <c r="M93" s="57" t="s">
        <v>61</v>
      </c>
      <c r="N93" s="1432" t="s">
        <v>57</v>
      </c>
      <c r="O93" s="1436"/>
      <c r="P93" s="318" t="s">
        <v>61</v>
      </c>
      <c r="Q93" s="1431" t="s">
        <v>57</v>
      </c>
      <c r="R93" s="1439"/>
      <c r="S93" s="131"/>
      <c r="T93" s="133"/>
      <c r="U93" s="37"/>
    </row>
    <row r="94" spans="2:21" x14ac:dyDescent="0.25">
      <c r="B94" s="563" t="s">
        <v>21</v>
      </c>
      <c r="C94" s="23" t="s">
        <v>45</v>
      </c>
      <c r="D94" s="24" t="s">
        <v>46</v>
      </c>
      <c r="E94" s="23" t="s">
        <v>47</v>
      </c>
      <c r="F94" s="23" t="s">
        <v>48</v>
      </c>
      <c r="G94" s="23" t="s">
        <v>49</v>
      </c>
      <c r="H94" s="23" t="s">
        <v>50</v>
      </c>
      <c r="I94" s="45" t="s">
        <v>13</v>
      </c>
      <c r="J94" s="260" t="s">
        <v>56</v>
      </c>
      <c r="K94" s="261" t="s">
        <v>13</v>
      </c>
      <c r="L94" s="262" t="s">
        <v>68</v>
      </c>
      <c r="M94" s="77" t="s">
        <v>56</v>
      </c>
      <c r="N94" s="24" t="s">
        <v>13</v>
      </c>
      <c r="O94" s="38" t="s">
        <v>68</v>
      </c>
      <c r="P94" s="260" t="s">
        <v>56</v>
      </c>
      <c r="Q94" s="261" t="s">
        <v>13</v>
      </c>
      <c r="R94" s="262" t="s">
        <v>68</v>
      </c>
      <c r="S94" s="123"/>
      <c r="T94" s="133"/>
      <c r="U94" s="37"/>
    </row>
    <row r="95" spans="2:21" x14ac:dyDescent="0.25">
      <c r="B95" s="566" t="s">
        <v>4</v>
      </c>
      <c r="C95" s="21">
        <v>0</v>
      </c>
      <c r="D95" s="21">
        <v>0</v>
      </c>
      <c r="E95" s="21">
        <v>0</v>
      </c>
      <c r="F95" s="21">
        <v>0</v>
      </c>
      <c r="G95" s="21">
        <v>8</v>
      </c>
      <c r="H95" s="21">
        <v>4</v>
      </c>
      <c r="I95" s="52">
        <f>SUM(C95:H95)</f>
        <v>12</v>
      </c>
      <c r="J95" s="263" t="s">
        <v>12</v>
      </c>
      <c r="K95" s="281">
        <f>I95*(L$5+L$4)</f>
        <v>516</v>
      </c>
      <c r="L95" s="289">
        <f>K95</f>
        <v>516</v>
      </c>
      <c r="M95" s="58" t="s">
        <v>12</v>
      </c>
      <c r="N95" s="69">
        <f>I95*(O$5+O$4)</f>
        <v>516</v>
      </c>
      <c r="O95" s="59">
        <f>N95</f>
        <v>516</v>
      </c>
      <c r="P95" s="263" t="s">
        <v>12</v>
      </c>
      <c r="Q95" s="281">
        <f>$I95*(R$5+R$4)</f>
        <v>516</v>
      </c>
      <c r="R95" s="289">
        <f>Q95</f>
        <v>516</v>
      </c>
      <c r="S95" s="173">
        <f t="shared" ref="S95:S100" si="21">AVERAGE(L95,O95,R95)</f>
        <v>516</v>
      </c>
      <c r="T95" s="135" t="s">
        <v>12</v>
      </c>
      <c r="U95" s="136" t="s">
        <v>12</v>
      </c>
    </row>
    <row r="96" spans="2:21" ht="13.8" thickBot="1" x14ac:dyDescent="0.3">
      <c r="B96" s="567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0</v>
      </c>
      <c r="G96" s="35">
        <f>ROUND(G95*Labor!$D$7,0)</f>
        <v>444</v>
      </c>
      <c r="H96" s="35">
        <f>ROUND(H95*Labor!$D$8,0)</f>
        <v>234</v>
      </c>
      <c r="I96" s="39">
        <f>SUM(C96:H96)</f>
        <v>678</v>
      </c>
      <c r="J96" s="268">
        <f>HLOOKUP(Labor!$B$11,InflationTable,2)*I96</f>
        <v>915.84365337788643</v>
      </c>
      <c r="K96" s="355">
        <f>J96*(L$4+L$5)</f>
        <v>39381.277095249119</v>
      </c>
      <c r="L96" s="308">
        <f>K96</f>
        <v>39381.277095249119</v>
      </c>
      <c r="M96" s="84">
        <f>HLOOKUP(Labor!$B$11,InflationTable,3)*$I96</f>
        <v>940.85776264676508</v>
      </c>
      <c r="N96" s="357">
        <f>M96*(O$4+O$5)</f>
        <v>40456.883793810899</v>
      </c>
      <c r="O96" s="64">
        <f>N96</f>
        <v>40456.883793810899</v>
      </c>
      <c r="P96" s="268">
        <f>HLOOKUP(Labor!$B$11,InflationTable,4)*$I96</f>
        <v>952.13203596545713</v>
      </c>
      <c r="Q96" s="355">
        <f>P96*(R$4+R$5)</f>
        <v>40941.677546514657</v>
      </c>
      <c r="R96" s="308">
        <f>Q96</f>
        <v>40941.677546514657</v>
      </c>
      <c r="S96" s="171">
        <f t="shared" si="21"/>
        <v>40259.946145191556</v>
      </c>
      <c r="T96" s="137" t="s">
        <v>12</v>
      </c>
      <c r="U96" s="149" t="s">
        <v>12</v>
      </c>
    </row>
    <row r="97" spans="2:22" x14ac:dyDescent="0.25">
      <c r="B97" s="559" t="s">
        <v>104</v>
      </c>
      <c r="C97" s="346">
        <v>0</v>
      </c>
      <c r="D97" s="346">
        <v>0</v>
      </c>
      <c r="E97" s="346">
        <v>16</v>
      </c>
      <c r="F97" s="346">
        <v>8</v>
      </c>
      <c r="G97" s="346">
        <v>4</v>
      </c>
      <c r="H97" s="346">
        <v>2</v>
      </c>
      <c r="I97" s="347">
        <f>SUM(C97:H97)</f>
        <v>30</v>
      </c>
      <c r="J97" s="293" t="s">
        <v>12</v>
      </c>
      <c r="K97" s="281">
        <f>I97*(L$5+L$4)</f>
        <v>1290</v>
      </c>
      <c r="L97" s="328">
        <f>K97</f>
        <v>1290</v>
      </c>
      <c r="M97" s="61" t="s">
        <v>12</v>
      </c>
      <c r="N97" s="69">
        <f>I97*(O$5+O$4)</f>
        <v>1290</v>
      </c>
      <c r="O97" s="349">
        <f>N97</f>
        <v>1290</v>
      </c>
      <c r="P97" s="293" t="s">
        <v>12</v>
      </c>
      <c r="Q97" s="281">
        <f>$I97*(R$5+R$4)</f>
        <v>1290</v>
      </c>
      <c r="R97" s="328">
        <f>Q97</f>
        <v>1290</v>
      </c>
      <c r="S97" s="173">
        <f t="shared" si="21"/>
        <v>1290</v>
      </c>
      <c r="T97" s="135" t="s">
        <v>12</v>
      </c>
      <c r="U97" s="136" t="s">
        <v>12</v>
      </c>
    </row>
    <row r="98" spans="2:22" ht="13.8" thickBot="1" x14ac:dyDescent="0.3">
      <c r="B98" s="568" t="s">
        <v>8</v>
      </c>
      <c r="C98" s="34">
        <f>ROUND(C97*Labor!$D$3,0)</f>
        <v>0</v>
      </c>
      <c r="D98" s="35">
        <f>ROUND(D97*Labor!$D$4,0)</f>
        <v>0</v>
      </c>
      <c r="E98" s="35">
        <f>ROUND(E97*Labor!$D$5,0)</f>
        <v>706</v>
      </c>
      <c r="F98" s="35">
        <f>ROUND(F97*Labor!$D$6,0)</f>
        <v>394</v>
      </c>
      <c r="G98" s="35">
        <f>ROUND(G97*Labor!$D$7,0)</f>
        <v>222</v>
      </c>
      <c r="H98" s="35">
        <f>ROUND(H97*Labor!$D$8,0)</f>
        <v>117</v>
      </c>
      <c r="I98" s="39">
        <f>SUM(C98:H98)</f>
        <v>1439</v>
      </c>
      <c r="J98" s="268">
        <f>HLOOKUP(Labor!$B$11,InflationTable,2)*I98</f>
        <v>1943.8038601928888</v>
      </c>
      <c r="K98" s="355">
        <f>J98*(L$4+L$5)</f>
        <v>83583.565988294213</v>
      </c>
      <c r="L98" s="300">
        <f>K98</f>
        <v>83583.565988294213</v>
      </c>
      <c r="M98" s="84">
        <f>HLOOKUP(Labor!$B$11,InflationTable,3)*$I98</f>
        <v>1996.8942779479275</v>
      </c>
      <c r="N98" s="357">
        <f>M98*(O$4+O$5)</f>
        <v>85866.453951760879</v>
      </c>
      <c r="O98" s="64">
        <f>N98</f>
        <v>85866.453951760879</v>
      </c>
      <c r="P98" s="292">
        <f>HLOOKUP(Labor!$B$11,InflationTable,4)*$I98</f>
        <v>2020.8230084871575</v>
      </c>
      <c r="Q98" s="355">
        <f>P98*(R$4+R$5)</f>
        <v>86895.389364947769</v>
      </c>
      <c r="R98" s="300">
        <f>Q98</f>
        <v>86895.389364947769</v>
      </c>
      <c r="S98" s="128">
        <f t="shared" si="21"/>
        <v>85448.469768334282</v>
      </c>
      <c r="T98" s="137" t="s">
        <v>12</v>
      </c>
      <c r="U98" s="149" t="s">
        <v>12</v>
      </c>
    </row>
    <row r="99" spans="2:22" x14ac:dyDescent="0.25">
      <c r="B99" s="560" t="s">
        <v>66</v>
      </c>
      <c r="C99" s="36">
        <f t="shared" ref="C99:I100" si="22">C95+C97</f>
        <v>0</v>
      </c>
      <c r="D99" s="36">
        <f t="shared" si="22"/>
        <v>0</v>
      </c>
      <c r="E99" s="36">
        <f t="shared" si="22"/>
        <v>16</v>
      </c>
      <c r="F99" s="36">
        <f t="shared" si="22"/>
        <v>8</v>
      </c>
      <c r="G99" s="36">
        <f t="shared" si="22"/>
        <v>12</v>
      </c>
      <c r="H99" s="36">
        <f t="shared" si="22"/>
        <v>6</v>
      </c>
      <c r="I99" s="46">
        <f t="shared" si="22"/>
        <v>42</v>
      </c>
      <c r="J99" s="301" t="s">
        <v>12</v>
      </c>
      <c r="K99" s="320">
        <f>K95+K97</f>
        <v>1806</v>
      </c>
      <c r="L99" s="321">
        <f>L95+L97</f>
        <v>1806</v>
      </c>
      <c r="M99" s="85" t="s">
        <v>12</v>
      </c>
      <c r="N99" s="36">
        <f>N95+N97</f>
        <v>1806</v>
      </c>
      <c r="O99" s="100">
        <f>O95+O97</f>
        <v>1806</v>
      </c>
      <c r="P99" s="301" t="s">
        <v>12</v>
      </c>
      <c r="Q99" s="320">
        <f>Q95+Q97</f>
        <v>1806</v>
      </c>
      <c r="R99" s="322">
        <f>R95+R97</f>
        <v>1806</v>
      </c>
      <c r="S99" s="121">
        <f t="shared" si="21"/>
        <v>1806</v>
      </c>
      <c r="T99" s="135" t="s">
        <v>12</v>
      </c>
      <c r="U99" s="136" t="s">
        <v>12</v>
      </c>
    </row>
    <row r="100" spans="2:22" ht="13.8" thickBot="1" x14ac:dyDescent="0.3">
      <c r="B100" s="561" t="s">
        <v>67</v>
      </c>
      <c r="C100" s="240">
        <f t="shared" si="22"/>
        <v>0</v>
      </c>
      <c r="D100" s="240">
        <f t="shared" si="22"/>
        <v>0</v>
      </c>
      <c r="E100" s="240">
        <f t="shared" si="22"/>
        <v>706</v>
      </c>
      <c r="F100" s="240">
        <f t="shared" si="22"/>
        <v>394</v>
      </c>
      <c r="G100" s="240">
        <f t="shared" si="22"/>
        <v>666</v>
      </c>
      <c r="H100" s="240">
        <f t="shared" si="22"/>
        <v>351</v>
      </c>
      <c r="I100" s="243">
        <f t="shared" si="22"/>
        <v>2117</v>
      </c>
      <c r="J100" s="274">
        <f>J96+J98</f>
        <v>2859.6475135707751</v>
      </c>
      <c r="K100" s="275">
        <f>K96+K98</f>
        <v>122964.84308354332</v>
      </c>
      <c r="L100" s="276">
        <f>L96+L98</f>
        <v>122964.84308354332</v>
      </c>
      <c r="M100" s="242">
        <f>M96+M98</f>
        <v>2937.7520405946925</v>
      </c>
      <c r="N100" s="240">
        <f>N96+N98</f>
        <v>126323.33774557177</v>
      </c>
      <c r="O100" s="243">
        <f>O96+O98</f>
        <v>126323.33774557177</v>
      </c>
      <c r="P100" s="313">
        <f>P96+P98</f>
        <v>2972.9550444526149</v>
      </c>
      <c r="Q100" s="275">
        <f>Q96+Q98</f>
        <v>127837.06691146243</v>
      </c>
      <c r="R100" s="276">
        <f>R96+R98</f>
        <v>127837.06691146243</v>
      </c>
      <c r="S100" s="257">
        <f t="shared" si="21"/>
        <v>125708.41591352585</v>
      </c>
      <c r="T100" s="258" t="s">
        <v>12</v>
      </c>
      <c r="U100" s="249" t="s">
        <v>12</v>
      </c>
    </row>
    <row r="101" spans="2:22" ht="14.4" thickTop="1" thickBot="1" x14ac:dyDescent="0.3">
      <c r="B101" s="555"/>
      <c r="C101" s="5"/>
      <c r="D101" s="618"/>
      <c r="E101" s="618"/>
      <c r="F101" s="618"/>
      <c r="G101" s="618"/>
      <c r="H101" s="618"/>
      <c r="I101" s="618"/>
      <c r="J101" s="618"/>
      <c r="K101" s="618"/>
      <c r="L101" s="618"/>
      <c r="M101" s="618"/>
      <c r="N101" s="618"/>
      <c r="O101" s="618"/>
      <c r="P101" s="618"/>
      <c r="Q101" s="618"/>
      <c r="R101" s="618"/>
      <c r="S101" s="618"/>
      <c r="T101" s="618"/>
      <c r="U101" s="620"/>
    </row>
    <row r="102" spans="2:22" ht="18.600000000000001" thickTop="1" thickBot="1" x14ac:dyDescent="0.35">
      <c r="B102" s="556" t="s">
        <v>121</v>
      </c>
      <c r="C102" s="234" t="str">
        <f>C2</f>
        <v>PAMSNOx</v>
      </c>
      <c r="D102" s="5"/>
      <c r="E102" s="4"/>
      <c r="F102" s="12"/>
      <c r="G102" s="4"/>
      <c r="H102" s="4"/>
      <c r="I102" s="41"/>
      <c r="J102" s="233" t="str">
        <f>J2</f>
        <v>Year 1</v>
      </c>
      <c r="K102" s="233">
        <f>K2</f>
        <v>2019</v>
      </c>
      <c r="L102" s="83"/>
      <c r="M102" s="79" t="str">
        <f>M2</f>
        <v>Year 2</v>
      </c>
      <c r="N102" s="79">
        <f>N2</f>
        <v>2020</v>
      </c>
      <c r="O102" s="41"/>
      <c r="P102" s="233" t="str">
        <f>P2</f>
        <v>Year 3</v>
      </c>
      <c r="Q102" s="233">
        <f>Q2</f>
        <v>2021</v>
      </c>
      <c r="R102" s="83"/>
      <c r="S102" s="152"/>
      <c r="T102" s="130"/>
      <c r="U102" s="570"/>
    </row>
    <row r="103" spans="2:22" ht="13.8" thickBot="1" x14ac:dyDescent="0.3">
      <c r="B103" s="555"/>
      <c r="C103" s="194" t="s">
        <v>45</v>
      </c>
      <c r="D103" s="190" t="s">
        <v>46</v>
      </c>
      <c r="E103" s="187" t="s">
        <v>47</v>
      </c>
      <c r="F103" s="202" t="s">
        <v>48</v>
      </c>
      <c r="G103" s="201" t="s">
        <v>49</v>
      </c>
      <c r="H103" s="187" t="s">
        <v>50</v>
      </c>
      <c r="I103" s="188" t="s">
        <v>13</v>
      </c>
      <c r="J103" s="323" t="s">
        <v>56</v>
      </c>
      <c r="K103" s="324" t="s">
        <v>13</v>
      </c>
      <c r="L103" s="325" t="s">
        <v>68</v>
      </c>
      <c r="M103" s="189" t="s">
        <v>56</v>
      </c>
      <c r="N103" s="190" t="s">
        <v>13</v>
      </c>
      <c r="O103" s="191" t="s">
        <v>68</v>
      </c>
      <c r="P103" s="323" t="s">
        <v>56</v>
      </c>
      <c r="Q103" s="324" t="s">
        <v>13</v>
      </c>
      <c r="R103" s="325" t="s">
        <v>68</v>
      </c>
      <c r="S103" s="192"/>
      <c r="T103" s="193"/>
      <c r="U103" s="571"/>
      <c r="V103" s="5"/>
    </row>
    <row r="104" spans="2:22" x14ac:dyDescent="0.25">
      <c r="B104" s="572" t="s">
        <v>97</v>
      </c>
      <c r="C104" s="196">
        <f t="shared" ref="C104:S104" si="23">C16</f>
        <v>0</v>
      </c>
      <c r="D104" s="184">
        <f t="shared" si="23"/>
        <v>0</v>
      </c>
      <c r="E104" s="184">
        <f t="shared" si="23"/>
        <v>0</v>
      </c>
      <c r="F104" s="184">
        <f t="shared" si="23"/>
        <v>0</v>
      </c>
      <c r="G104" s="184">
        <f t="shared" si="23"/>
        <v>0</v>
      </c>
      <c r="H104" s="184">
        <f t="shared" si="23"/>
        <v>0</v>
      </c>
      <c r="I104" s="185">
        <f t="shared" si="23"/>
        <v>0</v>
      </c>
      <c r="J104" s="326" t="str">
        <f t="shared" si="23"/>
        <v>NA</v>
      </c>
      <c r="K104" s="327">
        <f t="shared" si="23"/>
        <v>0</v>
      </c>
      <c r="L104" s="328">
        <f t="shared" si="23"/>
        <v>0</v>
      </c>
      <c r="M104" s="186" t="str">
        <f t="shared" si="23"/>
        <v>NA</v>
      </c>
      <c r="N104" s="184">
        <f t="shared" si="23"/>
        <v>0</v>
      </c>
      <c r="O104" s="185">
        <f t="shared" si="23"/>
        <v>0</v>
      </c>
      <c r="P104" s="326" t="str">
        <f t="shared" si="23"/>
        <v>NA</v>
      </c>
      <c r="Q104" s="327">
        <f t="shared" si="23"/>
        <v>0</v>
      </c>
      <c r="R104" s="328">
        <f t="shared" si="23"/>
        <v>0</v>
      </c>
      <c r="S104" s="185">
        <f t="shared" si="23"/>
        <v>0</v>
      </c>
      <c r="T104" s="37"/>
      <c r="U104" s="138"/>
    </row>
    <row r="105" spans="2:22" ht="13.8" thickBot="1" x14ac:dyDescent="0.3">
      <c r="B105" s="573" t="s">
        <v>76</v>
      </c>
      <c r="C105" s="203">
        <f t="shared" ref="C105:S105" si="24">C17</f>
        <v>0</v>
      </c>
      <c r="D105" s="204">
        <f t="shared" si="24"/>
        <v>0</v>
      </c>
      <c r="E105" s="204">
        <f t="shared" si="24"/>
        <v>0</v>
      </c>
      <c r="F105" s="204">
        <f t="shared" si="24"/>
        <v>0</v>
      </c>
      <c r="G105" s="204">
        <f t="shared" si="24"/>
        <v>0</v>
      </c>
      <c r="H105" s="204">
        <f t="shared" si="24"/>
        <v>0</v>
      </c>
      <c r="I105" s="205">
        <f t="shared" si="24"/>
        <v>0</v>
      </c>
      <c r="J105" s="329">
        <f t="shared" si="24"/>
        <v>0</v>
      </c>
      <c r="K105" s="330">
        <f t="shared" si="24"/>
        <v>0</v>
      </c>
      <c r="L105" s="331">
        <f t="shared" si="24"/>
        <v>0</v>
      </c>
      <c r="M105" s="203">
        <f t="shared" si="24"/>
        <v>0</v>
      </c>
      <c r="N105" s="204">
        <f t="shared" si="24"/>
        <v>0</v>
      </c>
      <c r="O105" s="205">
        <f t="shared" si="24"/>
        <v>0</v>
      </c>
      <c r="P105" s="329">
        <f t="shared" si="24"/>
        <v>0</v>
      </c>
      <c r="Q105" s="330">
        <f t="shared" si="24"/>
        <v>0</v>
      </c>
      <c r="R105" s="331">
        <f t="shared" si="24"/>
        <v>0</v>
      </c>
      <c r="S105" s="205">
        <f t="shared" si="24"/>
        <v>0</v>
      </c>
      <c r="T105" s="206" t="str">
        <f>T17</f>
        <v>NA</v>
      </c>
      <c r="U105" s="392" t="s">
        <v>12</v>
      </c>
    </row>
    <row r="106" spans="2:22" x14ac:dyDescent="0.25">
      <c r="B106" s="574" t="s">
        <v>98</v>
      </c>
      <c r="C106" s="196">
        <f t="shared" ref="C106:S106" si="25">C29</f>
        <v>0</v>
      </c>
      <c r="D106" s="184">
        <f t="shared" si="25"/>
        <v>0</v>
      </c>
      <c r="E106" s="184">
        <f t="shared" si="25"/>
        <v>0</v>
      </c>
      <c r="F106" s="184">
        <f t="shared" si="25"/>
        <v>0</v>
      </c>
      <c r="G106" s="184">
        <f t="shared" si="25"/>
        <v>0</v>
      </c>
      <c r="H106" s="184">
        <f t="shared" si="25"/>
        <v>0</v>
      </c>
      <c r="I106" s="185">
        <f t="shared" si="25"/>
        <v>0</v>
      </c>
      <c r="J106" s="326" t="str">
        <f t="shared" si="25"/>
        <v>NA</v>
      </c>
      <c r="K106" s="327">
        <f t="shared" si="25"/>
        <v>0</v>
      </c>
      <c r="L106" s="328">
        <f t="shared" si="25"/>
        <v>0</v>
      </c>
      <c r="M106" s="186" t="str">
        <f t="shared" si="25"/>
        <v>NA</v>
      </c>
      <c r="N106" s="184">
        <f t="shared" si="25"/>
        <v>0</v>
      </c>
      <c r="O106" s="185">
        <f t="shared" si="25"/>
        <v>0</v>
      </c>
      <c r="P106" s="326" t="str">
        <f t="shared" si="25"/>
        <v>NA</v>
      </c>
      <c r="Q106" s="327">
        <f t="shared" si="25"/>
        <v>0</v>
      </c>
      <c r="R106" s="328">
        <f t="shared" si="25"/>
        <v>0</v>
      </c>
      <c r="S106" s="185">
        <f t="shared" si="25"/>
        <v>0</v>
      </c>
      <c r="T106" s="37"/>
      <c r="U106" s="138"/>
    </row>
    <row r="107" spans="2:22" ht="13.8" thickBot="1" x14ac:dyDescent="0.3">
      <c r="B107" s="573" t="s">
        <v>76</v>
      </c>
      <c r="C107" s="207">
        <f t="shared" ref="C107:S107" si="26">C30</f>
        <v>0</v>
      </c>
      <c r="D107" s="208">
        <f t="shared" si="26"/>
        <v>0</v>
      </c>
      <c r="E107" s="208">
        <f t="shared" si="26"/>
        <v>0</v>
      </c>
      <c r="F107" s="208">
        <f t="shared" si="26"/>
        <v>0</v>
      </c>
      <c r="G107" s="208">
        <f t="shared" si="26"/>
        <v>0</v>
      </c>
      <c r="H107" s="208">
        <f t="shared" si="26"/>
        <v>0</v>
      </c>
      <c r="I107" s="209">
        <f t="shared" si="26"/>
        <v>0</v>
      </c>
      <c r="J107" s="332">
        <f t="shared" si="26"/>
        <v>0</v>
      </c>
      <c r="K107" s="296">
        <f t="shared" si="26"/>
        <v>0</v>
      </c>
      <c r="L107" s="297">
        <f t="shared" si="26"/>
        <v>238146.36591522326</v>
      </c>
      <c r="M107" s="207">
        <f t="shared" si="26"/>
        <v>0</v>
      </c>
      <c r="N107" s="208">
        <f t="shared" si="26"/>
        <v>0</v>
      </c>
      <c r="O107" s="209">
        <f t="shared" si="26"/>
        <v>244650.77220446119</v>
      </c>
      <c r="P107" s="332">
        <f t="shared" si="26"/>
        <v>0</v>
      </c>
      <c r="Q107" s="296">
        <f t="shared" si="26"/>
        <v>0</v>
      </c>
      <c r="R107" s="297">
        <f t="shared" si="26"/>
        <v>247582.41584175528</v>
      </c>
      <c r="S107" s="209">
        <f t="shared" si="26"/>
        <v>0</v>
      </c>
      <c r="T107" s="210" t="str">
        <f>T30</f>
        <v>NA</v>
      </c>
      <c r="U107" s="575">
        <f>U30</f>
        <v>243459.85132047991</v>
      </c>
    </row>
    <row r="108" spans="2:22" x14ac:dyDescent="0.25">
      <c r="B108" s="574" t="s">
        <v>96</v>
      </c>
      <c r="C108" s="197">
        <f t="shared" ref="C108:S108" si="27">C39</f>
        <v>0</v>
      </c>
      <c r="D108" s="25">
        <f t="shared" si="27"/>
        <v>0</v>
      </c>
      <c r="E108" s="25">
        <f t="shared" si="27"/>
        <v>0</v>
      </c>
      <c r="F108" s="25">
        <f t="shared" si="27"/>
        <v>0</v>
      </c>
      <c r="G108" s="25">
        <f t="shared" si="27"/>
        <v>0</v>
      </c>
      <c r="H108" s="25">
        <f t="shared" si="27"/>
        <v>0</v>
      </c>
      <c r="I108" s="198">
        <f t="shared" si="27"/>
        <v>0</v>
      </c>
      <c r="J108" s="333" t="str">
        <f t="shared" si="27"/>
        <v>NA</v>
      </c>
      <c r="K108" s="334">
        <f t="shared" si="27"/>
        <v>0</v>
      </c>
      <c r="L108" s="335">
        <f t="shared" si="27"/>
        <v>0</v>
      </c>
      <c r="M108" s="199" t="str">
        <f t="shared" si="27"/>
        <v>NA</v>
      </c>
      <c r="N108" s="25">
        <f t="shared" si="27"/>
        <v>0</v>
      </c>
      <c r="O108" s="198">
        <f t="shared" si="27"/>
        <v>0</v>
      </c>
      <c r="P108" s="333" t="str">
        <f t="shared" si="27"/>
        <v>NA</v>
      </c>
      <c r="Q108" s="334">
        <f t="shared" si="27"/>
        <v>0</v>
      </c>
      <c r="R108" s="335">
        <f t="shared" si="27"/>
        <v>0</v>
      </c>
      <c r="S108" s="198">
        <f t="shared" si="27"/>
        <v>0</v>
      </c>
      <c r="T108" s="200" t="str">
        <f>T22</f>
        <v>NA</v>
      </c>
      <c r="U108" s="147" t="s">
        <v>12</v>
      </c>
    </row>
    <row r="109" spans="2:22" ht="13.8" thickBot="1" x14ac:dyDescent="0.3">
      <c r="B109" s="573" t="s">
        <v>76</v>
      </c>
      <c r="C109" s="211">
        <f t="shared" ref="C109:S109" si="28">C40</f>
        <v>0</v>
      </c>
      <c r="D109" s="208">
        <f t="shared" si="28"/>
        <v>0</v>
      </c>
      <c r="E109" s="208">
        <f t="shared" si="28"/>
        <v>0</v>
      </c>
      <c r="F109" s="208">
        <f t="shared" si="28"/>
        <v>0</v>
      </c>
      <c r="G109" s="208">
        <f t="shared" si="28"/>
        <v>0</v>
      </c>
      <c r="H109" s="208">
        <f t="shared" si="28"/>
        <v>0</v>
      </c>
      <c r="I109" s="209">
        <f t="shared" si="28"/>
        <v>0</v>
      </c>
      <c r="J109" s="332">
        <f t="shared" si="28"/>
        <v>1080.6414789119603</v>
      </c>
      <c r="K109" s="296">
        <f t="shared" si="28"/>
        <v>46467.583593214295</v>
      </c>
      <c r="L109" s="297">
        <f t="shared" si="28"/>
        <v>46467.583593214295</v>
      </c>
      <c r="M109" s="207">
        <f t="shared" si="28"/>
        <v>1110.1566520905783</v>
      </c>
      <c r="N109" s="208">
        <f t="shared" si="28"/>
        <v>47736.736039894866</v>
      </c>
      <c r="O109" s="209">
        <f t="shared" si="28"/>
        <v>47736.736039894866</v>
      </c>
      <c r="P109" s="332">
        <f t="shared" si="28"/>
        <v>1123.4596294577666</v>
      </c>
      <c r="Q109" s="296">
        <f t="shared" si="28"/>
        <v>48308.764066683965</v>
      </c>
      <c r="R109" s="297">
        <f t="shared" si="28"/>
        <v>48308.764066683965</v>
      </c>
      <c r="S109" s="209">
        <f t="shared" si="28"/>
        <v>47504.361233264375</v>
      </c>
      <c r="T109" s="209">
        <f>T40</f>
        <v>47504.361233264375</v>
      </c>
      <c r="U109" s="392" t="s">
        <v>12</v>
      </c>
    </row>
    <row r="110" spans="2:22" x14ac:dyDescent="0.25">
      <c r="B110" s="574" t="s">
        <v>99</v>
      </c>
      <c r="C110" s="197">
        <f t="shared" ref="C110:S110" si="29">C51</f>
        <v>0</v>
      </c>
      <c r="D110" s="25">
        <f t="shared" si="29"/>
        <v>0</v>
      </c>
      <c r="E110" s="25">
        <f t="shared" si="29"/>
        <v>0</v>
      </c>
      <c r="F110" s="25">
        <f t="shared" si="29"/>
        <v>0</v>
      </c>
      <c r="G110" s="25">
        <f t="shared" si="29"/>
        <v>0</v>
      </c>
      <c r="H110" s="25">
        <f t="shared" si="29"/>
        <v>0</v>
      </c>
      <c r="I110" s="198">
        <f t="shared" si="29"/>
        <v>0</v>
      </c>
      <c r="J110" s="333" t="str">
        <f t="shared" si="29"/>
        <v>NA</v>
      </c>
      <c r="K110" s="334">
        <f t="shared" si="29"/>
        <v>0</v>
      </c>
      <c r="L110" s="335">
        <f t="shared" si="29"/>
        <v>0</v>
      </c>
      <c r="M110" s="199" t="str">
        <f t="shared" si="29"/>
        <v>NA</v>
      </c>
      <c r="N110" s="25">
        <f t="shared" si="29"/>
        <v>0</v>
      </c>
      <c r="O110" s="198">
        <f t="shared" si="29"/>
        <v>0</v>
      </c>
      <c r="P110" s="333" t="str">
        <f t="shared" si="29"/>
        <v>NA</v>
      </c>
      <c r="Q110" s="334">
        <f t="shared" si="29"/>
        <v>0</v>
      </c>
      <c r="R110" s="335">
        <f t="shared" si="29"/>
        <v>0</v>
      </c>
      <c r="S110" s="198">
        <f t="shared" si="29"/>
        <v>0</v>
      </c>
      <c r="T110" s="37"/>
      <c r="U110" s="138"/>
    </row>
    <row r="111" spans="2:22" ht="13.8" thickBot="1" x14ac:dyDescent="0.3">
      <c r="B111" s="573" t="s">
        <v>76</v>
      </c>
      <c r="C111" s="207">
        <f t="shared" ref="C111:S111" si="30">C52</f>
        <v>0</v>
      </c>
      <c r="D111" s="208">
        <f t="shared" si="30"/>
        <v>0</v>
      </c>
      <c r="E111" s="208">
        <f t="shared" si="30"/>
        <v>0</v>
      </c>
      <c r="F111" s="208">
        <f t="shared" si="30"/>
        <v>0</v>
      </c>
      <c r="G111" s="208">
        <f t="shared" si="30"/>
        <v>0</v>
      </c>
      <c r="H111" s="208">
        <f t="shared" si="30"/>
        <v>0</v>
      </c>
      <c r="I111" s="209">
        <f t="shared" si="30"/>
        <v>0</v>
      </c>
      <c r="J111" s="332">
        <f t="shared" si="30"/>
        <v>1350.8018486399505</v>
      </c>
      <c r="K111" s="296">
        <f t="shared" si="30"/>
        <v>58084.479491517872</v>
      </c>
      <c r="L111" s="297">
        <f t="shared" si="30"/>
        <v>58084.479491517872</v>
      </c>
      <c r="M111" s="211">
        <f t="shared" si="30"/>
        <v>1387.6958151132228</v>
      </c>
      <c r="N111" s="208">
        <f t="shared" si="30"/>
        <v>59670.920049868582</v>
      </c>
      <c r="O111" s="209">
        <f t="shared" si="30"/>
        <v>59670.920049868582</v>
      </c>
      <c r="P111" s="332">
        <f t="shared" si="30"/>
        <v>1404.3245368222081</v>
      </c>
      <c r="Q111" s="296">
        <f t="shared" si="30"/>
        <v>60385.955083354944</v>
      </c>
      <c r="R111" s="297">
        <f t="shared" si="30"/>
        <v>60385.955083354944</v>
      </c>
      <c r="S111" s="209">
        <f t="shared" si="30"/>
        <v>0</v>
      </c>
      <c r="T111" s="209">
        <f>T52</f>
        <v>59380.451541580471</v>
      </c>
      <c r="U111" s="576" t="s">
        <v>12</v>
      </c>
    </row>
    <row r="112" spans="2:22" x14ac:dyDescent="0.25">
      <c r="B112" s="574" t="s">
        <v>100</v>
      </c>
      <c r="C112" s="197">
        <f t="shared" ref="C112:U112" si="31">C65</f>
        <v>0</v>
      </c>
      <c r="D112" s="25">
        <f t="shared" si="31"/>
        <v>0</v>
      </c>
      <c r="E112" s="25">
        <f t="shared" si="31"/>
        <v>7</v>
      </c>
      <c r="F112" s="25">
        <f t="shared" si="31"/>
        <v>13</v>
      </c>
      <c r="G112" s="25">
        <f t="shared" si="31"/>
        <v>0</v>
      </c>
      <c r="H112" s="25">
        <f t="shared" si="31"/>
        <v>0</v>
      </c>
      <c r="I112" s="198">
        <f t="shared" si="31"/>
        <v>20</v>
      </c>
      <c r="J112" s="333" t="str">
        <f t="shared" si="31"/>
        <v>NA</v>
      </c>
      <c r="K112" s="334">
        <f t="shared" si="31"/>
        <v>860</v>
      </c>
      <c r="L112" s="335">
        <f t="shared" si="31"/>
        <v>860</v>
      </c>
      <c r="M112" s="199" t="str">
        <f t="shared" si="31"/>
        <v>NA</v>
      </c>
      <c r="N112" s="25">
        <f t="shared" si="31"/>
        <v>860</v>
      </c>
      <c r="O112" s="198">
        <f t="shared" si="31"/>
        <v>860</v>
      </c>
      <c r="P112" s="333" t="str">
        <f t="shared" si="31"/>
        <v>NA</v>
      </c>
      <c r="Q112" s="334">
        <f t="shared" si="31"/>
        <v>860</v>
      </c>
      <c r="R112" s="335">
        <f t="shared" si="31"/>
        <v>860</v>
      </c>
      <c r="S112" s="198">
        <f t="shared" si="31"/>
        <v>860</v>
      </c>
      <c r="T112" s="212" t="str">
        <f t="shared" si="31"/>
        <v>NA</v>
      </c>
      <c r="U112" s="577" t="str">
        <f t="shared" si="31"/>
        <v>NA</v>
      </c>
    </row>
    <row r="113" spans="2:21" ht="13.8" thickBot="1" x14ac:dyDescent="0.3">
      <c r="B113" s="573" t="s">
        <v>76</v>
      </c>
      <c r="C113" s="207">
        <f t="shared" ref="C113:T113" si="32">C66</f>
        <v>0</v>
      </c>
      <c r="D113" s="208">
        <f t="shared" si="32"/>
        <v>0</v>
      </c>
      <c r="E113" s="208">
        <f t="shared" si="32"/>
        <v>309</v>
      </c>
      <c r="F113" s="208">
        <f t="shared" si="32"/>
        <v>641</v>
      </c>
      <c r="G113" s="208">
        <f t="shared" si="32"/>
        <v>0</v>
      </c>
      <c r="H113" s="208">
        <f t="shared" si="32"/>
        <v>0</v>
      </c>
      <c r="I113" s="209">
        <f t="shared" si="32"/>
        <v>950</v>
      </c>
      <c r="J113" s="332">
        <f t="shared" si="32"/>
        <v>1283.2617562079529</v>
      </c>
      <c r="K113" s="296">
        <f t="shared" si="32"/>
        <v>55180.255516941979</v>
      </c>
      <c r="L113" s="297">
        <f t="shared" si="32"/>
        <v>55180.255516941979</v>
      </c>
      <c r="M113" s="207">
        <f t="shared" si="32"/>
        <v>1318.3110243575618</v>
      </c>
      <c r="N113" s="208">
        <f t="shared" si="32"/>
        <v>56687.37404737516</v>
      </c>
      <c r="O113" s="209">
        <f t="shared" si="32"/>
        <v>56687.37404737516</v>
      </c>
      <c r="P113" s="339">
        <f t="shared" si="32"/>
        <v>1334.1083099810978</v>
      </c>
      <c r="Q113" s="296">
        <f t="shared" si="32"/>
        <v>57366.657329187205</v>
      </c>
      <c r="R113" s="297">
        <f t="shared" si="32"/>
        <v>57366.657329187205</v>
      </c>
      <c r="S113" s="209">
        <f t="shared" si="32"/>
        <v>56411.428964501451</v>
      </c>
      <c r="T113" s="210" t="str">
        <f t="shared" si="32"/>
        <v>NA</v>
      </c>
      <c r="U113" s="392" t="s">
        <v>12</v>
      </c>
    </row>
    <row r="114" spans="2:21" x14ac:dyDescent="0.25">
      <c r="B114" s="574" t="s">
        <v>101</v>
      </c>
      <c r="C114" s="213">
        <f t="shared" ref="C114:S114" si="33">C89</f>
        <v>0</v>
      </c>
      <c r="D114" s="214">
        <f t="shared" si="33"/>
        <v>25</v>
      </c>
      <c r="E114" s="214">
        <f t="shared" si="33"/>
        <v>69</v>
      </c>
      <c r="F114" s="214">
        <f t="shared" si="33"/>
        <v>48</v>
      </c>
      <c r="G114" s="214">
        <f t="shared" si="33"/>
        <v>8</v>
      </c>
      <c r="H114" s="214">
        <f t="shared" si="33"/>
        <v>0</v>
      </c>
      <c r="I114" s="215">
        <f t="shared" si="33"/>
        <v>150</v>
      </c>
      <c r="J114" s="336" t="str">
        <f t="shared" si="33"/>
        <v>NA</v>
      </c>
      <c r="K114" s="337" t="str">
        <f t="shared" si="33"/>
        <v>NA</v>
      </c>
      <c r="L114" s="294">
        <f t="shared" si="33"/>
        <v>5922</v>
      </c>
      <c r="M114" s="216" t="str">
        <f t="shared" si="33"/>
        <v>NA</v>
      </c>
      <c r="N114" s="217" t="str">
        <f t="shared" si="33"/>
        <v>NA</v>
      </c>
      <c r="O114" s="215">
        <f t="shared" si="33"/>
        <v>5922</v>
      </c>
      <c r="P114" s="336" t="str">
        <f t="shared" si="33"/>
        <v>NA</v>
      </c>
      <c r="Q114" s="337" t="str">
        <f t="shared" si="33"/>
        <v>NA</v>
      </c>
      <c r="R114" s="294">
        <f t="shared" si="33"/>
        <v>5922</v>
      </c>
      <c r="S114" s="215">
        <f t="shared" si="33"/>
        <v>5922</v>
      </c>
      <c r="T114" s="136" t="s">
        <v>12</v>
      </c>
      <c r="U114" s="147" t="s">
        <v>12</v>
      </c>
    </row>
    <row r="115" spans="2:21" ht="13.8" thickBot="1" x14ac:dyDescent="0.3">
      <c r="B115" s="573" t="s">
        <v>76</v>
      </c>
      <c r="C115" s="207">
        <f t="shared" ref="C115:S115" si="34">C90</f>
        <v>0</v>
      </c>
      <c r="D115" s="208">
        <f t="shared" si="34"/>
        <v>1022</v>
      </c>
      <c r="E115" s="208">
        <f t="shared" si="34"/>
        <v>3044</v>
      </c>
      <c r="F115" s="208">
        <f t="shared" si="34"/>
        <v>2365</v>
      </c>
      <c r="G115" s="208">
        <f t="shared" si="34"/>
        <v>443</v>
      </c>
      <c r="H115" s="208">
        <f t="shared" si="34"/>
        <v>0</v>
      </c>
      <c r="I115" s="209">
        <f t="shared" si="34"/>
        <v>6874</v>
      </c>
      <c r="J115" s="332">
        <f t="shared" si="34"/>
        <v>9285.4119075510189</v>
      </c>
      <c r="K115" s="338" t="str">
        <f t="shared" si="34"/>
        <v>NA</v>
      </c>
      <c r="L115" s="297">
        <f t="shared" si="34"/>
        <v>363896.83257103187</v>
      </c>
      <c r="M115" s="211">
        <f t="shared" si="34"/>
        <v>9539.0210330882946</v>
      </c>
      <c r="N115" s="219" t="str">
        <f t="shared" si="34"/>
        <v>NA</v>
      </c>
      <c r="O115" s="209">
        <f t="shared" si="34"/>
        <v>373835.81625995948</v>
      </c>
      <c r="P115" s="332">
        <f t="shared" si="34"/>
        <v>9653.32686611586</v>
      </c>
      <c r="Q115" s="338" t="str">
        <f t="shared" si="34"/>
        <v>NA</v>
      </c>
      <c r="R115" s="297">
        <f t="shared" si="34"/>
        <v>378315.48081305245</v>
      </c>
      <c r="S115" s="209">
        <f t="shared" si="34"/>
        <v>372016.04321468127</v>
      </c>
      <c r="T115" s="209">
        <f>T90</f>
        <v>0</v>
      </c>
      <c r="U115" s="392" t="s">
        <v>12</v>
      </c>
    </row>
    <row r="116" spans="2:21" x14ac:dyDescent="0.25">
      <c r="B116" s="574" t="s">
        <v>102</v>
      </c>
      <c r="C116" s="197">
        <f t="shared" ref="C116:S116" si="35">C99</f>
        <v>0</v>
      </c>
      <c r="D116" s="25">
        <f t="shared" si="35"/>
        <v>0</v>
      </c>
      <c r="E116" s="25">
        <f t="shared" si="35"/>
        <v>16</v>
      </c>
      <c r="F116" s="25">
        <f t="shared" si="35"/>
        <v>8</v>
      </c>
      <c r="G116" s="25">
        <f t="shared" si="35"/>
        <v>12</v>
      </c>
      <c r="H116" s="25">
        <f t="shared" si="35"/>
        <v>6</v>
      </c>
      <c r="I116" s="198">
        <f t="shared" si="35"/>
        <v>42</v>
      </c>
      <c r="J116" s="333" t="str">
        <f t="shared" si="35"/>
        <v>NA</v>
      </c>
      <c r="K116" s="334">
        <f t="shared" si="35"/>
        <v>1806</v>
      </c>
      <c r="L116" s="335">
        <f t="shared" si="35"/>
        <v>1806</v>
      </c>
      <c r="M116" s="199" t="str">
        <f t="shared" si="35"/>
        <v>NA</v>
      </c>
      <c r="N116" s="25">
        <f t="shared" si="35"/>
        <v>1806</v>
      </c>
      <c r="O116" s="198">
        <f t="shared" si="35"/>
        <v>1806</v>
      </c>
      <c r="P116" s="333" t="str">
        <f t="shared" si="35"/>
        <v>NA</v>
      </c>
      <c r="Q116" s="334">
        <f t="shared" si="35"/>
        <v>1806</v>
      </c>
      <c r="R116" s="335">
        <f t="shared" si="35"/>
        <v>1806</v>
      </c>
      <c r="S116" s="198">
        <f t="shared" si="35"/>
        <v>1806</v>
      </c>
      <c r="T116" s="136" t="s">
        <v>12</v>
      </c>
      <c r="U116" s="147" t="s">
        <v>12</v>
      </c>
    </row>
    <row r="117" spans="2:21" ht="13.8" thickBot="1" x14ac:dyDescent="0.3">
      <c r="B117" s="578" t="s">
        <v>76</v>
      </c>
      <c r="C117" s="220">
        <f t="shared" ref="C117:S117" si="36">C100</f>
        <v>0</v>
      </c>
      <c r="D117" s="221">
        <f t="shared" si="36"/>
        <v>0</v>
      </c>
      <c r="E117" s="221">
        <f t="shared" si="36"/>
        <v>706</v>
      </c>
      <c r="F117" s="221">
        <f t="shared" si="36"/>
        <v>394</v>
      </c>
      <c r="G117" s="221">
        <f t="shared" si="36"/>
        <v>666</v>
      </c>
      <c r="H117" s="221">
        <f t="shared" si="36"/>
        <v>351</v>
      </c>
      <c r="I117" s="222">
        <f t="shared" si="36"/>
        <v>2117</v>
      </c>
      <c r="J117" s="304">
        <f t="shared" si="36"/>
        <v>2859.6475135707751</v>
      </c>
      <c r="K117" s="305">
        <f t="shared" si="36"/>
        <v>122964.84308354332</v>
      </c>
      <c r="L117" s="306">
        <f t="shared" si="36"/>
        <v>122964.84308354332</v>
      </c>
      <c r="M117" s="220">
        <f t="shared" si="36"/>
        <v>2937.7520405946925</v>
      </c>
      <c r="N117" s="221">
        <f t="shared" si="36"/>
        <v>126323.33774557177</v>
      </c>
      <c r="O117" s="222">
        <f t="shared" si="36"/>
        <v>126323.33774557177</v>
      </c>
      <c r="P117" s="311">
        <f t="shared" si="36"/>
        <v>2972.9550444526149</v>
      </c>
      <c r="Q117" s="305">
        <f t="shared" si="36"/>
        <v>127837.06691146243</v>
      </c>
      <c r="R117" s="306">
        <f t="shared" si="36"/>
        <v>127837.06691146243</v>
      </c>
      <c r="S117" s="222">
        <f t="shared" si="36"/>
        <v>125708.41591352585</v>
      </c>
      <c r="T117" s="223" t="str">
        <f>T100</f>
        <v>NA</v>
      </c>
      <c r="U117" s="224" t="s">
        <v>12</v>
      </c>
    </row>
    <row r="118" spans="2:21" ht="18" thickTop="1" x14ac:dyDescent="0.3">
      <c r="B118" s="579" t="s">
        <v>13</v>
      </c>
      <c r="C118" s="183" t="s">
        <v>45</v>
      </c>
      <c r="D118" s="108" t="s">
        <v>46</v>
      </c>
      <c r="E118" s="107" t="s">
        <v>47</v>
      </c>
      <c r="F118" s="107" t="s">
        <v>48</v>
      </c>
      <c r="G118" s="107" t="s">
        <v>49</v>
      </c>
      <c r="H118" s="107" t="s">
        <v>50</v>
      </c>
      <c r="I118" s="109" t="s">
        <v>13</v>
      </c>
      <c r="J118" s="110" t="s">
        <v>56</v>
      </c>
      <c r="K118" s="108" t="s">
        <v>13</v>
      </c>
      <c r="L118" s="111" t="s">
        <v>68</v>
      </c>
      <c r="M118" s="110" t="s">
        <v>56</v>
      </c>
      <c r="N118" s="108" t="s">
        <v>13</v>
      </c>
      <c r="O118" s="111" t="s">
        <v>68</v>
      </c>
      <c r="P118" s="110" t="s">
        <v>56</v>
      </c>
      <c r="Q118" s="108" t="s">
        <v>13</v>
      </c>
      <c r="R118" s="111" t="s">
        <v>68</v>
      </c>
      <c r="S118" s="111"/>
      <c r="T118" s="37"/>
      <c r="U118" s="138"/>
    </row>
    <row r="119" spans="2:21" x14ac:dyDescent="0.25">
      <c r="B119" s="580" t="s">
        <v>75</v>
      </c>
      <c r="C119" s="195">
        <f t="shared" ref="C119:I120" si="37">C104+C106+C108+C110+C112+C114+C116</f>
        <v>0</v>
      </c>
      <c r="D119" s="101">
        <f t="shared" si="37"/>
        <v>25</v>
      </c>
      <c r="E119" s="101">
        <f t="shared" si="37"/>
        <v>92</v>
      </c>
      <c r="F119" s="101">
        <f t="shared" si="37"/>
        <v>69</v>
      </c>
      <c r="G119" s="101">
        <f t="shared" si="37"/>
        <v>20</v>
      </c>
      <c r="H119" s="101">
        <f t="shared" si="37"/>
        <v>6</v>
      </c>
      <c r="I119" s="102">
        <f t="shared" si="37"/>
        <v>212</v>
      </c>
      <c r="J119" s="340" t="s">
        <v>12</v>
      </c>
      <c r="K119" s="281">
        <f>K104+K106+K108+K110+K112+K116</f>
        <v>2666</v>
      </c>
      <c r="L119" s="289">
        <f>L104+L106+L108+L110+L112+L114+L116</f>
        <v>8588</v>
      </c>
      <c r="M119" s="103" t="s">
        <v>12</v>
      </c>
      <c r="N119" s="101">
        <f>N104+N106+N108+N110+N112+N116</f>
        <v>2666</v>
      </c>
      <c r="O119" s="102">
        <f>O104+O106+O108+O110+O112+O114+O116</f>
        <v>8588</v>
      </c>
      <c r="P119" s="340" t="s">
        <v>12</v>
      </c>
      <c r="Q119" s="281">
        <f>Q104+Q106+Q108+Q110+Q112+Q116</f>
        <v>2666</v>
      </c>
      <c r="R119" s="289">
        <f>R104+R106+R108+R110+R112+R114+R116</f>
        <v>8588</v>
      </c>
      <c r="S119" s="174">
        <f>S104+S106+S108+S110+S112+S114+S116</f>
        <v>8588</v>
      </c>
      <c r="T119" s="102"/>
      <c r="U119" s="140" t="s">
        <v>12</v>
      </c>
    </row>
    <row r="120" spans="2:21" s="235" customFormat="1" ht="16.2" thickBot="1" x14ac:dyDescent="0.35">
      <c r="B120" s="581" t="s">
        <v>76</v>
      </c>
      <c r="C120" s="582">
        <f t="shared" si="37"/>
        <v>0</v>
      </c>
      <c r="D120" s="583">
        <f t="shared" si="37"/>
        <v>1022</v>
      </c>
      <c r="E120" s="583">
        <f t="shared" si="37"/>
        <v>4059</v>
      </c>
      <c r="F120" s="583">
        <f t="shared" si="37"/>
        <v>3400</v>
      </c>
      <c r="G120" s="583">
        <f t="shared" si="37"/>
        <v>1109</v>
      </c>
      <c r="H120" s="583">
        <f t="shared" si="37"/>
        <v>351</v>
      </c>
      <c r="I120" s="584">
        <f t="shared" si="37"/>
        <v>9941</v>
      </c>
      <c r="J120" s="585">
        <f>J105+J107+J109+J111+J113+J115+J117</f>
        <v>15859.764504881658</v>
      </c>
      <c r="K120" s="586">
        <f>K105+K107+K109+K111+K113+K117</f>
        <v>282697.16168521746</v>
      </c>
      <c r="L120" s="587">
        <f>L105+L107+L109+L111+L113+L115+L117</f>
        <v>884740.36017147265</v>
      </c>
      <c r="M120" s="582">
        <f>M105+M107+M109+M111+M113+M115+M117</f>
        <v>16292.93656524435</v>
      </c>
      <c r="N120" s="588">
        <f>N105+N107+N109+N111+N113+N117</f>
        <v>290418.36788271042</v>
      </c>
      <c r="O120" s="584">
        <f>O105+O107+O109+O111+O113+O115+O117</f>
        <v>908904.95634713094</v>
      </c>
      <c r="P120" s="589">
        <f>P105+P107+P109+P111+P113+P115+P117</f>
        <v>16488.174386829545</v>
      </c>
      <c r="Q120" s="586">
        <f>Q105+Q107+Q109+Q111+Q113+Q117</f>
        <v>293898.44339068851</v>
      </c>
      <c r="R120" s="587">
        <f>R105+R107+R109+R111+R113+R115+R117</f>
        <v>919796.34004549636</v>
      </c>
      <c r="S120" s="590">
        <f>S105+S107+S109+S111+S113+S115+S117</f>
        <v>601640.24932597298</v>
      </c>
      <c r="T120" s="584">
        <f>SUM(T105,T107,T109,T111,T113,T115,T117)</f>
        <v>106884.81277484485</v>
      </c>
      <c r="U120" s="591">
        <f>SUM(U105,U107,U109,U111,U113,U115,U117)</f>
        <v>243459.85132047991</v>
      </c>
    </row>
    <row r="121" spans="2:21" x14ac:dyDescent="0.25">
      <c r="B121" s="1" t="s">
        <v>159</v>
      </c>
    </row>
  </sheetData>
  <mergeCells count="35">
    <mergeCell ref="Q93:R93"/>
    <mergeCell ref="Q33:R33"/>
    <mergeCell ref="Q43:R43"/>
    <mergeCell ref="Q55:R55"/>
    <mergeCell ref="Q86:R86"/>
    <mergeCell ref="Q70:R70"/>
    <mergeCell ref="G69:I69"/>
    <mergeCell ref="N86:O86"/>
    <mergeCell ref="K93:L93"/>
    <mergeCell ref="N33:O33"/>
    <mergeCell ref="N43:O43"/>
    <mergeCell ref="N70:O70"/>
    <mergeCell ref="N93:O93"/>
    <mergeCell ref="N55:O55"/>
    <mergeCell ref="K33:L33"/>
    <mergeCell ref="G92:I92"/>
    <mergeCell ref="K70:L70"/>
    <mergeCell ref="K55:L55"/>
    <mergeCell ref="G54:I54"/>
    <mergeCell ref="G33:I33"/>
    <mergeCell ref="K43:L43"/>
    <mergeCell ref="G19:I19"/>
    <mergeCell ref="G32:I32"/>
    <mergeCell ref="G43:I43"/>
    <mergeCell ref="G42:I42"/>
    <mergeCell ref="S2:T2"/>
    <mergeCell ref="Q20:R20"/>
    <mergeCell ref="G8:I8"/>
    <mergeCell ref="K20:L20"/>
    <mergeCell ref="F2:G2"/>
    <mergeCell ref="C6:I6"/>
    <mergeCell ref="Q9:R9"/>
    <mergeCell ref="K9:L9"/>
    <mergeCell ref="N9:O9"/>
    <mergeCell ref="N20:O20"/>
  </mergeCells>
  <phoneticPr fontId="2" type="noConversion"/>
  <dataValidations count="1">
    <dataValidation allowBlank="1" showInputMessage="1" showErrorMessage="1" sqref="D35 D22" xr:uid="{00000000-0002-0000-0C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16"/>
  <sheetViews>
    <sheetView topLeftCell="E1" zoomScaleNormal="100" workbookViewId="0">
      <selection activeCell="F3" sqref="F3"/>
    </sheetView>
  </sheetViews>
  <sheetFormatPr defaultRowHeight="13.2" x14ac:dyDescent="0.25"/>
  <cols>
    <col min="1" max="1" width="1.109375" customWidth="1"/>
    <col min="2" max="2" width="31.44140625" customWidth="1"/>
    <col min="3" max="3" width="12.88671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644" t="s">
        <v>163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39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43</v>
      </c>
      <c r="M4" s="396" t="s">
        <v>71</v>
      </c>
      <c r="N4" s="431" t="s">
        <v>69</v>
      </c>
      <c r="O4" s="20">
        <v>43</v>
      </c>
      <c r="P4" s="425" t="s">
        <v>71</v>
      </c>
      <c r="Q4" s="429" t="s">
        <v>69</v>
      </c>
      <c r="R4" s="20">
        <v>43</v>
      </c>
      <c r="S4" s="115" t="s">
        <v>69</v>
      </c>
      <c r="T4" s="106">
        <f>AVERAGE(L4,O4,R4)</f>
        <v>43</v>
      </c>
      <c r="U4" s="37"/>
    </row>
    <row r="5" spans="1:21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341">
        <v>39</v>
      </c>
      <c r="K5" s="342" t="s">
        <v>70</v>
      </c>
      <c r="L5" s="343">
        <f>L4*$I$4</f>
        <v>2.15</v>
      </c>
      <c r="M5" s="631">
        <v>39</v>
      </c>
      <c r="N5" s="344" t="s">
        <v>70</v>
      </c>
      <c r="O5" s="345">
        <f>O4*$I$4</f>
        <v>2.15</v>
      </c>
      <c r="P5" s="630">
        <v>39</v>
      </c>
      <c r="Q5" s="342" t="s">
        <v>70</v>
      </c>
      <c r="R5" s="343">
        <f>R4*$I$4</f>
        <v>2.15</v>
      </c>
      <c r="S5" s="237" t="s">
        <v>70</v>
      </c>
      <c r="T5" s="238">
        <f>AVERAGE(L5,O5,R5)</f>
        <v>2.15</v>
      </c>
      <c r="U5" s="37"/>
    </row>
    <row r="6" spans="1:21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162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57" t="s">
        <v>55</v>
      </c>
      <c r="N8" s="1432" t="s">
        <v>57</v>
      </c>
      <c r="O8" s="1433"/>
      <c r="P8" s="277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12</v>
      </c>
      <c r="H10" s="21">
        <v>2</v>
      </c>
      <c r="I10" s="48">
        <f>SUM(C10:H10)</f>
        <v>19</v>
      </c>
      <c r="J10" s="263" t="s">
        <v>12</v>
      </c>
      <c r="K10" s="264">
        <f>I10*$J$5</f>
        <v>741</v>
      </c>
      <c r="L10" s="265">
        <f>K10/$E$7</f>
        <v>148.19999999999999</v>
      </c>
      <c r="M10" s="58" t="s">
        <v>12</v>
      </c>
      <c r="N10" s="432">
        <f>I10*$M$5</f>
        <v>741</v>
      </c>
      <c r="O10" s="68">
        <f>N10/$E$7</f>
        <v>148.19999999999999</v>
      </c>
      <c r="P10" s="263" t="s">
        <v>12</v>
      </c>
      <c r="Q10" s="433">
        <f>$I10*$M$5</f>
        <v>741</v>
      </c>
      <c r="R10" s="289">
        <f>Q10/$E$7</f>
        <v>148.19999999999999</v>
      </c>
      <c r="S10" s="121">
        <f>AVERAGE(L10,O10,R10)</f>
        <v>148.19999999999999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246</v>
      </c>
      <c r="G11" s="23">
        <f>ROUND(G10*Labor!$D$7,0)</f>
        <v>666</v>
      </c>
      <c r="H11" s="23">
        <f>ROUND(H10*Labor!$D$8,0)</f>
        <v>117</v>
      </c>
      <c r="I11" s="382">
        <f>SUM(C11:H11)</f>
        <v>1029</v>
      </c>
      <c r="J11" s="383">
        <f>HLOOKUP(Labor!$B$11,InflationTable,2)*$I11</f>
        <v>1389.9751022505091</v>
      </c>
      <c r="K11" s="384">
        <f>J11*$J$5</f>
        <v>54209.028987769852</v>
      </c>
      <c r="L11" s="385">
        <f>K11/$E$7</f>
        <v>10841.80579755397</v>
      </c>
      <c r="M11" s="386">
        <f>HLOOKUP(Labor!$B$11,InflationTable,3)*$I11</f>
        <v>1427.9389937515064</v>
      </c>
      <c r="N11" s="387">
        <f>M11*$J$5</f>
        <v>55689.620756308745</v>
      </c>
      <c r="O11" s="388">
        <f>N11/$E$7</f>
        <v>11137.924151261748</v>
      </c>
      <c r="P11" s="383">
        <f>HLOOKUP(Labor!$B$11,InflationTable,4)*$I11</f>
        <v>1445.0499483900521</v>
      </c>
      <c r="Q11" s="384">
        <f>P11*$J$5</f>
        <v>56356.947987212036</v>
      </c>
      <c r="R11" s="385">
        <f>Q11/$E$7</f>
        <v>11271.389597442407</v>
      </c>
      <c r="S11" s="379">
        <f>AVERAGE(L11,O11,R11)</f>
        <v>11083.706515419375</v>
      </c>
      <c r="T11" s="380" t="s">
        <v>12</v>
      </c>
      <c r="U11" s="380" t="s">
        <v>12</v>
      </c>
    </row>
    <row r="12" spans="1:21" x14ac:dyDescent="0.25">
      <c r="A12" s="615"/>
      <c r="B12" s="605" t="s">
        <v>66</v>
      </c>
      <c r="C12" s="33">
        <f>C10</f>
        <v>0</v>
      </c>
      <c r="D12" s="33">
        <f t="shared" ref="D12:I12" si="0">D10</f>
        <v>0</v>
      </c>
      <c r="E12" s="33">
        <f t="shared" si="0"/>
        <v>0</v>
      </c>
      <c r="F12" s="33">
        <f t="shared" si="0"/>
        <v>5</v>
      </c>
      <c r="G12" s="33">
        <f t="shared" si="0"/>
        <v>12</v>
      </c>
      <c r="H12" s="33">
        <f t="shared" si="0"/>
        <v>2</v>
      </c>
      <c r="I12" s="33">
        <f t="shared" si="0"/>
        <v>19</v>
      </c>
      <c r="J12" s="271" t="str">
        <f t="shared" ref="J12:O12" si="1">J10</f>
        <v>NA</v>
      </c>
      <c r="K12" s="271">
        <f t="shared" si="1"/>
        <v>741</v>
      </c>
      <c r="L12" s="271">
        <f t="shared" si="1"/>
        <v>148.19999999999999</v>
      </c>
      <c r="M12" s="33" t="str">
        <f t="shared" si="1"/>
        <v>NA</v>
      </c>
      <c r="N12" s="33">
        <f t="shared" si="1"/>
        <v>741</v>
      </c>
      <c r="O12" s="33">
        <f t="shared" si="1"/>
        <v>148.19999999999999</v>
      </c>
      <c r="P12" s="271" t="str">
        <f t="shared" ref="P12:R13" si="2">P10</f>
        <v>NA</v>
      </c>
      <c r="Q12" s="271">
        <f t="shared" si="2"/>
        <v>741</v>
      </c>
      <c r="R12" s="271">
        <f t="shared" si="2"/>
        <v>148.19999999999999</v>
      </c>
      <c r="S12" s="121">
        <f>AVERAGE(L12,O12,R12)</f>
        <v>148.19999999999999</v>
      </c>
      <c r="T12" s="119" t="s">
        <v>12</v>
      </c>
      <c r="U12" s="119" t="s">
        <v>12</v>
      </c>
    </row>
    <row r="13" spans="1:21" ht="13.8" thickBot="1" x14ac:dyDescent="0.3">
      <c r="A13" s="615"/>
      <c r="B13" s="606" t="s">
        <v>67</v>
      </c>
      <c r="C13" s="240">
        <f>C11</f>
        <v>0</v>
      </c>
      <c r="D13" s="240">
        <f t="shared" ref="D13:I13" si="3">D11</f>
        <v>0</v>
      </c>
      <c r="E13" s="240">
        <f t="shared" si="3"/>
        <v>0</v>
      </c>
      <c r="F13" s="240">
        <f t="shared" si="3"/>
        <v>246</v>
      </c>
      <c r="G13" s="240">
        <f t="shared" si="3"/>
        <v>666</v>
      </c>
      <c r="H13" s="240">
        <f t="shared" si="3"/>
        <v>117</v>
      </c>
      <c r="I13" s="240">
        <f t="shared" si="3"/>
        <v>1029</v>
      </c>
      <c r="J13" s="274">
        <f t="shared" ref="J13:O13" si="4">J11</f>
        <v>1389.9751022505091</v>
      </c>
      <c r="K13" s="274">
        <f t="shared" si="4"/>
        <v>54209.028987769852</v>
      </c>
      <c r="L13" s="274">
        <f t="shared" si="4"/>
        <v>10841.80579755397</v>
      </c>
      <c r="M13" s="240">
        <f t="shared" si="4"/>
        <v>1427.9389937515064</v>
      </c>
      <c r="N13" s="240">
        <f t="shared" si="4"/>
        <v>55689.620756308745</v>
      </c>
      <c r="O13" s="240">
        <f t="shared" si="4"/>
        <v>11137.924151261748</v>
      </c>
      <c r="P13" s="274">
        <f t="shared" si="2"/>
        <v>1445.0499483900521</v>
      </c>
      <c r="Q13" s="274">
        <f t="shared" si="2"/>
        <v>56356.947987212036</v>
      </c>
      <c r="R13" s="274">
        <f t="shared" si="2"/>
        <v>11271.389597442407</v>
      </c>
      <c r="S13" s="211">
        <f>AVERAGE(L13,O13,R13)</f>
        <v>11083.706515419375</v>
      </c>
      <c r="T13" s="218" t="s">
        <v>12</v>
      </c>
      <c r="U13" s="218" t="s">
        <v>12</v>
      </c>
    </row>
    <row r="14" spans="1:21" ht="14.4" thickTop="1" thickBot="1" x14ac:dyDescent="0.3">
      <c r="A14" s="615"/>
      <c r="B14" s="617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410"/>
      <c r="O14" s="410"/>
      <c r="P14" s="410"/>
      <c r="Q14" s="410"/>
      <c r="R14" s="410"/>
      <c r="S14" s="410"/>
      <c r="T14" s="410"/>
      <c r="U14" s="236"/>
    </row>
    <row r="15" spans="1:21" ht="16.2" thickTop="1" x14ac:dyDescent="0.3">
      <c r="A15" s="615"/>
      <c r="B15" s="181" t="s">
        <v>16</v>
      </c>
      <c r="C15" s="72"/>
      <c r="D15" s="431" t="s">
        <v>54</v>
      </c>
      <c r="E15" s="70">
        <v>5</v>
      </c>
      <c r="F15" s="112" t="s">
        <v>6</v>
      </c>
      <c r="G15" s="1415"/>
      <c r="H15" s="1416"/>
      <c r="I15" s="1417"/>
      <c r="J15" s="181" t="s">
        <v>16</v>
      </c>
      <c r="K15" s="426"/>
      <c r="L15" s="180"/>
      <c r="M15" s="181" t="s">
        <v>16</v>
      </c>
      <c r="N15" s="426"/>
      <c r="O15" s="67"/>
      <c r="P15" s="181" t="s">
        <v>16</v>
      </c>
      <c r="Q15" s="426"/>
      <c r="R15" s="180"/>
      <c r="S15" s="225"/>
      <c r="T15" s="37"/>
      <c r="U15" s="138"/>
    </row>
    <row r="16" spans="1:21" x14ac:dyDescent="0.25">
      <c r="A16" s="615"/>
      <c r="B16" s="5"/>
      <c r="C16" s="107" t="s">
        <v>60</v>
      </c>
      <c r="D16" s="23" t="s">
        <v>62</v>
      </c>
      <c r="E16" s="5"/>
      <c r="F16" s="5"/>
      <c r="G16" s="5"/>
      <c r="H16" s="6"/>
      <c r="I16" s="43"/>
      <c r="J16" s="277" t="s">
        <v>61</v>
      </c>
      <c r="K16" s="1422" t="s">
        <v>57</v>
      </c>
      <c r="L16" s="1423"/>
      <c r="M16" s="93" t="s">
        <v>61</v>
      </c>
      <c r="N16" s="1432" t="s">
        <v>57</v>
      </c>
      <c r="O16" s="1433"/>
      <c r="P16" s="262" t="s">
        <v>61</v>
      </c>
      <c r="Q16" s="1422" t="s">
        <v>57</v>
      </c>
      <c r="R16" s="1423"/>
      <c r="S16" s="131"/>
      <c r="T16" s="37"/>
      <c r="U16" s="138"/>
    </row>
    <row r="17" spans="1:21" x14ac:dyDescent="0.25">
      <c r="A17" s="615"/>
      <c r="B17" s="607" t="s">
        <v>58</v>
      </c>
      <c r="C17" s="23"/>
      <c r="D17" s="23"/>
      <c r="E17" s="9"/>
      <c r="F17" s="72"/>
      <c r="G17" s="72"/>
      <c r="H17" s="72"/>
      <c r="I17" s="73"/>
      <c r="J17" s="260" t="s">
        <v>56</v>
      </c>
      <c r="K17" s="261" t="s">
        <v>13</v>
      </c>
      <c r="L17" s="262" t="s">
        <v>68</v>
      </c>
      <c r="M17" s="77" t="s">
        <v>56</v>
      </c>
      <c r="N17" s="24" t="s">
        <v>13</v>
      </c>
      <c r="O17" s="38" t="s">
        <v>68</v>
      </c>
      <c r="P17" s="260" t="s">
        <v>56</v>
      </c>
      <c r="Q17" s="261" t="s">
        <v>13</v>
      </c>
      <c r="R17" s="262" t="s">
        <v>68</v>
      </c>
      <c r="S17" s="123"/>
      <c r="T17" s="37"/>
      <c r="U17" s="138"/>
    </row>
    <row r="18" spans="1:21" x14ac:dyDescent="0.25">
      <c r="A18" s="615"/>
      <c r="B18" s="608" t="s">
        <v>14</v>
      </c>
      <c r="C18" s="163">
        <f>VLOOKUP(C$2,Monitor_Costs,2,FALSE)</f>
        <v>17285</v>
      </c>
      <c r="D18" s="22">
        <f>VLOOKUP(C$2,Monitor_Costs,3,FALSE)</f>
        <v>2019</v>
      </c>
      <c r="E18" s="74"/>
      <c r="F18" s="75"/>
      <c r="G18" s="76"/>
      <c r="H18" s="76"/>
      <c r="I18" s="37"/>
      <c r="J18" s="279">
        <f>HLOOKUP(D18,InflationTable,2)*$C$18</f>
        <v>23348.609953741543</v>
      </c>
      <c r="K18" s="279">
        <f>J18*$L$4</f>
        <v>1003990.2280108863</v>
      </c>
      <c r="L18" s="280">
        <f>K18/$E$15</f>
        <v>200798.04560217727</v>
      </c>
      <c r="M18" s="78">
        <f>HLOOKUP($D$18,InflationTable,3)*$C$18</f>
        <v>23986.322164232057</v>
      </c>
      <c r="N18" s="27">
        <f>M18*$L$4</f>
        <v>1031411.8530619785</v>
      </c>
      <c r="O18" s="182">
        <f>N18/$E$15</f>
        <v>206282.37061239569</v>
      </c>
      <c r="P18" s="298">
        <f>HLOOKUP($D$18,InflationTable,4)*$C$18</f>
        <v>24273.749618971869</v>
      </c>
      <c r="Q18" s="279">
        <f>P18*$L$4</f>
        <v>1043771.2336157904</v>
      </c>
      <c r="R18" s="280">
        <f>Q18/$E$15</f>
        <v>208754.24672315808</v>
      </c>
      <c r="S18" s="127" t="s">
        <v>12</v>
      </c>
      <c r="T18" s="119" t="s">
        <v>12</v>
      </c>
      <c r="U18" s="139">
        <f>AVERAGE(L18,O18,R18)</f>
        <v>205278.22097924366</v>
      </c>
    </row>
    <row r="19" spans="1:21" ht="13.8" thickBot="1" x14ac:dyDescent="0.3">
      <c r="A19" s="615"/>
      <c r="B19" s="609" t="s">
        <v>15</v>
      </c>
      <c r="C19" s="4"/>
      <c r="D19" s="4"/>
      <c r="E19" s="4"/>
      <c r="F19" s="12"/>
      <c r="G19" s="4"/>
      <c r="H19" s="4"/>
      <c r="I19" s="368"/>
      <c r="J19" s="369"/>
      <c r="K19" s="355">
        <f>J18*$L$5</f>
        <v>50199.511400544317</v>
      </c>
      <c r="L19" s="308">
        <f>K19/$E$15</f>
        <v>10039.902280108863</v>
      </c>
      <c r="M19" s="4"/>
      <c r="N19" s="104">
        <f>M18*$L$5</f>
        <v>51570.592653098924</v>
      </c>
      <c r="O19" s="370">
        <f>N19/$E$15</f>
        <v>10314.118530619784</v>
      </c>
      <c r="P19" s="371"/>
      <c r="Q19" s="355">
        <f>P18*$L$5</f>
        <v>52188.56168078952</v>
      </c>
      <c r="R19" s="308">
        <f>Q19/$E$15</f>
        <v>10437.712336157903</v>
      </c>
      <c r="S19" s="359" t="s">
        <v>12</v>
      </c>
      <c r="T19" s="149" t="s">
        <v>12</v>
      </c>
      <c r="U19" s="372">
        <f>AVERAGE(L19,O19,R19)</f>
        <v>10263.911048962183</v>
      </c>
    </row>
    <row r="20" spans="1:21" x14ac:dyDescent="0.25">
      <c r="A20" s="615"/>
      <c r="B20" s="610" t="s">
        <v>17</v>
      </c>
      <c r="C20" s="107" t="s">
        <v>45</v>
      </c>
      <c r="D20" s="108" t="s">
        <v>46</v>
      </c>
      <c r="E20" s="107" t="s">
        <v>47</v>
      </c>
      <c r="F20" s="107" t="s">
        <v>48</v>
      </c>
      <c r="G20" s="107" t="s">
        <v>49</v>
      </c>
      <c r="H20" s="107" t="s">
        <v>50</v>
      </c>
      <c r="I20" s="350" t="s">
        <v>74</v>
      </c>
      <c r="J20" s="351"/>
      <c r="K20" s="352"/>
      <c r="L20" s="356"/>
      <c r="M20" s="110"/>
      <c r="N20" s="108"/>
      <c r="O20" s="111"/>
      <c r="P20" s="352"/>
      <c r="Q20" s="352"/>
      <c r="R20" s="356"/>
      <c r="S20" s="125"/>
      <c r="T20" s="37"/>
      <c r="U20" s="138"/>
    </row>
    <row r="21" spans="1:21" x14ac:dyDescent="0.25">
      <c r="A21" s="615"/>
      <c r="B21" s="611" t="s">
        <v>119</v>
      </c>
      <c r="C21" s="31">
        <v>0</v>
      </c>
      <c r="D21" s="21">
        <v>0</v>
      </c>
      <c r="E21" s="21">
        <v>0</v>
      </c>
      <c r="F21" s="21">
        <v>4</v>
      </c>
      <c r="G21" s="21">
        <v>4</v>
      </c>
      <c r="H21" s="21">
        <v>0</v>
      </c>
      <c r="I21" s="48">
        <f>SUM(C21:H21)</f>
        <v>8</v>
      </c>
      <c r="J21" s="263" t="s">
        <v>12</v>
      </c>
      <c r="K21" s="281">
        <f>I21*($L$4+$L$5)</f>
        <v>361.2</v>
      </c>
      <c r="L21" s="282">
        <f>K21/$E$15</f>
        <v>72.239999999999995</v>
      </c>
      <c r="M21" s="58" t="s">
        <v>12</v>
      </c>
      <c r="N21" s="69">
        <f>$I$21*($O$4+$O$5)</f>
        <v>361.2</v>
      </c>
      <c r="O21" s="59">
        <f>N21/$E$15</f>
        <v>72.239999999999995</v>
      </c>
      <c r="P21" s="263" t="s">
        <v>12</v>
      </c>
      <c r="Q21" s="281">
        <f>$I$21*($R$4+$R$5)</f>
        <v>361.2</v>
      </c>
      <c r="R21" s="282">
        <f>Q21/$E$15</f>
        <v>72.239999999999995</v>
      </c>
      <c r="S21" s="151">
        <f>AVERAGE(L21,O21,R21)</f>
        <v>72.239999999999995</v>
      </c>
      <c r="T21" s="119" t="s">
        <v>12</v>
      </c>
      <c r="U21" s="140" t="s">
        <v>12</v>
      </c>
    </row>
    <row r="22" spans="1:21" s="1" customFormat="1" ht="13.8" thickBot="1" x14ac:dyDescent="0.3">
      <c r="A22" s="616"/>
      <c r="B22" s="604" t="s">
        <v>8</v>
      </c>
      <c r="C22" s="389">
        <f>ROUND(C21*Labor!$D$3,0)</f>
        <v>0</v>
      </c>
      <c r="D22" s="374">
        <f>ROUND(D21*Labor!$D$4,0)</f>
        <v>0</v>
      </c>
      <c r="E22" s="374">
        <f>ROUND(E21*Labor!$D$5,0)</f>
        <v>0</v>
      </c>
      <c r="F22" s="374">
        <f>ROUND(F21*Labor!$D$6,0)</f>
        <v>197</v>
      </c>
      <c r="G22" s="374">
        <f>ROUND(G21*Labor!$D$7,0)</f>
        <v>222</v>
      </c>
      <c r="H22" s="374">
        <f>ROUND(H21*Labor!$D$8,0)</f>
        <v>0</v>
      </c>
      <c r="I22" s="375">
        <f>SUM(C22:H22)</f>
        <v>419</v>
      </c>
      <c r="J22" s="332">
        <f>HLOOKUP(Labor!$B$11,InflationTable,2)*I22</f>
        <v>565.98597458013921</v>
      </c>
      <c r="K22" s="296">
        <f>J22*($L$4+$L$5)</f>
        <v>25554.266752293286</v>
      </c>
      <c r="L22" s="297">
        <f>K22/$E$15</f>
        <v>5110.8533504586576</v>
      </c>
      <c r="M22" s="376">
        <f>HLOOKUP(Labor!$B$11,InflationTable,3)*$I22</f>
        <v>581.44454653244031</v>
      </c>
      <c r="N22" s="377">
        <f>M22*$L$4</f>
        <v>25002.115500894932</v>
      </c>
      <c r="O22" s="378">
        <f>N22/$E$15</f>
        <v>5000.4231001789867</v>
      </c>
      <c r="P22" s="332">
        <f>HLOOKUP(Labor!$B$11,InflationTable,4)*$I22</f>
        <v>588.41198092850516</v>
      </c>
      <c r="Q22" s="296">
        <f>P22*$L$4</f>
        <v>25301.715179925723</v>
      </c>
      <c r="R22" s="390">
        <f>Q22/$E$15</f>
        <v>5060.3430359851445</v>
      </c>
      <c r="S22" s="391">
        <f>AVERAGE(L22,O22,R22)</f>
        <v>5057.2064955409296</v>
      </c>
      <c r="T22" s="218" t="s">
        <v>12</v>
      </c>
      <c r="U22" s="392" t="s">
        <v>12</v>
      </c>
    </row>
    <row r="23" spans="1:21" x14ac:dyDescent="0.25">
      <c r="A23" s="615"/>
      <c r="B23" s="112" t="s">
        <v>118</v>
      </c>
      <c r="C23" s="346">
        <v>0</v>
      </c>
      <c r="D23" s="365">
        <v>8</v>
      </c>
      <c r="E23" s="365">
        <v>8</v>
      </c>
      <c r="F23" s="365">
        <v>0</v>
      </c>
      <c r="G23" s="365">
        <v>0</v>
      </c>
      <c r="H23" s="365">
        <v>0</v>
      </c>
      <c r="I23" s="366">
        <f>SUM(C23:H23)</f>
        <v>16</v>
      </c>
      <c r="J23" s="293" t="s">
        <v>12</v>
      </c>
      <c r="K23" s="334">
        <f>I23*$L$4</f>
        <v>688</v>
      </c>
      <c r="L23" s="294">
        <f>K23/$E$15</f>
        <v>137.6</v>
      </c>
      <c r="M23" s="61" t="s">
        <v>12</v>
      </c>
      <c r="N23" s="348">
        <f>I23*$O$4</f>
        <v>688</v>
      </c>
      <c r="O23" s="62">
        <f>N23/$E$15</f>
        <v>137.6</v>
      </c>
      <c r="P23" s="293" t="s">
        <v>12</v>
      </c>
      <c r="Q23" s="327">
        <f>$I23*$O$4</f>
        <v>688</v>
      </c>
      <c r="R23" s="367">
        <f>Q23/$E$15</f>
        <v>137.6</v>
      </c>
      <c r="S23" s="129">
        <f>AVERAGE(L23,O23,R23)</f>
        <v>137.6</v>
      </c>
      <c r="T23" s="136" t="s">
        <v>12</v>
      </c>
      <c r="U23" s="147" t="s">
        <v>12</v>
      </c>
    </row>
    <row r="24" spans="1:21" s="1" customFormat="1" ht="13.8" thickBot="1" x14ac:dyDescent="0.3">
      <c r="A24" s="616"/>
      <c r="B24" s="612" t="s">
        <v>8</v>
      </c>
      <c r="C24" s="373">
        <f>ROUND(C23*Labor!$D$3,0)</f>
        <v>0</v>
      </c>
      <c r="D24" s="374">
        <f>ROUND(D23*Labor!$D$4,0)</f>
        <v>327</v>
      </c>
      <c r="E24" s="374">
        <f>ROUND(E23*Labor!$D$5,0)</f>
        <v>353</v>
      </c>
      <c r="F24" s="374">
        <f>ROUND(F23*Labor!$D$6,0)</f>
        <v>0</v>
      </c>
      <c r="G24" s="374">
        <f>ROUND(G23*Labor!$D$7,0)</f>
        <v>0</v>
      </c>
      <c r="H24" s="374">
        <f>ROUND(H23*Labor!$D$8,0)</f>
        <v>0</v>
      </c>
      <c r="I24" s="375">
        <f>SUM(C24:H24)</f>
        <v>680</v>
      </c>
      <c r="J24" s="332">
        <f>HLOOKUP(Labor!$B$11,InflationTable,2)*I24</f>
        <v>918.54525707516632</v>
      </c>
      <c r="K24" s="296">
        <f>J24*$L$4</f>
        <v>39497.446054232154</v>
      </c>
      <c r="L24" s="297">
        <f>K24/$E$15</f>
        <v>7899.489210846431</v>
      </c>
      <c r="M24" s="376">
        <f>HLOOKUP(Labor!$B$11,InflationTable,3)*$I24</f>
        <v>943.63315427699149</v>
      </c>
      <c r="N24" s="377">
        <f>M24*$O$4</f>
        <v>40576.225633910632</v>
      </c>
      <c r="O24" s="378">
        <f>N24/$E$15</f>
        <v>8115.2451267821261</v>
      </c>
      <c r="P24" s="339">
        <f>HLOOKUP(Labor!$B$11,InflationTable,4)*$I24</f>
        <v>954.9406850391016</v>
      </c>
      <c r="Q24" s="296">
        <f>P24*$R$4</f>
        <v>41062.449456681366</v>
      </c>
      <c r="R24" s="297">
        <f>Q24/$E$15</f>
        <v>8212.489891336274</v>
      </c>
      <c r="S24" s="211">
        <f>AVERAGE(L24,O24,R24)</f>
        <v>8075.7414096549437</v>
      </c>
      <c r="T24" s="393" t="s">
        <v>12</v>
      </c>
      <c r="U24" s="392" t="s">
        <v>12</v>
      </c>
    </row>
    <row r="25" spans="1:21" x14ac:dyDescent="0.25">
      <c r="A25" s="615"/>
      <c r="B25" s="605" t="s">
        <v>66</v>
      </c>
      <c r="C25" s="33">
        <f t="shared" ref="C25:I25" si="5">C21+C23</f>
        <v>0</v>
      </c>
      <c r="D25" s="33">
        <f t="shared" si="5"/>
        <v>8</v>
      </c>
      <c r="E25" s="33">
        <f t="shared" si="5"/>
        <v>8</v>
      </c>
      <c r="F25" s="33">
        <f t="shared" si="5"/>
        <v>4</v>
      </c>
      <c r="G25" s="33">
        <f t="shared" si="5"/>
        <v>4</v>
      </c>
      <c r="H25" s="33">
        <f t="shared" si="5"/>
        <v>0</v>
      </c>
      <c r="I25" s="49">
        <f t="shared" si="5"/>
        <v>24</v>
      </c>
      <c r="J25" s="284" t="s">
        <v>12</v>
      </c>
      <c r="K25" s="285">
        <f>K21+K23</f>
        <v>1049.2</v>
      </c>
      <c r="L25" s="286">
        <f>L21+L23</f>
        <v>209.83999999999997</v>
      </c>
      <c r="M25" s="44" t="s">
        <v>12</v>
      </c>
      <c r="N25" s="33">
        <f>N21+N23</f>
        <v>1049.2</v>
      </c>
      <c r="O25" s="40">
        <f>O21+O23</f>
        <v>209.83999999999997</v>
      </c>
      <c r="P25" s="284" t="s">
        <v>12</v>
      </c>
      <c r="Q25" s="285">
        <f>Q21+Q23</f>
        <v>1049.2</v>
      </c>
      <c r="R25" s="286">
        <f>R21+R23</f>
        <v>209.83999999999997</v>
      </c>
      <c r="S25" s="175">
        <f>AVERAGE(L25,O25,R25)</f>
        <v>209.84</v>
      </c>
      <c r="T25" s="136" t="s">
        <v>12</v>
      </c>
      <c r="U25" s="147" t="s">
        <v>12</v>
      </c>
    </row>
    <row r="26" spans="1:21" ht="13.8" thickBot="1" x14ac:dyDescent="0.3">
      <c r="A26" s="615"/>
      <c r="B26" s="606" t="s">
        <v>67</v>
      </c>
      <c r="C26" s="240">
        <f t="shared" ref="C26:J26" si="6">C24+C22</f>
        <v>0</v>
      </c>
      <c r="D26" s="240">
        <f t="shared" si="6"/>
        <v>327</v>
      </c>
      <c r="E26" s="240">
        <f t="shared" si="6"/>
        <v>353</v>
      </c>
      <c r="F26" s="240">
        <f t="shared" si="6"/>
        <v>197</v>
      </c>
      <c r="G26" s="240">
        <f t="shared" si="6"/>
        <v>222</v>
      </c>
      <c r="H26" s="240">
        <f t="shared" si="6"/>
        <v>0</v>
      </c>
      <c r="I26" s="241">
        <f t="shared" si="6"/>
        <v>1099</v>
      </c>
      <c r="J26" s="274">
        <f t="shared" si="6"/>
        <v>1484.5312316553054</v>
      </c>
      <c r="K26" s="287"/>
      <c r="L26" s="276">
        <f>L24+L22+L19+L18</f>
        <v>223848.29044359122</v>
      </c>
      <c r="M26" s="242">
        <f>M24+M22</f>
        <v>1525.0777008094319</v>
      </c>
      <c r="N26" s="247"/>
      <c r="O26" s="243">
        <f>O24+O22+O19+O18</f>
        <v>229712.1573699766</v>
      </c>
      <c r="P26" s="274">
        <f>P24+P22</f>
        <v>1543.3526659676068</v>
      </c>
      <c r="Q26" s="287"/>
      <c r="R26" s="276">
        <f>R24+R22+R19+R18</f>
        <v>232464.7919866374</v>
      </c>
      <c r="S26" s="248">
        <f>SUM(S24,S22)</f>
        <v>13132.947905195873</v>
      </c>
      <c r="T26" s="249" t="s">
        <v>12</v>
      </c>
      <c r="U26" s="250">
        <f>SUM(U18:U19)</f>
        <v>215542.13202820584</v>
      </c>
    </row>
    <row r="27" spans="1:21" ht="14.4" thickTop="1" thickBot="1" x14ac:dyDescent="0.3">
      <c r="A27" s="615"/>
      <c r="B27" s="5"/>
      <c r="C27" s="618"/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20"/>
    </row>
    <row r="28" spans="1:21" ht="16.2" thickTop="1" x14ac:dyDescent="0.3">
      <c r="A28" s="615"/>
      <c r="B28" s="613" t="s">
        <v>22</v>
      </c>
      <c r="C28" s="5"/>
      <c r="D28" s="5"/>
      <c r="E28" s="5"/>
      <c r="F28" s="112" t="s">
        <v>6</v>
      </c>
      <c r="G28" s="1415"/>
      <c r="H28" s="1416"/>
      <c r="I28" s="1417"/>
      <c r="J28" s="244" t="s">
        <v>22</v>
      </c>
      <c r="K28" s="426"/>
      <c r="L28" s="180"/>
      <c r="M28" s="244" t="s">
        <v>22</v>
      </c>
      <c r="N28" s="426"/>
      <c r="O28" s="67"/>
      <c r="P28" s="244" t="s">
        <v>22</v>
      </c>
      <c r="Q28" s="426"/>
      <c r="R28" s="67"/>
      <c r="S28" s="225"/>
      <c r="T28" s="37"/>
      <c r="U28" s="138"/>
    </row>
    <row r="29" spans="1:21" x14ac:dyDescent="0.25">
      <c r="A29" s="615"/>
      <c r="B29" s="5"/>
      <c r="C29" s="5"/>
      <c r="D29" s="5"/>
      <c r="E29" s="5"/>
      <c r="F29" s="112"/>
      <c r="G29" s="1418"/>
      <c r="H29" s="1418"/>
      <c r="I29" s="1419"/>
      <c r="J29" s="277" t="s">
        <v>61</v>
      </c>
      <c r="K29" s="1437" t="s">
        <v>57</v>
      </c>
      <c r="L29" s="1438"/>
      <c r="M29" s="57" t="s">
        <v>61</v>
      </c>
      <c r="N29" s="1432" t="s">
        <v>57</v>
      </c>
      <c r="O29" s="1433"/>
      <c r="P29" s="277" t="s">
        <v>61</v>
      </c>
      <c r="Q29" s="1422" t="s">
        <v>57</v>
      </c>
      <c r="R29" s="1423"/>
      <c r="S29" s="131"/>
      <c r="T29" s="37"/>
      <c r="U29" s="138"/>
    </row>
    <row r="30" spans="1:21" x14ac:dyDescent="0.25">
      <c r="A30" s="615"/>
      <c r="B30" s="611" t="s">
        <v>18</v>
      </c>
      <c r="C30" s="23" t="s">
        <v>60</v>
      </c>
      <c r="D30" s="23" t="s">
        <v>62</v>
      </c>
      <c r="E30" s="9"/>
      <c r="F30" s="72"/>
      <c r="G30" s="72"/>
      <c r="H30" s="72"/>
      <c r="I30" s="37"/>
      <c r="J30" s="261" t="s">
        <v>56</v>
      </c>
      <c r="K30" s="261" t="s">
        <v>13</v>
      </c>
      <c r="L30" s="262" t="s">
        <v>68</v>
      </c>
      <c r="M30" s="77" t="s">
        <v>56</v>
      </c>
      <c r="N30" s="24" t="s">
        <v>13</v>
      </c>
      <c r="O30" s="38" t="s">
        <v>68</v>
      </c>
      <c r="P30" s="260" t="s">
        <v>56</v>
      </c>
      <c r="Q30" s="261" t="s">
        <v>13</v>
      </c>
      <c r="R30" s="262" t="s">
        <v>68</v>
      </c>
      <c r="S30" s="123"/>
      <c r="T30" s="37"/>
      <c r="U30" s="138"/>
    </row>
    <row r="31" spans="1:21" ht="13.8" thickBot="1" x14ac:dyDescent="0.3">
      <c r="A31" s="615"/>
      <c r="B31" s="361"/>
      <c r="C31" s="353">
        <f>VLOOKUP(C$2,Monitor_Costs,4,FALSE)</f>
        <v>750</v>
      </c>
      <c r="D31" s="34">
        <f>VLOOKUP(C$2,Monitor_Costs,5,FALSE)</f>
        <v>2019</v>
      </c>
      <c r="E31" s="4"/>
      <c r="F31" s="12"/>
      <c r="G31" s="4"/>
      <c r="H31" s="361"/>
      <c r="I31" s="363"/>
      <c r="J31" s="355">
        <f>HLOOKUP($D$31,InflationTable,2)*$C$31</f>
        <v>1013.1013864799628</v>
      </c>
      <c r="K31" s="355">
        <f>J31*$L$4</f>
        <v>43563.359618638402</v>
      </c>
      <c r="L31" s="308">
        <f>K31</f>
        <v>43563.359618638402</v>
      </c>
      <c r="M31" s="171">
        <f>HLOOKUP($D$31,InflationTable,3)*$C$31</f>
        <v>1040.771861334917</v>
      </c>
      <c r="N31" s="357">
        <f>M31*$O$4</f>
        <v>44753.190037401437</v>
      </c>
      <c r="O31" s="95">
        <f>N31</f>
        <v>44753.190037401437</v>
      </c>
      <c r="P31" s="355">
        <f>HLOOKUP($D$31,InflationTable,4)*$C$31</f>
        <v>1053.2434026166561</v>
      </c>
      <c r="Q31" s="355">
        <f>P31*$R$4</f>
        <v>45289.466312516211</v>
      </c>
      <c r="R31" s="308">
        <f>Q31</f>
        <v>45289.466312516211</v>
      </c>
      <c r="S31" s="359" t="s">
        <v>12</v>
      </c>
      <c r="T31" s="360">
        <f>AVERAGE(L31,O31,R31)</f>
        <v>44535.338656185348</v>
      </c>
      <c r="U31" s="142" t="s">
        <v>12</v>
      </c>
    </row>
    <row r="32" spans="1:21" x14ac:dyDescent="0.25">
      <c r="A32" s="615"/>
      <c r="B32" s="465" t="s">
        <v>23</v>
      </c>
      <c r="C32" s="107" t="s">
        <v>45</v>
      </c>
      <c r="D32" s="108" t="s">
        <v>46</v>
      </c>
      <c r="E32" s="107" t="s">
        <v>47</v>
      </c>
      <c r="F32" s="107" t="s">
        <v>48</v>
      </c>
      <c r="G32" s="107" t="s">
        <v>49</v>
      </c>
      <c r="H32" s="107" t="s">
        <v>50</v>
      </c>
      <c r="I32" s="350" t="s">
        <v>74</v>
      </c>
      <c r="J32" s="352"/>
      <c r="K32" s="352"/>
      <c r="L32" s="356"/>
      <c r="M32" s="110"/>
      <c r="N32" s="108"/>
      <c r="O32" s="111"/>
      <c r="P32" s="352"/>
      <c r="Q32" s="352"/>
      <c r="R32" s="356"/>
      <c r="S32" s="123"/>
      <c r="T32" s="37"/>
      <c r="U32" s="138"/>
    </row>
    <row r="33" spans="1:21" x14ac:dyDescent="0.25">
      <c r="A33" s="615"/>
      <c r="B33" s="614" t="s">
        <v>4</v>
      </c>
      <c r="C33" s="21">
        <v>0</v>
      </c>
      <c r="D33" s="21">
        <v>60</v>
      </c>
      <c r="E33" s="21">
        <v>60</v>
      </c>
      <c r="F33" s="21">
        <v>0</v>
      </c>
      <c r="G33" s="21">
        <v>0</v>
      </c>
      <c r="H33" s="21">
        <v>0</v>
      </c>
      <c r="I33" s="48">
        <f>SUM(C33:H33)</f>
        <v>120</v>
      </c>
      <c r="J33" s="299" t="s">
        <v>12</v>
      </c>
      <c r="K33" s="281">
        <f>I33*$L$4</f>
        <v>5160</v>
      </c>
      <c r="L33" s="289">
        <f>K33</f>
        <v>5160</v>
      </c>
      <c r="M33" s="58" t="s">
        <v>12</v>
      </c>
      <c r="N33" s="69">
        <f>$I$33*$O$4</f>
        <v>5160</v>
      </c>
      <c r="O33" s="68">
        <f>N33</f>
        <v>5160</v>
      </c>
      <c r="P33" s="299" t="s">
        <v>12</v>
      </c>
      <c r="Q33" s="281">
        <f>$I$33*$R$4</f>
        <v>5160</v>
      </c>
      <c r="R33" s="289">
        <f>Q33</f>
        <v>5160</v>
      </c>
      <c r="S33" s="121">
        <f>AVERAGE(L33,O33,R33)</f>
        <v>5160</v>
      </c>
      <c r="T33" s="119" t="s">
        <v>12</v>
      </c>
      <c r="U33" s="140" t="s">
        <v>12</v>
      </c>
    </row>
    <row r="34" spans="1:21" s="1" customFormat="1" ht="13.8" thickBot="1" x14ac:dyDescent="0.3">
      <c r="A34" s="616"/>
      <c r="B34" s="604" t="s">
        <v>8</v>
      </c>
      <c r="C34" s="373">
        <f>ROUND(C33*Labor!$D$3,0)</f>
        <v>0</v>
      </c>
      <c r="D34" s="374">
        <f>ROUND(D33*Labor!$D$4,0)</f>
        <v>2451</v>
      </c>
      <c r="E34" s="374">
        <f>ROUND(E33*Labor!$D$5,0)</f>
        <v>2647</v>
      </c>
      <c r="F34" s="374">
        <f>ROUND(F33*Labor!$D$6,0)</f>
        <v>0</v>
      </c>
      <c r="G34" s="374">
        <f>ROUND(G33*Labor!$D$7,0)</f>
        <v>0</v>
      </c>
      <c r="H34" s="374">
        <f>ROUND(H33*Labor!$D$8,0)</f>
        <v>0</v>
      </c>
      <c r="I34" s="375">
        <f>SUM(C34:H34)</f>
        <v>5098</v>
      </c>
      <c r="J34" s="296">
        <f>HLOOKUP(Labor!$B$11,InflationTable,2)*I34</f>
        <v>6886.3878243664676</v>
      </c>
      <c r="K34" s="296">
        <f>J34*$L$4</f>
        <v>296114.6764477581</v>
      </c>
      <c r="L34" s="390">
        <f>K34</f>
        <v>296114.6764477581</v>
      </c>
      <c r="M34" s="376">
        <f>HLOOKUP(Labor!$B$11,InflationTable,3)*I34</f>
        <v>7074.47326544721</v>
      </c>
      <c r="N34" s="377">
        <f>M34*$O$4</f>
        <v>304202.35041423002</v>
      </c>
      <c r="O34" s="378">
        <f>N34</f>
        <v>304202.35041423002</v>
      </c>
      <c r="P34" s="296">
        <f>HLOOKUP(Labor!$B$11,InflationTable,4)*$I$34</f>
        <v>7159.2464887196174</v>
      </c>
      <c r="Q34" s="296">
        <f>P34*$R$4</f>
        <v>307847.59901494352</v>
      </c>
      <c r="R34" s="390">
        <f>Q34</f>
        <v>307847.59901494352</v>
      </c>
      <c r="S34" s="211">
        <f>AVERAGE(L34,O34,R34)</f>
        <v>302721.54195897724</v>
      </c>
      <c r="T34" s="393" t="s">
        <v>12</v>
      </c>
      <c r="U34" s="392" t="s">
        <v>12</v>
      </c>
    </row>
    <row r="35" spans="1:21" x14ac:dyDescent="0.25">
      <c r="A35" s="615"/>
      <c r="B35" s="605" t="s">
        <v>66</v>
      </c>
      <c r="C35" s="36">
        <f t="shared" ref="C35:I35" si="7">C33</f>
        <v>0</v>
      </c>
      <c r="D35" s="36">
        <f t="shared" si="7"/>
        <v>60</v>
      </c>
      <c r="E35" s="36">
        <f t="shared" si="7"/>
        <v>60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51">
        <f t="shared" si="7"/>
        <v>120</v>
      </c>
      <c r="J35" s="307" t="s">
        <v>12</v>
      </c>
      <c r="K35" s="302">
        <f>K33</f>
        <v>5160</v>
      </c>
      <c r="L35" s="303">
        <f>L33</f>
        <v>5160</v>
      </c>
      <c r="M35" s="85" t="s">
        <v>12</v>
      </c>
      <c r="N35" s="82">
        <f>N33</f>
        <v>5160</v>
      </c>
      <c r="O35" s="96">
        <f>O33</f>
        <v>5160</v>
      </c>
      <c r="P35" s="301" t="s">
        <v>12</v>
      </c>
      <c r="Q35" s="302">
        <f>Q33</f>
        <v>5160</v>
      </c>
      <c r="R35" s="303">
        <f>R33</f>
        <v>5160</v>
      </c>
      <c r="S35" s="96">
        <f>S33</f>
        <v>5160</v>
      </c>
      <c r="T35" s="136" t="s">
        <v>12</v>
      </c>
      <c r="U35" s="147" t="s">
        <v>12</v>
      </c>
    </row>
    <row r="36" spans="1:21" ht="13.8" thickBot="1" x14ac:dyDescent="0.3">
      <c r="A36" s="615"/>
      <c r="B36" s="606" t="s">
        <v>67</v>
      </c>
      <c r="C36" s="240">
        <f>C34</f>
        <v>0</v>
      </c>
      <c r="D36" s="240">
        <f>D34</f>
        <v>2451</v>
      </c>
      <c r="E36" s="240">
        <f>E34</f>
        <v>2647</v>
      </c>
      <c r="F36" s="240">
        <f>F34</f>
        <v>0</v>
      </c>
      <c r="G36" s="240">
        <f>G34</f>
        <v>0</v>
      </c>
      <c r="H36" s="240">
        <f t="shared" ref="H36" si="8">H35</f>
        <v>0</v>
      </c>
      <c r="I36" s="251">
        <f>I34+C31</f>
        <v>5848</v>
      </c>
      <c r="J36" s="305">
        <f t="shared" ref="J36:R36" si="9">J34+J31</f>
        <v>7899.4892108464301</v>
      </c>
      <c r="K36" s="305">
        <f t="shared" si="9"/>
        <v>339678.03606639651</v>
      </c>
      <c r="L36" s="306">
        <f t="shared" si="9"/>
        <v>339678.03606639651</v>
      </c>
      <c r="M36" s="252">
        <f t="shared" si="9"/>
        <v>8115.245126782127</v>
      </c>
      <c r="N36" s="253">
        <f t="shared" si="9"/>
        <v>348955.54045163147</v>
      </c>
      <c r="O36" s="254">
        <f t="shared" si="9"/>
        <v>348955.54045163147</v>
      </c>
      <c r="P36" s="304">
        <f t="shared" si="9"/>
        <v>8212.489891336274</v>
      </c>
      <c r="Q36" s="305">
        <f t="shared" si="9"/>
        <v>353137.06532745971</v>
      </c>
      <c r="R36" s="306">
        <f t="shared" si="9"/>
        <v>353137.06532745971</v>
      </c>
      <c r="S36" s="255">
        <f>AVERAGE(L36,O36,R36)</f>
        <v>347256.8806151626</v>
      </c>
      <c r="T36" s="251">
        <f>T31</f>
        <v>44535.338656185348</v>
      </c>
      <c r="U36" s="224" t="s">
        <v>12</v>
      </c>
    </row>
    <row r="37" spans="1:21" ht="14.4" thickTop="1" thickBot="1" x14ac:dyDescent="0.3">
      <c r="A37" s="615"/>
      <c r="B37" s="617"/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7"/>
      <c r="O37" s="618"/>
      <c r="P37" s="618"/>
      <c r="Q37" s="618"/>
      <c r="R37" s="618"/>
      <c r="S37" s="618"/>
      <c r="T37" s="618"/>
      <c r="U37" s="620"/>
    </row>
    <row r="38" spans="1:21" ht="16.2" thickTop="1" x14ac:dyDescent="0.3">
      <c r="A38" s="615"/>
      <c r="B38" s="80" t="s">
        <v>24</v>
      </c>
      <c r="C38" s="5"/>
      <c r="D38" s="5"/>
      <c r="E38" s="5"/>
      <c r="F38" s="112" t="s">
        <v>6</v>
      </c>
      <c r="G38" s="1415"/>
      <c r="H38" s="1416"/>
      <c r="I38" s="1417"/>
      <c r="J38" s="181" t="s">
        <v>24</v>
      </c>
      <c r="K38" s="426"/>
      <c r="L38" s="180"/>
      <c r="M38" s="181" t="s">
        <v>24</v>
      </c>
      <c r="N38" s="319"/>
      <c r="O38" s="67"/>
      <c r="P38" s="181" t="s">
        <v>24</v>
      </c>
      <c r="Q38" s="426"/>
      <c r="R38" s="67"/>
      <c r="S38" s="225"/>
      <c r="T38" s="37"/>
      <c r="U38" s="138"/>
    </row>
    <row r="39" spans="1:21" x14ac:dyDescent="0.25">
      <c r="A39" s="615"/>
      <c r="B39" s="5"/>
      <c r="C39" s="5"/>
      <c r="D39" s="5"/>
      <c r="E39" s="5"/>
      <c r="F39" s="112"/>
      <c r="G39" s="1418"/>
      <c r="H39" s="1418"/>
      <c r="I39" s="1419"/>
      <c r="J39" s="277" t="s">
        <v>61</v>
      </c>
      <c r="K39" s="1422" t="s">
        <v>57</v>
      </c>
      <c r="L39" s="1423"/>
      <c r="M39" s="57" t="s">
        <v>61</v>
      </c>
      <c r="N39" s="1432" t="s">
        <v>57</v>
      </c>
      <c r="O39" s="1433"/>
      <c r="P39" s="277" t="s">
        <v>61</v>
      </c>
      <c r="Q39" s="1422" t="s">
        <v>57</v>
      </c>
      <c r="R39" s="1423"/>
      <c r="S39" s="131"/>
      <c r="T39" s="37"/>
      <c r="U39" s="138"/>
    </row>
    <row r="40" spans="1:21" x14ac:dyDescent="0.25">
      <c r="A40" s="615"/>
      <c r="B40" s="611" t="s">
        <v>19</v>
      </c>
      <c r="C40" s="23" t="s">
        <v>60</v>
      </c>
      <c r="D40" s="23" t="s">
        <v>62</v>
      </c>
      <c r="E40" s="9"/>
      <c r="F40" s="72"/>
      <c r="G40" s="72"/>
      <c r="H40" s="72"/>
      <c r="I40" s="73"/>
      <c r="J40" s="260" t="s">
        <v>56</v>
      </c>
      <c r="K40" s="261" t="s">
        <v>13</v>
      </c>
      <c r="L40" s="262" t="s">
        <v>68</v>
      </c>
      <c r="M40" s="77" t="s">
        <v>56</v>
      </c>
      <c r="N40" s="24" t="s">
        <v>13</v>
      </c>
      <c r="O40" s="38" t="s">
        <v>68</v>
      </c>
      <c r="P40" s="260" t="s">
        <v>56</v>
      </c>
      <c r="Q40" s="261" t="s">
        <v>13</v>
      </c>
      <c r="R40" s="262" t="s">
        <v>68</v>
      </c>
      <c r="S40" s="123"/>
      <c r="T40" s="73"/>
      <c r="U40" s="138"/>
    </row>
    <row r="41" spans="1:21" ht="13.8" thickBot="1" x14ac:dyDescent="0.3">
      <c r="A41" s="615"/>
      <c r="B41" s="361"/>
      <c r="C41" s="353">
        <f>VLOOKUP(C$2,Monitor_Costs,6,FALSE)</f>
        <v>2000</v>
      </c>
      <c r="D41" s="34">
        <f>VLOOKUP(C$2,Monitor_Costs,7,FALSE)</f>
        <v>2019</v>
      </c>
      <c r="E41" s="354"/>
      <c r="F41" s="71"/>
      <c r="G41" s="56"/>
      <c r="H41" s="56"/>
      <c r="I41" s="54"/>
      <c r="J41" s="355">
        <f>HLOOKUP(D41,InflationTable,2)*C41</f>
        <v>2701.6036972799011</v>
      </c>
      <c r="K41" s="355">
        <f>J41*$L$4</f>
        <v>116168.95898303574</v>
      </c>
      <c r="L41" s="308">
        <f>K41</f>
        <v>116168.95898303574</v>
      </c>
      <c r="M41" s="357">
        <f>HLOOKUP($D$41,InflationTable,3)*$C$41</f>
        <v>2775.3916302264456</v>
      </c>
      <c r="N41" s="357">
        <f>M41*$O$4</f>
        <v>119341.84009973716</v>
      </c>
      <c r="O41" s="95">
        <f>N41</f>
        <v>119341.84009973716</v>
      </c>
      <c r="P41" s="358">
        <f>HLOOKUP($D$41,InflationTable,4)*$C$41</f>
        <v>2808.6490736444161</v>
      </c>
      <c r="Q41" s="355">
        <f>P41*$R$4</f>
        <v>120771.91016670989</v>
      </c>
      <c r="R41" s="308">
        <f>Q41</f>
        <v>120771.91016670989</v>
      </c>
      <c r="S41" s="359" t="s">
        <v>12</v>
      </c>
      <c r="T41" s="360">
        <f>AVERAGE(L41,O41,R41)</f>
        <v>118760.90308316094</v>
      </c>
      <c r="U41" s="142" t="s">
        <v>12</v>
      </c>
    </row>
    <row r="42" spans="1:21" x14ac:dyDescent="0.25">
      <c r="A42" s="615"/>
      <c r="B42" s="465" t="s">
        <v>25</v>
      </c>
      <c r="C42" s="107" t="s">
        <v>45</v>
      </c>
      <c r="D42" s="108" t="s">
        <v>46</v>
      </c>
      <c r="E42" s="107" t="s">
        <v>47</v>
      </c>
      <c r="F42" s="107" t="s">
        <v>48</v>
      </c>
      <c r="G42" s="107" t="s">
        <v>49</v>
      </c>
      <c r="H42" s="107" t="s">
        <v>50</v>
      </c>
      <c r="I42" s="350" t="s">
        <v>74</v>
      </c>
      <c r="J42" s="351"/>
      <c r="K42" s="352"/>
      <c r="L42" s="356"/>
      <c r="M42" s="110"/>
      <c r="N42" s="108"/>
      <c r="O42" s="111"/>
      <c r="P42" s="351"/>
      <c r="Q42" s="352"/>
      <c r="R42" s="356"/>
      <c r="S42" s="134"/>
      <c r="T42" s="136"/>
      <c r="U42" s="138"/>
    </row>
    <row r="43" spans="1:21" x14ac:dyDescent="0.25">
      <c r="B43" s="566" t="s">
        <v>4</v>
      </c>
      <c r="C43" s="21">
        <v>0</v>
      </c>
      <c r="D43" s="21">
        <v>0</v>
      </c>
      <c r="E43" s="21">
        <v>8</v>
      </c>
      <c r="F43" s="21">
        <v>8</v>
      </c>
      <c r="G43" s="21">
        <v>0</v>
      </c>
      <c r="H43" s="21">
        <v>0</v>
      </c>
      <c r="I43" s="52">
        <f>SUM(C43:H43)</f>
        <v>16</v>
      </c>
      <c r="J43" s="263" t="s">
        <v>12</v>
      </c>
      <c r="K43" s="281">
        <f>I43*$L$4</f>
        <v>688</v>
      </c>
      <c r="L43" s="289">
        <f>K43</f>
        <v>688</v>
      </c>
      <c r="M43" s="58" t="s">
        <v>12</v>
      </c>
      <c r="N43" s="69">
        <f>$I$43*$O$4</f>
        <v>688</v>
      </c>
      <c r="O43" s="68">
        <f>N43</f>
        <v>688</v>
      </c>
      <c r="P43" s="263" t="s">
        <v>12</v>
      </c>
      <c r="Q43" s="281">
        <f>$I$43*$R$4</f>
        <v>688</v>
      </c>
      <c r="R43" s="289">
        <f>Q43</f>
        <v>688</v>
      </c>
      <c r="S43" s="121">
        <f>AVERAGE(L43,O43,R43)</f>
        <v>688</v>
      </c>
      <c r="T43" s="119" t="s">
        <v>12</v>
      </c>
      <c r="U43" s="140" t="s">
        <v>12</v>
      </c>
    </row>
    <row r="44" spans="1:21" ht="13.8" thickBot="1" x14ac:dyDescent="0.3">
      <c r="B44" s="567" t="s">
        <v>8</v>
      </c>
      <c r="C44" s="34">
        <f>ROUND(C43*Labor!$D$3,0)</f>
        <v>0</v>
      </c>
      <c r="D44" s="35">
        <f>ROUND(D43*Labor!$D$4,0)</f>
        <v>0</v>
      </c>
      <c r="E44" s="35">
        <f>ROUND(E43*Labor!$D$5,0)</f>
        <v>353</v>
      </c>
      <c r="F44" s="35">
        <f>ROUND(F43*Labor!$D$6,0)</f>
        <v>394</v>
      </c>
      <c r="G44" s="35">
        <f>ROUND(G43*Labor!$D$7,0)</f>
        <v>0</v>
      </c>
      <c r="H44" s="35">
        <f>ROUND(H43*Labor!$D$8,0)</f>
        <v>0</v>
      </c>
      <c r="I44" s="39">
        <f>SUM(C44:H44)</f>
        <v>747</v>
      </c>
      <c r="J44" s="292">
        <f>HLOOKUP(Labor!$B$11,InflationTable,2)*I44</f>
        <v>1009.048980934043</v>
      </c>
      <c r="K44" s="269">
        <f>J44*$L$4</f>
        <v>43389.10618016385</v>
      </c>
      <c r="L44" s="308">
        <f>K44</f>
        <v>43389.10618016385</v>
      </c>
      <c r="M44" s="84">
        <f>HLOOKUP(Labor!$B$11,InflationTable,3)*$I$44</f>
        <v>1036.6087738895774</v>
      </c>
      <c r="N44" s="63">
        <f>M44*$O$4</f>
        <v>44574.177277251831</v>
      </c>
      <c r="O44" s="95">
        <f>N44</f>
        <v>44574.177277251831</v>
      </c>
      <c r="P44" s="268">
        <f>HLOOKUP(Labor!$B$11,InflationTable,4)*$I$44</f>
        <v>1049.0304290061895</v>
      </c>
      <c r="Q44" s="269">
        <f>P44*$O$4</f>
        <v>45108.30844726615</v>
      </c>
      <c r="R44" s="308">
        <f>Q44</f>
        <v>45108.30844726615</v>
      </c>
      <c r="S44" s="128">
        <f>AVERAGE(L44,O44,R44)</f>
        <v>44357.197301560605</v>
      </c>
      <c r="T44" s="149" t="s">
        <v>12</v>
      </c>
      <c r="U44" s="142" t="s">
        <v>12</v>
      </c>
    </row>
    <row r="45" spans="1:21" x14ac:dyDescent="0.25">
      <c r="B45" s="565" t="s">
        <v>117</v>
      </c>
      <c r="C45" s="346">
        <v>0</v>
      </c>
      <c r="D45" s="346">
        <v>0</v>
      </c>
      <c r="E45" s="346">
        <v>30</v>
      </c>
      <c r="F45" s="346">
        <v>40</v>
      </c>
      <c r="G45" s="346">
        <v>0</v>
      </c>
      <c r="H45" s="346">
        <v>0</v>
      </c>
      <c r="I45" s="347">
        <f>SUM(C45:H45)</f>
        <v>70</v>
      </c>
      <c r="J45" s="293" t="s">
        <v>12</v>
      </c>
      <c r="K45" s="327">
        <f>I45*$L$4</f>
        <v>3010</v>
      </c>
      <c r="L45" s="328">
        <f>K45</f>
        <v>3010</v>
      </c>
      <c r="M45" s="61" t="s">
        <v>12</v>
      </c>
      <c r="N45" s="348">
        <f>$I$45*$O$4</f>
        <v>3010</v>
      </c>
      <c r="O45" s="349">
        <f>N45</f>
        <v>3010</v>
      </c>
      <c r="P45" s="293" t="s">
        <v>12</v>
      </c>
      <c r="Q45" s="327">
        <f>$I$45*$R$4</f>
        <v>3010</v>
      </c>
      <c r="R45" s="328">
        <f>Q45</f>
        <v>3010</v>
      </c>
      <c r="S45" s="129">
        <f>AVERAGE(L45,O45,R45)</f>
        <v>3010</v>
      </c>
      <c r="T45" s="119" t="s">
        <v>12</v>
      </c>
      <c r="U45" s="140" t="s">
        <v>12</v>
      </c>
    </row>
    <row r="46" spans="1:21" ht="13.8" thickBot="1" x14ac:dyDescent="0.3">
      <c r="B46" s="568" t="s">
        <v>8</v>
      </c>
      <c r="C46" s="34">
        <f>ROUND(C45*Labor!$D$3,0)</f>
        <v>0</v>
      </c>
      <c r="D46" s="35">
        <f>ROUND(D45*Labor!$D$4,0)</f>
        <v>0</v>
      </c>
      <c r="E46" s="35">
        <f>ROUND(E45*Labor!$D$5,0)</f>
        <v>1324</v>
      </c>
      <c r="F46" s="35">
        <f>ROUND(F45*Labor!$D$6,0)</f>
        <v>1971</v>
      </c>
      <c r="G46" s="35">
        <f>ROUND(G45*Labor!$D$7,0)</f>
        <v>0</v>
      </c>
      <c r="H46" s="35">
        <f>ROUND(H45*Labor!$D$8,0)</f>
        <v>0</v>
      </c>
      <c r="I46" s="39">
        <f>SUM(C46:H46)</f>
        <v>3295</v>
      </c>
      <c r="J46" s="268">
        <f>HLOOKUP(Labor!$B$11,InflationTable,2)*$I$46</f>
        <v>4450.8920912686372</v>
      </c>
      <c r="K46" s="269">
        <f>J46*$L$4</f>
        <v>191388.35992455139</v>
      </c>
      <c r="L46" s="308">
        <f>K46</f>
        <v>191388.35992455139</v>
      </c>
      <c r="M46" s="84">
        <f>HLOOKUP(Labor!$B$11,InflationTable,3)*$I$46</f>
        <v>4572.4577107980695</v>
      </c>
      <c r="N46" s="63">
        <f>M46*$O$4</f>
        <v>196615.681564317</v>
      </c>
      <c r="O46" s="95">
        <f>N46</f>
        <v>196615.681564317</v>
      </c>
      <c r="P46" s="268">
        <f>HLOOKUP(Labor!$B$11,InflationTable,4)*$I$46</f>
        <v>4627.2493488291757</v>
      </c>
      <c r="Q46" s="269">
        <f>P46*$R$4</f>
        <v>198971.72199965455</v>
      </c>
      <c r="R46" s="308">
        <f>Q46</f>
        <v>198971.72199965455</v>
      </c>
      <c r="S46" s="132">
        <f>AVERAGE(L46,O46,R46)</f>
        <v>195658.58782950765</v>
      </c>
      <c r="T46" s="149" t="s">
        <v>12</v>
      </c>
      <c r="U46" s="142" t="s">
        <v>12</v>
      </c>
    </row>
    <row r="47" spans="1:21" x14ac:dyDescent="0.25">
      <c r="B47" s="560" t="s">
        <v>66</v>
      </c>
      <c r="C47" s="36">
        <f t="shared" ref="C47:I47" si="10">C43+C45</f>
        <v>0</v>
      </c>
      <c r="D47" s="36">
        <f t="shared" si="10"/>
        <v>0</v>
      </c>
      <c r="E47" s="36">
        <f t="shared" si="10"/>
        <v>38</v>
      </c>
      <c r="F47" s="36">
        <f t="shared" si="10"/>
        <v>48</v>
      </c>
      <c r="G47" s="36">
        <f t="shared" si="10"/>
        <v>0</v>
      </c>
      <c r="H47" s="36">
        <f t="shared" si="10"/>
        <v>0</v>
      </c>
      <c r="I47" s="46">
        <f t="shared" si="10"/>
        <v>86</v>
      </c>
      <c r="J47" s="301" t="s">
        <v>12</v>
      </c>
      <c r="K47" s="309">
        <f>K43+K45</f>
        <v>3698</v>
      </c>
      <c r="L47" s="310">
        <f>L43+L45</f>
        <v>3698</v>
      </c>
      <c r="M47" s="85" t="s">
        <v>12</v>
      </c>
      <c r="N47" s="86">
        <f>N43+N45</f>
        <v>3698</v>
      </c>
      <c r="O47" s="97">
        <f>O43+O45</f>
        <v>3698</v>
      </c>
      <c r="P47" s="301" t="s">
        <v>12</v>
      </c>
      <c r="Q47" s="309">
        <f>Q43+Q45</f>
        <v>3698</v>
      </c>
      <c r="R47" s="310">
        <f>R43+R45</f>
        <v>3698</v>
      </c>
      <c r="S47" s="121">
        <f>AVERAGE(L47,O47,R47)</f>
        <v>3698</v>
      </c>
      <c r="T47" s="136" t="s">
        <v>12</v>
      </c>
      <c r="U47" s="148" t="s">
        <v>12</v>
      </c>
    </row>
    <row r="48" spans="1:21" ht="13.8" thickBot="1" x14ac:dyDescent="0.3">
      <c r="B48" s="561" t="s">
        <v>67</v>
      </c>
      <c r="C48" s="240">
        <f t="shared" ref="C48:H48" si="11">C44+C46</f>
        <v>0</v>
      </c>
      <c r="D48" s="240">
        <f t="shared" si="11"/>
        <v>0</v>
      </c>
      <c r="E48" s="240">
        <f t="shared" si="11"/>
        <v>1677</v>
      </c>
      <c r="F48" s="240">
        <f t="shared" si="11"/>
        <v>2365</v>
      </c>
      <c r="G48" s="240">
        <f t="shared" si="11"/>
        <v>0</v>
      </c>
      <c r="H48" s="240">
        <f t="shared" si="11"/>
        <v>0</v>
      </c>
      <c r="I48" s="222">
        <f>I46+I44+C41</f>
        <v>6042</v>
      </c>
      <c r="J48" s="311">
        <f t="shared" ref="J48:R48" si="12">J46+J44+J41</f>
        <v>8161.5447694825816</v>
      </c>
      <c r="K48" s="305">
        <f t="shared" si="12"/>
        <v>350946.42508775101</v>
      </c>
      <c r="L48" s="306">
        <f t="shared" si="12"/>
        <v>350946.42508775101</v>
      </c>
      <c r="M48" s="252">
        <f t="shared" si="12"/>
        <v>8384.4581149140922</v>
      </c>
      <c r="N48" s="253">
        <f t="shared" si="12"/>
        <v>360531.69894130598</v>
      </c>
      <c r="O48" s="254">
        <f t="shared" si="12"/>
        <v>360531.69894130598</v>
      </c>
      <c r="P48" s="311">
        <f t="shared" si="12"/>
        <v>8484.9288514797809</v>
      </c>
      <c r="Q48" s="305">
        <f t="shared" si="12"/>
        <v>364851.94061363058</v>
      </c>
      <c r="R48" s="306">
        <f t="shared" si="12"/>
        <v>364851.94061363058</v>
      </c>
      <c r="S48" s="248">
        <f>S46+S44</f>
        <v>240015.78513106826</v>
      </c>
      <c r="T48" s="251">
        <f>T41</f>
        <v>118760.90308316094</v>
      </c>
      <c r="U48" s="224" t="s">
        <v>12</v>
      </c>
    </row>
    <row r="49" spans="2:22" ht="14.4" thickTop="1" thickBot="1" x14ac:dyDescent="0.3">
      <c r="B49" s="555"/>
      <c r="C49" s="618"/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20"/>
    </row>
    <row r="50" spans="2:22" ht="16.2" thickTop="1" x14ac:dyDescent="0.3">
      <c r="B50" s="564" t="s">
        <v>26</v>
      </c>
      <c r="C50" s="5"/>
      <c r="D50" s="5"/>
      <c r="E50" s="5"/>
      <c r="F50" s="112" t="s">
        <v>6</v>
      </c>
      <c r="G50" s="1415"/>
      <c r="H50" s="1416"/>
      <c r="I50" s="1417"/>
      <c r="J50" s="181" t="s">
        <v>26</v>
      </c>
      <c r="K50" s="426"/>
      <c r="L50" s="67"/>
      <c r="M50" s="245" t="s">
        <v>26</v>
      </c>
      <c r="N50" s="426"/>
      <c r="O50" s="426"/>
      <c r="P50" s="245" t="s">
        <v>26</v>
      </c>
      <c r="Q50" s="426"/>
      <c r="R50" s="67"/>
      <c r="S50" s="225"/>
      <c r="T50" s="37"/>
      <c r="U50" s="138"/>
    </row>
    <row r="51" spans="2:22" x14ac:dyDescent="0.25">
      <c r="B51" s="555"/>
      <c r="C51" s="5"/>
      <c r="D51" s="5"/>
      <c r="E51" s="5"/>
      <c r="F51" s="7"/>
      <c r="G51" s="5"/>
      <c r="H51" s="5"/>
      <c r="I51" s="45" t="s">
        <v>61</v>
      </c>
      <c r="J51" s="277" t="s">
        <v>61</v>
      </c>
      <c r="K51" s="1422" t="s">
        <v>57</v>
      </c>
      <c r="L51" s="1423"/>
      <c r="M51" s="57" t="s">
        <v>61</v>
      </c>
      <c r="N51" s="1432" t="s">
        <v>57</v>
      </c>
      <c r="O51" s="1433"/>
      <c r="P51" s="277" t="s">
        <v>61</v>
      </c>
      <c r="Q51" s="1422" t="s">
        <v>57</v>
      </c>
      <c r="R51" s="1423"/>
      <c r="S51" s="131"/>
      <c r="T51" s="37"/>
      <c r="U51" s="138"/>
    </row>
    <row r="52" spans="2:22" x14ac:dyDescent="0.25">
      <c r="B52" s="563" t="s">
        <v>27</v>
      </c>
      <c r="C52" s="23" t="s">
        <v>45</v>
      </c>
      <c r="D52" s="24" t="s">
        <v>46</v>
      </c>
      <c r="E52" s="23" t="s">
        <v>47</v>
      </c>
      <c r="F52" s="23" t="s">
        <v>48</v>
      </c>
      <c r="G52" s="23" t="s">
        <v>49</v>
      </c>
      <c r="H52" s="23" t="s">
        <v>50</v>
      </c>
      <c r="I52" s="45" t="s">
        <v>13</v>
      </c>
      <c r="J52" s="260" t="s">
        <v>56</v>
      </c>
      <c r="K52" s="261" t="s">
        <v>13</v>
      </c>
      <c r="L52" s="262" t="s">
        <v>68</v>
      </c>
      <c r="M52" s="77" t="s">
        <v>56</v>
      </c>
      <c r="N52" s="24" t="s">
        <v>13</v>
      </c>
      <c r="O52" s="38" t="s">
        <v>68</v>
      </c>
      <c r="P52" s="260" t="s">
        <v>56</v>
      </c>
      <c r="Q52" s="261" t="s">
        <v>13</v>
      </c>
      <c r="R52" s="262" t="s">
        <v>68</v>
      </c>
      <c r="S52" s="123"/>
      <c r="T52" s="37"/>
      <c r="U52" s="138"/>
    </row>
    <row r="53" spans="2:22" x14ac:dyDescent="0.25">
      <c r="B53" s="566" t="s">
        <v>4</v>
      </c>
      <c r="C53" s="21">
        <v>0</v>
      </c>
      <c r="D53" s="21">
        <v>0</v>
      </c>
      <c r="E53" s="21">
        <v>8</v>
      </c>
      <c r="F53" s="21">
        <v>8</v>
      </c>
      <c r="G53" s="21">
        <v>4</v>
      </c>
      <c r="H53" s="21">
        <v>0</v>
      </c>
      <c r="I53" s="52">
        <f t="shared" ref="I53:I60" si="13">SUM(C53:H53)</f>
        <v>20</v>
      </c>
      <c r="J53" s="263" t="s">
        <v>12</v>
      </c>
      <c r="K53" s="281">
        <f>I53*$L$4</f>
        <v>860</v>
      </c>
      <c r="L53" s="289">
        <f t="shared" ref="L53:L60" si="14">K53</f>
        <v>860</v>
      </c>
      <c r="M53" s="58" t="s">
        <v>12</v>
      </c>
      <c r="N53" s="69">
        <f>$I$53*$O$4</f>
        <v>860</v>
      </c>
      <c r="O53" s="68">
        <f t="shared" ref="O53:O60" si="15">N53</f>
        <v>860</v>
      </c>
      <c r="P53" s="263" t="s">
        <v>12</v>
      </c>
      <c r="Q53" s="281">
        <f>$I$53*$R$4</f>
        <v>860</v>
      </c>
      <c r="R53" s="289">
        <f t="shared" ref="R53:R60" si="16">Q53</f>
        <v>860</v>
      </c>
      <c r="S53" s="121">
        <f t="shared" ref="S53:S62" si="17">AVERAGE(L53,O53,R53)</f>
        <v>860</v>
      </c>
      <c r="T53" s="119" t="s">
        <v>12</v>
      </c>
      <c r="U53" s="140" t="s">
        <v>12</v>
      </c>
    </row>
    <row r="54" spans="2:22" ht="13.8" thickBot="1" x14ac:dyDescent="0.3">
      <c r="B54" s="567" t="s">
        <v>8</v>
      </c>
      <c r="C54" s="34">
        <f>ROUND(C53*Labor!$D$3,0)</f>
        <v>0</v>
      </c>
      <c r="D54" s="35">
        <f>ROUND(D53*Labor!$D$4,0)</f>
        <v>0</v>
      </c>
      <c r="E54" s="35">
        <f>ROUND(E53*Labor!$D$5,0)</f>
        <v>353</v>
      </c>
      <c r="F54" s="35">
        <f>ROUND(F53*Labor!$D$6,0)</f>
        <v>394</v>
      </c>
      <c r="G54" s="35">
        <f>ROUND(G53*Labor!$D$7,0)</f>
        <v>222</v>
      </c>
      <c r="H54" s="35">
        <f>ROUND(H53*Labor!$D$8,0)</f>
        <v>0</v>
      </c>
      <c r="I54" s="39">
        <f t="shared" si="13"/>
        <v>969</v>
      </c>
      <c r="J54" s="268">
        <f>HLOOKUP(Labor!$B$11,InflationTable,2)*I54</f>
        <v>1308.926991332112</v>
      </c>
      <c r="K54" s="269">
        <f>J54*$L$4</f>
        <v>56283.860627280817</v>
      </c>
      <c r="L54" s="308">
        <f t="shared" si="14"/>
        <v>56283.860627280817</v>
      </c>
      <c r="M54" s="84">
        <f>HLOOKUP(Labor!$B$11,InflationTable,3)*$I$54</f>
        <v>1344.677244844713</v>
      </c>
      <c r="N54" s="63">
        <f>M54*$L$4</f>
        <v>57821.121528322656</v>
      </c>
      <c r="O54" s="95">
        <f t="shared" si="15"/>
        <v>57821.121528322656</v>
      </c>
      <c r="P54" s="268">
        <f>HLOOKUP(Labor!$B$11,InflationTable,4)*$I$54</f>
        <v>1360.7904761807197</v>
      </c>
      <c r="Q54" s="269">
        <f>P54*$R$4</f>
        <v>58513.990475770945</v>
      </c>
      <c r="R54" s="308">
        <f t="shared" si="16"/>
        <v>58513.990475770945</v>
      </c>
      <c r="S54" s="128">
        <f t="shared" si="17"/>
        <v>57539.65754379148</v>
      </c>
      <c r="T54" s="149" t="s">
        <v>12</v>
      </c>
      <c r="U54" s="142" t="s">
        <v>12</v>
      </c>
    </row>
    <row r="55" spans="2:22" x14ac:dyDescent="0.25">
      <c r="B55" s="559" t="s">
        <v>114</v>
      </c>
      <c r="C55" s="346">
        <v>0</v>
      </c>
      <c r="D55" s="346">
        <v>0</v>
      </c>
      <c r="E55" s="346">
        <v>3</v>
      </c>
      <c r="F55" s="346">
        <v>4</v>
      </c>
      <c r="G55" s="346">
        <v>3</v>
      </c>
      <c r="H55" s="346">
        <v>0</v>
      </c>
      <c r="I55" s="347">
        <f t="shared" si="13"/>
        <v>10</v>
      </c>
      <c r="J55" s="293" t="s">
        <v>12</v>
      </c>
      <c r="K55" s="327">
        <f>I55*$L$4</f>
        <v>430</v>
      </c>
      <c r="L55" s="328">
        <f t="shared" si="14"/>
        <v>430</v>
      </c>
      <c r="M55" s="61" t="s">
        <v>12</v>
      </c>
      <c r="N55" s="348">
        <f>$I$55*$O$4</f>
        <v>430</v>
      </c>
      <c r="O55" s="349">
        <f t="shared" si="15"/>
        <v>430</v>
      </c>
      <c r="P55" s="293" t="s">
        <v>12</v>
      </c>
      <c r="Q55" s="327">
        <f>$I$55*$R$4</f>
        <v>430</v>
      </c>
      <c r="R55" s="328">
        <f t="shared" si="16"/>
        <v>430</v>
      </c>
      <c r="S55" s="129">
        <f t="shared" si="17"/>
        <v>430</v>
      </c>
      <c r="T55" s="136" t="s">
        <v>12</v>
      </c>
      <c r="U55" s="147" t="s">
        <v>12</v>
      </c>
    </row>
    <row r="56" spans="2:22" ht="13.8" thickBot="1" x14ac:dyDescent="0.3">
      <c r="B56" s="567" t="s">
        <v>8</v>
      </c>
      <c r="C56" s="34">
        <f>ROUND(C55*Labor!$D$3,0)</f>
        <v>0</v>
      </c>
      <c r="D56" s="35">
        <f>ROUND(D55*Labor!$D$4,0)</f>
        <v>0</v>
      </c>
      <c r="E56" s="35">
        <f>ROUND(E55*Labor!$D$5,0)</f>
        <v>132</v>
      </c>
      <c r="F56" s="35">
        <f>ROUND(F55*Labor!$D$6,0)</f>
        <v>197</v>
      </c>
      <c r="G56" s="35">
        <f>ROUND(G55*Labor!$D$7,0)</f>
        <v>166</v>
      </c>
      <c r="H56" s="35">
        <f>ROUND(H55*Labor!$D$8,0)</f>
        <v>0</v>
      </c>
      <c r="I56" s="39">
        <f t="shared" si="13"/>
        <v>495</v>
      </c>
      <c r="J56" s="292">
        <f>HLOOKUP(Labor!$B$11,InflationTable,2)*I56</f>
        <v>668.64691507677549</v>
      </c>
      <c r="K56" s="269">
        <f>J56*$L$4</f>
        <v>28751.817348301345</v>
      </c>
      <c r="L56" s="308">
        <f t="shared" si="14"/>
        <v>28751.817348301345</v>
      </c>
      <c r="M56" s="362">
        <f>HLOOKUP(Labor!$B$11,InflationTable,3)*I56</f>
        <v>686.90942848104532</v>
      </c>
      <c r="N56" s="63">
        <f>M56*$O$4</f>
        <v>29537.105424684949</v>
      </c>
      <c r="O56" s="95">
        <f t="shared" si="15"/>
        <v>29537.105424684949</v>
      </c>
      <c r="P56" s="268">
        <f>HLOOKUP(Labor!$B$11,InflationTable,4)*$I$56</f>
        <v>695.14064572699306</v>
      </c>
      <c r="Q56" s="269">
        <f>P56*$R$4</f>
        <v>29891.047766260701</v>
      </c>
      <c r="R56" s="308">
        <f t="shared" si="16"/>
        <v>29891.047766260701</v>
      </c>
      <c r="S56" s="128">
        <f t="shared" si="17"/>
        <v>29393.32351308233</v>
      </c>
      <c r="T56" s="149" t="s">
        <v>12</v>
      </c>
      <c r="U56" s="142" t="s">
        <v>12</v>
      </c>
    </row>
    <row r="57" spans="2:22" x14ac:dyDescent="0.25">
      <c r="B57" s="559" t="s">
        <v>115</v>
      </c>
      <c r="C57" s="346">
        <v>0</v>
      </c>
      <c r="D57" s="346">
        <v>0</v>
      </c>
      <c r="E57" s="346">
        <v>5</v>
      </c>
      <c r="F57" s="346">
        <v>10</v>
      </c>
      <c r="G57" s="346">
        <v>0</v>
      </c>
      <c r="H57" s="346">
        <v>0</v>
      </c>
      <c r="I57" s="347">
        <f t="shared" si="13"/>
        <v>15</v>
      </c>
      <c r="J57" s="293" t="s">
        <v>12</v>
      </c>
      <c r="K57" s="327">
        <f>I57*$L$4</f>
        <v>645</v>
      </c>
      <c r="L57" s="328">
        <f t="shared" si="14"/>
        <v>645</v>
      </c>
      <c r="M57" s="61" t="s">
        <v>12</v>
      </c>
      <c r="N57" s="348">
        <f>$I$57*$O$4</f>
        <v>645</v>
      </c>
      <c r="O57" s="349">
        <f t="shared" si="15"/>
        <v>645</v>
      </c>
      <c r="P57" s="293" t="s">
        <v>12</v>
      </c>
      <c r="Q57" s="327">
        <f>$I$57*$R$4</f>
        <v>645</v>
      </c>
      <c r="R57" s="328">
        <f t="shared" si="16"/>
        <v>645</v>
      </c>
      <c r="S57" s="129">
        <f t="shared" si="17"/>
        <v>645</v>
      </c>
      <c r="T57" s="136" t="s">
        <v>12</v>
      </c>
      <c r="U57" s="147" t="s">
        <v>12</v>
      </c>
    </row>
    <row r="58" spans="2:22" ht="13.8" thickBot="1" x14ac:dyDescent="0.3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221</v>
      </c>
      <c r="F58" s="35">
        <f>ROUND(F57*Labor!$D$6,0)</f>
        <v>493</v>
      </c>
      <c r="G58" s="35">
        <f>ROUND(G57*Labor!$D$7,0)</f>
        <v>0</v>
      </c>
      <c r="H58" s="35">
        <f>ROUND(H57*Labor!$D$8,0)</f>
        <v>0</v>
      </c>
      <c r="I58" s="39">
        <f t="shared" si="13"/>
        <v>714</v>
      </c>
      <c r="J58" s="292">
        <f>HLOOKUP(Labor!$B$11,InflationTable,2)*I58</f>
        <v>964.47251992892461</v>
      </c>
      <c r="K58" s="269">
        <f>J58*$L$4</f>
        <v>41472.318356943761</v>
      </c>
      <c r="L58" s="308">
        <f t="shared" si="14"/>
        <v>41472.318356943761</v>
      </c>
      <c r="M58" s="84">
        <f>HLOOKUP(Labor!$B$11,InflationTable,3)*$I$58</f>
        <v>990.81481199084112</v>
      </c>
      <c r="N58" s="63">
        <f>M58*$O$4</f>
        <v>42605.036915606172</v>
      </c>
      <c r="O58" s="95">
        <f t="shared" si="15"/>
        <v>42605.036915606172</v>
      </c>
      <c r="P58" s="268">
        <f>HLOOKUP(Labor!$B$11,InflationTable,4)*$I$58</f>
        <v>1002.6877192910566</v>
      </c>
      <c r="Q58" s="269">
        <f>P58*$R$4</f>
        <v>43115.571929515434</v>
      </c>
      <c r="R58" s="308">
        <f t="shared" si="16"/>
        <v>43115.571929515434</v>
      </c>
      <c r="S58" s="128">
        <f t="shared" si="17"/>
        <v>42397.642400688455</v>
      </c>
      <c r="T58" s="149" t="s">
        <v>12</v>
      </c>
      <c r="U58" s="142" t="s">
        <v>12</v>
      </c>
    </row>
    <row r="59" spans="2:22" x14ac:dyDescent="0.25">
      <c r="B59" s="559" t="s">
        <v>116</v>
      </c>
      <c r="C59" s="346">
        <v>0</v>
      </c>
      <c r="D59" s="346">
        <v>0</v>
      </c>
      <c r="E59" s="346">
        <v>2</v>
      </c>
      <c r="F59" s="346">
        <v>3</v>
      </c>
      <c r="G59" s="346">
        <v>0</v>
      </c>
      <c r="H59" s="346">
        <v>0</v>
      </c>
      <c r="I59" s="347">
        <f t="shared" si="13"/>
        <v>5</v>
      </c>
      <c r="J59" s="293" t="s">
        <v>12</v>
      </c>
      <c r="K59" s="327">
        <f>I59*$L$4</f>
        <v>215</v>
      </c>
      <c r="L59" s="328">
        <f t="shared" si="14"/>
        <v>215</v>
      </c>
      <c r="M59" s="61" t="s">
        <v>12</v>
      </c>
      <c r="N59" s="348">
        <f>$I$59*$O$4</f>
        <v>215</v>
      </c>
      <c r="O59" s="349">
        <f t="shared" si="15"/>
        <v>215</v>
      </c>
      <c r="P59" s="293" t="s">
        <v>12</v>
      </c>
      <c r="Q59" s="327">
        <f>$I$59*$R$4</f>
        <v>215</v>
      </c>
      <c r="R59" s="328">
        <f t="shared" si="16"/>
        <v>215</v>
      </c>
      <c r="S59" s="129">
        <f t="shared" si="17"/>
        <v>215</v>
      </c>
      <c r="T59" s="136" t="s">
        <v>12</v>
      </c>
      <c r="U59" s="147" t="s">
        <v>12</v>
      </c>
    </row>
    <row r="60" spans="2:22" ht="13.8" thickBot="1" x14ac:dyDescent="0.3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88</v>
      </c>
      <c r="F60" s="35">
        <f>ROUND(F59*Labor!$D$6,0)</f>
        <v>148</v>
      </c>
      <c r="G60" s="35">
        <f>ROUND(G59*Labor!$D$7,0)</f>
        <v>0</v>
      </c>
      <c r="H60" s="35">
        <f>ROUND(H59*Labor!$D$8,0)</f>
        <v>0</v>
      </c>
      <c r="I60" s="39">
        <f t="shared" si="13"/>
        <v>236</v>
      </c>
      <c r="J60" s="268">
        <f>HLOOKUP(Labor!$B$11,InflationTable,2)*I60</f>
        <v>318.78923627902833</v>
      </c>
      <c r="K60" s="269">
        <f>J60*$L$4</f>
        <v>13707.937159998219</v>
      </c>
      <c r="L60" s="300">
        <f t="shared" si="14"/>
        <v>13707.937159998219</v>
      </c>
      <c r="M60" s="84">
        <f>HLOOKUP(Labor!$B$11,InflationTable,3)*$I$60</f>
        <v>327.49621236672061</v>
      </c>
      <c r="N60" s="63">
        <f>M60*$O$4</f>
        <v>14082.337131768987</v>
      </c>
      <c r="O60" s="98">
        <f t="shared" si="15"/>
        <v>14082.337131768987</v>
      </c>
      <c r="P60" s="268">
        <f>HLOOKUP(Labor!$B$11,InflationTable,4)*$I$60</f>
        <v>331.42059069004114</v>
      </c>
      <c r="Q60" s="269">
        <f>P60*$R$4</f>
        <v>14251.085399671769</v>
      </c>
      <c r="R60" s="300">
        <f t="shared" si="16"/>
        <v>14251.085399671769</v>
      </c>
      <c r="S60" s="128">
        <f t="shared" si="17"/>
        <v>14013.786563812993</v>
      </c>
      <c r="T60" s="137" t="s">
        <v>12</v>
      </c>
      <c r="U60" s="142" t="s">
        <v>12</v>
      </c>
    </row>
    <row r="61" spans="2:22" x14ac:dyDescent="0.25">
      <c r="B61" s="560" t="s">
        <v>66</v>
      </c>
      <c r="C61" s="36">
        <f t="shared" ref="C61:I62" si="18">C53+C55+C57+C59</f>
        <v>0</v>
      </c>
      <c r="D61" s="36">
        <f t="shared" si="18"/>
        <v>0</v>
      </c>
      <c r="E61" s="36">
        <f t="shared" si="18"/>
        <v>18</v>
      </c>
      <c r="F61" s="36">
        <f t="shared" si="18"/>
        <v>25</v>
      </c>
      <c r="G61" s="36">
        <f t="shared" si="18"/>
        <v>7</v>
      </c>
      <c r="H61" s="36">
        <f t="shared" si="18"/>
        <v>0</v>
      </c>
      <c r="I61" s="46">
        <f t="shared" si="18"/>
        <v>50</v>
      </c>
      <c r="J61" s="301" t="s">
        <v>12</v>
      </c>
      <c r="K61" s="285">
        <f>K53+K55+K57+K59</f>
        <v>2150</v>
      </c>
      <c r="L61" s="312">
        <f>L53+L55+L57+L59</f>
        <v>2150</v>
      </c>
      <c r="M61" s="85" t="s">
        <v>12</v>
      </c>
      <c r="N61" s="33">
        <f>N53+N55+N57+N59</f>
        <v>2150</v>
      </c>
      <c r="O61" s="99">
        <f>O53+O55+O57+O59</f>
        <v>2150</v>
      </c>
      <c r="P61" s="301" t="s">
        <v>12</v>
      </c>
      <c r="Q61" s="285">
        <f>Q53+Q55+Q57+Q59</f>
        <v>2150</v>
      </c>
      <c r="R61" s="312">
        <f>R53+R55+R57+R59</f>
        <v>2150</v>
      </c>
      <c r="S61" s="129">
        <f t="shared" si="17"/>
        <v>2150</v>
      </c>
      <c r="T61" s="136" t="s">
        <v>12</v>
      </c>
      <c r="U61" s="147" t="s">
        <v>12</v>
      </c>
    </row>
    <row r="62" spans="2:22" ht="13.8" thickBot="1" x14ac:dyDescent="0.3">
      <c r="B62" s="561" t="s">
        <v>67</v>
      </c>
      <c r="C62" s="240">
        <f t="shared" si="18"/>
        <v>0</v>
      </c>
      <c r="D62" s="240">
        <f t="shared" si="18"/>
        <v>0</v>
      </c>
      <c r="E62" s="240">
        <f t="shared" si="18"/>
        <v>794</v>
      </c>
      <c r="F62" s="240">
        <f t="shared" si="18"/>
        <v>1232</v>
      </c>
      <c r="G62" s="240">
        <f t="shared" si="18"/>
        <v>388</v>
      </c>
      <c r="H62" s="240">
        <f t="shared" si="18"/>
        <v>0</v>
      </c>
      <c r="I62" s="243">
        <f t="shared" si="18"/>
        <v>2414</v>
      </c>
      <c r="J62" s="313">
        <f>J54+J56+J58+J60</f>
        <v>3260.8356626168406</v>
      </c>
      <c r="K62" s="275">
        <f>K54+K56+K58+K60</f>
        <v>140215.93349252414</v>
      </c>
      <c r="L62" s="276">
        <f>L54+L56+L58+L60</f>
        <v>140215.93349252414</v>
      </c>
      <c r="M62" s="242">
        <f>M54+M56+M58+M60</f>
        <v>3349.8976976833201</v>
      </c>
      <c r="N62" s="240">
        <f>N54+N56+N58+N60</f>
        <v>144045.60100038277</v>
      </c>
      <c r="O62" s="243">
        <f>O54+O56+O58+O60</f>
        <v>144045.60100038277</v>
      </c>
      <c r="P62" s="313">
        <f>P54+P56+P58+P60</f>
        <v>3390.0394318888102</v>
      </c>
      <c r="Q62" s="275">
        <f>Q54+Q56+Q58+Q60</f>
        <v>145771.69557121885</v>
      </c>
      <c r="R62" s="276">
        <f>R54+R56+R58+R60</f>
        <v>145771.69557121885</v>
      </c>
      <c r="S62" s="255">
        <f t="shared" si="17"/>
        <v>143344.41002137525</v>
      </c>
      <c r="T62" s="249" t="s">
        <v>12</v>
      </c>
      <c r="U62" s="224" t="s">
        <v>12</v>
      </c>
    </row>
    <row r="63" spans="2:22" ht="13.8" thickTop="1" x14ac:dyDescent="0.25">
      <c r="B63" s="624"/>
      <c r="C63" s="621"/>
      <c r="D63" s="621"/>
      <c r="E63" s="621"/>
      <c r="F63" s="621"/>
      <c r="G63" s="621"/>
      <c r="H63" s="621"/>
      <c r="I63" s="622"/>
      <c r="J63" s="622"/>
      <c r="K63" s="622"/>
      <c r="L63" s="622"/>
      <c r="M63" s="622"/>
      <c r="N63" s="622"/>
      <c r="O63" s="622"/>
      <c r="P63" s="622"/>
      <c r="Q63" s="622"/>
      <c r="R63" s="622"/>
      <c r="S63" s="625"/>
      <c r="T63" s="626"/>
      <c r="U63" s="627"/>
      <c r="V63" s="5"/>
    </row>
    <row r="64" spans="2:22" ht="13.8" thickBot="1" x14ac:dyDescent="0.3"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5"/>
    </row>
    <row r="65" spans="2:21" ht="28.2" thickTop="1" thickBot="1" x14ac:dyDescent="0.35">
      <c r="B65" s="564" t="s">
        <v>28</v>
      </c>
      <c r="C65" s="5"/>
      <c r="D65" s="5"/>
      <c r="E65" s="5"/>
      <c r="F65" s="112" t="s">
        <v>6</v>
      </c>
      <c r="G65" s="1415"/>
      <c r="H65" s="1416"/>
      <c r="I65" s="1417"/>
      <c r="J65" s="181" t="s">
        <v>28</v>
      </c>
      <c r="K65" s="426"/>
      <c r="L65" s="67"/>
      <c r="M65" s="181" t="s">
        <v>28</v>
      </c>
      <c r="N65" s="426"/>
      <c r="O65" s="67"/>
      <c r="P65" s="181" t="s">
        <v>28</v>
      </c>
      <c r="Q65" s="426"/>
      <c r="R65" s="67"/>
      <c r="S65" s="546" t="s">
        <v>17</v>
      </c>
      <c r="T65" s="547" t="s">
        <v>103</v>
      </c>
      <c r="U65" s="628" t="s">
        <v>79</v>
      </c>
    </row>
    <row r="66" spans="2:21" x14ac:dyDescent="0.25">
      <c r="B66" s="555"/>
      <c r="C66" s="5"/>
      <c r="D66" s="5"/>
      <c r="E66" s="5"/>
      <c r="F66" s="7"/>
      <c r="G66" s="5"/>
      <c r="H66" s="5"/>
      <c r="I66" s="45" t="s">
        <v>61</v>
      </c>
      <c r="J66" s="277" t="s">
        <v>61</v>
      </c>
      <c r="K66" s="1422" t="s">
        <v>57</v>
      </c>
      <c r="L66" s="1423"/>
      <c r="M66" s="57" t="s">
        <v>61</v>
      </c>
      <c r="N66" s="1432" t="s">
        <v>57</v>
      </c>
      <c r="O66" s="1436"/>
      <c r="P66" s="318" t="s">
        <v>61</v>
      </c>
      <c r="Q66" s="1422" t="s">
        <v>57</v>
      </c>
      <c r="R66" s="1423"/>
      <c r="S66" s="170"/>
      <c r="T66" s="133"/>
      <c r="U66" s="37"/>
    </row>
    <row r="67" spans="2:21" x14ac:dyDescent="0.25">
      <c r="B67" s="557"/>
      <c r="C67" s="23" t="s">
        <v>45</v>
      </c>
      <c r="D67" s="24" t="s">
        <v>46</v>
      </c>
      <c r="E67" s="23" t="s">
        <v>47</v>
      </c>
      <c r="F67" s="23" t="s">
        <v>48</v>
      </c>
      <c r="G67" s="23" t="s">
        <v>49</v>
      </c>
      <c r="H67" s="23" t="s">
        <v>50</v>
      </c>
      <c r="I67" s="45" t="s">
        <v>13</v>
      </c>
      <c r="J67" s="260" t="s">
        <v>56</v>
      </c>
      <c r="K67" s="261" t="s">
        <v>13</v>
      </c>
      <c r="L67" s="262" t="s">
        <v>68</v>
      </c>
      <c r="M67" s="77" t="s">
        <v>56</v>
      </c>
      <c r="N67" s="24" t="s">
        <v>13</v>
      </c>
      <c r="O67" s="38" t="s">
        <v>68</v>
      </c>
      <c r="P67" s="260" t="s">
        <v>56</v>
      </c>
      <c r="Q67" s="261" t="s">
        <v>13</v>
      </c>
      <c r="R67" s="262" t="s">
        <v>68</v>
      </c>
      <c r="S67" s="120"/>
      <c r="T67" s="133"/>
      <c r="U67" s="37"/>
    </row>
    <row r="68" spans="2:21" x14ac:dyDescent="0.25">
      <c r="B68" s="557" t="s">
        <v>111</v>
      </c>
      <c r="C68" s="21">
        <v>0</v>
      </c>
      <c r="D68" s="21">
        <v>0</v>
      </c>
      <c r="E68" s="21">
        <v>0</v>
      </c>
      <c r="F68" s="21">
        <v>36</v>
      </c>
      <c r="G68" s="21">
        <v>36</v>
      </c>
      <c r="H68" s="21">
        <v>0</v>
      </c>
      <c r="I68" s="52">
        <f>SUM(C68:H68)</f>
        <v>72</v>
      </c>
      <c r="J68" s="263" t="s">
        <v>12</v>
      </c>
      <c r="K68" s="281">
        <f>I68*$L$4</f>
        <v>3096</v>
      </c>
      <c r="L68" s="289">
        <f>K68</f>
        <v>3096</v>
      </c>
      <c r="M68" s="58" t="s">
        <v>12</v>
      </c>
      <c r="N68" s="69">
        <f>$I$68*$O$4</f>
        <v>3096</v>
      </c>
      <c r="O68" s="68">
        <f>N68</f>
        <v>3096</v>
      </c>
      <c r="P68" s="263" t="s">
        <v>12</v>
      </c>
      <c r="Q68" s="281">
        <f>$I$68*$O$4</f>
        <v>3096</v>
      </c>
      <c r="R68" s="289">
        <f>Q68</f>
        <v>3096</v>
      </c>
      <c r="S68" s="121">
        <f>AVERAGE(L68,O68,R68)</f>
        <v>3096</v>
      </c>
      <c r="T68" s="135" t="s">
        <v>12</v>
      </c>
      <c r="U68" s="136" t="s">
        <v>12</v>
      </c>
    </row>
    <row r="69" spans="2:21" ht="13.8" thickBot="1" x14ac:dyDescent="0.3">
      <c r="B69" s="568" t="s">
        <v>8</v>
      </c>
      <c r="C69" s="34">
        <f>ROUND(C68*Labor!$D$3,0)</f>
        <v>0</v>
      </c>
      <c r="D69" s="35">
        <f>ROUND(D68*Labor!$D$4,0)</f>
        <v>0</v>
      </c>
      <c r="E69" s="35">
        <f>ROUND(E68*Labor!$D$5,0)</f>
        <v>0</v>
      </c>
      <c r="F69" s="35">
        <f>ROUND(F68*Labor!$D$6,0)</f>
        <v>1773</v>
      </c>
      <c r="G69" s="35">
        <f>ROUND(G68*Labor!$D$7,0)</f>
        <v>1997</v>
      </c>
      <c r="H69" s="35">
        <f>ROUND(H68*Labor!$D$8,0)</f>
        <v>0</v>
      </c>
      <c r="I69" s="39">
        <f>SUM(C69:H69)</f>
        <v>3770</v>
      </c>
      <c r="J69" s="268">
        <f>HLOOKUP(Labor!$B$11,InflationTable,2)*I69</f>
        <v>5092.5229693726133</v>
      </c>
      <c r="K69" s="269">
        <f>J69*$L$4</f>
        <v>218978.48768302237</v>
      </c>
      <c r="L69" s="308">
        <f>K69</f>
        <v>218978.48768302237</v>
      </c>
      <c r="M69" s="362">
        <f>HLOOKUP(Labor!$B$11,InflationTable,3)*$I$69</f>
        <v>5231.61322297685</v>
      </c>
      <c r="N69" s="63">
        <f>M69*$O$4</f>
        <v>224959.36858800455</v>
      </c>
      <c r="O69" s="95">
        <f>N69</f>
        <v>224959.36858800455</v>
      </c>
      <c r="P69" s="268">
        <f>HLOOKUP(Labor!$B$11,InflationTable,4)*$I69</f>
        <v>5294.3035038197249</v>
      </c>
      <c r="Q69" s="269">
        <f>P69*$R$4</f>
        <v>227655.05066424818</v>
      </c>
      <c r="R69" s="308">
        <f>Q69</f>
        <v>227655.05066424818</v>
      </c>
      <c r="S69" s="128">
        <f>AVERAGE(L69,O69,R69)</f>
        <v>223864.30231175837</v>
      </c>
      <c r="T69" s="137" t="s">
        <v>12</v>
      </c>
      <c r="U69" s="149" t="s">
        <v>12</v>
      </c>
    </row>
    <row r="70" spans="2:21" x14ac:dyDescent="0.25">
      <c r="B70" s="559" t="s">
        <v>110</v>
      </c>
      <c r="C70" s="346">
        <v>0</v>
      </c>
      <c r="D70" s="346">
        <v>24</v>
      </c>
      <c r="E70" s="346">
        <v>24</v>
      </c>
      <c r="F70" s="346">
        <v>0</v>
      </c>
      <c r="G70" s="346">
        <v>0</v>
      </c>
      <c r="H70" s="346">
        <v>0</v>
      </c>
      <c r="I70" s="347">
        <f>SUM(C70:H70)</f>
        <v>48</v>
      </c>
      <c r="J70" s="293" t="s">
        <v>12</v>
      </c>
      <c r="K70" s="327">
        <f>I70*$L$4</f>
        <v>2064</v>
      </c>
      <c r="L70" s="328">
        <f>K70</f>
        <v>2064</v>
      </c>
      <c r="M70" s="61" t="s">
        <v>12</v>
      </c>
      <c r="N70" s="348">
        <f>$I$70*$O$4</f>
        <v>2064</v>
      </c>
      <c r="O70" s="349">
        <f>N70</f>
        <v>2064</v>
      </c>
      <c r="P70" s="293" t="s">
        <v>12</v>
      </c>
      <c r="Q70" s="327">
        <f>$I$70*$O$4</f>
        <v>2064</v>
      </c>
      <c r="R70" s="328">
        <f>Q70</f>
        <v>2064</v>
      </c>
      <c r="S70" s="129">
        <f>AVERAGE(L70,O70,R70)</f>
        <v>2064</v>
      </c>
      <c r="T70" s="135" t="s">
        <v>12</v>
      </c>
      <c r="U70" s="136" t="s">
        <v>12</v>
      </c>
    </row>
    <row r="71" spans="2:21" ht="13.8" thickBot="1" x14ac:dyDescent="0.3">
      <c r="B71" s="568" t="s">
        <v>8</v>
      </c>
      <c r="C71" s="34">
        <f>ROUND(C70*Labor!$D$3,0)</f>
        <v>0</v>
      </c>
      <c r="D71" s="35">
        <f>ROUND(D70*Labor!$D$4,0)</f>
        <v>981</v>
      </c>
      <c r="E71" s="35">
        <f>ROUND(E70*Labor!$D$5,0)</f>
        <v>1059</v>
      </c>
      <c r="F71" s="35">
        <f>ROUND(F70*Labor!$D$6,0)</f>
        <v>0</v>
      </c>
      <c r="G71" s="35">
        <f>ROUND(G70*Labor!$D$7,0)</f>
        <v>0</v>
      </c>
      <c r="H71" s="35">
        <f>ROUND(H70*Labor!$D$8,0)</f>
        <v>0</v>
      </c>
      <c r="I71" s="39">
        <f>SUM(C71:H71)</f>
        <v>2040</v>
      </c>
      <c r="J71" s="268">
        <f>HLOOKUP(Labor!$B$11,InflationTable,2)*I71</f>
        <v>2755.635771225499</v>
      </c>
      <c r="K71" s="269">
        <f>J71*$L$4</f>
        <v>118492.33816269645</v>
      </c>
      <c r="L71" s="308">
        <f>K71</f>
        <v>118492.33816269645</v>
      </c>
      <c r="M71" s="362">
        <f>HLOOKUP(Labor!$B$11,InflationTable,3)*$I$71</f>
        <v>2830.8994628309747</v>
      </c>
      <c r="N71" s="63">
        <f>M71*$O$4</f>
        <v>121728.67690173192</v>
      </c>
      <c r="O71" s="95">
        <f>N71</f>
        <v>121728.67690173192</v>
      </c>
      <c r="P71" s="268">
        <f>HLOOKUP(Labor!$B$11,InflationTable,4)*$I71</f>
        <v>2864.8220551173044</v>
      </c>
      <c r="Q71" s="269">
        <f>P71*$R$4</f>
        <v>123187.34837004408</v>
      </c>
      <c r="R71" s="308">
        <f>Q71</f>
        <v>123187.34837004408</v>
      </c>
      <c r="S71" s="128">
        <f>AVERAGE(L71,O71,R71)</f>
        <v>121136.12114482415</v>
      </c>
      <c r="T71" s="137" t="s">
        <v>12</v>
      </c>
      <c r="U71" s="149" t="s">
        <v>12</v>
      </c>
    </row>
    <row r="72" spans="2:21" x14ac:dyDescent="0.25">
      <c r="B72" s="559" t="s">
        <v>20</v>
      </c>
      <c r="C72" s="107" t="s">
        <v>45</v>
      </c>
      <c r="D72" s="108" t="s">
        <v>46</v>
      </c>
      <c r="E72" s="107" t="s">
        <v>47</v>
      </c>
      <c r="F72" s="107" t="s">
        <v>48</v>
      </c>
      <c r="G72" s="107" t="s">
        <v>49</v>
      </c>
      <c r="H72" s="107" t="s">
        <v>50</v>
      </c>
      <c r="I72" s="109" t="s">
        <v>13</v>
      </c>
      <c r="J72" s="351"/>
      <c r="K72" s="352"/>
      <c r="L72" s="356"/>
      <c r="M72" s="110" t="s">
        <v>56</v>
      </c>
      <c r="N72" s="108" t="s">
        <v>13</v>
      </c>
      <c r="O72" s="111" t="s">
        <v>68</v>
      </c>
      <c r="P72" s="351" t="s">
        <v>56</v>
      </c>
      <c r="Q72" s="352" t="s">
        <v>13</v>
      </c>
      <c r="R72" s="356" t="s">
        <v>68</v>
      </c>
      <c r="S72" s="123"/>
      <c r="T72" s="133"/>
      <c r="U72" s="37"/>
    </row>
    <row r="73" spans="2:21" x14ac:dyDescent="0.25">
      <c r="B73" s="558" t="s">
        <v>4</v>
      </c>
      <c r="C73" s="21">
        <v>0</v>
      </c>
      <c r="D73" s="21">
        <v>0</v>
      </c>
      <c r="E73" s="21">
        <v>0</v>
      </c>
      <c r="F73" s="21">
        <v>2</v>
      </c>
      <c r="G73" s="21">
        <v>2</v>
      </c>
      <c r="H73" s="21">
        <v>0</v>
      </c>
      <c r="I73" s="52">
        <f t="shared" ref="I73:I78" si="19">SUM(C73:H73)</f>
        <v>4</v>
      </c>
      <c r="J73" s="263" t="s">
        <v>12</v>
      </c>
      <c r="K73" s="281">
        <f>I73*$L$4</f>
        <v>172</v>
      </c>
      <c r="L73" s="289">
        <f t="shared" ref="L73:L78" si="20">K73</f>
        <v>172</v>
      </c>
      <c r="M73" s="58" t="s">
        <v>12</v>
      </c>
      <c r="N73" s="69">
        <f>$I73*$O$4</f>
        <v>172</v>
      </c>
      <c r="O73" s="68">
        <f t="shared" ref="O73:O78" si="21">N73</f>
        <v>172</v>
      </c>
      <c r="P73" s="263" t="s">
        <v>12</v>
      </c>
      <c r="Q73" s="281">
        <f>$I73*$O$4</f>
        <v>172</v>
      </c>
      <c r="R73" s="289">
        <f t="shared" ref="R73:R78" si="22">Q73</f>
        <v>172</v>
      </c>
      <c r="S73" s="121">
        <f t="shared" ref="S73:S78" si="23">AVERAGE(L73,O73,R73)</f>
        <v>172</v>
      </c>
      <c r="T73" s="135" t="s">
        <v>12</v>
      </c>
      <c r="U73" s="136" t="s">
        <v>12</v>
      </c>
    </row>
    <row r="74" spans="2:21" ht="13.8" thickBot="1" x14ac:dyDescent="0.3">
      <c r="B74" s="568" t="s">
        <v>8</v>
      </c>
      <c r="C74" s="34">
        <f>ROUND(C73*Labor!$D$3,0)</f>
        <v>0</v>
      </c>
      <c r="D74" s="35">
        <f>ROUND(D73*Labor!$D$4,0)</f>
        <v>0</v>
      </c>
      <c r="E74" s="35">
        <f>ROUND(E73*Labor!$D$5,0)</f>
        <v>0</v>
      </c>
      <c r="F74" s="35">
        <f>ROUND(F73*Labor!$D$6,0)</f>
        <v>99</v>
      </c>
      <c r="G74" s="35">
        <f>ROUND(G73*Labor!$D$7,0)</f>
        <v>111</v>
      </c>
      <c r="H74" s="35">
        <f>ROUND(H73*Labor!$D$8,0)</f>
        <v>0</v>
      </c>
      <c r="I74" s="39">
        <f t="shared" si="19"/>
        <v>210</v>
      </c>
      <c r="J74" s="268">
        <f>HLOOKUP(Labor!$B$11,InflationTable,2)*I74</f>
        <v>283.66838821438961</v>
      </c>
      <c r="K74" s="269">
        <f>J74*$L$4</f>
        <v>12197.740693218753</v>
      </c>
      <c r="L74" s="308">
        <f t="shared" si="20"/>
        <v>12197.740693218753</v>
      </c>
      <c r="M74" s="362">
        <f>HLOOKUP(Labor!$B$11,InflationTable,3)*$I74</f>
        <v>291.41612117377679</v>
      </c>
      <c r="N74" s="63">
        <f>M74*$O$4</f>
        <v>12530.893210472403</v>
      </c>
      <c r="O74" s="95">
        <f t="shared" si="21"/>
        <v>12530.893210472403</v>
      </c>
      <c r="P74" s="268">
        <f>HLOOKUP(Labor!$B$11,InflationTable,4)*$I74</f>
        <v>294.90815273266372</v>
      </c>
      <c r="Q74" s="269">
        <f>P74*$R$4</f>
        <v>12681.050567504541</v>
      </c>
      <c r="R74" s="308">
        <f t="shared" si="22"/>
        <v>12681.050567504541</v>
      </c>
      <c r="S74" s="128">
        <f t="shared" si="23"/>
        <v>12469.894823731898</v>
      </c>
      <c r="T74" s="137" t="s">
        <v>12</v>
      </c>
      <c r="U74" s="149" t="s">
        <v>12</v>
      </c>
    </row>
    <row r="75" spans="2:21" x14ac:dyDescent="0.25">
      <c r="B75" s="559" t="s">
        <v>109</v>
      </c>
      <c r="C75" s="346">
        <v>0</v>
      </c>
      <c r="D75" s="346">
        <v>1</v>
      </c>
      <c r="E75" s="346">
        <v>1</v>
      </c>
      <c r="F75" s="346">
        <v>2</v>
      </c>
      <c r="G75" s="346">
        <v>1</v>
      </c>
      <c r="H75" s="346">
        <v>0</v>
      </c>
      <c r="I75" s="347">
        <f t="shared" si="19"/>
        <v>5</v>
      </c>
      <c r="J75" s="293" t="s">
        <v>12</v>
      </c>
      <c r="K75" s="327">
        <f>I75*$L$4</f>
        <v>215</v>
      </c>
      <c r="L75" s="328">
        <f t="shared" si="20"/>
        <v>215</v>
      </c>
      <c r="M75" s="61" t="s">
        <v>12</v>
      </c>
      <c r="N75" s="348">
        <f>$I75*$O$4</f>
        <v>215</v>
      </c>
      <c r="O75" s="349">
        <f t="shared" si="21"/>
        <v>215</v>
      </c>
      <c r="P75" s="293" t="s">
        <v>12</v>
      </c>
      <c r="Q75" s="327">
        <f>$I75*$O$4</f>
        <v>215</v>
      </c>
      <c r="R75" s="328">
        <f t="shared" si="22"/>
        <v>215</v>
      </c>
      <c r="S75" s="129">
        <f t="shared" si="23"/>
        <v>215</v>
      </c>
      <c r="T75" s="135" t="s">
        <v>12</v>
      </c>
      <c r="U75" s="136" t="s">
        <v>12</v>
      </c>
    </row>
    <row r="76" spans="2:21" ht="13.8" thickBot="1" x14ac:dyDescent="0.3">
      <c r="B76" s="568" t="s">
        <v>8</v>
      </c>
      <c r="C76" s="34">
        <f>ROUND(C75*Labor!$D$3,0)</f>
        <v>0</v>
      </c>
      <c r="D76" s="35">
        <f>ROUND(D75*Labor!$D$4,0)</f>
        <v>41</v>
      </c>
      <c r="E76" s="35">
        <f>ROUND(E75*Labor!$D$5,0)</f>
        <v>44</v>
      </c>
      <c r="F76" s="35">
        <f>ROUND(F75*Labor!$D$6,0)</f>
        <v>99</v>
      </c>
      <c r="G76" s="35">
        <f>ROUND(G75*Labor!$D$7,0)</f>
        <v>55</v>
      </c>
      <c r="H76" s="35">
        <f>ROUND(H75*Labor!$D$8,0)</f>
        <v>0</v>
      </c>
      <c r="I76" s="39">
        <f t="shared" si="19"/>
        <v>239</v>
      </c>
      <c r="J76" s="268">
        <f>HLOOKUP(Labor!$B$11,InflationTable,2)*I76</f>
        <v>322.84164182494817</v>
      </c>
      <c r="K76" s="269">
        <f>J76*$L$4</f>
        <v>13882.190598472771</v>
      </c>
      <c r="L76" s="308">
        <f t="shared" si="20"/>
        <v>13882.190598472771</v>
      </c>
      <c r="M76" s="362">
        <f>HLOOKUP(Labor!$B$11,InflationTable,3)*$I76</f>
        <v>331.65929981206023</v>
      </c>
      <c r="N76" s="63">
        <f>M76*$O$4</f>
        <v>14261.349891918589</v>
      </c>
      <c r="O76" s="95">
        <f t="shared" si="21"/>
        <v>14261.349891918589</v>
      </c>
      <c r="P76" s="268">
        <f>HLOOKUP(Labor!$B$11,InflationTable,4)*$I76</f>
        <v>335.63356430050777</v>
      </c>
      <c r="Q76" s="269">
        <f>P76*$R$4</f>
        <v>14432.243264921834</v>
      </c>
      <c r="R76" s="308">
        <f t="shared" si="22"/>
        <v>14432.243264921834</v>
      </c>
      <c r="S76" s="172">
        <f t="shared" si="23"/>
        <v>14191.92791843773</v>
      </c>
      <c r="T76" s="118" t="s">
        <v>12</v>
      </c>
      <c r="U76" s="119" t="s">
        <v>12</v>
      </c>
    </row>
    <row r="77" spans="2:21" x14ac:dyDescent="0.25">
      <c r="B77" s="559" t="s">
        <v>108</v>
      </c>
      <c r="C77" s="346">
        <v>0</v>
      </c>
      <c r="D77" s="346">
        <v>0</v>
      </c>
      <c r="E77" s="346">
        <v>0</v>
      </c>
      <c r="F77" s="346">
        <v>3</v>
      </c>
      <c r="G77" s="346">
        <v>3</v>
      </c>
      <c r="H77" s="346">
        <v>0</v>
      </c>
      <c r="I77" s="347">
        <f t="shared" si="19"/>
        <v>6</v>
      </c>
      <c r="J77" s="293" t="s">
        <v>12</v>
      </c>
      <c r="K77" s="327">
        <f>I77*$L$4</f>
        <v>258</v>
      </c>
      <c r="L77" s="328">
        <f t="shared" si="20"/>
        <v>258</v>
      </c>
      <c r="M77" s="61" t="s">
        <v>12</v>
      </c>
      <c r="N77" s="348">
        <f>$I77*$O$4</f>
        <v>258</v>
      </c>
      <c r="O77" s="349">
        <f t="shared" si="21"/>
        <v>258</v>
      </c>
      <c r="P77" s="293" t="s">
        <v>12</v>
      </c>
      <c r="Q77" s="327">
        <f>$I77*$O$4</f>
        <v>258</v>
      </c>
      <c r="R77" s="328">
        <f t="shared" si="22"/>
        <v>258</v>
      </c>
      <c r="S77" s="121">
        <f t="shared" si="23"/>
        <v>258</v>
      </c>
      <c r="T77" s="135" t="s">
        <v>12</v>
      </c>
      <c r="U77" s="136" t="s">
        <v>12</v>
      </c>
    </row>
    <row r="78" spans="2:21" ht="13.8" thickBot="1" x14ac:dyDescent="0.3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148</v>
      </c>
      <c r="G78" s="35">
        <f>ROUND(G77*Labor!$D$7,0)</f>
        <v>166</v>
      </c>
      <c r="H78" s="35">
        <f>ROUND(H77*Labor!$D$8,0)</f>
        <v>0</v>
      </c>
      <c r="I78" s="39">
        <f t="shared" si="19"/>
        <v>314</v>
      </c>
      <c r="J78" s="268">
        <f>HLOOKUP(Labor!$B$11,InflationTable,2)*I78</f>
        <v>424.15178047294444</v>
      </c>
      <c r="K78" s="269">
        <f>J78*$L$4</f>
        <v>18238.52656033661</v>
      </c>
      <c r="L78" s="308">
        <f t="shared" si="20"/>
        <v>18238.52656033661</v>
      </c>
      <c r="M78" s="362">
        <f>HLOOKUP(Labor!$B$11,InflationTable,3)*$I78</f>
        <v>435.73648594555198</v>
      </c>
      <c r="N78" s="63">
        <f>M78*$O$4</f>
        <v>18736.668895658735</v>
      </c>
      <c r="O78" s="95">
        <f t="shared" si="21"/>
        <v>18736.668895658735</v>
      </c>
      <c r="P78" s="268">
        <f>HLOOKUP(Labor!$B$11,InflationTable,4)*$I78</f>
        <v>440.95790456217338</v>
      </c>
      <c r="Q78" s="269">
        <f>P78*$R$4</f>
        <v>18961.189896173455</v>
      </c>
      <c r="R78" s="308">
        <f t="shared" si="22"/>
        <v>18961.189896173455</v>
      </c>
      <c r="S78" s="128">
        <f t="shared" si="23"/>
        <v>18645.461784056268</v>
      </c>
      <c r="T78" s="137" t="s">
        <v>12</v>
      </c>
      <c r="U78" s="149" t="s">
        <v>12</v>
      </c>
    </row>
    <row r="79" spans="2:21" x14ac:dyDescent="0.25">
      <c r="B79" s="565" t="s">
        <v>29</v>
      </c>
      <c r="C79" s="107" t="s">
        <v>45</v>
      </c>
      <c r="D79" s="108" t="s">
        <v>46</v>
      </c>
      <c r="E79" s="107" t="s">
        <v>47</v>
      </c>
      <c r="F79" s="107" t="s">
        <v>48</v>
      </c>
      <c r="G79" s="107" t="s">
        <v>49</v>
      </c>
      <c r="H79" s="107" t="s">
        <v>50</v>
      </c>
      <c r="I79" s="109" t="s">
        <v>112</v>
      </c>
      <c r="J79" s="351"/>
      <c r="K79" s="352"/>
      <c r="L79" s="356"/>
      <c r="M79" s="110" t="s">
        <v>113</v>
      </c>
      <c r="N79" s="108" t="s">
        <v>13</v>
      </c>
      <c r="O79" s="111" t="s">
        <v>68</v>
      </c>
      <c r="P79" s="351" t="s">
        <v>113</v>
      </c>
      <c r="Q79" s="352" t="s">
        <v>13</v>
      </c>
      <c r="R79" s="356" t="s">
        <v>68</v>
      </c>
      <c r="S79" s="123"/>
      <c r="T79" s="133"/>
      <c r="U79" s="37"/>
    </row>
    <row r="80" spans="2:21" x14ac:dyDescent="0.25">
      <c r="B80" s="569" t="s">
        <v>51</v>
      </c>
      <c r="C80" s="21">
        <v>0</v>
      </c>
      <c r="D80" s="21">
        <v>0</v>
      </c>
      <c r="E80" s="21">
        <v>0.2</v>
      </c>
      <c r="F80" s="21">
        <v>0.3</v>
      </c>
      <c r="G80" s="21">
        <v>0</v>
      </c>
      <c r="H80" s="21">
        <v>0</v>
      </c>
      <c r="I80" s="52">
        <f>SUM(C80:H80)</f>
        <v>0.5</v>
      </c>
      <c r="J80" s="263" t="s">
        <v>12</v>
      </c>
      <c r="K80" s="314">
        <f>I80*$J$5</f>
        <v>19.5</v>
      </c>
      <c r="L80" s="289">
        <f>K80</f>
        <v>19.5</v>
      </c>
      <c r="M80" s="58" t="s">
        <v>12</v>
      </c>
      <c r="N80" s="89">
        <f>$I80*M$5</f>
        <v>19.5</v>
      </c>
      <c r="O80" s="68">
        <f>N80</f>
        <v>19.5</v>
      </c>
      <c r="P80" s="263" t="s">
        <v>12</v>
      </c>
      <c r="Q80" s="314">
        <f>$I80*P$5</f>
        <v>19.5</v>
      </c>
      <c r="R80" s="289">
        <f>Q80</f>
        <v>19.5</v>
      </c>
      <c r="S80" s="121">
        <f>AVERAGE(L80,O80,R80)</f>
        <v>19.5</v>
      </c>
      <c r="T80" s="135" t="s">
        <v>12</v>
      </c>
      <c r="U80" s="136" t="s">
        <v>12</v>
      </c>
    </row>
    <row r="81" spans="2:21" ht="13.8" thickBot="1" x14ac:dyDescent="0.3">
      <c r="B81" s="567" t="s">
        <v>107</v>
      </c>
      <c r="C81" s="34">
        <f>ROUND(C80*Labor!$D$3,0)</f>
        <v>0</v>
      </c>
      <c r="D81" s="35">
        <f>ROUND(D80*Labor!$D$4,0)</f>
        <v>0</v>
      </c>
      <c r="E81" s="35">
        <f>ROUND(E80*Labor!$D$5,0)</f>
        <v>9</v>
      </c>
      <c r="F81" s="35">
        <f>ROUND(F80*Labor!$D$6,0)</f>
        <v>15</v>
      </c>
      <c r="G81" s="35">
        <f>ROUND(G80*Labor!$D$7,0)</f>
        <v>0</v>
      </c>
      <c r="H81" s="35">
        <f>ROUND(H80*Labor!$D$8,0)</f>
        <v>0</v>
      </c>
      <c r="I81" s="39">
        <f>SUM(C81:H81)</f>
        <v>24</v>
      </c>
      <c r="J81" s="268">
        <f>HLOOKUP(Labor!$B$11,InflationTable,2)*I81</f>
        <v>32.419244367358814</v>
      </c>
      <c r="K81" s="269">
        <f>J81*$J$5</f>
        <v>1264.3505303269937</v>
      </c>
      <c r="L81" s="308">
        <f>K81</f>
        <v>1264.3505303269937</v>
      </c>
      <c r="M81" s="362">
        <f>HLOOKUP(Labor!$B$11,InflationTable,3)*$I81</f>
        <v>33.304699562717346</v>
      </c>
      <c r="N81" s="63">
        <f>M81*$M$5</f>
        <v>1298.8832829459766</v>
      </c>
      <c r="O81" s="95">
        <f>N81</f>
        <v>1298.8832829459766</v>
      </c>
      <c r="P81" s="268">
        <f>HLOOKUP(Labor!$B$11,InflationTable,4)*$I81</f>
        <v>33.703788883732997</v>
      </c>
      <c r="Q81" s="269">
        <f>P81*$P$5</f>
        <v>1314.4477664655869</v>
      </c>
      <c r="R81" s="308">
        <f>Q81</f>
        <v>1314.4477664655869</v>
      </c>
      <c r="S81" s="132">
        <f>AVERAGE(L81,O81,R81)</f>
        <v>1292.5605265795191</v>
      </c>
      <c r="T81" s="137" t="s">
        <v>12</v>
      </c>
      <c r="U81" s="149" t="s">
        <v>12</v>
      </c>
    </row>
    <row r="82" spans="2:21" x14ac:dyDescent="0.25">
      <c r="B82" s="565" t="s">
        <v>106</v>
      </c>
      <c r="C82" s="32"/>
      <c r="D82" s="431" t="s">
        <v>54</v>
      </c>
      <c r="E82" s="28">
        <v>5</v>
      </c>
      <c r="F82" s="7"/>
      <c r="G82" s="5"/>
      <c r="H82" s="5"/>
      <c r="I82" s="109" t="s">
        <v>55</v>
      </c>
      <c r="J82" s="259"/>
      <c r="K82" s="542"/>
      <c r="L82" s="543"/>
      <c r="M82" s="364" t="s">
        <v>55</v>
      </c>
      <c r="N82" s="1434" t="s">
        <v>57</v>
      </c>
      <c r="O82" s="1435"/>
      <c r="P82" s="259" t="s">
        <v>55</v>
      </c>
      <c r="Q82" s="1431" t="s">
        <v>57</v>
      </c>
      <c r="R82" s="1439"/>
      <c r="S82" s="170"/>
      <c r="T82" s="133"/>
      <c r="U82" s="37"/>
    </row>
    <row r="83" spans="2:21" x14ac:dyDescent="0.25">
      <c r="B83" s="569" t="s">
        <v>51</v>
      </c>
      <c r="C83" s="21">
        <v>0</v>
      </c>
      <c r="D83" s="21">
        <v>0</v>
      </c>
      <c r="E83" s="21">
        <v>0</v>
      </c>
      <c r="F83" s="21">
        <v>5</v>
      </c>
      <c r="G83" s="21">
        <v>5</v>
      </c>
      <c r="H83" s="21">
        <v>5</v>
      </c>
      <c r="I83" s="52">
        <f>SUM(C83:H83)</f>
        <v>15</v>
      </c>
      <c r="J83" s="263" t="s">
        <v>12</v>
      </c>
      <c r="K83" s="283">
        <f>I83*$J$5</f>
        <v>585</v>
      </c>
      <c r="L83" s="282">
        <f>K83/$E$82</f>
        <v>117</v>
      </c>
      <c r="M83" s="58" t="s">
        <v>12</v>
      </c>
      <c r="N83" s="60">
        <f>$I$83*$M$5</f>
        <v>585</v>
      </c>
      <c r="O83" s="59">
        <f>N83/$E$82</f>
        <v>117</v>
      </c>
      <c r="P83" s="263" t="s">
        <v>12</v>
      </c>
      <c r="Q83" s="283">
        <f>$I$83*$P$5</f>
        <v>585</v>
      </c>
      <c r="R83" s="282">
        <f>Q83/$E$82</f>
        <v>117</v>
      </c>
      <c r="S83" s="121">
        <f>AVERAGE(L83,O83,R83)</f>
        <v>117</v>
      </c>
      <c r="T83" s="135" t="s">
        <v>12</v>
      </c>
      <c r="U83" s="136" t="s">
        <v>12</v>
      </c>
    </row>
    <row r="84" spans="2:21" ht="13.8" thickBot="1" x14ac:dyDescent="0.3">
      <c r="B84" s="567" t="s">
        <v>105</v>
      </c>
      <c r="C84" s="34">
        <f>ROUND(C83*Labor!$D$3,0)</f>
        <v>0</v>
      </c>
      <c r="D84" s="35">
        <f>ROUND(D83*Labor!$D$4,0)</f>
        <v>0</v>
      </c>
      <c r="E84" s="35">
        <f>ROUND(E83*Labor!$D$5,0)</f>
        <v>0</v>
      </c>
      <c r="F84" s="35">
        <f>ROUND(F83*Labor!$D$6,0)</f>
        <v>246</v>
      </c>
      <c r="G84" s="35">
        <f>ROUND(G83*Labor!$D$7,0)</f>
        <v>277</v>
      </c>
      <c r="H84" s="35">
        <f>ROUND(H83*Labor!$D$8,0)</f>
        <v>293</v>
      </c>
      <c r="I84" s="39">
        <f>SUM(C84:H84)</f>
        <v>816</v>
      </c>
      <c r="J84" s="268">
        <f>HLOOKUP(Labor!$B$11,InflationTable,2)*I84</f>
        <v>1102.2543084901995</v>
      </c>
      <c r="K84" s="269">
        <f>J84*$J$5</f>
        <v>42987.918031117777</v>
      </c>
      <c r="L84" s="270">
        <f>K84/$E$82</f>
        <v>8597.5836062235558</v>
      </c>
      <c r="M84" s="91">
        <f>HLOOKUP(Labor!$B$11,InflationTable,3)*$I84</f>
        <v>1132.3597851323898</v>
      </c>
      <c r="N84" s="63">
        <f>M84*$M$5</f>
        <v>44162.031620163201</v>
      </c>
      <c r="O84" s="64">
        <f>N84/$E$82</f>
        <v>8832.4063240326395</v>
      </c>
      <c r="P84" s="292">
        <f>HLOOKUP(Labor!$B$11,InflationTable,4)*$I84</f>
        <v>1145.9288220469218</v>
      </c>
      <c r="Q84" s="269">
        <f>P84*$P$5</f>
        <v>44691.224059829954</v>
      </c>
      <c r="R84" s="270">
        <f>Q84/$E$82</f>
        <v>8938.2448119659912</v>
      </c>
      <c r="S84" s="128">
        <f>AVERAGE(L84,O84,R84)</f>
        <v>8789.4115807407288</v>
      </c>
      <c r="T84" s="137" t="s">
        <v>12</v>
      </c>
      <c r="U84" s="149" t="s">
        <v>12</v>
      </c>
    </row>
    <row r="85" spans="2:21" x14ac:dyDescent="0.25">
      <c r="B85" s="560" t="s">
        <v>66</v>
      </c>
      <c r="C85" s="42">
        <f t="shared" ref="C85:I86" si="24">C68+C70+C73+C75+C77+C80+C83</f>
        <v>0</v>
      </c>
      <c r="D85" s="42">
        <f t="shared" si="24"/>
        <v>25</v>
      </c>
      <c r="E85" s="42">
        <f t="shared" si="24"/>
        <v>25.2</v>
      </c>
      <c r="F85" s="42">
        <f t="shared" si="24"/>
        <v>48.3</v>
      </c>
      <c r="G85" s="42">
        <f t="shared" si="24"/>
        <v>47</v>
      </c>
      <c r="H85" s="42">
        <f t="shared" si="24"/>
        <v>5</v>
      </c>
      <c r="I85" s="53">
        <f t="shared" si="24"/>
        <v>150.5</v>
      </c>
      <c r="J85" s="293" t="s">
        <v>12</v>
      </c>
      <c r="K85" s="315" t="s">
        <v>12</v>
      </c>
      <c r="L85" s="316">
        <f>L83+K80+K77+K75+K73+K70+K68</f>
        <v>5941.5</v>
      </c>
      <c r="M85" s="92" t="s">
        <v>12</v>
      </c>
      <c r="N85" s="42" t="s">
        <v>12</v>
      </c>
      <c r="O85" s="90">
        <f>O83+N80+N77+N75+N73+N70+N68</f>
        <v>5941.5</v>
      </c>
      <c r="P85" s="293" t="s">
        <v>12</v>
      </c>
      <c r="Q85" s="315" t="s">
        <v>12</v>
      </c>
      <c r="R85" s="316">
        <f>R83+Q80+Q77+Q75+Q73+Q70+Q68</f>
        <v>5941.5</v>
      </c>
      <c r="S85" s="150">
        <f>AVERAGE(L85,O85,R85)</f>
        <v>5941.5</v>
      </c>
      <c r="T85" s="133"/>
      <c r="U85" s="37"/>
    </row>
    <row r="86" spans="2:21" ht="13.8" thickBot="1" x14ac:dyDescent="0.3">
      <c r="B86" s="561" t="s">
        <v>67</v>
      </c>
      <c r="C86" s="240">
        <f t="shared" si="24"/>
        <v>0</v>
      </c>
      <c r="D86" s="240">
        <f t="shared" si="24"/>
        <v>1022</v>
      </c>
      <c r="E86" s="240">
        <f t="shared" si="24"/>
        <v>1112</v>
      </c>
      <c r="F86" s="240">
        <f t="shared" si="24"/>
        <v>2380</v>
      </c>
      <c r="G86" s="240">
        <f t="shared" si="24"/>
        <v>2606</v>
      </c>
      <c r="H86" s="240">
        <f t="shared" si="24"/>
        <v>293</v>
      </c>
      <c r="I86" s="243">
        <f t="shared" si="24"/>
        <v>7413</v>
      </c>
      <c r="J86" s="274">
        <f>J69+J71+J74+J76+J78+J81+J84</f>
        <v>10013.494103967952</v>
      </c>
      <c r="K86" s="317" t="s">
        <v>12</v>
      </c>
      <c r="L86" s="306">
        <f>L84+K81+K78+K76+K74+K71+K69</f>
        <v>391651.21783429751</v>
      </c>
      <c r="M86" s="242">
        <f>M69+M71+M74+M76+M78+M81+M84</f>
        <v>10286.98907743432</v>
      </c>
      <c r="N86" s="256" t="s">
        <v>12</v>
      </c>
      <c r="O86" s="254">
        <f>O84+N81+N78+N76+N74+N71+N69</f>
        <v>402348.24709476484</v>
      </c>
      <c r="P86" s="274">
        <f>P69+P71+P74+P76+P78+P81+P84</f>
        <v>10410.257791463031</v>
      </c>
      <c r="Q86" s="317" t="s">
        <v>12</v>
      </c>
      <c r="R86" s="306">
        <f>R84+Q81+Q78+Q76+Q74+Q71+Q69</f>
        <v>407169.57534132368</v>
      </c>
      <c r="S86" s="248">
        <f>AVERAGE(L86,O86,R86)</f>
        <v>400389.68009012868</v>
      </c>
      <c r="T86" s="246"/>
      <c r="U86" s="236"/>
    </row>
    <row r="87" spans="2:21" ht="14.4" thickTop="1" thickBot="1" x14ac:dyDescent="0.3">
      <c r="B87" s="619"/>
      <c r="C87" s="618"/>
      <c r="D87" s="618"/>
      <c r="E87" s="618"/>
      <c r="F87" s="618"/>
      <c r="G87" s="618"/>
      <c r="H87" s="618"/>
      <c r="I87" s="618"/>
      <c r="J87" s="618"/>
      <c r="K87" s="618"/>
      <c r="L87" s="618"/>
      <c r="M87" s="618"/>
      <c r="N87" s="618"/>
      <c r="O87" s="618"/>
      <c r="P87" s="618"/>
      <c r="Q87" s="618"/>
      <c r="R87" s="618"/>
      <c r="S87" s="618"/>
      <c r="T87" s="618"/>
      <c r="U87" s="620"/>
    </row>
    <row r="88" spans="2:21" ht="16.2" thickTop="1" x14ac:dyDescent="0.3">
      <c r="B88" s="562" t="s">
        <v>30</v>
      </c>
      <c r="C88" s="5"/>
      <c r="D88" s="5"/>
      <c r="E88" s="5"/>
      <c r="F88" s="112" t="s">
        <v>6</v>
      </c>
      <c r="G88" s="1415"/>
      <c r="H88" s="1416"/>
      <c r="I88" s="1417"/>
      <c r="J88" s="181" t="s">
        <v>30</v>
      </c>
      <c r="K88" s="426"/>
      <c r="L88" s="67"/>
      <c r="M88" s="181" t="s">
        <v>30</v>
      </c>
      <c r="N88" s="426"/>
      <c r="O88" s="67"/>
      <c r="P88" s="181" t="s">
        <v>30</v>
      </c>
      <c r="Q88" s="319"/>
      <c r="R88" s="180"/>
      <c r="S88" s="225"/>
      <c r="T88" s="133"/>
      <c r="U88" s="37"/>
    </row>
    <row r="89" spans="2:21" x14ac:dyDescent="0.25">
      <c r="B89" s="555"/>
      <c r="C89" s="5"/>
      <c r="D89" s="5"/>
      <c r="E89" s="5"/>
      <c r="F89" s="7"/>
      <c r="G89" s="5"/>
      <c r="H89" s="5"/>
      <c r="I89" s="45" t="s">
        <v>61</v>
      </c>
      <c r="J89" s="277" t="s">
        <v>61</v>
      </c>
      <c r="K89" s="1422" t="s">
        <v>57</v>
      </c>
      <c r="L89" s="1423"/>
      <c r="M89" s="57" t="s">
        <v>61</v>
      </c>
      <c r="N89" s="1432" t="s">
        <v>57</v>
      </c>
      <c r="O89" s="1436"/>
      <c r="P89" s="318" t="s">
        <v>61</v>
      </c>
      <c r="Q89" s="1431" t="s">
        <v>57</v>
      </c>
      <c r="R89" s="1439"/>
      <c r="S89" s="131"/>
      <c r="T89" s="133"/>
      <c r="U89" s="37"/>
    </row>
    <row r="90" spans="2:21" x14ac:dyDescent="0.25">
      <c r="B90" s="563" t="s">
        <v>21</v>
      </c>
      <c r="C90" s="23" t="s">
        <v>45</v>
      </c>
      <c r="D90" s="24" t="s">
        <v>46</v>
      </c>
      <c r="E90" s="23" t="s">
        <v>47</v>
      </c>
      <c r="F90" s="23" t="s">
        <v>48</v>
      </c>
      <c r="G90" s="23" t="s">
        <v>49</v>
      </c>
      <c r="H90" s="23" t="s">
        <v>50</v>
      </c>
      <c r="I90" s="45" t="s">
        <v>13</v>
      </c>
      <c r="J90" s="260" t="s">
        <v>56</v>
      </c>
      <c r="K90" s="261" t="s">
        <v>13</v>
      </c>
      <c r="L90" s="262" t="s">
        <v>68</v>
      </c>
      <c r="M90" s="77" t="s">
        <v>56</v>
      </c>
      <c r="N90" s="24" t="s">
        <v>13</v>
      </c>
      <c r="O90" s="38" t="s">
        <v>68</v>
      </c>
      <c r="P90" s="260" t="s">
        <v>56</v>
      </c>
      <c r="Q90" s="261" t="s">
        <v>13</v>
      </c>
      <c r="R90" s="262" t="s">
        <v>68</v>
      </c>
      <c r="S90" s="123"/>
      <c r="T90" s="133"/>
      <c r="U90" s="37"/>
    </row>
    <row r="91" spans="2:21" x14ac:dyDescent="0.25">
      <c r="B91" s="566" t="s">
        <v>4</v>
      </c>
      <c r="C91" s="21">
        <v>0</v>
      </c>
      <c r="D91" s="21">
        <v>0</v>
      </c>
      <c r="E91" s="21">
        <v>0</v>
      </c>
      <c r="F91" s="21">
        <v>0</v>
      </c>
      <c r="G91" s="21">
        <v>8</v>
      </c>
      <c r="H91" s="21">
        <v>4</v>
      </c>
      <c r="I91" s="52">
        <f>SUM(C91:H91)</f>
        <v>12</v>
      </c>
      <c r="J91" s="263" t="s">
        <v>12</v>
      </c>
      <c r="K91" s="281">
        <f>I91*$L$4</f>
        <v>516</v>
      </c>
      <c r="L91" s="289">
        <f>K91</f>
        <v>516</v>
      </c>
      <c r="M91" s="58" t="s">
        <v>12</v>
      </c>
      <c r="N91" s="69">
        <f>$I91*O$4</f>
        <v>516</v>
      </c>
      <c r="O91" s="59">
        <f>N91</f>
        <v>516</v>
      </c>
      <c r="P91" s="263" t="s">
        <v>12</v>
      </c>
      <c r="Q91" s="281">
        <f>$I91*R$4</f>
        <v>516</v>
      </c>
      <c r="R91" s="289">
        <f>Q91</f>
        <v>516</v>
      </c>
      <c r="S91" s="173">
        <f t="shared" ref="S91:S96" si="25">AVERAGE(L91,O91,R91)</f>
        <v>516</v>
      </c>
      <c r="T91" s="135" t="s">
        <v>12</v>
      </c>
      <c r="U91" s="136" t="s">
        <v>12</v>
      </c>
    </row>
    <row r="92" spans="2:21" ht="13.8" thickBot="1" x14ac:dyDescent="0.3">
      <c r="B92" s="567" t="s">
        <v>8</v>
      </c>
      <c r="C92" s="34">
        <f>ROUND(C91*Labor!$D$3,0)</f>
        <v>0</v>
      </c>
      <c r="D92" s="35">
        <f>ROUND(D91*Labor!$D$4,0)</f>
        <v>0</v>
      </c>
      <c r="E92" s="35">
        <f>ROUND(E91*Labor!$D$5,0)</f>
        <v>0</v>
      </c>
      <c r="F92" s="35">
        <f>ROUND(F91*Labor!$D$6,0)</f>
        <v>0</v>
      </c>
      <c r="G92" s="35">
        <f>ROUND(G91*Labor!$D$7,0)</f>
        <v>444</v>
      </c>
      <c r="H92" s="35">
        <f>ROUND(H91*Labor!$D$8,0)</f>
        <v>234</v>
      </c>
      <c r="I92" s="39">
        <f>SUM(C92:H92)</f>
        <v>678</v>
      </c>
      <c r="J92" s="268">
        <f>HLOOKUP(Labor!$B$11,InflationTable,2)*I92</f>
        <v>915.84365337788643</v>
      </c>
      <c r="K92" s="269">
        <f>J92*$L$4</f>
        <v>39381.277095249119</v>
      </c>
      <c r="L92" s="308">
        <f>K92</f>
        <v>39381.277095249119</v>
      </c>
      <c r="M92" s="84">
        <f>HLOOKUP(Labor!$B$11,InflationTable,3)*$I92</f>
        <v>940.85776264676508</v>
      </c>
      <c r="N92" s="63">
        <f>M92*O$4</f>
        <v>40456.883793810899</v>
      </c>
      <c r="O92" s="64">
        <f>N92</f>
        <v>40456.883793810899</v>
      </c>
      <c r="P92" s="268">
        <f>HLOOKUP(Labor!$B$11,InflationTable,4)*$I92</f>
        <v>952.13203596545713</v>
      </c>
      <c r="Q92" s="269">
        <f>P92*R$4</f>
        <v>40941.677546514657</v>
      </c>
      <c r="R92" s="308">
        <f>Q92</f>
        <v>40941.677546514657</v>
      </c>
      <c r="S92" s="171">
        <f t="shared" si="25"/>
        <v>40259.946145191556</v>
      </c>
      <c r="T92" s="137" t="s">
        <v>12</v>
      </c>
      <c r="U92" s="149" t="s">
        <v>12</v>
      </c>
    </row>
    <row r="93" spans="2:21" x14ac:dyDescent="0.25">
      <c r="B93" s="559" t="s">
        <v>104</v>
      </c>
      <c r="C93" s="346">
        <v>0</v>
      </c>
      <c r="D93" s="346">
        <v>0</v>
      </c>
      <c r="E93" s="346">
        <v>16</v>
      </c>
      <c r="F93" s="346">
        <v>8</v>
      </c>
      <c r="G93" s="346">
        <v>4</v>
      </c>
      <c r="H93" s="346">
        <v>2</v>
      </c>
      <c r="I93" s="347">
        <f>SUM(C93:H93)</f>
        <v>30</v>
      </c>
      <c r="J93" s="293" t="s">
        <v>12</v>
      </c>
      <c r="K93" s="327">
        <f>I93*$L$4</f>
        <v>1290</v>
      </c>
      <c r="L93" s="328">
        <f>K93</f>
        <v>1290</v>
      </c>
      <c r="M93" s="61" t="s">
        <v>12</v>
      </c>
      <c r="N93" s="348">
        <f>$I93*O$4</f>
        <v>1290</v>
      </c>
      <c r="O93" s="349">
        <f>N93</f>
        <v>1290</v>
      </c>
      <c r="P93" s="293" t="s">
        <v>12</v>
      </c>
      <c r="Q93" s="327">
        <f>$I93*R$4</f>
        <v>1290</v>
      </c>
      <c r="R93" s="328">
        <f>Q93</f>
        <v>1290</v>
      </c>
      <c r="S93" s="173">
        <f t="shared" si="25"/>
        <v>1290</v>
      </c>
      <c r="T93" s="135" t="s">
        <v>12</v>
      </c>
      <c r="U93" s="136" t="s">
        <v>12</v>
      </c>
    </row>
    <row r="94" spans="2:21" ht="13.8" thickBot="1" x14ac:dyDescent="0.3">
      <c r="B94" s="568" t="s">
        <v>8</v>
      </c>
      <c r="C94" s="34">
        <f>ROUND(C93*Labor!$D$3,0)</f>
        <v>0</v>
      </c>
      <c r="D94" s="35">
        <f>ROUND(D93*Labor!$D$4,0)</f>
        <v>0</v>
      </c>
      <c r="E94" s="35">
        <f>ROUND(E93*Labor!$D$5,0)</f>
        <v>706</v>
      </c>
      <c r="F94" s="35">
        <f>ROUND(F93*Labor!$D$6,0)</f>
        <v>394</v>
      </c>
      <c r="G94" s="35">
        <f>ROUND(G93*Labor!$D$7,0)</f>
        <v>222</v>
      </c>
      <c r="H94" s="35">
        <f>ROUND(H93*Labor!$D$8,0)</f>
        <v>117</v>
      </c>
      <c r="I94" s="39">
        <f>SUM(C94:H94)</f>
        <v>1439</v>
      </c>
      <c r="J94" s="268">
        <f>HLOOKUP(Labor!$B$11,InflationTable,2)*I94</f>
        <v>1943.8038601928888</v>
      </c>
      <c r="K94" s="269">
        <f>J94*$L$4</f>
        <v>83583.565988294213</v>
      </c>
      <c r="L94" s="300">
        <f>K94</f>
        <v>83583.565988294213</v>
      </c>
      <c r="M94" s="84">
        <f>HLOOKUP(Labor!$B$11,InflationTable,3)*$I94</f>
        <v>1996.8942779479275</v>
      </c>
      <c r="N94" s="63">
        <f>M94*O$4</f>
        <v>85866.453951760879</v>
      </c>
      <c r="O94" s="64">
        <f>N94</f>
        <v>85866.453951760879</v>
      </c>
      <c r="P94" s="292">
        <f>HLOOKUP(Labor!$B$11,InflationTable,4)*$I94</f>
        <v>2020.8230084871575</v>
      </c>
      <c r="Q94" s="269">
        <f>P94*R$4</f>
        <v>86895.389364947769</v>
      </c>
      <c r="R94" s="300">
        <f>Q94</f>
        <v>86895.389364947769</v>
      </c>
      <c r="S94" s="128">
        <f t="shared" si="25"/>
        <v>85448.469768334282</v>
      </c>
      <c r="T94" s="137" t="s">
        <v>12</v>
      </c>
      <c r="U94" s="149" t="s">
        <v>12</v>
      </c>
    </row>
    <row r="95" spans="2:21" x14ac:dyDescent="0.25">
      <c r="B95" s="560" t="s">
        <v>66</v>
      </c>
      <c r="C95" s="36">
        <f t="shared" ref="C95:I96" si="26">C91+C93</f>
        <v>0</v>
      </c>
      <c r="D95" s="36">
        <f t="shared" si="26"/>
        <v>0</v>
      </c>
      <c r="E95" s="36">
        <f t="shared" si="26"/>
        <v>16</v>
      </c>
      <c r="F95" s="36">
        <f t="shared" si="26"/>
        <v>8</v>
      </c>
      <c r="G95" s="36">
        <f t="shared" si="26"/>
        <v>12</v>
      </c>
      <c r="H95" s="36">
        <f t="shared" si="26"/>
        <v>6</v>
      </c>
      <c r="I95" s="46">
        <f t="shared" si="26"/>
        <v>42</v>
      </c>
      <c r="J95" s="301" t="s">
        <v>12</v>
      </c>
      <c r="K95" s="320">
        <f>K91+K93</f>
        <v>1806</v>
      </c>
      <c r="L95" s="321">
        <f>L91+L93</f>
        <v>1806</v>
      </c>
      <c r="M95" s="85" t="s">
        <v>12</v>
      </c>
      <c r="N95" s="36">
        <f>N91+N93</f>
        <v>1806</v>
      </c>
      <c r="O95" s="100">
        <f>O91+O93</f>
        <v>1806</v>
      </c>
      <c r="P95" s="301" t="s">
        <v>12</v>
      </c>
      <c r="Q95" s="320">
        <f>Q91+Q93</f>
        <v>1806</v>
      </c>
      <c r="R95" s="322">
        <f>R91+R93</f>
        <v>1806</v>
      </c>
      <c r="S95" s="121">
        <f t="shared" si="25"/>
        <v>1806</v>
      </c>
      <c r="T95" s="135" t="s">
        <v>12</v>
      </c>
      <c r="U95" s="136" t="s">
        <v>12</v>
      </c>
    </row>
    <row r="96" spans="2:21" ht="13.8" thickBot="1" x14ac:dyDescent="0.3">
      <c r="B96" s="561" t="s">
        <v>67</v>
      </c>
      <c r="C96" s="240">
        <f t="shared" si="26"/>
        <v>0</v>
      </c>
      <c r="D96" s="240">
        <f t="shared" si="26"/>
        <v>0</v>
      </c>
      <c r="E96" s="240">
        <f t="shared" si="26"/>
        <v>706</v>
      </c>
      <c r="F96" s="240">
        <f t="shared" si="26"/>
        <v>394</v>
      </c>
      <c r="G96" s="240">
        <f t="shared" si="26"/>
        <v>666</v>
      </c>
      <c r="H96" s="240">
        <f t="shared" si="26"/>
        <v>351</v>
      </c>
      <c r="I96" s="243">
        <f t="shared" si="26"/>
        <v>2117</v>
      </c>
      <c r="J96" s="274">
        <f>J92+J94</f>
        <v>2859.6475135707751</v>
      </c>
      <c r="K96" s="275">
        <f>K92+K94</f>
        <v>122964.84308354332</v>
      </c>
      <c r="L96" s="276">
        <f>L92+L94</f>
        <v>122964.84308354332</v>
      </c>
      <c r="M96" s="242">
        <f>M92+M94</f>
        <v>2937.7520405946925</v>
      </c>
      <c r="N96" s="240">
        <f>N92+N94</f>
        <v>126323.33774557177</v>
      </c>
      <c r="O96" s="243">
        <f>O92+O94</f>
        <v>126323.33774557177</v>
      </c>
      <c r="P96" s="313">
        <f>P92+P94</f>
        <v>2972.9550444526149</v>
      </c>
      <c r="Q96" s="275">
        <f>Q92+Q94</f>
        <v>127837.06691146243</v>
      </c>
      <c r="R96" s="276">
        <f>R92+R94</f>
        <v>127837.06691146243</v>
      </c>
      <c r="S96" s="257">
        <f t="shared" si="25"/>
        <v>125708.41591352585</v>
      </c>
      <c r="T96" s="258" t="s">
        <v>12</v>
      </c>
      <c r="U96" s="249" t="s">
        <v>12</v>
      </c>
    </row>
    <row r="97" spans="2:22" ht="14.4" thickTop="1" thickBot="1" x14ac:dyDescent="0.3">
      <c r="B97" s="555"/>
      <c r="C97" s="5"/>
      <c r="D97" s="618"/>
      <c r="E97" s="618"/>
      <c r="F97" s="618"/>
      <c r="G97" s="618"/>
      <c r="H97" s="618"/>
      <c r="I97" s="618"/>
      <c r="J97" s="618"/>
      <c r="K97" s="618"/>
      <c r="L97" s="618"/>
      <c r="M97" s="618"/>
      <c r="N97" s="618"/>
      <c r="O97" s="618"/>
      <c r="P97" s="618"/>
      <c r="Q97" s="618"/>
      <c r="R97" s="618"/>
      <c r="S97" s="618"/>
      <c r="T97" s="618"/>
      <c r="U97" s="620"/>
    </row>
    <row r="98" spans="2:22" ht="18.600000000000001" thickTop="1" thickBot="1" x14ac:dyDescent="0.35">
      <c r="B98" s="556" t="s">
        <v>121</v>
      </c>
      <c r="C98" s="234" t="str">
        <f>C2</f>
        <v>PAMSSurfMet</v>
      </c>
      <c r="D98" s="5"/>
      <c r="E98" s="4"/>
      <c r="F98" s="12"/>
      <c r="G98" s="4"/>
      <c r="H98" s="4"/>
      <c r="I98" s="41"/>
      <c r="J98" s="233" t="str">
        <f>J2</f>
        <v>Year 1</v>
      </c>
      <c r="K98" s="233">
        <f>K2</f>
        <v>2019</v>
      </c>
      <c r="L98" s="83"/>
      <c r="M98" s="79" t="str">
        <f>M2</f>
        <v>Year 2</v>
      </c>
      <c r="N98" s="79">
        <f>N2</f>
        <v>2020</v>
      </c>
      <c r="O98" s="41"/>
      <c r="P98" s="233" t="str">
        <f>P2</f>
        <v>Year 3</v>
      </c>
      <c r="Q98" s="233">
        <f>Q2</f>
        <v>2021</v>
      </c>
      <c r="R98" s="83"/>
      <c r="S98" s="152"/>
      <c r="T98" s="130"/>
      <c r="U98" s="570"/>
    </row>
    <row r="99" spans="2:22" ht="13.8" thickBot="1" x14ac:dyDescent="0.3">
      <c r="B99" s="555"/>
      <c r="C99" s="194" t="s">
        <v>45</v>
      </c>
      <c r="D99" s="190" t="s">
        <v>46</v>
      </c>
      <c r="E99" s="187" t="s">
        <v>47</v>
      </c>
      <c r="F99" s="202" t="s">
        <v>48</v>
      </c>
      <c r="G99" s="201" t="s">
        <v>49</v>
      </c>
      <c r="H99" s="187" t="s">
        <v>50</v>
      </c>
      <c r="I99" s="188" t="s">
        <v>13</v>
      </c>
      <c r="J99" s="323" t="s">
        <v>56</v>
      </c>
      <c r="K99" s="324" t="s">
        <v>13</v>
      </c>
      <c r="L99" s="325" t="s">
        <v>68</v>
      </c>
      <c r="M99" s="189" t="s">
        <v>56</v>
      </c>
      <c r="N99" s="190" t="s">
        <v>13</v>
      </c>
      <c r="O99" s="191" t="s">
        <v>68</v>
      </c>
      <c r="P99" s="323" t="s">
        <v>56</v>
      </c>
      <c r="Q99" s="324" t="s">
        <v>13</v>
      </c>
      <c r="R99" s="325" t="s">
        <v>68</v>
      </c>
      <c r="S99" s="192"/>
      <c r="T99" s="193"/>
      <c r="U99" s="571"/>
      <c r="V99" s="5"/>
    </row>
    <row r="100" spans="2:22" x14ac:dyDescent="0.25">
      <c r="B100" s="572" t="s">
        <v>97</v>
      </c>
      <c r="C100" s="196">
        <f t="shared" ref="C100:S100" si="27">C12</f>
        <v>0</v>
      </c>
      <c r="D100" s="184">
        <f t="shared" si="27"/>
        <v>0</v>
      </c>
      <c r="E100" s="184">
        <f t="shared" si="27"/>
        <v>0</v>
      </c>
      <c r="F100" s="184">
        <f t="shared" si="27"/>
        <v>5</v>
      </c>
      <c r="G100" s="184">
        <f t="shared" si="27"/>
        <v>12</v>
      </c>
      <c r="H100" s="184">
        <f t="shared" si="27"/>
        <v>2</v>
      </c>
      <c r="I100" s="185">
        <f t="shared" si="27"/>
        <v>19</v>
      </c>
      <c r="J100" s="326" t="str">
        <f t="shared" si="27"/>
        <v>NA</v>
      </c>
      <c r="K100" s="327">
        <f t="shared" si="27"/>
        <v>741</v>
      </c>
      <c r="L100" s="328">
        <f t="shared" si="27"/>
        <v>148.19999999999999</v>
      </c>
      <c r="M100" s="186" t="str">
        <f t="shared" si="27"/>
        <v>NA</v>
      </c>
      <c r="N100" s="184">
        <f t="shared" si="27"/>
        <v>741</v>
      </c>
      <c r="O100" s="185">
        <f t="shared" si="27"/>
        <v>148.19999999999999</v>
      </c>
      <c r="P100" s="326" t="str">
        <f t="shared" si="27"/>
        <v>NA</v>
      </c>
      <c r="Q100" s="327">
        <f t="shared" si="27"/>
        <v>741</v>
      </c>
      <c r="R100" s="328">
        <f t="shared" si="27"/>
        <v>148.19999999999999</v>
      </c>
      <c r="S100" s="185">
        <f t="shared" si="27"/>
        <v>148.19999999999999</v>
      </c>
      <c r="T100" s="37"/>
      <c r="U100" s="138"/>
    </row>
    <row r="101" spans="2:22" ht="13.8" thickBot="1" x14ac:dyDescent="0.3">
      <c r="B101" s="573" t="s">
        <v>76</v>
      </c>
      <c r="C101" s="203">
        <f t="shared" ref="C101:S101" si="28">C13</f>
        <v>0</v>
      </c>
      <c r="D101" s="204">
        <f t="shared" si="28"/>
        <v>0</v>
      </c>
      <c r="E101" s="204">
        <f t="shared" si="28"/>
        <v>0</v>
      </c>
      <c r="F101" s="204">
        <f t="shared" si="28"/>
        <v>246</v>
      </c>
      <c r="G101" s="204">
        <f t="shared" si="28"/>
        <v>666</v>
      </c>
      <c r="H101" s="204">
        <f t="shared" si="28"/>
        <v>117</v>
      </c>
      <c r="I101" s="205">
        <f t="shared" si="28"/>
        <v>1029</v>
      </c>
      <c r="J101" s="329">
        <f t="shared" si="28"/>
        <v>1389.9751022505091</v>
      </c>
      <c r="K101" s="330">
        <f t="shared" si="28"/>
        <v>54209.028987769852</v>
      </c>
      <c r="L101" s="331">
        <f t="shared" si="28"/>
        <v>10841.80579755397</v>
      </c>
      <c r="M101" s="203">
        <f t="shared" si="28"/>
        <v>1427.9389937515064</v>
      </c>
      <c r="N101" s="204">
        <f t="shared" si="28"/>
        <v>55689.620756308745</v>
      </c>
      <c r="O101" s="205">
        <f t="shared" si="28"/>
        <v>11137.924151261748</v>
      </c>
      <c r="P101" s="329">
        <f t="shared" si="28"/>
        <v>1445.0499483900521</v>
      </c>
      <c r="Q101" s="330">
        <f t="shared" si="28"/>
        <v>56356.947987212036</v>
      </c>
      <c r="R101" s="331">
        <f t="shared" si="28"/>
        <v>11271.389597442407</v>
      </c>
      <c r="S101" s="205">
        <f t="shared" si="28"/>
        <v>11083.706515419375</v>
      </c>
      <c r="T101" s="206" t="str">
        <f>T13</f>
        <v>NA</v>
      </c>
      <c r="U101" s="392" t="s">
        <v>12</v>
      </c>
    </row>
    <row r="102" spans="2:22" x14ac:dyDescent="0.25">
      <c r="B102" s="574" t="s">
        <v>98</v>
      </c>
      <c r="C102" s="196">
        <f t="shared" ref="C102:S102" si="29">C25</f>
        <v>0</v>
      </c>
      <c r="D102" s="184">
        <f t="shared" si="29"/>
        <v>8</v>
      </c>
      <c r="E102" s="184">
        <f t="shared" si="29"/>
        <v>8</v>
      </c>
      <c r="F102" s="184">
        <f t="shared" si="29"/>
        <v>4</v>
      </c>
      <c r="G102" s="184">
        <f t="shared" si="29"/>
        <v>4</v>
      </c>
      <c r="H102" s="184">
        <f t="shared" si="29"/>
        <v>0</v>
      </c>
      <c r="I102" s="185">
        <f t="shared" si="29"/>
        <v>24</v>
      </c>
      <c r="J102" s="326" t="str">
        <f t="shared" si="29"/>
        <v>NA</v>
      </c>
      <c r="K102" s="327">
        <f t="shared" si="29"/>
        <v>1049.2</v>
      </c>
      <c r="L102" s="328">
        <f t="shared" si="29"/>
        <v>209.83999999999997</v>
      </c>
      <c r="M102" s="186" t="str">
        <f t="shared" si="29"/>
        <v>NA</v>
      </c>
      <c r="N102" s="184">
        <f t="shared" si="29"/>
        <v>1049.2</v>
      </c>
      <c r="O102" s="185">
        <f t="shared" si="29"/>
        <v>209.83999999999997</v>
      </c>
      <c r="P102" s="326" t="str">
        <f t="shared" si="29"/>
        <v>NA</v>
      </c>
      <c r="Q102" s="327">
        <f t="shared" si="29"/>
        <v>1049.2</v>
      </c>
      <c r="R102" s="328">
        <f t="shared" si="29"/>
        <v>209.83999999999997</v>
      </c>
      <c r="S102" s="185">
        <f t="shared" si="29"/>
        <v>209.84</v>
      </c>
      <c r="T102" s="37"/>
      <c r="U102" s="138"/>
    </row>
    <row r="103" spans="2:22" ht="13.8" thickBot="1" x14ac:dyDescent="0.3">
      <c r="B103" s="573" t="s">
        <v>76</v>
      </c>
      <c r="C103" s="207">
        <f t="shared" ref="C103:S103" si="30">C26</f>
        <v>0</v>
      </c>
      <c r="D103" s="208">
        <f t="shared" si="30"/>
        <v>327</v>
      </c>
      <c r="E103" s="208">
        <f t="shared" si="30"/>
        <v>353</v>
      </c>
      <c r="F103" s="208">
        <f t="shared" si="30"/>
        <v>197</v>
      </c>
      <c r="G103" s="208">
        <f t="shared" si="30"/>
        <v>222</v>
      </c>
      <c r="H103" s="208">
        <f t="shared" si="30"/>
        <v>0</v>
      </c>
      <c r="I103" s="209">
        <f t="shared" si="30"/>
        <v>1099</v>
      </c>
      <c r="J103" s="332">
        <f t="shared" si="30"/>
        <v>1484.5312316553054</v>
      </c>
      <c r="K103" s="296">
        <f t="shared" si="30"/>
        <v>0</v>
      </c>
      <c r="L103" s="297">
        <f t="shared" si="30"/>
        <v>223848.29044359122</v>
      </c>
      <c r="M103" s="207">
        <f t="shared" si="30"/>
        <v>1525.0777008094319</v>
      </c>
      <c r="N103" s="208">
        <f t="shared" si="30"/>
        <v>0</v>
      </c>
      <c r="O103" s="209">
        <f t="shared" si="30"/>
        <v>229712.1573699766</v>
      </c>
      <c r="P103" s="332">
        <f t="shared" si="30"/>
        <v>1543.3526659676068</v>
      </c>
      <c r="Q103" s="296">
        <f t="shared" si="30"/>
        <v>0</v>
      </c>
      <c r="R103" s="297">
        <f t="shared" si="30"/>
        <v>232464.7919866374</v>
      </c>
      <c r="S103" s="209">
        <f t="shared" si="30"/>
        <v>13132.947905195873</v>
      </c>
      <c r="T103" s="210" t="str">
        <f>T26</f>
        <v>NA</v>
      </c>
      <c r="U103" s="575">
        <f>U26</f>
        <v>215542.13202820584</v>
      </c>
    </row>
    <row r="104" spans="2:22" x14ac:dyDescent="0.25">
      <c r="B104" s="574" t="s">
        <v>96</v>
      </c>
      <c r="C104" s="197">
        <f t="shared" ref="C104:S104" si="31">C35</f>
        <v>0</v>
      </c>
      <c r="D104" s="25">
        <f t="shared" si="31"/>
        <v>60</v>
      </c>
      <c r="E104" s="25">
        <f t="shared" si="31"/>
        <v>60</v>
      </c>
      <c r="F104" s="25">
        <f t="shared" si="31"/>
        <v>0</v>
      </c>
      <c r="G104" s="25">
        <f t="shared" si="31"/>
        <v>0</v>
      </c>
      <c r="H104" s="25">
        <f t="shared" si="31"/>
        <v>0</v>
      </c>
      <c r="I104" s="198">
        <f t="shared" si="31"/>
        <v>120</v>
      </c>
      <c r="J104" s="333" t="str">
        <f t="shared" si="31"/>
        <v>NA</v>
      </c>
      <c r="K104" s="334">
        <f t="shared" si="31"/>
        <v>5160</v>
      </c>
      <c r="L104" s="335">
        <f t="shared" si="31"/>
        <v>5160</v>
      </c>
      <c r="M104" s="199" t="str">
        <f t="shared" si="31"/>
        <v>NA</v>
      </c>
      <c r="N104" s="25">
        <f t="shared" si="31"/>
        <v>5160</v>
      </c>
      <c r="O104" s="198">
        <f t="shared" si="31"/>
        <v>5160</v>
      </c>
      <c r="P104" s="333" t="str">
        <f t="shared" si="31"/>
        <v>NA</v>
      </c>
      <c r="Q104" s="334">
        <f t="shared" si="31"/>
        <v>5160</v>
      </c>
      <c r="R104" s="335">
        <f t="shared" si="31"/>
        <v>5160</v>
      </c>
      <c r="S104" s="198">
        <f t="shared" si="31"/>
        <v>5160</v>
      </c>
      <c r="T104" s="200" t="str">
        <f>T18</f>
        <v>NA</v>
      </c>
      <c r="U104" s="147" t="s">
        <v>12</v>
      </c>
    </row>
    <row r="105" spans="2:22" ht="13.8" thickBot="1" x14ac:dyDescent="0.3">
      <c r="B105" s="573" t="s">
        <v>76</v>
      </c>
      <c r="C105" s="211">
        <f t="shared" ref="C105:S105" si="32">C36</f>
        <v>0</v>
      </c>
      <c r="D105" s="208">
        <f t="shared" si="32"/>
        <v>2451</v>
      </c>
      <c r="E105" s="208">
        <f t="shared" si="32"/>
        <v>2647</v>
      </c>
      <c r="F105" s="208">
        <f t="shared" si="32"/>
        <v>0</v>
      </c>
      <c r="G105" s="208">
        <f t="shared" si="32"/>
        <v>0</v>
      </c>
      <c r="H105" s="208">
        <f t="shared" si="32"/>
        <v>0</v>
      </c>
      <c r="I105" s="209">
        <f t="shared" si="32"/>
        <v>5848</v>
      </c>
      <c r="J105" s="332">
        <f t="shared" si="32"/>
        <v>7899.4892108464301</v>
      </c>
      <c r="K105" s="296">
        <f t="shared" si="32"/>
        <v>339678.03606639651</v>
      </c>
      <c r="L105" s="297">
        <f t="shared" si="32"/>
        <v>339678.03606639651</v>
      </c>
      <c r="M105" s="207">
        <f t="shared" si="32"/>
        <v>8115.245126782127</v>
      </c>
      <c r="N105" s="208">
        <f t="shared" si="32"/>
        <v>348955.54045163147</v>
      </c>
      <c r="O105" s="209">
        <f t="shared" si="32"/>
        <v>348955.54045163147</v>
      </c>
      <c r="P105" s="332">
        <f t="shared" si="32"/>
        <v>8212.489891336274</v>
      </c>
      <c r="Q105" s="296">
        <f t="shared" si="32"/>
        <v>353137.06532745971</v>
      </c>
      <c r="R105" s="297">
        <f t="shared" si="32"/>
        <v>353137.06532745971</v>
      </c>
      <c r="S105" s="209">
        <f t="shared" si="32"/>
        <v>347256.8806151626</v>
      </c>
      <c r="T105" s="209">
        <f>T36</f>
        <v>44535.338656185348</v>
      </c>
      <c r="U105" s="392" t="s">
        <v>12</v>
      </c>
    </row>
    <row r="106" spans="2:22" x14ac:dyDescent="0.25">
      <c r="B106" s="574" t="s">
        <v>99</v>
      </c>
      <c r="C106" s="197">
        <f t="shared" ref="C106:S106" si="33">C47</f>
        <v>0</v>
      </c>
      <c r="D106" s="25">
        <f t="shared" si="33"/>
        <v>0</v>
      </c>
      <c r="E106" s="25">
        <f t="shared" si="33"/>
        <v>38</v>
      </c>
      <c r="F106" s="25">
        <f t="shared" si="33"/>
        <v>48</v>
      </c>
      <c r="G106" s="25">
        <f t="shared" si="33"/>
        <v>0</v>
      </c>
      <c r="H106" s="25">
        <f t="shared" si="33"/>
        <v>0</v>
      </c>
      <c r="I106" s="198">
        <f t="shared" si="33"/>
        <v>86</v>
      </c>
      <c r="J106" s="333" t="str">
        <f t="shared" si="33"/>
        <v>NA</v>
      </c>
      <c r="K106" s="334">
        <f t="shared" si="33"/>
        <v>3698</v>
      </c>
      <c r="L106" s="335">
        <f t="shared" si="33"/>
        <v>3698</v>
      </c>
      <c r="M106" s="199" t="str">
        <f t="shared" si="33"/>
        <v>NA</v>
      </c>
      <c r="N106" s="25">
        <f t="shared" si="33"/>
        <v>3698</v>
      </c>
      <c r="O106" s="198">
        <f t="shared" si="33"/>
        <v>3698</v>
      </c>
      <c r="P106" s="333" t="str">
        <f t="shared" si="33"/>
        <v>NA</v>
      </c>
      <c r="Q106" s="334">
        <f t="shared" si="33"/>
        <v>3698</v>
      </c>
      <c r="R106" s="335">
        <f t="shared" si="33"/>
        <v>3698</v>
      </c>
      <c r="S106" s="198">
        <f t="shared" si="33"/>
        <v>3698</v>
      </c>
      <c r="T106" s="37"/>
      <c r="U106" s="138"/>
    </row>
    <row r="107" spans="2:22" ht="13.8" thickBot="1" x14ac:dyDescent="0.3">
      <c r="B107" s="573" t="s">
        <v>76</v>
      </c>
      <c r="C107" s="207">
        <f t="shared" ref="C107:S107" si="34">C48</f>
        <v>0</v>
      </c>
      <c r="D107" s="208">
        <f t="shared" si="34"/>
        <v>0</v>
      </c>
      <c r="E107" s="208">
        <f t="shared" si="34"/>
        <v>1677</v>
      </c>
      <c r="F107" s="208">
        <f t="shared" si="34"/>
        <v>2365</v>
      </c>
      <c r="G107" s="208">
        <f t="shared" si="34"/>
        <v>0</v>
      </c>
      <c r="H107" s="208">
        <f t="shared" si="34"/>
        <v>0</v>
      </c>
      <c r="I107" s="209">
        <f t="shared" si="34"/>
        <v>6042</v>
      </c>
      <c r="J107" s="332">
        <f t="shared" si="34"/>
        <v>8161.5447694825816</v>
      </c>
      <c r="K107" s="296">
        <f t="shared" si="34"/>
        <v>350946.42508775101</v>
      </c>
      <c r="L107" s="297">
        <f t="shared" si="34"/>
        <v>350946.42508775101</v>
      </c>
      <c r="M107" s="211">
        <f t="shared" si="34"/>
        <v>8384.4581149140922</v>
      </c>
      <c r="N107" s="208">
        <f t="shared" si="34"/>
        <v>360531.69894130598</v>
      </c>
      <c r="O107" s="209">
        <f t="shared" si="34"/>
        <v>360531.69894130598</v>
      </c>
      <c r="P107" s="332">
        <f t="shared" si="34"/>
        <v>8484.9288514797809</v>
      </c>
      <c r="Q107" s="296">
        <f t="shared" si="34"/>
        <v>364851.94061363058</v>
      </c>
      <c r="R107" s="297">
        <f t="shared" si="34"/>
        <v>364851.94061363058</v>
      </c>
      <c r="S107" s="209">
        <f t="shared" si="34"/>
        <v>240015.78513106826</v>
      </c>
      <c r="T107" s="209">
        <f>T48</f>
        <v>118760.90308316094</v>
      </c>
      <c r="U107" s="576" t="s">
        <v>12</v>
      </c>
    </row>
    <row r="108" spans="2:22" x14ac:dyDescent="0.25">
      <c r="B108" s="574" t="s">
        <v>100</v>
      </c>
      <c r="C108" s="197">
        <f t="shared" ref="C108:U108" si="35">C61</f>
        <v>0</v>
      </c>
      <c r="D108" s="25">
        <f t="shared" si="35"/>
        <v>0</v>
      </c>
      <c r="E108" s="25">
        <f t="shared" si="35"/>
        <v>18</v>
      </c>
      <c r="F108" s="25">
        <f t="shared" si="35"/>
        <v>25</v>
      </c>
      <c r="G108" s="25">
        <f t="shared" si="35"/>
        <v>7</v>
      </c>
      <c r="H108" s="25">
        <f t="shared" si="35"/>
        <v>0</v>
      </c>
      <c r="I108" s="198">
        <f t="shared" si="35"/>
        <v>50</v>
      </c>
      <c r="J108" s="333" t="str">
        <f t="shared" si="35"/>
        <v>NA</v>
      </c>
      <c r="K108" s="334">
        <f t="shared" si="35"/>
        <v>2150</v>
      </c>
      <c r="L108" s="335">
        <f t="shared" si="35"/>
        <v>2150</v>
      </c>
      <c r="M108" s="199" t="str">
        <f t="shared" si="35"/>
        <v>NA</v>
      </c>
      <c r="N108" s="25">
        <f t="shared" si="35"/>
        <v>2150</v>
      </c>
      <c r="O108" s="198">
        <f t="shared" si="35"/>
        <v>2150</v>
      </c>
      <c r="P108" s="333" t="str">
        <f t="shared" si="35"/>
        <v>NA</v>
      </c>
      <c r="Q108" s="334">
        <f t="shared" si="35"/>
        <v>2150</v>
      </c>
      <c r="R108" s="335">
        <f t="shared" si="35"/>
        <v>2150</v>
      </c>
      <c r="S108" s="198">
        <f t="shared" si="35"/>
        <v>2150</v>
      </c>
      <c r="T108" s="212" t="str">
        <f t="shared" si="35"/>
        <v>NA</v>
      </c>
      <c r="U108" s="577" t="str">
        <f t="shared" si="35"/>
        <v>NA</v>
      </c>
    </row>
    <row r="109" spans="2:22" ht="13.8" thickBot="1" x14ac:dyDescent="0.3">
      <c r="B109" s="573" t="s">
        <v>76</v>
      </c>
      <c r="C109" s="207">
        <f t="shared" ref="C109:T109" si="36">C62</f>
        <v>0</v>
      </c>
      <c r="D109" s="208">
        <f t="shared" si="36"/>
        <v>0</v>
      </c>
      <c r="E109" s="208">
        <f t="shared" si="36"/>
        <v>794</v>
      </c>
      <c r="F109" s="208">
        <f t="shared" si="36"/>
        <v>1232</v>
      </c>
      <c r="G109" s="208">
        <f t="shared" si="36"/>
        <v>388</v>
      </c>
      <c r="H109" s="208">
        <f t="shared" si="36"/>
        <v>0</v>
      </c>
      <c r="I109" s="209">
        <f t="shared" si="36"/>
        <v>2414</v>
      </c>
      <c r="J109" s="332">
        <f t="shared" si="36"/>
        <v>3260.8356626168406</v>
      </c>
      <c r="K109" s="296">
        <f t="shared" si="36"/>
        <v>140215.93349252414</v>
      </c>
      <c r="L109" s="297">
        <f t="shared" si="36"/>
        <v>140215.93349252414</v>
      </c>
      <c r="M109" s="207">
        <f t="shared" si="36"/>
        <v>3349.8976976833201</v>
      </c>
      <c r="N109" s="208">
        <f t="shared" si="36"/>
        <v>144045.60100038277</v>
      </c>
      <c r="O109" s="209">
        <f t="shared" si="36"/>
        <v>144045.60100038277</v>
      </c>
      <c r="P109" s="339">
        <f t="shared" si="36"/>
        <v>3390.0394318888102</v>
      </c>
      <c r="Q109" s="296">
        <f t="shared" si="36"/>
        <v>145771.69557121885</v>
      </c>
      <c r="R109" s="297">
        <f t="shared" si="36"/>
        <v>145771.69557121885</v>
      </c>
      <c r="S109" s="209">
        <f t="shared" si="36"/>
        <v>143344.41002137525</v>
      </c>
      <c r="T109" s="210" t="str">
        <f t="shared" si="36"/>
        <v>NA</v>
      </c>
      <c r="U109" s="392" t="s">
        <v>12</v>
      </c>
    </row>
    <row r="110" spans="2:22" x14ac:dyDescent="0.25">
      <c r="B110" s="574" t="s">
        <v>101</v>
      </c>
      <c r="C110" s="213">
        <f t="shared" ref="C110:S110" si="37">C85</f>
        <v>0</v>
      </c>
      <c r="D110" s="214">
        <f t="shared" si="37"/>
        <v>25</v>
      </c>
      <c r="E110" s="214">
        <f t="shared" si="37"/>
        <v>25.2</v>
      </c>
      <c r="F110" s="214">
        <f t="shared" si="37"/>
        <v>48.3</v>
      </c>
      <c r="G110" s="214">
        <f t="shared" si="37"/>
        <v>47</v>
      </c>
      <c r="H110" s="214">
        <f t="shared" si="37"/>
        <v>5</v>
      </c>
      <c r="I110" s="215">
        <f t="shared" si="37"/>
        <v>150.5</v>
      </c>
      <c r="J110" s="336" t="str">
        <f t="shared" si="37"/>
        <v>NA</v>
      </c>
      <c r="K110" s="337" t="str">
        <f t="shared" si="37"/>
        <v>NA</v>
      </c>
      <c r="L110" s="294">
        <f t="shared" si="37"/>
        <v>5941.5</v>
      </c>
      <c r="M110" s="216" t="str">
        <f t="shared" si="37"/>
        <v>NA</v>
      </c>
      <c r="N110" s="217" t="str">
        <f t="shared" si="37"/>
        <v>NA</v>
      </c>
      <c r="O110" s="215">
        <f t="shared" si="37"/>
        <v>5941.5</v>
      </c>
      <c r="P110" s="336" t="str">
        <f t="shared" si="37"/>
        <v>NA</v>
      </c>
      <c r="Q110" s="337" t="str">
        <f t="shared" si="37"/>
        <v>NA</v>
      </c>
      <c r="R110" s="294">
        <f t="shared" si="37"/>
        <v>5941.5</v>
      </c>
      <c r="S110" s="215">
        <f t="shared" si="37"/>
        <v>5941.5</v>
      </c>
      <c r="T110" s="136" t="s">
        <v>12</v>
      </c>
      <c r="U110" s="147" t="s">
        <v>12</v>
      </c>
    </row>
    <row r="111" spans="2:22" ht="13.8" thickBot="1" x14ac:dyDescent="0.3">
      <c r="B111" s="573" t="s">
        <v>76</v>
      </c>
      <c r="C111" s="207">
        <f t="shared" ref="C111:S111" si="38">C86</f>
        <v>0</v>
      </c>
      <c r="D111" s="208">
        <f t="shared" si="38"/>
        <v>1022</v>
      </c>
      <c r="E111" s="208">
        <f t="shared" si="38"/>
        <v>1112</v>
      </c>
      <c r="F111" s="208">
        <f t="shared" si="38"/>
        <v>2380</v>
      </c>
      <c r="G111" s="208">
        <f t="shared" si="38"/>
        <v>2606</v>
      </c>
      <c r="H111" s="208">
        <f t="shared" si="38"/>
        <v>293</v>
      </c>
      <c r="I111" s="209">
        <f t="shared" si="38"/>
        <v>7413</v>
      </c>
      <c r="J111" s="332">
        <f t="shared" si="38"/>
        <v>10013.494103967952</v>
      </c>
      <c r="K111" s="338" t="str">
        <f t="shared" si="38"/>
        <v>NA</v>
      </c>
      <c r="L111" s="297">
        <f t="shared" si="38"/>
        <v>391651.21783429751</v>
      </c>
      <c r="M111" s="211">
        <f t="shared" si="38"/>
        <v>10286.98907743432</v>
      </c>
      <c r="N111" s="219" t="str">
        <f t="shared" si="38"/>
        <v>NA</v>
      </c>
      <c r="O111" s="209">
        <f t="shared" si="38"/>
        <v>402348.24709476484</v>
      </c>
      <c r="P111" s="332">
        <f t="shared" si="38"/>
        <v>10410.257791463031</v>
      </c>
      <c r="Q111" s="338" t="str">
        <f t="shared" si="38"/>
        <v>NA</v>
      </c>
      <c r="R111" s="297">
        <f t="shared" si="38"/>
        <v>407169.57534132368</v>
      </c>
      <c r="S111" s="209">
        <f t="shared" si="38"/>
        <v>400389.68009012868</v>
      </c>
      <c r="T111" s="209">
        <f>T86</f>
        <v>0</v>
      </c>
      <c r="U111" s="392" t="s">
        <v>12</v>
      </c>
    </row>
    <row r="112" spans="2:22" x14ac:dyDescent="0.25">
      <c r="B112" s="574" t="s">
        <v>102</v>
      </c>
      <c r="C112" s="197">
        <f t="shared" ref="C112:S112" si="39">C95</f>
        <v>0</v>
      </c>
      <c r="D112" s="25">
        <f t="shared" si="39"/>
        <v>0</v>
      </c>
      <c r="E112" s="25">
        <f t="shared" si="39"/>
        <v>16</v>
      </c>
      <c r="F112" s="25">
        <f t="shared" si="39"/>
        <v>8</v>
      </c>
      <c r="G112" s="25">
        <f t="shared" si="39"/>
        <v>12</v>
      </c>
      <c r="H112" s="25">
        <f t="shared" si="39"/>
        <v>6</v>
      </c>
      <c r="I112" s="198">
        <f t="shared" si="39"/>
        <v>42</v>
      </c>
      <c r="J112" s="333" t="str">
        <f t="shared" si="39"/>
        <v>NA</v>
      </c>
      <c r="K112" s="334">
        <f t="shared" si="39"/>
        <v>1806</v>
      </c>
      <c r="L112" s="335">
        <f t="shared" si="39"/>
        <v>1806</v>
      </c>
      <c r="M112" s="199" t="str">
        <f t="shared" si="39"/>
        <v>NA</v>
      </c>
      <c r="N112" s="25">
        <f t="shared" si="39"/>
        <v>1806</v>
      </c>
      <c r="O112" s="198">
        <f t="shared" si="39"/>
        <v>1806</v>
      </c>
      <c r="P112" s="333" t="str">
        <f t="shared" si="39"/>
        <v>NA</v>
      </c>
      <c r="Q112" s="334">
        <f t="shared" si="39"/>
        <v>1806</v>
      </c>
      <c r="R112" s="335">
        <f t="shared" si="39"/>
        <v>1806</v>
      </c>
      <c r="S112" s="198">
        <f t="shared" si="39"/>
        <v>1806</v>
      </c>
      <c r="T112" s="136" t="s">
        <v>12</v>
      </c>
      <c r="U112" s="147" t="s">
        <v>12</v>
      </c>
    </row>
    <row r="113" spans="2:21" ht="13.8" thickBot="1" x14ac:dyDescent="0.3">
      <c r="B113" s="578" t="s">
        <v>76</v>
      </c>
      <c r="C113" s="220">
        <f t="shared" ref="C113:S113" si="40">C96</f>
        <v>0</v>
      </c>
      <c r="D113" s="221">
        <f t="shared" si="40"/>
        <v>0</v>
      </c>
      <c r="E113" s="221">
        <f t="shared" si="40"/>
        <v>706</v>
      </c>
      <c r="F113" s="221">
        <f t="shared" si="40"/>
        <v>394</v>
      </c>
      <c r="G113" s="221">
        <f t="shared" si="40"/>
        <v>666</v>
      </c>
      <c r="H113" s="221">
        <f t="shared" si="40"/>
        <v>351</v>
      </c>
      <c r="I113" s="222">
        <f t="shared" si="40"/>
        <v>2117</v>
      </c>
      <c r="J113" s="304">
        <f t="shared" si="40"/>
        <v>2859.6475135707751</v>
      </c>
      <c r="K113" s="305">
        <f t="shared" si="40"/>
        <v>122964.84308354332</v>
      </c>
      <c r="L113" s="306">
        <f t="shared" si="40"/>
        <v>122964.84308354332</v>
      </c>
      <c r="M113" s="220">
        <f t="shared" si="40"/>
        <v>2937.7520405946925</v>
      </c>
      <c r="N113" s="221">
        <f t="shared" si="40"/>
        <v>126323.33774557177</v>
      </c>
      <c r="O113" s="222">
        <f t="shared" si="40"/>
        <v>126323.33774557177</v>
      </c>
      <c r="P113" s="311">
        <f t="shared" si="40"/>
        <v>2972.9550444526149</v>
      </c>
      <c r="Q113" s="305">
        <f t="shared" si="40"/>
        <v>127837.06691146243</v>
      </c>
      <c r="R113" s="306">
        <f t="shared" si="40"/>
        <v>127837.06691146243</v>
      </c>
      <c r="S113" s="222">
        <f t="shared" si="40"/>
        <v>125708.41591352585</v>
      </c>
      <c r="T113" s="223" t="str">
        <f>T96</f>
        <v>NA</v>
      </c>
      <c r="U113" s="224" t="s">
        <v>12</v>
      </c>
    </row>
    <row r="114" spans="2:21" ht="18" thickTop="1" x14ac:dyDescent="0.3">
      <c r="B114" s="579" t="s">
        <v>13</v>
      </c>
      <c r="C114" s="183" t="s">
        <v>45</v>
      </c>
      <c r="D114" s="108" t="s">
        <v>46</v>
      </c>
      <c r="E114" s="107" t="s">
        <v>47</v>
      </c>
      <c r="F114" s="107" t="s">
        <v>48</v>
      </c>
      <c r="G114" s="107" t="s">
        <v>49</v>
      </c>
      <c r="H114" s="107" t="s">
        <v>50</v>
      </c>
      <c r="I114" s="109" t="s">
        <v>13</v>
      </c>
      <c r="J114" s="110" t="s">
        <v>56</v>
      </c>
      <c r="K114" s="108" t="s">
        <v>13</v>
      </c>
      <c r="L114" s="111" t="s">
        <v>68</v>
      </c>
      <c r="M114" s="110" t="s">
        <v>56</v>
      </c>
      <c r="N114" s="108" t="s">
        <v>13</v>
      </c>
      <c r="O114" s="111" t="s">
        <v>68</v>
      </c>
      <c r="P114" s="110" t="s">
        <v>56</v>
      </c>
      <c r="Q114" s="108" t="s">
        <v>13</v>
      </c>
      <c r="R114" s="111" t="s">
        <v>68</v>
      </c>
      <c r="S114" s="111"/>
      <c r="T114" s="37"/>
      <c r="U114" s="138"/>
    </row>
    <row r="115" spans="2:21" x14ac:dyDescent="0.25">
      <c r="B115" s="580" t="s">
        <v>75</v>
      </c>
      <c r="C115" s="195">
        <f t="shared" ref="C115:I116" si="41">C100+C102+C104+C106+C108+C110+C112</f>
        <v>0</v>
      </c>
      <c r="D115" s="101">
        <f t="shared" si="41"/>
        <v>93</v>
      </c>
      <c r="E115" s="101">
        <f t="shared" si="41"/>
        <v>165.2</v>
      </c>
      <c r="F115" s="101">
        <f t="shared" si="41"/>
        <v>138.30000000000001</v>
      </c>
      <c r="G115" s="101">
        <f t="shared" si="41"/>
        <v>82</v>
      </c>
      <c r="H115" s="101">
        <f t="shared" si="41"/>
        <v>13</v>
      </c>
      <c r="I115" s="102">
        <f t="shared" si="41"/>
        <v>491.5</v>
      </c>
      <c r="J115" s="340" t="s">
        <v>12</v>
      </c>
      <c r="K115" s="281">
        <f>K100+K102+K104+K106+K108+K112</f>
        <v>14604.2</v>
      </c>
      <c r="L115" s="289">
        <f>L100+L102+L104+L106+L108+L110+L112</f>
        <v>19113.54</v>
      </c>
      <c r="M115" s="103" t="s">
        <v>12</v>
      </c>
      <c r="N115" s="101">
        <f>N100+N102+N104+N106+N108+N112</f>
        <v>14604.2</v>
      </c>
      <c r="O115" s="102">
        <f>O100+O102+O104+O106+O108+O110+O112</f>
        <v>19113.54</v>
      </c>
      <c r="P115" s="340" t="s">
        <v>12</v>
      </c>
      <c r="Q115" s="281">
        <f>Q100+Q102+Q104+Q106+Q108+Q112</f>
        <v>14604.2</v>
      </c>
      <c r="R115" s="289">
        <f>R100+R102+R104+R106+R108+R110+R112</f>
        <v>19113.54</v>
      </c>
      <c r="S115" s="174">
        <f>S100+S102+S104+S106+S108+S110+S112</f>
        <v>19113.54</v>
      </c>
      <c r="T115" s="102"/>
      <c r="U115" s="140" t="s">
        <v>12</v>
      </c>
    </row>
    <row r="116" spans="2:21" s="235" customFormat="1" ht="16.2" thickBot="1" x14ac:dyDescent="0.35">
      <c r="B116" s="581" t="s">
        <v>76</v>
      </c>
      <c r="C116" s="582">
        <f t="shared" si="41"/>
        <v>0</v>
      </c>
      <c r="D116" s="583">
        <f t="shared" si="41"/>
        <v>3800</v>
      </c>
      <c r="E116" s="583">
        <f t="shared" si="41"/>
        <v>7289</v>
      </c>
      <c r="F116" s="583">
        <f t="shared" si="41"/>
        <v>6814</v>
      </c>
      <c r="G116" s="583">
        <f t="shared" si="41"/>
        <v>4548</v>
      </c>
      <c r="H116" s="583">
        <f t="shared" si="41"/>
        <v>761</v>
      </c>
      <c r="I116" s="584">
        <f t="shared" si="41"/>
        <v>25962</v>
      </c>
      <c r="J116" s="585">
        <f>J101+J103+J105+J107+J109+J111+J113</f>
        <v>35069.517594390396</v>
      </c>
      <c r="K116" s="586">
        <f>K101+K103+K105+K107+K109+K113</f>
        <v>1008014.2667179849</v>
      </c>
      <c r="L116" s="587">
        <f>L101+L103+L105+L107+L109+L111+L113</f>
        <v>1580146.5518056576</v>
      </c>
      <c r="M116" s="582">
        <f>M101+M103+M105+M107+M109+M111+M113</f>
        <v>36027.358751969492</v>
      </c>
      <c r="N116" s="588">
        <f>N101+N103+N105+N107+N109+N113</f>
        <v>1035545.7988952007</v>
      </c>
      <c r="O116" s="584">
        <f>O101+O103+O105+O107+O109+O111+O113</f>
        <v>1623054.5067548952</v>
      </c>
      <c r="P116" s="589">
        <f>P101+P103+P105+P107+P109+P111+P113</f>
        <v>36459.073624978169</v>
      </c>
      <c r="Q116" s="586">
        <f>Q101+Q103+Q105+Q107+Q109+Q113</f>
        <v>1047954.7164109836</v>
      </c>
      <c r="R116" s="587">
        <f>R101+R103+R105+R107+R109+R111+R113</f>
        <v>1642503.5253491751</v>
      </c>
      <c r="S116" s="590">
        <f>S101+S103+S105+S107+S109+S111+S113</f>
        <v>1280931.8261918761</v>
      </c>
      <c r="T116" s="584">
        <f>SUM(T101,T103,T105,T107,T109,T111,T113)</f>
        <v>163296.2417393463</v>
      </c>
      <c r="U116" s="591">
        <f>SUM(U101,U103,U105,U107,U109,U111,U113)</f>
        <v>215542.13202820584</v>
      </c>
    </row>
  </sheetData>
  <mergeCells count="35">
    <mergeCell ref="Q89:R89"/>
    <mergeCell ref="Q29:R29"/>
    <mergeCell ref="Q39:R39"/>
    <mergeCell ref="Q51:R51"/>
    <mergeCell ref="Q82:R82"/>
    <mergeCell ref="Q66:R66"/>
    <mergeCell ref="G65:I65"/>
    <mergeCell ref="N82:O82"/>
    <mergeCell ref="K89:L89"/>
    <mergeCell ref="N29:O29"/>
    <mergeCell ref="N39:O39"/>
    <mergeCell ref="N66:O66"/>
    <mergeCell ref="N89:O89"/>
    <mergeCell ref="N51:O51"/>
    <mergeCell ref="K29:L29"/>
    <mergeCell ref="G88:I88"/>
    <mergeCell ref="K66:L66"/>
    <mergeCell ref="K51:L51"/>
    <mergeCell ref="G50:I50"/>
    <mergeCell ref="G29:I29"/>
    <mergeCell ref="K39:L39"/>
    <mergeCell ref="G15:I15"/>
    <mergeCell ref="G28:I28"/>
    <mergeCell ref="G39:I39"/>
    <mergeCell ref="G38:I38"/>
    <mergeCell ref="S2:T2"/>
    <mergeCell ref="Q16:R16"/>
    <mergeCell ref="G7:I7"/>
    <mergeCell ref="K16:L16"/>
    <mergeCell ref="F2:G2"/>
    <mergeCell ref="C5:I5"/>
    <mergeCell ref="Q8:R8"/>
    <mergeCell ref="K8:L8"/>
    <mergeCell ref="N8:O8"/>
    <mergeCell ref="N16:O16"/>
  </mergeCells>
  <phoneticPr fontId="2" type="noConversion"/>
  <dataValidations disablePrompts="1" count="1">
    <dataValidation allowBlank="1" showInputMessage="1" showErrorMessage="1" sqref="D31 D18" xr:uid="{00000000-0002-0000-0D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17"/>
  <sheetViews>
    <sheetView zoomScaleNormal="100" workbookViewId="0">
      <selection activeCell="G31" sqref="G31"/>
    </sheetView>
  </sheetViews>
  <sheetFormatPr defaultRowHeight="13.2" x14ac:dyDescent="0.25"/>
  <cols>
    <col min="1" max="1" width="1.109375" customWidth="1"/>
    <col min="2" max="2" width="31.44140625" customWidth="1"/>
    <col min="3" max="3" width="12.88671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1" customWidth="1"/>
    <col min="10" max="10" width="13.33203125" customWidth="1"/>
    <col min="11" max="11" width="15" customWidth="1"/>
    <col min="12" max="12" width="14.44140625" customWidth="1"/>
    <col min="13" max="13" width="14.33203125" bestFit="1" customWidth="1"/>
    <col min="14" max="14" width="15.5546875" customWidth="1"/>
    <col min="15" max="15" width="14.5546875" customWidth="1"/>
    <col min="16" max="16" width="14.44140625" customWidth="1"/>
    <col min="17" max="17" width="15" customWidth="1"/>
    <col min="18" max="18" width="13.88671875" customWidth="1"/>
    <col min="19" max="19" width="14" customWidth="1"/>
    <col min="20" max="20" width="14.5546875" customWidth="1"/>
    <col min="21" max="21" width="14" customWidth="1"/>
    <col min="22" max="22" width="13.33203125" bestFit="1" customWidth="1"/>
  </cols>
  <sheetData>
    <row r="1" spans="1:22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</row>
    <row r="2" spans="1:22" ht="18" thickTop="1" x14ac:dyDescent="0.3">
      <c r="A2" s="615"/>
      <c r="B2" s="596" t="s">
        <v>0</v>
      </c>
      <c r="C2" s="644" t="s">
        <v>179</v>
      </c>
      <c r="D2" s="5"/>
      <c r="E2" s="396" t="s">
        <v>31</v>
      </c>
      <c r="F2" s="1427">
        <v>43331</v>
      </c>
      <c r="G2" s="1428"/>
      <c r="H2" s="5"/>
      <c r="I2" s="5"/>
      <c r="J2" s="5"/>
      <c r="K2" s="594" t="s">
        <v>5</v>
      </c>
      <c r="L2" s="595">
        <v>2019</v>
      </c>
      <c r="M2" s="426"/>
      <c r="N2" s="592" t="s">
        <v>10</v>
      </c>
      <c r="O2" s="550">
        <f>L2+1</f>
        <v>2020</v>
      </c>
      <c r="P2" s="549"/>
      <c r="Q2" s="551" t="s">
        <v>11</v>
      </c>
      <c r="R2" s="552">
        <f>O2+1</f>
        <v>2021</v>
      </c>
      <c r="S2" s="553"/>
      <c r="T2" s="1420" t="s">
        <v>77</v>
      </c>
      <c r="U2" s="1421"/>
      <c r="V2" s="554" t="s">
        <v>79</v>
      </c>
    </row>
    <row r="3" spans="1:22" ht="15.6" x14ac:dyDescent="0.3">
      <c r="A3" s="615"/>
      <c r="B3" s="5"/>
      <c r="C3" s="112"/>
      <c r="D3" s="29"/>
      <c r="E3" s="80"/>
      <c r="F3" s="7"/>
      <c r="G3" s="5"/>
      <c r="H3" s="5"/>
      <c r="I3" s="5"/>
      <c r="J3" s="396" t="s">
        <v>59</v>
      </c>
      <c r="K3" s="177"/>
      <c r="L3" s="426"/>
      <c r="M3" s="178"/>
      <c r="N3" s="5"/>
      <c r="O3" s="5"/>
      <c r="P3" s="37"/>
      <c r="Q3" s="426"/>
      <c r="R3" s="426"/>
      <c r="S3" s="67"/>
      <c r="T3" s="115" t="s">
        <v>71</v>
      </c>
      <c r="U3" s="116">
        <f>AVERAGE(K5,N5,Q5)</f>
        <v>39</v>
      </c>
      <c r="V3" s="37"/>
    </row>
    <row r="4" spans="1:22" x14ac:dyDescent="0.25">
      <c r="A4" s="615"/>
      <c r="B4" s="5"/>
      <c r="C4" s="5"/>
      <c r="D4" s="5"/>
      <c r="E4" s="5"/>
      <c r="F4" s="7"/>
      <c r="G4" s="5"/>
      <c r="H4" s="5"/>
      <c r="I4" s="5"/>
      <c r="J4" s="50">
        <v>0</v>
      </c>
      <c r="K4" s="425" t="s">
        <v>71</v>
      </c>
      <c r="L4" s="429" t="s">
        <v>72</v>
      </c>
      <c r="M4" s="20">
        <v>43</v>
      </c>
      <c r="N4" s="396" t="s">
        <v>71</v>
      </c>
      <c r="O4" s="431" t="s">
        <v>69</v>
      </c>
      <c r="P4" s="20">
        <v>43</v>
      </c>
      <c r="Q4" s="425" t="s">
        <v>71</v>
      </c>
      <c r="R4" s="429" t="s">
        <v>69</v>
      </c>
      <c r="S4" s="20">
        <v>43</v>
      </c>
      <c r="T4" s="115" t="s">
        <v>69</v>
      </c>
      <c r="U4" s="106">
        <f>AVERAGE(M4,P4,S4)</f>
        <v>43</v>
      </c>
      <c r="V4" s="37"/>
    </row>
    <row r="5" spans="1:22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1430"/>
      <c r="K5" s="341">
        <v>39</v>
      </c>
      <c r="L5" s="342" t="s">
        <v>70</v>
      </c>
      <c r="M5" s="343">
        <f>M4*$J$4</f>
        <v>0</v>
      </c>
      <c r="N5" s="631">
        <v>39</v>
      </c>
      <c r="O5" s="344" t="s">
        <v>70</v>
      </c>
      <c r="P5" s="345">
        <f>P4*$J$4</f>
        <v>0</v>
      </c>
      <c r="Q5" s="630">
        <v>39</v>
      </c>
      <c r="R5" s="342" t="s">
        <v>70</v>
      </c>
      <c r="S5" s="343">
        <f>S4*$J$4</f>
        <v>0</v>
      </c>
      <c r="T5" s="237" t="s">
        <v>70</v>
      </c>
      <c r="U5" s="238">
        <f>AVERAGE(M5,P5,S5)</f>
        <v>0</v>
      </c>
      <c r="V5" s="37"/>
    </row>
    <row r="6" spans="1:22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4"/>
      <c r="K6" s="544"/>
      <c r="L6" s="87"/>
      <c r="M6" s="87"/>
      <c r="N6" s="545"/>
      <c r="O6" s="4"/>
      <c r="P6" s="4"/>
      <c r="Q6" s="544"/>
      <c r="R6" s="87"/>
      <c r="S6" s="87"/>
      <c r="T6" s="546" t="s">
        <v>17</v>
      </c>
      <c r="U6" s="547" t="s">
        <v>103</v>
      </c>
      <c r="V6" s="548"/>
    </row>
    <row r="7" spans="1:22" ht="15.6" x14ac:dyDescent="0.3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4"/>
      <c r="H7" s="1425"/>
      <c r="I7" s="1425"/>
      <c r="J7" s="1426"/>
      <c r="K7" s="88" t="s">
        <v>3</v>
      </c>
      <c r="L7" s="179"/>
      <c r="M7" s="180"/>
      <c r="N7" s="55" t="s">
        <v>3</v>
      </c>
      <c r="O7" s="426"/>
      <c r="P7" s="67"/>
      <c r="Q7" s="55" t="s">
        <v>3</v>
      </c>
      <c r="R7" s="426"/>
      <c r="S7" s="67"/>
      <c r="T7" s="124"/>
      <c r="U7" s="117"/>
      <c r="V7" s="141"/>
    </row>
    <row r="8" spans="1:22" x14ac:dyDescent="0.25">
      <c r="A8" s="615"/>
      <c r="B8" s="600" t="s">
        <v>180</v>
      </c>
      <c r="C8" s="6"/>
      <c r="D8" s="6"/>
      <c r="E8" s="6"/>
      <c r="F8" s="11"/>
      <c r="G8" s="6"/>
      <c r="H8" s="6"/>
      <c r="I8" s="6"/>
      <c r="J8" s="47" t="s">
        <v>55</v>
      </c>
      <c r="K8" s="259" t="s">
        <v>55</v>
      </c>
      <c r="L8" s="1431" t="s">
        <v>57</v>
      </c>
      <c r="M8" s="1423"/>
      <c r="N8" s="57" t="s">
        <v>55</v>
      </c>
      <c r="O8" s="1432" t="s">
        <v>57</v>
      </c>
      <c r="P8" s="1433"/>
      <c r="Q8" s="277" t="s">
        <v>55</v>
      </c>
      <c r="R8" s="1422" t="s">
        <v>57</v>
      </c>
      <c r="S8" s="1423"/>
      <c r="T8" s="125"/>
      <c r="U8" s="145"/>
      <c r="V8" s="143"/>
    </row>
    <row r="9" spans="1:22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93"/>
      <c r="J9" s="47" t="s">
        <v>13</v>
      </c>
      <c r="K9" s="260" t="s">
        <v>56</v>
      </c>
      <c r="L9" s="261" t="s">
        <v>13</v>
      </c>
      <c r="M9" s="262" t="s">
        <v>68</v>
      </c>
      <c r="N9" s="77" t="s">
        <v>56</v>
      </c>
      <c r="O9" s="24" t="s">
        <v>13</v>
      </c>
      <c r="P9" s="38" t="s">
        <v>68</v>
      </c>
      <c r="Q9" s="261" t="s">
        <v>56</v>
      </c>
      <c r="R9" s="261" t="s">
        <v>13</v>
      </c>
      <c r="S9" s="262" t="s">
        <v>68</v>
      </c>
      <c r="T9" s="123"/>
      <c r="U9" s="146"/>
      <c r="V9" s="144"/>
    </row>
    <row r="10" spans="1:22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12</v>
      </c>
      <c r="H10" s="21">
        <v>2</v>
      </c>
      <c r="I10" s="687"/>
      <c r="J10" s="48">
        <f>SUM(C10:H10)</f>
        <v>19</v>
      </c>
      <c r="K10" s="263" t="s">
        <v>12</v>
      </c>
      <c r="L10" s="264">
        <f>J10*$K$5</f>
        <v>741</v>
      </c>
      <c r="M10" s="265">
        <f>L10/$E$7</f>
        <v>148.19999999999999</v>
      </c>
      <c r="N10" s="58" t="s">
        <v>12</v>
      </c>
      <c r="O10" s="432">
        <f>J10*$N$5</f>
        <v>741</v>
      </c>
      <c r="P10" s="68">
        <f>O10/$E$7</f>
        <v>148.19999999999999</v>
      </c>
      <c r="Q10" s="263" t="s">
        <v>12</v>
      </c>
      <c r="R10" s="433">
        <f>$J10*$N$5</f>
        <v>741</v>
      </c>
      <c r="S10" s="289">
        <f>R10/$E$7</f>
        <v>148.19999999999999</v>
      </c>
      <c r="T10" s="121">
        <f>AVERAGE(M10,P10,S10)</f>
        <v>148.19999999999999</v>
      </c>
      <c r="U10" s="119" t="s">
        <v>12</v>
      </c>
      <c r="V10" s="119" t="s">
        <v>12</v>
      </c>
    </row>
    <row r="11" spans="1:22" s="1" customFormat="1" ht="13.8" thickBot="1" x14ac:dyDescent="0.3">
      <c r="A11" s="616"/>
      <c r="B11" s="677" t="s">
        <v>52</v>
      </c>
      <c r="C11" s="373">
        <f>ROUND(C10*Labor!$D$3,0)</f>
        <v>0</v>
      </c>
      <c r="D11" s="374">
        <f>ROUND(D10*Labor!$D$4,0)</f>
        <v>0</v>
      </c>
      <c r="E11" s="374">
        <f>ROUND(E10*Labor!$D$5,0)</f>
        <v>0</v>
      </c>
      <c r="F11" s="374">
        <f>ROUND(F10*Labor!$D$6,0)</f>
        <v>246</v>
      </c>
      <c r="G11" s="374">
        <f>ROUND(G10*Labor!$D$7,0)</f>
        <v>666</v>
      </c>
      <c r="H11" s="374">
        <f>ROUND(H10*Labor!$D$8,0)</f>
        <v>117</v>
      </c>
      <c r="I11" s="470"/>
      <c r="J11" s="375">
        <f>SUM(C11:H11)</f>
        <v>1029</v>
      </c>
      <c r="K11" s="332">
        <f>HLOOKUP(Labor!$B$11,InflationTable,2)*$J11</f>
        <v>1389.9751022505091</v>
      </c>
      <c r="L11" s="296">
        <f>K11*$K$5</f>
        <v>54209.028987769852</v>
      </c>
      <c r="M11" s="297">
        <f>L11/$E$7</f>
        <v>10841.80579755397</v>
      </c>
      <c r="N11" s="376">
        <f>HLOOKUP(Labor!$B$11,InflationTable,3)*$J11</f>
        <v>1427.9389937515064</v>
      </c>
      <c r="O11" s="377">
        <f>N11*$K$5</f>
        <v>55689.620756308745</v>
      </c>
      <c r="P11" s="378">
        <f>O11/$E$7</f>
        <v>11137.924151261748</v>
      </c>
      <c r="Q11" s="332">
        <f>HLOOKUP(Labor!$B$11,InflationTable,4)*$J11</f>
        <v>1445.0499483900521</v>
      </c>
      <c r="R11" s="296">
        <f>Q11*$K$5</f>
        <v>56356.947987212036</v>
      </c>
      <c r="S11" s="297">
        <f>R11/$E$7</f>
        <v>11271.389597442407</v>
      </c>
      <c r="T11" s="211">
        <f>AVERAGE(M11,P11,S11)</f>
        <v>11083.706515419375</v>
      </c>
      <c r="U11" s="218" t="s">
        <v>12</v>
      </c>
      <c r="V11" s="218" t="s">
        <v>12</v>
      </c>
    </row>
    <row r="12" spans="1:22" x14ac:dyDescent="0.25">
      <c r="A12" s="615"/>
      <c r="B12" s="605" t="s">
        <v>66</v>
      </c>
      <c r="C12" s="33">
        <f>C10</f>
        <v>0</v>
      </c>
      <c r="D12" s="33">
        <f t="shared" ref="D12:S12" si="0">D10</f>
        <v>0</v>
      </c>
      <c r="E12" s="33">
        <f t="shared" si="0"/>
        <v>0</v>
      </c>
      <c r="F12" s="33">
        <f t="shared" si="0"/>
        <v>5</v>
      </c>
      <c r="G12" s="33">
        <f t="shared" si="0"/>
        <v>12</v>
      </c>
      <c r="H12" s="33">
        <f t="shared" si="0"/>
        <v>2</v>
      </c>
      <c r="I12" s="688"/>
      <c r="J12" s="40">
        <f t="shared" si="0"/>
        <v>19</v>
      </c>
      <c r="K12" s="284" t="str">
        <f t="shared" si="0"/>
        <v>NA</v>
      </c>
      <c r="L12" s="285">
        <f t="shared" si="0"/>
        <v>741</v>
      </c>
      <c r="M12" s="286">
        <f t="shared" si="0"/>
        <v>148.19999999999999</v>
      </c>
      <c r="N12" s="44" t="str">
        <f t="shared" si="0"/>
        <v>NA</v>
      </c>
      <c r="O12" s="33">
        <f t="shared" si="0"/>
        <v>741</v>
      </c>
      <c r="P12" s="40">
        <f t="shared" si="0"/>
        <v>148.19999999999999</v>
      </c>
      <c r="Q12" s="284" t="str">
        <f t="shared" si="0"/>
        <v>NA</v>
      </c>
      <c r="R12" s="285">
        <f t="shared" si="0"/>
        <v>741</v>
      </c>
      <c r="S12" s="285">
        <f t="shared" si="0"/>
        <v>148.19999999999999</v>
      </c>
      <c r="T12" s="129">
        <f>AVERAGE(M12,P12,S12)</f>
        <v>148.19999999999999</v>
      </c>
      <c r="U12" s="136" t="s">
        <v>12</v>
      </c>
      <c r="V12" s="136" t="s">
        <v>12</v>
      </c>
    </row>
    <row r="13" spans="1:22" ht="13.8" thickBot="1" x14ac:dyDescent="0.3">
      <c r="A13" s="615"/>
      <c r="B13" s="606" t="s">
        <v>67</v>
      </c>
      <c r="C13" s="240">
        <f>C11</f>
        <v>0</v>
      </c>
      <c r="D13" s="240">
        <f t="shared" ref="D13:S13" si="1">D11</f>
        <v>0</v>
      </c>
      <c r="E13" s="240">
        <f t="shared" si="1"/>
        <v>0</v>
      </c>
      <c r="F13" s="240">
        <f t="shared" si="1"/>
        <v>246</v>
      </c>
      <c r="G13" s="240">
        <f t="shared" si="1"/>
        <v>666</v>
      </c>
      <c r="H13" s="240">
        <f t="shared" si="1"/>
        <v>117</v>
      </c>
      <c r="I13" s="247"/>
      <c r="J13" s="243">
        <f t="shared" si="1"/>
        <v>1029</v>
      </c>
      <c r="K13" s="274">
        <f t="shared" si="1"/>
        <v>1389.9751022505091</v>
      </c>
      <c r="L13" s="275">
        <f t="shared" si="1"/>
        <v>54209.028987769852</v>
      </c>
      <c r="M13" s="276">
        <f t="shared" si="1"/>
        <v>10841.80579755397</v>
      </c>
      <c r="N13" s="242">
        <f t="shared" si="1"/>
        <v>1427.9389937515064</v>
      </c>
      <c r="O13" s="240">
        <f t="shared" si="1"/>
        <v>55689.620756308745</v>
      </c>
      <c r="P13" s="243">
        <f t="shared" si="1"/>
        <v>11137.924151261748</v>
      </c>
      <c r="Q13" s="274">
        <f t="shared" si="1"/>
        <v>1445.0499483900521</v>
      </c>
      <c r="R13" s="275">
        <f t="shared" si="1"/>
        <v>56356.947987212036</v>
      </c>
      <c r="S13" s="275">
        <f t="shared" si="1"/>
        <v>11271.389597442407</v>
      </c>
      <c r="T13" s="211">
        <f>AVERAGE(M13,P13,S13)</f>
        <v>11083.706515419375</v>
      </c>
      <c r="U13" s="218" t="s">
        <v>12</v>
      </c>
      <c r="V13" s="218" t="s">
        <v>12</v>
      </c>
    </row>
    <row r="14" spans="1:22" ht="14.4" thickTop="1" thickBot="1" x14ac:dyDescent="0.3">
      <c r="A14" s="615"/>
      <c r="B14" s="617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410"/>
      <c r="P14" s="410"/>
      <c r="Q14" s="410"/>
      <c r="R14" s="410"/>
      <c r="S14" s="410"/>
      <c r="T14" s="410"/>
      <c r="U14" s="410"/>
      <c r="V14" s="236"/>
    </row>
    <row r="15" spans="1:22" ht="16.2" thickTop="1" x14ac:dyDescent="0.3">
      <c r="A15" s="615"/>
      <c r="B15" s="181" t="s">
        <v>16</v>
      </c>
      <c r="C15" s="72"/>
      <c r="D15" s="431" t="s">
        <v>54</v>
      </c>
      <c r="E15" s="70">
        <v>5</v>
      </c>
      <c r="F15" s="112" t="s">
        <v>6</v>
      </c>
      <c r="G15" s="1415"/>
      <c r="H15" s="1416"/>
      <c r="I15" s="1416"/>
      <c r="J15" s="1417"/>
      <c r="K15" s="181" t="s">
        <v>16</v>
      </c>
      <c r="L15" s="426"/>
      <c r="M15" s="180"/>
      <c r="N15" s="181" t="s">
        <v>16</v>
      </c>
      <c r="O15" s="426"/>
      <c r="P15" s="67"/>
      <c r="Q15" s="181" t="s">
        <v>16</v>
      </c>
      <c r="R15" s="426"/>
      <c r="S15" s="180"/>
      <c r="T15" s="225"/>
      <c r="U15" s="37"/>
      <c r="V15" s="138"/>
    </row>
    <row r="16" spans="1:22" x14ac:dyDescent="0.25">
      <c r="A16" s="615"/>
      <c r="B16" s="5"/>
      <c r="C16" s="107" t="s">
        <v>60</v>
      </c>
      <c r="D16" s="23" t="s">
        <v>62</v>
      </c>
      <c r="E16" s="5"/>
      <c r="F16" s="5"/>
      <c r="G16" s="5"/>
      <c r="H16" s="6"/>
      <c r="I16" s="6"/>
      <c r="J16" s="43"/>
      <c r="K16" s="277" t="s">
        <v>61</v>
      </c>
      <c r="L16" s="1422" t="s">
        <v>57</v>
      </c>
      <c r="M16" s="1423"/>
      <c r="N16" s="93" t="s">
        <v>61</v>
      </c>
      <c r="O16" s="1432" t="s">
        <v>57</v>
      </c>
      <c r="P16" s="1433"/>
      <c r="Q16" s="262" t="s">
        <v>61</v>
      </c>
      <c r="R16" s="1422" t="s">
        <v>57</v>
      </c>
      <c r="S16" s="1423"/>
      <c r="T16" s="131"/>
      <c r="U16" s="37"/>
      <c r="V16" s="138"/>
    </row>
    <row r="17" spans="1:22" x14ac:dyDescent="0.25">
      <c r="A17" s="615"/>
      <c r="B17" s="607" t="s">
        <v>58</v>
      </c>
      <c r="C17" s="23"/>
      <c r="D17" s="23"/>
      <c r="E17" s="679" t="s">
        <v>69</v>
      </c>
      <c r="F17" s="5"/>
      <c r="G17" s="5"/>
      <c r="H17" s="5"/>
      <c r="I17" s="5"/>
      <c r="J17" s="37"/>
      <c r="K17" s="260" t="s">
        <v>56</v>
      </c>
      <c r="L17" s="261" t="s">
        <v>13</v>
      </c>
      <c r="M17" s="262" t="s">
        <v>68</v>
      </c>
      <c r="N17" s="77" t="s">
        <v>56</v>
      </c>
      <c r="O17" s="24" t="s">
        <v>13</v>
      </c>
      <c r="P17" s="38" t="s">
        <v>68</v>
      </c>
      <c r="Q17" s="260" t="s">
        <v>56</v>
      </c>
      <c r="R17" s="261" t="s">
        <v>13</v>
      </c>
      <c r="S17" s="262" t="s">
        <v>68</v>
      </c>
      <c r="T17" s="123"/>
      <c r="U17" s="37"/>
      <c r="V17" s="138"/>
    </row>
    <row r="18" spans="1:22" x14ac:dyDescent="0.25">
      <c r="A18" s="615"/>
      <c r="B18" s="680" t="str">
        <f>VLOOKUP($C$2,Monitor_Costs,10,FALSE)</f>
        <v>Cielometer</v>
      </c>
      <c r="C18" s="458">
        <f>VLOOKUP($C$2,Monitor_Costs,11,FALSE)</f>
        <v>26500</v>
      </c>
      <c r="D18" s="22">
        <f>VLOOKUP(C$2,Monitor_Costs,12,FALSE)</f>
        <v>2019</v>
      </c>
      <c r="E18" s="21">
        <v>43</v>
      </c>
      <c r="F18" s="7"/>
      <c r="G18" s="5"/>
      <c r="H18" s="5"/>
      <c r="I18" s="5"/>
      <c r="J18" s="37"/>
      <c r="K18" s="279">
        <f>HLOOKUP(D18,InflationTable,2)*$C18</f>
        <v>35796.248988958687</v>
      </c>
      <c r="L18" s="279">
        <f>K18*$E18</f>
        <v>1539238.7065252236</v>
      </c>
      <c r="M18" s="280">
        <f t="shared" ref="M18:M23" si="2">L18/$E$15</f>
        <v>307847.74130504474</v>
      </c>
      <c r="N18" s="705">
        <f>HLOOKUP($D$18,InflationTable,3)*$C18</f>
        <v>36773.939100500407</v>
      </c>
      <c r="O18" s="706">
        <f>N18*$E18</f>
        <v>1581279.3813215175</v>
      </c>
      <c r="P18" s="98">
        <f t="shared" ref="P18:P23" si="3">O18/$E$15</f>
        <v>316255.87626430352</v>
      </c>
      <c r="Q18" s="298">
        <f>HLOOKUP($D$18,InflationTable,4)*$C18</f>
        <v>37214.600225788519</v>
      </c>
      <c r="R18" s="279">
        <f>Q18*$E18</f>
        <v>1600227.8097089063</v>
      </c>
      <c r="S18" s="280">
        <f t="shared" ref="S18:S23" si="4">R18/$E$15</f>
        <v>320045.56194178126</v>
      </c>
      <c r="T18" s="127" t="s">
        <v>12</v>
      </c>
      <c r="U18" s="119" t="s">
        <v>12</v>
      </c>
      <c r="V18" s="139">
        <f t="shared" ref="V18:V24" si="5">AVERAGE(M18,P18,S18)</f>
        <v>314716.39317037654</v>
      </c>
    </row>
    <row r="19" spans="1:22" x14ac:dyDescent="0.25">
      <c r="A19" s="615"/>
      <c r="B19" s="680" t="str">
        <f>VLOOKUP($C$2,Monitor_Costs,13,FALSE)</f>
        <v>Radar profiler</v>
      </c>
      <c r="C19" s="458">
        <f>VLOOKUP($C$2,Monitor_Costs,14,FALSE)</f>
        <v>125000</v>
      </c>
      <c r="D19" s="22">
        <f>VLOOKUP(C$2,Monitor_Costs,15,FALSE)</f>
        <v>2019</v>
      </c>
      <c r="E19" s="21">
        <v>0</v>
      </c>
      <c r="F19" s="704"/>
      <c r="G19" s="5"/>
      <c r="H19" s="5"/>
      <c r="I19" s="5"/>
      <c r="J19" s="37"/>
      <c r="K19" s="279">
        <f>HLOOKUP($D$19,InflationTable,2)*$C19</f>
        <v>168850.2310799938</v>
      </c>
      <c r="L19" s="279">
        <f>K19*$E19</f>
        <v>0</v>
      </c>
      <c r="M19" s="280">
        <f t="shared" si="2"/>
        <v>0</v>
      </c>
      <c r="N19" s="706">
        <f>HLOOKUP($D$19,InflationTable,3)*$C19</f>
        <v>173461.97688915287</v>
      </c>
      <c r="O19" s="706">
        <f>N19*$E19</f>
        <v>0</v>
      </c>
      <c r="P19" s="707">
        <f t="shared" si="3"/>
        <v>0</v>
      </c>
      <c r="Q19" s="279">
        <f>HLOOKUP($D$19,InflationTable,4)*$C19</f>
        <v>175540.56710277603</v>
      </c>
      <c r="R19" s="279">
        <f>Q19*$E19</f>
        <v>0</v>
      </c>
      <c r="S19" s="280">
        <f t="shared" si="4"/>
        <v>0</v>
      </c>
      <c r="T19" s="127" t="s">
        <v>12</v>
      </c>
      <c r="U19" s="119" t="s">
        <v>12</v>
      </c>
      <c r="V19" s="139">
        <f t="shared" si="5"/>
        <v>0</v>
      </c>
    </row>
    <row r="20" spans="1:22" x14ac:dyDescent="0.25">
      <c r="A20" s="615"/>
      <c r="B20" s="680" t="str">
        <f>VLOOKUP($C$2,Monitor_Costs,16,FALSE)</f>
        <v>Rawindsondes</v>
      </c>
      <c r="C20" s="458">
        <f>VLOOKUP($C$2,Monitor_Costs,17,FALSE)</f>
        <v>45000</v>
      </c>
      <c r="D20" s="22">
        <f>VLOOKUP(C$2,Monitor_Costs,18,FALSE)</f>
        <v>2019</v>
      </c>
      <c r="E20" s="21">
        <v>0</v>
      </c>
      <c r="F20" s="7"/>
      <c r="G20" s="5"/>
      <c r="H20" s="5"/>
      <c r="I20" s="5"/>
      <c r="J20" s="37"/>
      <c r="K20" s="279">
        <f>HLOOKUP($D$19,InflationTable,2)*$C20</f>
        <v>60786.083188797769</v>
      </c>
      <c r="L20" s="279">
        <f>K20*$E20</f>
        <v>0</v>
      </c>
      <c r="M20" s="280">
        <f t="shared" si="2"/>
        <v>0</v>
      </c>
      <c r="N20" s="706">
        <f>HLOOKUP($D$19,InflationTable,3)*$C20</f>
        <v>62446.31168009503</v>
      </c>
      <c r="O20" s="706">
        <f>N20*$E20</f>
        <v>0</v>
      </c>
      <c r="P20" s="707">
        <f t="shared" si="3"/>
        <v>0</v>
      </c>
      <c r="Q20" s="279">
        <f>HLOOKUP($D$19,InflationTable,4)*$C20</f>
        <v>63194.604156999369</v>
      </c>
      <c r="R20" s="279">
        <f>Q20*$E20</f>
        <v>0</v>
      </c>
      <c r="S20" s="280">
        <f t="shared" si="4"/>
        <v>0</v>
      </c>
      <c r="T20" s="127" t="s">
        <v>12</v>
      </c>
      <c r="U20" s="119" t="s">
        <v>12</v>
      </c>
      <c r="V20" s="139">
        <f t="shared" si="5"/>
        <v>0</v>
      </c>
    </row>
    <row r="21" spans="1:22" x14ac:dyDescent="0.25">
      <c r="A21" s="615"/>
      <c r="B21" s="680" t="str">
        <f>VLOOKUP($C$2,Monitor_Costs,19,FALSE)</f>
        <v>SODAR</v>
      </c>
      <c r="C21" s="458">
        <f>VLOOKUP($C$2,Monitor_Costs,20,FALSE)</f>
        <v>65000</v>
      </c>
      <c r="D21" s="22">
        <f>VLOOKUP(C$2,Monitor_Costs,21,FALSE)</f>
        <v>2019</v>
      </c>
      <c r="E21" s="21">
        <v>0</v>
      </c>
      <c r="F21" s="7"/>
      <c r="G21" s="5"/>
      <c r="H21" s="5"/>
      <c r="I21" s="5"/>
      <c r="J21" s="37"/>
      <c r="K21" s="279">
        <f>HLOOKUP($D$19,InflationTable,2)*$C21</f>
        <v>87802.120161596773</v>
      </c>
      <c r="L21" s="279">
        <f>K21*$E21</f>
        <v>0</v>
      </c>
      <c r="M21" s="280">
        <f t="shared" si="2"/>
        <v>0</v>
      </c>
      <c r="N21" s="706">
        <f>HLOOKUP($D$19,InflationTable,3)*$C21</f>
        <v>90200.227982359487</v>
      </c>
      <c r="O21" s="706">
        <f>N21*$E21</f>
        <v>0</v>
      </c>
      <c r="P21" s="707">
        <f t="shared" si="3"/>
        <v>0</v>
      </c>
      <c r="Q21" s="279">
        <f>HLOOKUP($D$19,InflationTable,4)*$C21</f>
        <v>91281.094893443529</v>
      </c>
      <c r="R21" s="279">
        <f>Q21*$E21</f>
        <v>0</v>
      </c>
      <c r="S21" s="280">
        <f t="shared" si="4"/>
        <v>0</v>
      </c>
      <c r="T21" s="127" t="s">
        <v>12</v>
      </c>
      <c r="U21" s="119" t="s">
        <v>12</v>
      </c>
      <c r="V21" s="139">
        <f t="shared" si="5"/>
        <v>0</v>
      </c>
    </row>
    <row r="22" spans="1:22" x14ac:dyDescent="0.25">
      <c r="A22" s="615"/>
      <c r="B22" s="680" t="str">
        <f>VLOOKUP($C$2,Monitor_Costs,22,FALSE)</f>
        <v>LAP/RASS +NEXRAD</v>
      </c>
      <c r="C22" s="458">
        <f>VLOOKUP($C$2,Monitor_Costs,23,FALSE)</f>
        <v>125000</v>
      </c>
      <c r="D22" s="22">
        <f>VLOOKUP(C$2,Monitor_Costs,24,FALSE)</f>
        <v>2019</v>
      </c>
      <c r="E22" s="21">
        <v>0</v>
      </c>
      <c r="F22" s="7"/>
      <c r="G22" s="5"/>
      <c r="H22" s="5"/>
      <c r="I22" s="5"/>
      <c r="J22" s="37"/>
      <c r="K22" s="279">
        <f>HLOOKUP($D$19,InflationTable,2)*$C22</f>
        <v>168850.2310799938</v>
      </c>
      <c r="L22" s="279">
        <f>K22*$E22</f>
        <v>0</v>
      </c>
      <c r="M22" s="280">
        <f t="shared" si="2"/>
        <v>0</v>
      </c>
      <c r="N22" s="706">
        <f>HLOOKUP($D$19,InflationTable,3)*$C22</f>
        <v>173461.97688915287</v>
      </c>
      <c r="O22" s="706">
        <f>N22*$E22</f>
        <v>0</v>
      </c>
      <c r="P22" s="707">
        <f t="shared" si="3"/>
        <v>0</v>
      </c>
      <c r="Q22" s="279">
        <f>HLOOKUP($D$19,InflationTable,4)*$C22</f>
        <v>175540.56710277603</v>
      </c>
      <c r="R22" s="279">
        <f>Q22*$E22</f>
        <v>0</v>
      </c>
      <c r="S22" s="280">
        <f t="shared" si="4"/>
        <v>0</v>
      </c>
      <c r="T22" s="127" t="s">
        <v>12</v>
      </c>
      <c r="U22" s="119" t="s">
        <v>12</v>
      </c>
      <c r="V22" s="139">
        <f t="shared" si="5"/>
        <v>0</v>
      </c>
    </row>
    <row r="23" spans="1:22" x14ac:dyDescent="0.25">
      <c r="A23" s="615"/>
      <c r="B23" s="680" t="str">
        <f>VLOOKUP($C$2,Monitor_Costs,25,FALSE)</f>
        <v>Computer hardware &amp; software</v>
      </c>
      <c r="C23" s="458">
        <f>VLOOKUP($C$2,Monitor_Costs,26,FALSE)</f>
        <v>8000</v>
      </c>
      <c r="D23" s="22">
        <f>VLOOKUP(C$2,Monitor_Costs,27,FALSE)</f>
        <v>2019</v>
      </c>
      <c r="E23" s="5"/>
      <c r="F23" s="7"/>
      <c r="G23" s="5"/>
      <c r="H23" s="5"/>
      <c r="I23" s="5"/>
      <c r="J23" s="37"/>
      <c r="K23" s="279">
        <f>HLOOKUP(D23,InflationTable,2)*$C23</f>
        <v>10806.414789119604</v>
      </c>
      <c r="L23" s="279">
        <f>K23*$M$4</f>
        <v>464675.83593214297</v>
      </c>
      <c r="M23" s="280">
        <f t="shared" si="2"/>
        <v>92935.167186428589</v>
      </c>
      <c r="N23" s="705">
        <f>HLOOKUP($D$18,InflationTable,3)*$C23</f>
        <v>11101.566520905782</v>
      </c>
      <c r="O23" s="706">
        <f>N23*$M$4</f>
        <v>477367.36039894866</v>
      </c>
      <c r="P23" s="98">
        <f t="shared" si="3"/>
        <v>95473.472079789732</v>
      </c>
      <c r="Q23" s="298">
        <f>HLOOKUP($D$18,InflationTable,4)*$C23</f>
        <v>11234.596294577665</v>
      </c>
      <c r="R23" s="279">
        <f>Q23*$M$4</f>
        <v>483087.64066683955</v>
      </c>
      <c r="S23" s="280">
        <f t="shared" si="4"/>
        <v>96617.528133367916</v>
      </c>
      <c r="T23" s="127" t="s">
        <v>12</v>
      </c>
      <c r="U23" s="119" t="s">
        <v>12</v>
      </c>
      <c r="V23" s="139">
        <f t="shared" si="5"/>
        <v>95008.72246652875</v>
      </c>
    </row>
    <row r="24" spans="1:22" s="1" customFormat="1" ht="13.8" thickBot="1" x14ac:dyDescent="0.3">
      <c r="A24" s="616"/>
      <c r="B24" s="670" t="s">
        <v>13</v>
      </c>
      <c r="C24" s="458"/>
      <c r="D24" s="381"/>
      <c r="E24" s="673"/>
      <c r="F24" s="674"/>
      <c r="G24" s="673"/>
      <c r="H24" s="673"/>
      <c r="I24" s="673"/>
      <c r="J24" s="639"/>
      <c r="K24" s="369"/>
      <c r="L24" s="296">
        <f>SUM(L18:L23)</f>
        <v>2003914.5424573666</v>
      </c>
      <c r="M24" s="296">
        <f>SUM(M18:M23)</f>
        <v>400782.9084914733</v>
      </c>
      <c r="N24" s="708"/>
      <c r="O24" s="377">
        <f>SUM(O18:O23)</f>
        <v>2058646.7417204662</v>
      </c>
      <c r="P24" s="377">
        <f>SUM(P18:P23)</f>
        <v>411729.34834409325</v>
      </c>
      <c r="Q24" s="676"/>
      <c r="R24" s="296">
        <f>SUM(R18:R23)</f>
        <v>2083315.450375746</v>
      </c>
      <c r="S24" s="296">
        <f>SUM(S18:S23)</f>
        <v>416663.0900751492</v>
      </c>
      <c r="T24" s="472" t="s">
        <v>12</v>
      </c>
      <c r="U24" s="218" t="s">
        <v>12</v>
      </c>
      <c r="V24" s="575">
        <f t="shared" si="5"/>
        <v>409725.11563690525</v>
      </c>
    </row>
    <row r="25" spans="1:22" x14ac:dyDescent="0.25">
      <c r="A25" s="615"/>
      <c r="B25" s="610" t="s">
        <v>17</v>
      </c>
      <c r="C25" s="107" t="s">
        <v>45</v>
      </c>
      <c r="D25" s="108" t="s">
        <v>46</v>
      </c>
      <c r="E25" s="107" t="s">
        <v>47</v>
      </c>
      <c r="F25" s="107" t="s">
        <v>48</v>
      </c>
      <c r="G25" s="107" t="s">
        <v>49</v>
      </c>
      <c r="H25" s="107" t="s">
        <v>50</v>
      </c>
      <c r="I25" s="159" t="s">
        <v>190</v>
      </c>
      <c r="J25" s="350" t="s">
        <v>74</v>
      </c>
      <c r="K25" s="351"/>
      <c r="L25" s="352"/>
      <c r="M25" s="356"/>
      <c r="N25" s="110"/>
      <c r="O25" s="108"/>
      <c r="P25" s="111"/>
      <c r="Q25" s="352"/>
      <c r="R25" s="352"/>
      <c r="S25" s="356"/>
      <c r="T25" s="125"/>
      <c r="U25" s="37"/>
      <c r="V25" s="138"/>
    </row>
    <row r="26" spans="1:22" x14ac:dyDescent="0.25">
      <c r="A26" s="615"/>
      <c r="B26" s="611" t="s">
        <v>189</v>
      </c>
      <c r="C26" s="31">
        <v>0</v>
      </c>
      <c r="D26" s="21">
        <v>24</v>
      </c>
      <c r="E26" s="21">
        <v>0</v>
      </c>
      <c r="F26" s="21">
        <v>24</v>
      </c>
      <c r="G26" s="21">
        <v>0</v>
      </c>
      <c r="H26" s="21">
        <v>0</v>
      </c>
      <c r="I26" s="687">
        <v>12</v>
      </c>
      <c r="J26" s="48">
        <f t="shared" ref="J26:J31" si="6">SUM(C26:I26)</f>
        <v>60</v>
      </c>
      <c r="K26" s="263" t="s">
        <v>12</v>
      </c>
      <c r="L26" s="281">
        <f>J26*($M$4+$M$5)</f>
        <v>2580</v>
      </c>
      <c r="M26" s="282">
        <f t="shared" ref="M26:M31" si="7">L26/$E$15</f>
        <v>516</v>
      </c>
      <c r="N26" s="58" t="s">
        <v>12</v>
      </c>
      <c r="O26" s="69">
        <f>$J26*(P$4+P$5)</f>
        <v>2580</v>
      </c>
      <c r="P26" s="59">
        <f t="shared" ref="P26:P31" si="8">O26/$E$15</f>
        <v>516</v>
      </c>
      <c r="Q26" s="263" t="s">
        <v>12</v>
      </c>
      <c r="R26" s="281">
        <f>$J26*(S$4+S$5)</f>
        <v>2580</v>
      </c>
      <c r="S26" s="282">
        <f t="shared" ref="S26:S31" si="9">R26/$E$15</f>
        <v>516</v>
      </c>
      <c r="T26" s="151">
        <f t="shared" ref="T26:T32" si="10">AVERAGE(M26,P26,S26)</f>
        <v>516</v>
      </c>
      <c r="U26" s="119" t="s">
        <v>12</v>
      </c>
      <c r="V26" s="140" t="s">
        <v>12</v>
      </c>
    </row>
    <row r="27" spans="1:22" s="1" customFormat="1" ht="13.8" thickBot="1" x14ac:dyDescent="0.3">
      <c r="A27" s="616"/>
      <c r="B27" s="604" t="s">
        <v>8</v>
      </c>
      <c r="C27" s="717">
        <f>ROUND(C26*Labor!$D$3,0)</f>
        <v>0</v>
      </c>
      <c r="D27" s="219">
        <f>ROUND(D26*Labor!$D$4,0)</f>
        <v>981</v>
      </c>
      <c r="E27" s="219">
        <f>ROUND(E26*Labor!$D$5,0)</f>
        <v>0</v>
      </c>
      <c r="F27" s="219">
        <f>ROUND(F26*Labor!$D$6,0)</f>
        <v>1182</v>
      </c>
      <c r="G27" s="219">
        <f>ROUND(G26*Labor!$D$7,0)</f>
        <v>0</v>
      </c>
      <c r="H27" s="219">
        <f>ROUND(H26*Labor!$D$8,0)</f>
        <v>0</v>
      </c>
      <c r="I27" s="219">
        <f>ROUND(I26*Labor!$D$9,0)</f>
        <v>300</v>
      </c>
      <c r="J27" s="375">
        <f t="shared" si="6"/>
        <v>2463</v>
      </c>
      <c r="K27" s="332">
        <f>HLOOKUP(Labor!$B$11,InflationTable,2)*J27</f>
        <v>3327.0249532001981</v>
      </c>
      <c r="L27" s="296">
        <f>K27*($M$4+$M$5)</f>
        <v>143062.07298760852</v>
      </c>
      <c r="M27" s="297">
        <f t="shared" si="7"/>
        <v>28612.414597521703</v>
      </c>
      <c r="N27" s="376">
        <f>HLOOKUP(Labor!$B$11,InflationTable,3)*$J27</f>
        <v>3417.8947926238679</v>
      </c>
      <c r="O27" s="377">
        <f>N27*P$4</f>
        <v>146969.47608282632</v>
      </c>
      <c r="P27" s="378">
        <f t="shared" si="8"/>
        <v>29393.895216565266</v>
      </c>
      <c r="Q27" s="332">
        <f>HLOOKUP(Labor!$B$11,InflationTable,4)*$J27</f>
        <v>3458.8513341930989</v>
      </c>
      <c r="R27" s="296">
        <f>Q27*S$4</f>
        <v>148730.60737030325</v>
      </c>
      <c r="S27" s="297">
        <f t="shared" si="9"/>
        <v>29746.121474060648</v>
      </c>
      <c r="T27" s="391">
        <f t="shared" si="10"/>
        <v>29250.810429382542</v>
      </c>
      <c r="U27" s="218" t="s">
        <v>12</v>
      </c>
      <c r="V27" s="392" t="s">
        <v>12</v>
      </c>
    </row>
    <row r="28" spans="1:22" x14ac:dyDescent="0.25">
      <c r="A28" s="615"/>
      <c r="B28" s="611" t="s">
        <v>119</v>
      </c>
      <c r="C28" s="31">
        <v>0</v>
      </c>
      <c r="D28" s="21">
        <v>0</v>
      </c>
      <c r="E28" s="21">
        <v>0</v>
      </c>
      <c r="F28" s="21">
        <v>8</v>
      </c>
      <c r="G28" s="21">
        <v>8</v>
      </c>
      <c r="H28" s="21">
        <v>0</v>
      </c>
      <c r="I28" s="687">
        <v>0</v>
      </c>
      <c r="J28" s="48">
        <f t="shared" si="6"/>
        <v>16</v>
      </c>
      <c r="K28" s="263" t="s">
        <v>12</v>
      </c>
      <c r="L28" s="281">
        <f>J28*($M$4+$M$5)</f>
        <v>688</v>
      </c>
      <c r="M28" s="282">
        <f t="shared" si="7"/>
        <v>137.6</v>
      </c>
      <c r="N28" s="58" t="s">
        <v>12</v>
      </c>
      <c r="O28" s="69">
        <f>$J28*(P$4+P$5)</f>
        <v>688</v>
      </c>
      <c r="P28" s="59">
        <f t="shared" si="8"/>
        <v>137.6</v>
      </c>
      <c r="Q28" s="263" t="s">
        <v>12</v>
      </c>
      <c r="R28" s="281">
        <f>$J28*(S$4+S$5)</f>
        <v>688</v>
      </c>
      <c r="S28" s="282">
        <f t="shared" si="9"/>
        <v>137.6</v>
      </c>
      <c r="T28" s="151">
        <f t="shared" si="10"/>
        <v>137.6</v>
      </c>
      <c r="U28" s="119" t="s">
        <v>12</v>
      </c>
      <c r="V28" s="140" t="s">
        <v>12</v>
      </c>
    </row>
    <row r="29" spans="1:22" s="1" customFormat="1" ht="13.8" thickBot="1" x14ac:dyDescent="0.3">
      <c r="A29" s="616"/>
      <c r="B29" s="604" t="s">
        <v>8</v>
      </c>
      <c r="C29" s="717">
        <f>ROUND(C28*Labor!$D$3,0)</f>
        <v>0</v>
      </c>
      <c r="D29" s="219">
        <f>ROUND(D28*Labor!$D$4,0)</f>
        <v>0</v>
      </c>
      <c r="E29" s="219">
        <f>ROUND(E28*Labor!$D$5,0)</f>
        <v>0</v>
      </c>
      <c r="F29" s="219">
        <f>ROUND(F28*Labor!$D$6,0)</f>
        <v>394</v>
      </c>
      <c r="G29" s="219">
        <f>ROUND(G28*Labor!$D$7,0)</f>
        <v>444</v>
      </c>
      <c r="H29" s="219">
        <f>ROUND(H28*Labor!$D$8,0)</f>
        <v>0</v>
      </c>
      <c r="I29" s="219">
        <f>ROUND(I28*Labor!$D$9,0)</f>
        <v>0</v>
      </c>
      <c r="J29" s="375">
        <f t="shared" si="6"/>
        <v>838</v>
      </c>
      <c r="K29" s="332">
        <f>HLOOKUP(Labor!$B$11,InflationTable,2)*J29</f>
        <v>1131.9719491602784</v>
      </c>
      <c r="L29" s="296">
        <f>K29*($M$4+$M$5)</f>
        <v>48674.793813891971</v>
      </c>
      <c r="M29" s="297">
        <f t="shared" si="7"/>
        <v>9734.9587627783949</v>
      </c>
      <c r="N29" s="376">
        <f>HLOOKUP(Labor!$B$11,InflationTable,3)*$J29</f>
        <v>1162.8890930648806</v>
      </c>
      <c r="O29" s="377">
        <f>N29*$P$4</f>
        <v>50004.231001789864</v>
      </c>
      <c r="P29" s="378">
        <f t="shared" si="8"/>
        <v>10000.846200357973</v>
      </c>
      <c r="Q29" s="332">
        <f>HLOOKUP(Labor!$B$11,InflationTable,4)*$J29</f>
        <v>1176.8239618570103</v>
      </c>
      <c r="R29" s="296">
        <f>Q29*$P$4</f>
        <v>50603.430359851445</v>
      </c>
      <c r="S29" s="297">
        <f t="shared" si="9"/>
        <v>10120.686071970289</v>
      </c>
      <c r="T29" s="391">
        <f t="shared" si="10"/>
        <v>9952.1636783688864</v>
      </c>
      <c r="U29" s="218" t="s">
        <v>12</v>
      </c>
      <c r="V29" s="392" t="s">
        <v>12</v>
      </c>
    </row>
    <row r="30" spans="1:22" x14ac:dyDescent="0.25">
      <c r="A30" s="615"/>
      <c r="B30" s="112" t="s">
        <v>118</v>
      </c>
      <c r="C30" s="346">
        <v>0</v>
      </c>
      <c r="D30" s="365">
        <v>0</v>
      </c>
      <c r="E30" s="365">
        <v>0</v>
      </c>
      <c r="F30" s="365">
        <v>12</v>
      </c>
      <c r="G30" s="365">
        <v>7</v>
      </c>
      <c r="H30" s="365">
        <v>0</v>
      </c>
      <c r="I30" s="689">
        <v>0</v>
      </c>
      <c r="J30" s="366">
        <f t="shared" si="6"/>
        <v>19</v>
      </c>
      <c r="K30" s="293" t="s">
        <v>12</v>
      </c>
      <c r="L30" s="334">
        <f>J30*$M$4</f>
        <v>817</v>
      </c>
      <c r="M30" s="294">
        <f t="shared" si="7"/>
        <v>163.4</v>
      </c>
      <c r="N30" s="61" t="s">
        <v>12</v>
      </c>
      <c r="O30" s="69">
        <f>$J30*(P$4+P$5)</f>
        <v>817</v>
      </c>
      <c r="P30" s="62">
        <f t="shared" si="8"/>
        <v>163.4</v>
      </c>
      <c r="Q30" s="293" t="s">
        <v>12</v>
      </c>
      <c r="R30" s="281">
        <f>$J30*(S$4+S$5)</f>
        <v>817</v>
      </c>
      <c r="S30" s="294">
        <f t="shared" si="9"/>
        <v>163.4</v>
      </c>
      <c r="T30" s="129">
        <f t="shared" si="10"/>
        <v>163.4</v>
      </c>
      <c r="U30" s="136" t="s">
        <v>12</v>
      </c>
      <c r="V30" s="147" t="s">
        <v>12</v>
      </c>
    </row>
    <row r="31" spans="1:22" s="1" customFormat="1" ht="13.8" thickBot="1" x14ac:dyDescent="0.3">
      <c r="A31" s="616"/>
      <c r="B31" s="612" t="s">
        <v>8</v>
      </c>
      <c r="C31" s="712">
        <f>ROUND(C30*Labor!$D$3,0)</f>
        <v>0</v>
      </c>
      <c r="D31" s="219">
        <f>ROUND(D30*Labor!$D$4,0)</f>
        <v>0</v>
      </c>
      <c r="E31" s="219">
        <f>ROUND(E30*Labor!$D$5,0)</f>
        <v>0</v>
      </c>
      <c r="F31" s="219">
        <f>ROUND(F30*Labor!$D$6,0)</f>
        <v>591</v>
      </c>
      <c r="G31" s="219">
        <f>ROUND(G30*Labor!$D$7,0)</f>
        <v>388</v>
      </c>
      <c r="H31" s="219">
        <f>ROUND(H30*Labor!$D$8,0)</f>
        <v>0</v>
      </c>
      <c r="I31" s="219">
        <f>ROUND(I30*Labor!$D$9,0)</f>
        <v>0</v>
      </c>
      <c r="J31" s="375">
        <f t="shared" si="6"/>
        <v>979</v>
      </c>
      <c r="K31" s="332">
        <f>HLOOKUP(Labor!$B$11,InflationTable,2)*J31</f>
        <v>1322.4350098185114</v>
      </c>
      <c r="L31" s="296">
        <f>K31*$M$4</f>
        <v>56864.705422195992</v>
      </c>
      <c r="M31" s="297">
        <f t="shared" si="7"/>
        <v>11372.941084439199</v>
      </c>
      <c r="N31" s="376">
        <f>HLOOKUP(Labor!$B$11,InflationTable,3)*$J31</f>
        <v>1358.5542029958451</v>
      </c>
      <c r="O31" s="377">
        <f>N31*$P$4</f>
        <v>58417.83072882134</v>
      </c>
      <c r="P31" s="378">
        <f t="shared" si="8"/>
        <v>11683.566145764267</v>
      </c>
      <c r="Q31" s="339">
        <f>HLOOKUP(Labor!$B$11,InflationTable,4)*$J31</f>
        <v>1374.8337215489419</v>
      </c>
      <c r="R31" s="296">
        <f>Q31*$P$4</f>
        <v>59117.850026604501</v>
      </c>
      <c r="S31" s="297">
        <f t="shared" si="9"/>
        <v>11823.5700053209</v>
      </c>
      <c r="T31" s="211">
        <f t="shared" si="10"/>
        <v>11626.692411841455</v>
      </c>
      <c r="U31" s="393" t="s">
        <v>12</v>
      </c>
      <c r="V31" s="392" t="s">
        <v>12</v>
      </c>
    </row>
    <row r="32" spans="1:22" x14ac:dyDescent="0.25">
      <c r="A32" s="615"/>
      <c r="B32" s="605" t="s">
        <v>66</v>
      </c>
      <c r="C32" s="33">
        <f t="shared" ref="C32:J32" si="11">C28+C30</f>
        <v>0</v>
      </c>
      <c r="D32" s="33">
        <f t="shared" si="11"/>
        <v>0</v>
      </c>
      <c r="E32" s="33">
        <f t="shared" si="11"/>
        <v>0</v>
      </c>
      <c r="F32" s="33">
        <f t="shared" si="11"/>
        <v>20</v>
      </c>
      <c r="G32" s="33">
        <f t="shared" si="11"/>
        <v>15</v>
      </c>
      <c r="H32" s="33">
        <f t="shared" si="11"/>
        <v>0</v>
      </c>
      <c r="I32" s="690"/>
      <c r="J32" s="49">
        <f t="shared" si="11"/>
        <v>35</v>
      </c>
      <c r="K32" s="284" t="s">
        <v>12</v>
      </c>
      <c r="L32" s="285">
        <f>L26+L28+L30</f>
        <v>4085</v>
      </c>
      <c r="M32" s="285">
        <f>M26+M28+M30</f>
        <v>817</v>
      </c>
      <c r="N32" s="44" t="s">
        <v>12</v>
      </c>
      <c r="O32" s="33">
        <f>O26+O28+O30</f>
        <v>4085</v>
      </c>
      <c r="P32" s="33">
        <f>P26+P28+P30</f>
        <v>817</v>
      </c>
      <c r="Q32" s="284" t="s">
        <v>12</v>
      </c>
      <c r="R32" s="285">
        <f>R26+R28+R30</f>
        <v>4085</v>
      </c>
      <c r="S32" s="285">
        <f>S26+S28+S30</f>
        <v>817</v>
      </c>
      <c r="T32" s="175">
        <f t="shared" si="10"/>
        <v>817</v>
      </c>
      <c r="U32" s="136" t="s">
        <v>12</v>
      </c>
      <c r="V32" s="147" t="s">
        <v>12</v>
      </c>
    </row>
    <row r="33" spans="1:22" ht="13.8" thickBot="1" x14ac:dyDescent="0.3">
      <c r="A33" s="615"/>
      <c r="B33" s="606" t="s">
        <v>67</v>
      </c>
      <c r="C33" s="240">
        <f t="shared" ref="C33:J33" si="12">C31+C29</f>
        <v>0</v>
      </c>
      <c r="D33" s="240">
        <f t="shared" si="12"/>
        <v>0</v>
      </c>
      <c r="E33" s="240">
        <f t="shared" si="12"/>
        <v>0</v>
      </c>
      <c r="F33" s="240">
        <f t="shared" si="12"/>
        <v>985</v>
      </c>
      <c r="G33" s="240">
        <f t="shared" si="12"/>
        <v>832</v>
      </c>
      <c r="H33" s="240">
        <f t="shared" si="12"/>
        <v>0</v>
      </c>
      <c r="I33" s="691"/>
      <c r="J33" s="241">
        <f t="shared" si="12"/>
        <v>1817</v>
      </c>
      <c r="K33" s="274"/>
      <c r="L33" s="287"/>
      <c r="M33" s="276">
        <f>M24+M27+M29+M31</f>
        <v>450503.22293621261</v>
      </c>
      <c r="N33" s="242"/>
      <c r="O33" s="247"/>
      <c r="P33" s="243">
        <f>P24+P27+P29+P31</f>
        <v>462807.65590678074</v>
      </c>
      <c r="Q33" s="274"/>
      <c r="R33" s="287"/>
      <c r="S33" s="276">
        <f>S24+S27+S29+S31</f>
        <v>468353.46762650099</v>
      </c>
      <c r="T33" s="248">
        <f>T31+T29+T27</f>
        <v>50829.66651959288</v>
      </c>
      <c r="U33" s="249" t="s">
        <v>12</v>
      </c>
      <c r="V33" s="250">
        <f>V24</f>
        <v>409725.11563690525</v>
      </c>
    </row>
    <row r="34" spans="1:22" ht="14.4" thickTop="1" thickBot="1" x14ac:dyDescent="0.3">
      <c r="A34" s="615"/>
      <c r="B34" s="5"/>
      <c r="C34" s="618"/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20"/>
    </row>
    <row r="35" spans="1:22" ht="16.2" thickTop="1" x14ac:dyDescent="0.3">
      <c r="A35" s="615"/>
      <c r="B35" s="709" t="s">
        <v>22</v>
      </c>
      <c r="C35" s="5"/>
      <c r="D35" s="5"/>
      <c r="E35" s="5"/>
      <c r="F35" s="112" t="s">
        <v>6</v>
      </c>
      <c r="G35" s="1415"/>
      <c r="H35" s="1416"/>
      <c r="I35" s="1416"/>
      <c r="J35" s="1417"/>
      <c r="K35" s="244" t="s">
        <v>22</v>
      </c>
      <c r="L35" s="426"/>
      <c r="M35" s="180"/>
      <c r="N35" s="244" t="s">
        <v>22</v>
      </c>
      <c r="O35" s="426"/>
      <c r="P35" s="67"/>
      <c r="Q35" s="244" t="s">
        <v>22</v>
      </c>
      <c r="R35" s="426"/>
      <c r="S35" s="67"/>
      <c r="T35" s="225"/>
      <c r="U35" s="37"/>
      <c r="V35" s="138"/>
    </row>
    <row r="36" spans="1:22" x14ac:dyDescent="0.25">
      <c r="A36" s="615"/>
      <c r="B36" s="5"/>
      <c r="C36" s="5"/>
      <c r="D36" s="5"/>
      <c r="E36" s="5"/>
      <c r="F36" s="112"/>
      <c r="G36" s="1418"/>
      <c r="H36" s="1418"/>
      <c r="I36" s="1418"/>
      <c r="J36" s="1419"/>
      <c r="K36" s="277" t="s">
        <v>61</v>
      </c>
      <c r="L36" s="1437" t="s">
        <v>57</v>
      </c>
      <c r="M36" s="1438"/>
      <c r="N36" s="57" t="s">
        <v>61</v>
      </c>
      <c r="O36" s="1432" t="s">
        <v>57</v>
      </c>
      <c r="P36" s="1433"/>
      <c r="Q36" s="277" t="s">
        <v>61</v>
      </c>
      <c r="R36" s="1422" t="s">
        <v>57</v>
      </c>
      <c r="S36" s="1423"/>
      <c r="T36" s="131"/>
      <c r="U36" s="37"/>
      <c r="V36" s="138"/>
    </row>
    <row r="37" spans="1:22" x14ac:dyDescent="0.25">
      <c r="A37" s="615"/>
      <c r="B37" s="611" t="s">
        <v>18</v>
      </c>
      <c r="C37" s="23" t="s">
        <v>60</v>
      </c>
      <c r="D37" s="23" t="s">
        <v>62</v>
      </c>
      <c r="E37" s="9"/>
      <c r="F37" s="72"/>
      <c r="G37" s="72"/>
      <c r="H37" s="72"/>
      <c r="I37" s="5"/>
      <c r="J37" s="37"/>
      <c r="K37" s="261" t="s">
        <v>56</v>
      </c>
      <c r="L37" s="261" t="s">
        <v>13</v>
      </c>
      <c r="M37" s="262" t="s">
        <v>68</v>
      </c>
      <c r="N37" s="77" t="s">
        <v>56</v>
      </c>
      <c r="O37" s="24" t="s">
        <v>13</v>
      </c>
      <c r="P37" s="38" t="s">
        <v>68</v>
      </c>
      <c r="Q37" s="260" t="s">
        <v>56</v>
      </c>
      <c r="R37" s="261" t="s">
        <v>13</v>
      </c>
      <c r="S37" s="262" t="s">
        <v>68</v>
      </c>
      <c r="T37" s="123"/>
      <c r="U37" s="37"/>
      <c r="V37" s="138"/>
    </row>
    <row r="38" spans="1:22" ht="13.8" thickBot="1" x14ac:dyDescent="0.3">
      <c r="A38" s="615"/>
      <c r="B38" s="361"/>
      <c r="C38" s="353">
        <f>VLOOKUP(C$2,Monitor_Costs,4,FALSE)</f>
        <v>1000</v>
      </c>
      <c r="D38" s="34">
        <f>VLOOKUP(C$2,Monitor_Costs,5,FALSE)</f>
        <v>2019</v>
      </c>
      <c r="E38" s="4"/>
      <c r="F38" s="12"/>
      <c r="G38" s="4"/>
      <c r="H38" s="361"/>
      <c r="I38" s="4"/>
      <c r="J38" s="363"/>
      <c r="K38" s="355">
        <f>HLOOKUP($D$38,InflationTable,2)*$C$38</f>
        <v>1350.8018486399505</v>
      </c>
      <c r="L38" s="355">
        <f>K38*$M$4</f>
        <v>58084.479491517872</v>
      </c>
      <c r="M38" s="308">
        <f>L38</f>
        <v>58084.479491517872</v>
      </c>
      <c r="N38" s="171">
        <f>HLOOKUP($D$38,InflationTable,3)*$C$38</f>
        <v>1387.6958151132228</v>
      </c>
      <c r="O38" s="357">
        <f>N38*$P$4</f>
        <v>59670.920049868582</v>
      </c>
      <c r="P38" s="95">
        <f>O38</f>
        <v>59670.920049868582</v>
      </c>
      <c r="Q38" s="355">
        <f>HLOOKUP($D$38,InflationTable,4)*$C$38</f>
        <v>1404.3245368222081</v>
      </c>
      <c r="R38" s="355">
        <f>Q38*$S$4</f>
        <v>60385.955083354944</v>
      </c>
      <c r="S38" s="308">
        <f>R38</f>
        <v>60385.955083354944</v>
      </c>
      <c r="T38" s="359" t="s">
        <v>12</v>
      </c>
      <c r="U38" s="360">
        <f>AVERAGE(M38,P38,S38)</f>
        <v>59380.451541580471</v>
      </c>
      <c r="V38" s="142" t="s">
        <v>12</v>
      </c>
    </row>
    <row r="39" spans="1:22" x14ac:dyDescent="0.25">
      <c r="A39" s="615"/>
      <c r="B39" s="465" t="s">
        <v>191</v>
      </c>
      <c r="C39" s="107" t="s">
        <v>45</v>
      </c>
      <c r="D39" s="108" t="s">
        <v>46</v>
      </c>
      <c r="E39" s="107" t="s">
        <v>47</v>
      </c>
      <c r="F39" s="107" t="s">
        <v>48</v>
      </c>
      <c r="G39" s="107" t="s">
        <v>49</v>
      </c>
      <c r="H39" s="107" t="s">
        <v>50</v>
      </c>
      <c r="I39" s="159" t="s">
        <v>190</v>
      </c>
      <c r="J39" s="350" t="s">
        <v>74</v>
      </c>
      <c r="K39" s="352"/>
      <c r="L39" s="352"/>
      <c r="M39" s="356"/>
      <c r="N39" s="110"/>
      <c r="O39" s="108"/>
      <c r="P39" s="111"/>
      <c r="Q39" s="352"/>
      <c r="R39" s="352"/>
      <c r="S39" s="356"/>
      <c r="T39" s="123"/>
      <c r="U39" s="37"/>
      <c r="V39" s="138"/>
    </row>
    <row r="40" spans="1:22" x14ac:dyDescent="0.25">
      <c r="A40" s="615"/>
      <c r="B40" s="614" t="s">
        <v>4</v>
      </c>
      <c r="C40" s="21">
        <v>0</v>
      </c>
      <c r="D40" s="21">
        <v>0</v>
      </c>
      <c r="E40" s="21">
        <v>0</v>
      </c>
      <c r="F40" s="21">
        <v>16</v>
      </c>
      <c r="G40" s="21">
        <v>0</v>
      </c>
      <c r="H40" s="21">
        <v>0</v>
      </c>
      <c r="I40" s="687"/>
      <c r="J40" s="48">
        <f>SUM(C40:I40)</f>
        <v>16</v>
      </c>
      <c r="K40" s="299" t="s">
        <v>12</v>
      </c>
      <c r="L40" s="281">
        <f>J40*$M$4</f>
        <v>688</v>
      </c>
      <c r="M40" s="289">
        <f>L40</f>
        <v>688</v>
      </c>
      <c r="N40" s="58" t="s">
        <v>12</v>
      </c>
      <c r="O40" s="69">
        <f>$J$40*$P$4</f>
        <v>688</v>
      </c>
      <c r="P40" s="68">
        <f>O40</f>
        <v>688</v>
      </c>
      <c r="Q40" s="299" t="s">
        <v>12</v>
      </c>
      <c r="R40" s="281">
        <f>$J$40*$S$4</f>
        <v>688</v>
      </c>
      <c r="S40" s="289">
        <f>R40</f>
        <v>688</v>
      </c>
      <c r="T40" s="121">
        <f>AVERAGE(M40,P40,S40)</f>
        <v>688</v>
      </c>
      <c r="U40" s="119" t="s">
        <v>12</v>
      </c>
      <c r="V40" s="140" t="s">
        <v>12</v>
      </c>
    </row>
    <row r="41" spans="1:22" s="1" customFormat="1" ht="13.8" thickBot="1" x14ac:dyDescent="0.3">
      <c r="A41" s="616"/>
      <c r="B41" s="604" t="s">
        <v>8</v>
      </c>
      <c r="C41" s="712">
        <f>ROUND(C40*Labor!$D$3,0)</f>
        <v>0</v>
      </c>
      <c r="D41" s="219">
        <f>ROUND(D40*Labor!$D$4,0)</f>
        <v>0</v>
      </c>
      <c r="E41" s="219">
        <f>ROUND(E40*Labor!$D$5,0)</f>
        <v>0</v>
      </c>
      <c r="F41" s="219">
        <f>ROUND(F40*Labor!$D$6,0)</f>
        <v>788</v>
      </c>
      <c r="G41" s="219">
        <f>ROUND(G40*Labor!$D$7,0)</f>
        <v>0</v>
      </c>
      <c r="H41" s="219">
        <f>ROUND(H40*Labor!$D$8,0)</f>
        <v>0</v>
      </c>
      <c r="I41" s="716"/>
      <c r="J41" s="375">
        <f>SUM(C41:I41)</f>
        <v>788</v>
      </c>
      <c r="K41" s="296">
        <f>HLOOKUP(Labor!$B$11,InflationTable,2)*J41</f>
        <v>1064.431856728281</v>
      </c>
      <c r="L41" s="296">
        <f>K41*$M$4</f>
        <v>45770.569839316086</v>
      </c>
      <c r="M41" s="390">
        <f>L41</f>
        <v>45770.569839316086</v>
      </c>
      <c r="N41" s="376">
        <f>HLOOKUP(Labor!$B$11,InflationTable,3)*J41</f>
        <v>1093.5043023092196</v>
      </c>
      <c r="O41" s="377">
        <f>N41*$P$4</f>
        <v>47020.684999296442</v>
      </c>
      <c r="P41" s="378">
        <f>O41</f>
        <v>47020.684999296442</v>
      </c>
      <c r="Q41" s="296">
        <f>HLOOKUP(Labor!$B$11,InflationTable,4)*$J$41</f>
        <v>1106.6077350159001</v>
      </c>
      <c r="R41" s="296">
        <f>Q41*$S$4</f>
        <v>47584.132605683706</v>
      </c>
      <c r="S41" s="390">
        <f>R41</f>
        <v>47584.132605683706</v>
      </c>
      <c r="T41" s="211">
        <f>AVERAGE(M41,P41,S41)</f>
        <v>46791.795814765414</v>
      </c>
      <c r="U41" s="393" t="s">
        <v>12</v>
      </c>
      <c r="V41" s="392" t="s">
        <v>12</v>
      </c>
    </row>
    <row r="42" spans="1:22" x14ac:dyDescent="0.25">
      <c r="A42" s="615"/>
      <c r="B42" s="605" t="s">
        <v>66</v>
      </c>
      <c r="C42" s="36">
        <f t="shared" ref="C42:J42" si="13">C40</f>
        <v>0</v>
      </c>
      <c r="D42" s="36">
        <f t="shared" si="13"/>
        <v>0</v>
      </c>
      <c r="E42" s="36">
        <f t="shared" si="13"/>
        <v>0</v>
      </c>
      <c r="F42" s="36">
        <f t="shared" si="13"/>
        <v>16</v>
      </c>
      <c r="G42" s="36">
        <f t="shared" si="13"/>
        <v>0</v>
      </c>
      <c r="H42" s="36">
        <f t="shared" si="13"/>
        <v>0</v>
      </c>
      <c r="I42" s="692"/>
      <c r="J42" s="51">
        <f t="shared" si="13"/>
        <v>16</v>
      </c>
      <c r="K42" s="307" t="s">
        <v>12</v>
      </c>
      <c r="L42" s="302">
        <f>L40</f>
        <v>688</v>
      </c>
      <c r="M42" s="303">
        <f>M40</f>
        <v>688</v>
      </c>
      <c r="N42" s="85" t="s">
        <v>12</v>
      </c>
      <c r="O42" s="82">
        <f>O40</f>
        <v>688</v>
      </c>
      <c r="P42" s="96">
        <f>P40</f>
        <v>688</v>
      </c>
      <c r="Q42" s="301" t="s">
        <v>12</v>
      </c>
      <c r="R42" s="302">
        <f>R40</f>
        <v>688</v>
      </c>
      <c r="S42" s="303">
        <f>S40</f>
        <v>688</v>
      </c>
      <c r="T42" s="96">
        <f>T40</f>
        <v>688</v>
      </c>
      <c r="U42" s="136" t="s">
        <v>12</v>
      </c>
      <c r="V42" s="147" t="s">
        <v>12</v>
      </c>
    </row>
    <row r="43" spans="1:22" ht="13.8" thickBot="1" x14ac:dyDescent="0.3">
      <c r="A43" s="615"/>
      <c r="B43" s="606" t="s">
        <v>67</v>
      </c>
      <c r="C43" s="240">
        <f t="shared" ref="C43:H43" si="14">C42</f>
        <v>0</v>
      </c>
      <c r="D43" s="240">
        <f t="shared" si="14"/>
        <v>0</v>
      </c>
      <c r="E43" s="240">
        <f t="shared" si="14"/>
        <v>0</v>
      </c>
      <c r="F43" s="240">
        <f t="shared" si="14"/>
        <v>16</v>
      </c>
      <c r="G43" s="240">
        <f t="shared" si="14"/>
        <v>0</v>
      </c>
      <c r="H43" s="240">
        <f t="shared" si="14"/>
        <v>0</v>
      </c>
      <c r="I43" s="691"/>
      <c r="J43" s="251">
        <f>J41+C38</f>
        <v>1788</v>
      </c>
      <c r="K43" s="305">
        <f t="shared" ref="K43:S43" si="15">K41+K38</f>
        <v>2415.2337053682313</v>
      </c>
      <c r="L43" s="305">
        <f t="shared" si="15"/>
        <v>103855.04933083395</v>
      </c>
      <c r="M43" s="306">
        <f t="shared" si="15"/>
        <v>103855.04933083395</v>
      </c>
      <c r="N43" s="252">
        <f t="shared" si="15"/>
        <v>2481.2001174224424</v>
      </c>
      <c r="O43" s="253">
        <f t="shared" si="15"/>
        <v>106691.60504916502</v>
      </c>
      <c r="P43" s="254">
        <f t="shared" si="15"/>
        <v>106691.60504916502</v>
      </c>
      <c r="Q43" s="304">
        <f t="shared" si="15"/>
        <v>2510.9322718381081</v>
      </c>
      <c r="R43" s="305">
        <f t="shared" si="15"/>
        <v>107970.08768903866</v>
      </c>
      <c r="S43" s="306">
        <f t="shared" si="15"/>
        <v>107970.08768903866</v>
      </c>
      <c r="T43" s="255">
        <f>AVERAGE(M43,P43,S43)</f>
        <v>106172.24735634588</v>
      </c>
      <c r="U43" s="251">
        <f>U38</f>
        <v>59380.451541580471</v>
      </c>
      <c r="V43" s="224" t="s">
        <v>12</v>
      </c>
    </row>
    <row r="44" spans="1:22" ht="14.4" thickTop="1" thickBot="1" x14ac:dyDescent="0.3">
      <c r="A44" s="615"/>
      <c r="B44" s="617"/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7"/>
      <c r="P44" s="618"/>
      <c r="Q44" s="618"/>
      <c r="R44" s="618"/>
      <c r="S44" s="618"/>
      <c r="T44" s="618"/>
      <c r="U44" s="618"/>
      <c r="V44" s="620"/>
    </row>
    <row r="45" spans="1:22" ht="16.2" thickTop="1" x14ac:dyDescent="0.3">
      <c r="A45" s="615"/>
      <c r="B45" s="181" t="s">
        <v>24</v>
      </c>
      <c r="C45" s="5"/>
      <c r="D45" s="5"/>
      <c r="E45" s="5"/>
      <c r="F45" s="112" t="s">
        <v>6</v>
      </c>
      <c r="G45" s="1415"/>
      <c r="H45" s="1416"/>
      <c r="I45" s="1416"/>
      <c r="J45" s="1417"/>
      <c r="K45" s="181" t="s">
        <v>24</v>
      </c>
      <c r="L45" s="426"/>
      <c r="M45" s="180"/>
      <c r="N45" s="181" t="s">
        <v>24</v>
      </c>
      <c r="O45" s="319"/>
      <c r="P45" s="67"/>
      <c r="Q45" s="181" t="s">
        <v>24</v>
      </c>
      <c r="R45" s="426"/>
      <c r="S45" s="67"/>
      <c r="T45" s="225"/>
      <c r="U45" s="37"/>
      <c r="V45" s="138"/>
    </row>
    <row r="46" spans="1:22" x14ac:dyDescent="0.25">
      <c r="A46" s="615"/>
      <c r="B46" s="5"/>
      <c r="C46" s="5"/>
      <c r="D46" s="5"/>
      <c r="E46" s="5"/>
      <c r="F46" s="112"/>
      <c r="G46" s="1418"/>
      <c r="H46" s="1418"/>
      <c r="I46" s="1418"/>
      <c r="J46" s="1419"/>
      <c r="K46" s="277" t="s">
        <v>61</v>
      </c>
      <c r="L46" s="1422" t="s">
        <v>57</v>
      </c>
      <c r="M46" s="1423"/>
      <c r="N46" s="57" t="s">
        <v>61</v>
      </c>
      <c r="O46" s="1432" t="s">
        <v>57</v>
      </c>
      <c r="P46" s="1433"/>
      <c r="Q46" s="277" t="s">
        <v>61</v>
      </c>
      <c r="R46" s="1422" t="s">
        <v>57</v>
      </c>
      <c r="S46" s="1423"/>
      <c r="T46" s="131"/>
      <c r="U46" s="37"/>
      <c r="V46" s="138"/>
    </row>
    <row r="47" spans="1:22" x14ac:dyDescent="0.25">
      <c r="A47" s="615"/>
      <c r="B47" s="611" t="s">
        <v>19</v>
      </c>
      <c r="C47" s="23" t="s">
        <v>60</v>
      </c>
      <c r="D47" s="23" t="s">
        <v>62</v>
      </c>
      <c r="E47" s="9"/>
      <c r="F47" s="72"/>
      <c r="G47" s="72"/>
      <c r="H47" s="72"/>
      <c r="I47" s="72"/>
      <c r="J47" s="73"/>
      <c r="K47" s="260" t="s">
        <v>56</v>
      </c>
      <c r="L47" s="261" t="s">
        <v>13</v>
      </c>
      <c r="M47" s="262" t="s">
        <v>68</v>
      </c>
      <c r="N47" s="77" t="s">
        <v>56</v>
      </c>
      <c r="O47" s="24" t="s">
        <v>13</v>
      </c>
      <c r="P47" s="38" t="s">
        <v>68</v>
      </c>
      <c r="Q47" s="260" t="s">
        <v>56</v>
      </c>
      <c r="R47" s="261" t="s">
        <v>13</v>
      </c>
      <c r="S47" s="262" t="s">
        <v>68</v>
      </c>
      <c r="T47" s="123"/>
      <c r="U47" s="73"/>
      <c r="V47" s="138"/>
    </row>
    <row r="48" spans="1:22" ht="13.8" thickBot="1" x14ac:dyDescent="0.3">
      <c r="A48" s="615"/>
      <c r="B48" s="361"/>
      <c r="C48" s="353">
        <f>VLOOKUP(C$2,Monitor_Costs,6,FALSE)</f>
        <v>2000</v>
      </c>
      <c r="D48" s="34">
        <f>VLOOKUP(C$2,Monitor_Costs,7,FALSE)</f>
        <v>2019</v>
      </c>
      <c r="E48" s="354"/>
      <c r="F48" s="71"/>
      <c r="G48" s="56"/>
      <c r="H48" s="56"/>
      <c r="I48" s="56"/>
      <c r="J48" s="54"/>
      <c r="K48" s="355">
        <f>HLOOKUP(D48,InflationTable,2)*C48</f>
        <v>2701.6036972799011</v>
      </c>
      <c r="L48" s="355">
        <f>K48*$M$4</f>
        <v>116168.95898303574</v>
      </c>
      <c r="M48" s="308">
        <f>L48</f>
        <v>116168.95898303574</v>
      </c>
      <c r="N48" s="357">
        <f>HLOOKUP($D$48,InflationTable,3)*$C$48</f>
        <v>2775.3916302264456</v>
      </c>
      <c r="O48" s="357">
        <f>N48*$P$4</f>
        <v>119341.84009973716</v>
      </c>
      <c r="P48" s="95">
        <f>O48</f>
        <v>119341.84009973716</v>
      </c>
      <c r="Q48" s="358">
        <f>HLOOKUP($D$48,InflationTable,4)*$C$48</f>
        <v>2808.6490736444161</v>
      </c>
      <c r="R48" s="355">
        <f>Q48*$S$4</f>
        <v>120771.91016670989</v>
      </c>
      <c r="S48" s="308">
        <f>R48</f>
        <v>120771.91016670989</v>
      </c>
      <c r="T48" s="359" t="s">
        <v>12</v>
      </c>
      <c r="U48" s="360">
        <f>AVERAGE(M48,P48,S48)</f>
        <v>118760.90308316094</v>
      </c>
      <c r="V48" s="142" t="s">
        <v>12</v>
      </c>
    </row>
    <row r="49" spans="1:23" x14ac:dyDescent="0.25">
      <c r="A49" s="615"/>
      <c r="B49" s="465" t="s">
        <v>192</v>
      </c>
      <c r="C49" s="107" t="s">
        <v>45</v>
      </c>
      <c r="D49" s="108" t="s">
        <v>46</v>
      </c>
      <c r="E49" s="107" t="s">
        <v>47</v>
      </c>
      <c r="F49" s="107" t="s">
        <v>48</v>
      </c>
      <c r="G49" s="107" t="s">
        <v>49</v>
      </c>
      <c r="H49" s="107" t="s">
        <v>50</v>
      </c>
      <c r="I49" s="159" t="s">
        <v>190</v>
      </c>
      <c r="J49" s="350" t="s">
        <v>74</v>
      </c>
      <c r="K49" s="351"/>
      <c r="L49" s="352"/>
      <c r="M49" s="356"/>
      <c r="N49" s="110"/>
      <c r="O49" s="108"/>
      <c r="P49" s="111"/>
      <c r="Q49" s="351"/>
      <c r="R49" s="352"/>
      <c r="S49" s="356"/>
      <c r="T49" s="134"/>
      <c r="U49" s="136"/>
      <c r="V49" s="138"/>
    </row>
    <row r="50" spans="1:23" x14ac:dyDescent="0.25">
      <c r="B50" s="566" t="s">
        <v>4</v>
      </c>
      <c r="C50" s="21">
        <v>0</v>
      </c>
      <c r="D50" s="21">
        <v>0</v>
      </c>
      <c r="E50" s="21">
        <v>0</v>
      </c>
      <c r="F50" s="21">
        <v>5</v>
      </c>
      <c r="G50" s="21">
        <v>0</v>
      </c>
      <c r="H50" s="21">
        <v>0</v>
      </c>
      <c r="I50" s="693"/>
      <c r="J50" s="52">
        <f>SUM(C50:I50)</f>
        <v>5</v>
      </c>
      <c r="K50" s="263" t="s">
        <v>12</v>
      </c>
      <c r="L50" s="281">
        <f>J50*$M$4</f>
        <v>215</v>
      </c>
      <c r="M50" s="289">
        <f>L50</f>
        <v>215</v>
      </c>
      <c r="N50" s="58" t="s">
        <v>12</v>
      </c>
      <c r="O50" s="69">
        <f>$J$50*$P$4</f>
        <v>215</v>
      </c>
      <c r="P50" s="68">
        <f>O50</f>
        <v>215</v>
      </c>
      <c r="Q50" s="263" t="s">
        <v>12</v>
      </c>
      <c r="R50" s="281">
        <f>$J$50*$S$4</f>
        <v>215</v>
      </c>
      <c r="S50" s="289">
        <f>R50</f>
        <v>215</v>
      </c>
      <c r="T50" s="121">
        <f>AVERAGE(M50,P50,S50)</f>
        <v>215</v>
      </c>
      <c r="U50" s="119" t="s">
        <v>12</v>
      </c>
      <c r="V50" s="140" t="s">
        <v>12</v>
      </c>
    </row>
    <row r="51" spans="1:23" s="1" customFormat="1" ht="13.8" thickBot="1" x14ac:dyDescent="0.3">
      <c r="B51" s="715" t="s">
        <v>8</v>
      </c>
      <c r="C51" s="712">
        <f>ROUND(C50*Labor!$D$3,0)</f>
        <v>0</v>
      </c>
      <c r="D51" s="219">
        <f>ROUND(D50*Labor!$D$4,0)</f>
        <v>0</v>
      </c>
      <c r="E51" s="219">
        <f>ROUND(E50*Labor!$D$5,0)</f>
        <v>0</v>
      </c>
      <c r="F51" s="219">
        <f>ROUND(F50*Labor!$D$6,0)</f>
        <v>246</v>
      </c>
      <c r="G51" s="219">
        <f>ROUND(G50*Labor!$D$7,0)</f>
        <v>0</v>
      </c>
      <c r="H51" s="219">
        <f>ROUND(H50*Labor!$D$8,0)</f>
        <v>0</v>
      </c>
      <c r="I51" s="713"/>
      <c r="J51" s="209">
        <f>SUM(C51:I51)</f>
        <v>246</v>
      </c>
      <c r="K51" s="339">
        <f>HLOOKUP(Labor!$B$11,InflationTable,2)*J51</f>
        <v>332.29725476542779</v>
      </c>
      <c r="L51" s="296">
        <f>K51*$M$4</f>
        <v>14288.781954913395</v>
      </c>
      <c r="M51" s="297">
        <f>L51</f>
        <v>14288.781954913395</v>
      </c>
      <c r="N51" s="376">
        <f>HLOOKUP(Labor!$B$11,InflationTable,3)*$J$51</f>
        <v>341.37317051785283</v>
      </c>
      <c r="O51" s="377">
        <f>N51*$P$4</f>
        <v>14679.046332267671</v>
      </c>
      <c r="P51" s="378">
        <f>O51</f>
        <v>14679.046332267671</v>
      </c>
      <c r="Q51" s="332">
        <f>HLOOKUP(Labor!$B$11,InflationTable,4)*$J$51</f>
        <v>345.46383605826321</v>
      </c>
      <c r="R51" s="296">
        <f>Q51*$P$4</f>
        <v>14854.944950505318</v>
      </c>
      <c r="S51" s="297">
        <f>R51</f>
        <v>14854.944950505318</v>
      </c>
      <c r="T51" s="211">
        <f>AVERAGE(M51,P51,S51)</f>
        <v>14607.591079228796</v>
      </c>
      <c r="U51" s="218" t="s">
        <v>12</v>
      </c>
      <c r="V51" s="392" t="s">
        <v>12</v>
      </c>
    </row>
    <row r="52" spans="1:23" x14ac:dyDescent="0.25">
      <c r="B52" s="560" t="s">
        <v>66</v>
      </c>
      <c r="C52" s="36">
        <f>C50</f>
        <v>0</v>
      </c>
      <c r="D52" s="36">
        <f t="shared" ref="D52:J52" si="16">D50</f>
        <v>0</v>
      </c>
      <c r="E52" s="36">
        <f t="shared" si="16"/>
        <v>0</v>
      </c>
      <c r="F52" s="36">
        <f t="shared" si="16"/>
        <v>5</v>
      </c>
      <c r="G52" s="36">
        <f t="shared" si="16"/>
        <v>0</v>
      </c>
      <c r="H52" s="36">
        <f t="shared" si="16"/>
        <v>0</v>
      </c>
      <c r="I52" s="36">
        <f t="shared" si="16"/>
        <v>0</v>
      </c>
      <c r="J52" s="36">
        <f t="shared" si="16"/>
        <v>5</v>
      </c>
      <c r="K52" s="36" t="str">
        <f t="shared" ref="K52:S52" si="17">K50</f>
        <v>NA</v>
      </c>
      <c r="L52" s="36">
        <f t="shared" si="17"/>
        <v>215</v>
      </c>
      <c r="M52" s="36">
        <f t="shared" si="17"/>
        <v>215</v>
      </c>
      <c r="N52" s="36" t="str">
        <f t="shared" si="17"/>
        <v>NA</v>
      </c>
      <c r="O52" s="36">
        <f t="shared" si="17"/>
        <v>215</v>
      </c>
      <c r="P52" s="36">
        <f t="shared" si="17"/>
        <v>215</v>
      </c>
      <c r="Q52" s="36" t="str">
        <f t="shared" si="17"/>
        <v>NA</v>
      </c>
      <c r="R52" s="36">
        <f t="shared" si="17"/>
        <v>215</v>
      </c>
      <c r="S52" s="36">
        <f t="shared" si="17"/>
        <v>215</v>
      </c>
      <c r="T52" s="121">
        <f>AVERAGE(M52,P52,S52)</f>
        <v>215</v>
      </c>
      <c r="U52" s="136" t="s">
        <v>12</v>
      </c>
      <c r="V52" s="148" t="s">
        <v>12</v>
      </c>
    </row>
    <row r="53" spans="1:23" ht="13.8" thickBot="1" x14ac:dyDescent="0.3">
      <c r="B53" s="561" t="s">
        <v>67</v>
      </c>
      <c r="C53" s="240">
        <f>C51</f>
        <v>0</v>
      </c>
      <c r="D53" s="240">
        <f t="shared" ref="D53:J53" si="18">D51</f>
        <v>0</v>
      </c>
      <c r="E53" s="240">
        <f t="shared" si="18"/>
        <v>0</v>
      </c>
      <c r="F53" s="240">
        <f t="shared" si="18"/>
        <v>246</v>
      </c>
      <c r="G53" s="240">
        <f t="shared" si="18"/>
        <v>0</v>
      </c>
      <c r="H53" s="240">
        <f t="shared" si="18"/>
        <v>0</v>
      </c>
      <c r="I53" s="240">
        <f t="shared" si="18"/>
        <v>0</v>
      </c>
      <c r="J53" s="240">
        <f t="shared" si="18"/>
        <v>246</v>
      </c>
      <c r="K53" s="240">
        <f t="shared" ref="K53:S53" si="19">K51</f>
        <v>332.29725476542779</v>
      </c>
      <c r="L53" s="240">
        <f t="shared" si="19"/>
        <v>14288.781954913395</v>
      </c>
      <c r="M53" s="240">
        <f t="shared" si="19"/>
        <v>14288.781954913395</v>
      </c>
      <c r="N53" s="240">
        <f t="shared" si="19"/>
        <v>341.37317051785283</v>
      </c>
      <c r="O53" s="240">
        <f t="shared" si="19"/>
        <v>14679.046332267671</v>
      </c>
      <c r="P53" s="240">
        <f t="shared" si="19"/>
        <v>14679.046332267671</v>
      </c>
      <c r="Q53" s="240">
        <f t="shared" si="19"/>
        <v>345.46383605826321</v>
      </c>
      <c r="R53" s="240">
        <f t="shared" si="19"/>
        <v>14854.944950505318</v>
      </c>
      <c r="S53" s="240">
        <f t="shared" si="19"/>
        <v>14854.944950505318</v>
      </c>
      <c r="T53" s="257">
        <f>T51</f>
        <v>14607.591079228796</v>
      </c>
      <c r="U53" s="251">
        <f>U48</f>
        <v>118760.90308316094</v>
      </c>
      <c r="V53" s="224" t="s">
        <v>12</v>
      </c>
    </row>
    <row r="54" spans="1:23" ht="14.4" thickTop="1" thickBot="1" x14ac:dyDescent="0.3">
      <c r="B54" s="555"/>
      <c r="C54" s="618"/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20"/>
    </row>
    <row r="55" spans="1:23" ht="16.2" thickTop="1" x14ac:dyDescent="0.3">
      <c r="B55" s="652" t="s">
        <v>26</v>
      </c>
      <c r="C55" s="5"/>
      <c r="D55" s="5"/>
      <c r="E55" s="5"/>
      <c r="F55" s="112" t="s">
        <v>6</v>
      </c>
      <c r="G55" s="1415"/>
      <c r="H55" s="1416"/>
      <c r="I55" s="1416"/>
      <c r="J55" s="1417"/>
      <c r="K55" s="181" t="s">
        <v>26</v>
      </c>
      <c r="L55" s="426"/>
      <c r="M55" s="67"/>
      <c r="N55" s="245" t="s">
        <v>26</v>
      </c>
      <c r="O55" s="426"/>
      <c r="P55" s="426"/>
      <c r="Q55" s="245" t="s">
        <v>26</v>
      </c>
      <c r="R55" s="426"/>
      <c r="S55" s="67"/>
      <c r="T55" s="225"/>
      <c r="U55" s="37"/>
      <c r="V55" s="138"/>
    </row>
    <row r="56" spans="1:23" x14ac:dyDescent="0.25">
      <c r="B56" s="555"/>
      <c r="C56" s="5"/>
      <c r="D56" s="5"/>
      <c r="E56" s="5"/>
      <c r="F56" s="7"/>
      <c r="G56" s="5"/>
      <c r="H56" s="5"/>
      <c r="I56" s="5"/>
      <c r="J56" s="45" t="s">
        <v>61</v>
      </c>
      <c r="K56" s="277" t="s">
        <v>61</v>
      </c>
      <c r="L56" s="1422" t="s">
        <v>57</v>
      </c>
      <c r="M56" s="1423"/>
      <c r="N56" s="57" t="s">
        <v>61</v>
      </c>
      <c r="O56" s="1432" t="s">
        <v>57</v>
      </c>
      <c r="P56" s="1433"/>
      <c r="Q56" s="277" t="s">
        <v>61</v>
      </c>
      <c r="R56" s="1422" t="s">
        <v>57</v>
      </c>
      <c r="S56" s="1423"/>
      <c r="T56" s="131"/>
      <c r="U56" s="37"/>
      <c r="V56" s="138"/>
    </row>
    <row r="57" spans="1:23" x14ac:dyDescent="0.25">
      <c r="B57" s="563" t="s">
        <v>193</v>
      </c>
      <c r="C57" s="23" t="s">
        <v>45</v>
      </c>
      <c r="D57" s="24" t="s">
        <v>46</v>
      </c>
      <c r="E57" s="23" t="s">
        <v>47</v>
      </c>
      <c r="F57" s="23" t="s">
        <v>48</v>
      </c>
      <c r="G57" s="23" t="s">
        <v>49</v>
      </c>
      <c r="H57" s="23" t="s">
        <v>50</v>
      </c>
      <c r="I57" s="23" t="s">
        <v>190</v>
      </c>
      <c r="J57" s="45" t="s">
        <v>13</v>
      </c>
      <c r="K57" s="260" t="s">
        <v>56</v>
      </c>
      <c r="L57" s="261" t="s">
        <v>13</v>
      </c>
      <c r="M57" s="262" t="s">
        <v>68</v>
      </c>
      <c r="N57" s="77" t="s">
        <v>56</v>
      </c>
      <c r="O57" s="24" t="s">
        <v>13</v>
      </c>
      <c r="P57" s="38" t="s">
        <v>68</v>
      </c>
      <c r="Q57" s="260" t="s">
        <v>56</v>
      </c>
      <c r="R57" s="261" t="s">
        <v>13</v>
      </c>
      <c r="S57" s="262" t="s">
        <v>68</v>
      </c>
      <c r="T57" s="123"/>
      <c r="U57" s="37"/>
      <c r="V57" s="138"/>
    </row>
    <row r="58" spans="1:23" x14ac:dyDescent="0.25">
      <c r="B58" s="566" t="s">
        <v>4</v>
      </c>
      <c r="C58" s="21">
        <v>0</v>
      </c>
      <c r="D58" s="21">
        <v>0</v>
      </c>
      <c r="E58" s="21">
        <v>3</v>
      </c>
      <c r="F58" s="21">
        <v>3</v>
      </c>
      <c r="G58" s="21">
        <v>0</v>
      </c>
      <c r="H58" s="21">
        <v>0</v>
      </c>
      <c r="I58" s="693"/>
      <c r="J58" s="52">
        <f>SUM(C58:H58)</f>
        <v>6</v>
      </c>
      <c r="K58" s="263" t="s">
        <v>12</v>
      </c>
      <c r="L58" s="281">
        <f>J58*$M$4</f>
        <v>258</v>
      </c>
      <c r="M58" s="289">
        <f>L58</f>
        <v>258</v>
      </c>
      <c r="N58" s="58" t="s">
        <v>12</v>
      </c>
      <c r="O58" s="69">
        <f>$J$58*$P$4</f>
        <v>258</v>
      </c>
      <c r="P58" s="68">
        <f>O58</f>
        <v>258</v>
      </c>
      <c r="Q58" s="263" t="s">
        <v>12</v>
      </c>
      <c r="R58" s="281">
        <f>$J$58*$S$4</f>
        <v>258</v>
      </c>
      <c r="S58" s="289">
        <f>R58</f>
        <v>258</v>
      </c>
      <c r="T58" s="121">
        <f t="shared" ref="T58:T63" si="20">AVERAGE(M58,P58,S58)</f>
        <v>258</v>
      </c>
      <c r="U58" s="119" t="s">
        <v>12</v>
      </c>
      <c r="V58" s="140" t="s">
        <v>12</v>
      </c>
    </row>
    <row r="59" spans="1:23" s="1" customFormat="1" ht="13.8" thickBot="1" x14ac:dyDescent="0.3">
      <c r="B59" s="715" t="s">
        <v>8</v>
      </c>
      <c r="C59" s="712">
        <f>ROUND(C58*Labor!$D$3,0)</f>
        <v>0</v>
      </c>
      <c r="D59" s="219">
        <f>ROUND(D58*Labor!$D$4,0)</f>
        <v>0</v>
      </c>
      <c r="E59" s="219">
        <f>ROUND(E58*Labor!$D$5,0)</f>
        <v>132</v>
      </c>
      <c r="F59" s="219">
        <f>ROUND(F58*Labor!$D$6,0)</f>
        <v>148</v>
      </c>
      <c r="G59" s="219">
        <f>ROUND(G58*Labor!$D$7,0)</f>
        <v>0</v>
      </c>
      <c r="H59" s="219">
        <f>ROUND(H58*Labor!$D$8,0)</f>
        <v>0</v>
      </c>
      <c r="I59" s="713"/>
      <c r="J59" s="209">
        <f>SUM(C59:H59)</f>
        <v>280</v>
      </c>
      <c r="K59" s="332">
        <f>HLOOKUP(Labor!$B$11,InflationTable,2)*J59</f>
        <v>378.22451761918614</v>
      </c>
      <c r="L59" s="296">
        <f>K59*$M$4</f>
        <v>16263.654257625005</v>
      </c>
      <c r="M59" s="297">
        <f>L59</f>
        <v>16263.654257625005</v>
      </c>
      <c r="N59" s="376">
        <f>HLOOKUP(Labor!$B$11,InflationTable,3)*$J$59</f>
        <v>388.5548282317024</v>
      </c>
      <c r="O59" s="377">
        <f>N59*$M$4</f>
        <v>16707.857613963202</v>
      </c>
      <c r="P59" s="378">
        <f>O59</f>
        <v>16707.857613963202</v>
      </c>
      <c r="Q59" s="332">
        <f>HLOOKUP(Labor!$B$11,InflationTable,4)*$J$59</f>
        <v>393.2108703102183</v>
      </c>
      <c r="R59" s="296">
        <f>Q59*$S$4</f>
        <v>16908.067423339387</v>
      </c>
      <c r="S59" s="297">
        <f>R59</f>
        <v>16908.067423339387</v>
      </c>
      <c r="T59" s="211">
        <f t="shared" si="20"/>
        <v>16626.526431642531</v>
      </c>
      <c r="U59" s="218" t="s">
        <v>12</v>
      </c>
      <c r="V59" s="392" t="s">
        <v>12</v>
      </c>
    </row>
    <row r="60" spans="1:23" x14ac:dyDescent="0.25">
      <c r="B60" s="559" t="s">
        <v>115</v>
      </c>
      <c r="C60" s="346">
        <v>0</v>
      </c>
      <c r="D60" s="346">
        <v>0</v>
      </c>
      <c r="E60" s="346">
        <v>0</v>
      </c>
      <c r="F60" s="346">
        <v>4</v>
      </c>
      <c r="G60" s="346">
        <v>0</v>
      </c>
      <c r="H60" s="346">
        <v>0</v>
      </c>
      <c r="I60" s="694"/>
      <c r="J60" s="347">
        <f>SUM(C60:H60)</f>
        <v>4</v>
      </c>
      <c r="K60" s="293" t="s">
        <v>12</v>
      </c>
      <c r="L60" s="327">
        <f>J60*$M$4</f>
        <v>172</v>
      </c>
      <c r="M60" s="328">
        <f>L60</f>
        <v>172</v>
      </c>
      <c r="N60" s="61" t="s">
        <v>12</v>
      </c>
      <c r="O60" s="348">
        <f>$J$60*$P$4</f>
        <v>172</v>
      </c>
      <c r="P60" s="349">
        <f>O60</f>
        <v>172</v>
      </c>
      <c r="Q60" s="293" t="s">
        <v>12</v>
      </c>
      <c r="R60" s="327">
        <f>$J$60*$S$4</f>
        <v>172</v>
      </c>
      <c r="S60" s="328">
        <f>R60</f>
        <v>172</v>
      </c>
      <c r="T60" s="129">
        <f t="shared" si="20"/>
        <v>172</v>
      </c>
      <c r="U60" s="136" t="s">
        <v>12</v>
      </c>
      <c r="V60" s="147" t="s">
        <v>12</v>
      </c>
    </row>
    <row r="61" spans="1:23" s="1" customFormat="1" ht="13.8" thickBot="1" x14ac:dyDescent="0.3">
      <c r="B61" s="715" t="s">
        <v>8</v>
      </c>
      <c r="C61" s="712">
        <f>ROUND(C60*Labor!$D$3,0)</f>
        <v>0</v>
      </c>
      <c r="D61" s="219">
        <f>ROUND(D60*Labor!$D$4,0)</f>
        <v>0</v>
      </c>
      <c r="E61" s="219">
        <f>ROUND(E60*Labor!$D$5,0)</f>
        <v>0</v>
      </c>
      <c r="F61" s="219">
        <f>ROUND(F60*Labor!$D$6,0)</f>
        <v>197</v>
      </c>
      <c r="G61" s="219">
        <f>ROUND(G60*Labor!$D$7,0)</f>
        <v>0</v>
      </c>
      <c r="H61" s="219">
        <f>ROUND(H60*Labor!$D$8,0)</f>
        <v>0</v>
      </c>
      <c r="I61" s="713"/>
      <c r="J61" s="209">
        <f>SUM(C61:H61)</f>
        <v>197</v>
      </c>
      <c r="K61" s="339">
        <f>HLOOKUP(Labor!$B$11,InflationTable,2)*J61</f>
        <v>266.10796418207025</v>
      </c>
      <c r="L61" s="296">
        <f>K61*$M$4</f>
        <v>11442.642459829021</v>
      </c>
      <c r="M61" s="297">
        <f>L61</f>
        <v>11442.642459829021</v>
      </c>
      <c r="N61" s="376">
        <f>HLOOKUP(Labor!$B$11,InflationTable,3)*$J$61</f>
        <v>273.3760755773049</v>
      </c>
      <c r="O61" s="377">
        <f>N61*$P$4</f>
        <v>11755.17124982411</v>
      </c>
      <c r="P61" s="378">
        <f>O61</f>
        <v>11755.17124982411</v>
      </c>
      <c r="Q61" s="332">
        <f>HLOOKUP(Labor!$B$11,InflationTable,4)*$J$61</f>
        <v>276.65193375397502</v>
      </c>
      <c r="R61" s="296">
        <f>Q61*$S$4</f>
        <v>11896.033151420927</v>
      </c>
      <c r="S61" s="297">
        <f>R61</f>
        <v>11896.033151420927</v>
      </c>
      <c r="T61" s="211">
        <f t="shared" si="20"/>
        <v>11697.948953691353</v>
      </c>
      <c r="U61" s="218" t="s">
        <v>12</v>
      </c>
      <c r="V61" s="392" t="s">
        <v>12</v>
      </c>
    </row>
    <row r="62" spans="1:23" x14ac:dyDescent="0.25">
      <c r="B62" s="560" t="s">
        <v>66</v>
      </c>
      <c r="C62" s="36">
        <f>C58+C60</f>
        <v>0</v>
      </c>
      <c r="D62" s="36">
        <f t="shared" ref="D62:I62" si="21">D58+D60</f>
        <v>0</v>
      </c>
      <c r="E62" s="36">
        <f t="shared" si="21"/>
        <v>3</v>
      </c>
      <c r="F62" s="36">
        <f t="shared" si="21"/>
        <v>7</v>
      </c>
      <c r="G62" s="36">
        <f t="shared" si="21"/>
        <v>0</v>
      </c>
      <c r="H62" s="36">
        <f t="shared" si="21"/>
        <v>0</v>
      </c>
      <c r="I62" s="36">
        <f t="shared" si="21"/>
        <v>0</v>
      </c>
      <c r="J62" s="36">
        <f>J58+J60</f>
        <v>10</v>
      </c>
      <c r="K62" s="293" t="s">
        <v>12</v>
      </c>
      <c r="L62" s="320">
        <f>L58+L60</f>
        <v>430</v>
      </c>
      <c r="M62" s="320">
        <f>M58+M60</f>
        <v>430</v>
      </c>
      <c r="N62" s="61" t="s">
        <v>12</v>
      </c>
      <c r="O62" s="36">
        <f>O58+O60</f>
        <v>430</v>
      </c>
      <c r="P62" s="36">
        <f>P58+P60</f>
        <v>430</v>
      </c>
      <c r="Q62" s="293" t="s">
        <v>12</v>
      </c>
      <c r="R62" s="320">
        <f>R58+R60</f>
        <v>430</v>
      </c>
      <c r="S62" s="320">
        <f>S58+S60</f>
        <v>430</v>
      </c>
      <c r="T62" s="129">
        <f t="shared" si="20"/>
        <v>430</v>
      </c>
      <c r="U62" s="136" t="s">
        <v>12</v>
      </c>
      <c r="V62" s="147" t="s">
        <v>12</v>
      </c>
    </row>
    <row r="63" spans="1:23" ht="13.8" thickBot="1" x14ac:dyDescent="0.3">
      <c r="B63" s="561" t="s">
        <v>67</v>
      </c>
      <c r="C63" s="710">
        <f>C59+C61</f>
        <v>0</v>
      </c>
      <c r="D63" s="710">
        <f t="shared" ref="D63:I63" si="22">D59+D61</f>
        <v>0</v>
      </c>
      <c r="E63" s="710">
        <f t="shared" si="22"/>
        <v>132</v>
      </c>
      <c r="F63" s="710">
        <f t="shared" si="22"/>
        <v>345</v>
      </c>
      <c r="G63" s="710">
        <f t="shared" si="22"/>
        <v>0</v>
      </c>
      <c r="H63" s="710">
        <f t="shared" si="22"/>
        <v>0</v>
      </c>
      <c r="I63" s="240">
        <f t="shared" si="22"/>
        <v>0</v>
      </c>
      <c r="J63" s="240">
        <f>J59+J61</f>
        <v>477</v>
      </c>
      <c r="K63" s="275">
        <f>K59+K61</f>
        <v>644.33248180125634</v>
      </c>
      <c r="L63" s="275">
        <f>L59+L61</f>
        <v>27706.296717454024</v>
      </c>
      <c r="M63" s="275">
        <f>M59+M61</f>
        <v>27706.296717454024</v>
      </c>
      <c r="N63" s="240">
        <f>N59+N61</f>
        <v>661.9309038090073</v>
      </c>
      <c r="O63" s="240">
        <f>O59+O61</f>
        <v>28463.028863787313</v>
      </c>
      <c r="P63" s="240">
        <f>P59+P61</f>
        <v>28463.028863787313</v>
      </c>
      <c r="Q63" s="275">
        <f>Q59+Q61</f>
        <v>669.86280406419337</v>
      </c>
      <c r="R63" s="275">
        <f>R59+R61</f>
        <v>28804.100574760312</v>
      </c>
      <c r="S63" s="711">
        <f>S59+S61</f>
        <v>28804.100574760312</v>
      </c>
      <c r="T63" s="255">
        <f t="shared" si="20"/>
        <v>28324.475385333888</v>
      </c>
      <c r="U63" s="249" t="s">
        <v>12</v>
      </c>
      <c r="V63" s="224" t="s">
        <v>12</v>
      </c>
    </row>
    <row r="64" spans="1:23" ht="13.8" thickTop="1" x14ac:dyDescent="0.25">
      <c r="B64" s="624"/>
      <c r="C64" s="621"/>
      <c r="D64" s="621"/>
      <c r="E64" s="621"/>
      <c r="F64" s="621"/>
      <c r="G64" s="621"/>
      <c r="H64" s="621"/>
      <c r="I64" s="622"/>
      <c r="J64" s="622"/>
      <c r="K64" s="622"/>
      <c r="L64" s="622"/>
      <c r="M64" s="622"/>
      <c r="N64" s="622"/>
      <c r="O64" s="622"/>
      <c r="P64" s="622"/>
      <c r="Q64" s="622"/>
      <c r="R64" s="622"/>
      <c r="S64" s="621"/>
      <c r="T64" s="625"/>
      <c r="U64" s="626"/>
      <c r="V64" s="627"/>
      <c r="W64" s="5"/>
    </row>
    <row r="65" spans="2:23" ht="13.8" thickBot="1" x14ac:dyDescent="0.3"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5"/>
    </row>
    <row r="66" spans="2:23" ht="28.2" thickTop="1" thickBot="1" x14ac:dyDescent="0.35">
      <c r="B66" s="652" t="s">
        <v>28</v>
      </c>
      <c r="C66" s="5"/>
      <c r="D66" s="5"/>
      <c r="E66" s="5"/>
      <c r="F66" s="112" t="s">
        <v>6</v>
      </c>
      <c r="G66" s="1415"/>
      <c r="H66" s="1416"/>
      <c r="I66" s="1416"/>
      <c r="J66" s="1417"/>
      <c r="K66" s="181" t="s">
        <v>28</v>
      </c>
      <c r="L66" s="426"/>
      <c r="M66" s="67"/>
      <c r="N66" s="181" t="s">
        <v>28</v>
      </c>
      <c r="O66" s="426"/>
      <c r="P66" s="67"/>
      <c r="Q66" s="181" t="s">
        <v>28</v>
      </c>
      <c r="R66" s="426"/>
      <c r="S66" s="67"/>
      <c r="T66" s="546" t="s">
        <v>17</v>
      </c>
      <c r="U66" s="547" t="s">
        <v>103</v>
      </c>
      <c r="V66" s="628" t="s">
        <v>79</v>
      </c>
    </row>
    <row r="67" spans="2:23" x14ac:dyDescent="0.25">
      <c r="B67" s="555"/>
      <c r="C67" s="5"/>
      <c r="D67" s="5"/>
      <c r="E67" s="5"/>
      <c r="F67" s="7"/>
      <c r="G67" s="5"/>
      <c r="H67" s="5"/>
      <c r="I67" s="5"/>
      <c r="J67" s="45" t="s">
        <v>61</v>
      </c>
      <c r="K67" s="277" t="s">
        <v>61</v>
      </c>
      <c r="L67" s="1422" t="s">
        <v>57</v>
      </c>
      <c r="M67" s="1423"/>
      <c r="N67" s="57" t="s">
        <v>61</v>
      </c>
      <c r="O67" s="1432" t="s">
        <v>57</v>
      </c>
      <c r="P67" s="1436"/>
      <c r="Q67" s="318" t="s">
        <v>61</v>
      </c>
      <c r="R67" s="1422" t="s">
        <v>57</v>
      </c>
      <c r="S67" s="1423"/>
      <c r="T67" s="170"/>
      <c r="U67" s="133"/>
      <c r="V67" s="37"/>
    </row>
    <row r="68" spans="2:23" x14ac:dyDescent="0.25">
      <c r="B68" s="557"/>
      <c r="C68" s="23" t="s">
        <v>45</v>
      </c>
      <c r="D68" s="24" t="s">
        <v>46</v>
      </c>
      <c r="E68" s="23" t="s">
        <v>47</v>
      </c>
      <c r="F68" s="23" t="s">
        <v>48</v>
      </c>
      <c r="G68" s="23" t="s">
        <v>49</v>
      </c>
      <c r="H68" s="23" t="s">
        <v>50</v>
      </c>
      <c r="I68" s="23" t="s">
        <v>190</v>
      </c>
      <c r="J68" s="45" t="s">
        <v>13</v>
      </c>
      <c r="K68" s="260" t="s">
        <v>56</v>
      </c>
      <c r="L68" s="261" t="s">
        <v>13</v>
      </c>
      <c r="M68" s="262" t="s">
        <v>68</v>
      </c>
      <c r="N68" s="77" t="s">
        <v>56</v>
      </c>
      <c r="O68" s="24" t="s">
        <v>13</v>
      </c>
      <c r="P68" s="38" t="s">
        <v>68</v>
      </c>
      <c r="Q68" s="260" t="s">
        <v>56</v>
      </c>
      <c r="R68" s="261" t="s">
        <v>13</v>
      </c>
      <c r="S68" s="262" t="s">
        <v>68</v>
      </c>
      <c r="T68" s="120"/>
      <c r="U68" s="133"/>
      <c r="V68" s="37"/>
    </row>
    <row r="69" spans="2:23" x14ac:dyDescent="0.25">
      <c r="B69" s="557" t="s">
        <v>111</v>
      </c>
      <c r="C69" s="21">
        <v>0</v>
      </c>
      <c r="D69" s="21">
        <v>0</v>
      </c>
      <c r="E69" s="21">
        <v>0</v>
      </c>
      <c r="F69" s="21">
        <v>18</v>
      </c>
      <c r="G69" s="21">
        <v>18</v>
      </c>
      <c r="H69" s="21">
        <v>0</v>
      </c>
      <c r="I69" s="693"/>
      <c r="J69" s="52">
        <f>SUM(C69:H69)</f>
        <v>36</v>
      </c>
      <c r="K69" s="263" t="s">
        <v>12</v>
      </c>
      <c r="L69" s="281">
        <f>J69*$M$4</f>
        <v>1548</v>
      </c>
      <c r="M69" s="289">
        <f>L69</f>
        <v>1548</v>
      </c>
      <c r="N69" s="58" t="s">
        <v>12</v>
      </c>
      <c r="O69" s="69">
        <f>$J$69*$P$4</f>
        <v>1548</v>
      </c>
      <c r="P69" s="68">
        <f>O69</f>
        <v>1548</v>
      </c>
      <c r="Q69" s="263" t="s">
        <v>12</v>
      </c>
      <c r="R69" s="281">
        <f>$J$69*$P$4</f>
        <v>1548</v>
      </c>
      <c r="S69" s="289">
        <f>R69</f>
        <v>1548</v>
      </c>
      <c r="T69" s="121">
        <f>AVERAGE(M69,P69,S69)</f>
        <v>1548</v>
      </c>
      <c r="U69" s="135" t="s">
        <v>12</v>
      </c>
      <c r="V69" s="136" t="s">
        <v>12</v>
      </c>
    </row>
    <row r="70" spans="2:23" s="1" customFormat="1" ht="13.8" thickBot="1" x14ac:dyDescent="0.3">
      <c r="B70" s="714" t="s">
        <v>8</v>
      </c>
      <c r="C70" s="712">
        <f>ROUND(C69*Labor!$D$3,0)</f>
        <v>0</v>
      </c>
      <c r="D70" s="219">
        <f>ROUND(D69*Labor!$D$4,0)</f>
        <v>0</v>
      </c>
      <c r="E70" s="219">
        <f>ROUND(E69*Labor!$D$5,0)</f>
        <v>0</v>
      </c>
      <c r="F70" s="219">
        <f>ROUND(F69*Labor!$D$6,0)</f>
        <v>887</v>
      </c>
      <c r="G70" s="219">
        <f>ROUND(G69*Labor!$D$7,0)</f>
        <v>998</v>
      </c>
      <c r="H70" s="219">
        <f>ROUND(H69*Labor!$D$8,0)</f>
        <v>0</v>
      </c>
      <c r="I70" s="713"/>
      <c r="J70" s="209">
        <f>SUM(C70:H70)</f>
        <v>1885</v>
      </c>
      <c r="K70" s="332">
        <f>HLOOKUP(Labor!$B$11,InflationTable,2)*J70</f>
        <v>2546.2614846863066</v>
      </c>
      <c r="L70" s="296">
        <f>K70*$M$4</f>
        <v>109489.24384151118</v>
      </c>
      <c r="M70" s="297">
        <f>L70</f>
        <v>109489.24384151118</v>
      </c>
      <c r="N70" s="450">
        <f>HLOOKUP(Labor!$B$11,InflationTable,3)*$J$70</f>
        <v>2615.806611488425</v>
      </c>
      <c r="O70" s="377">
        <f>N70*$P$4</f>
        <v>112479.68429400228</v>
      </c>
      <c r="P70" s="378">
        <f>O70</f>
        <v>112479.68429400228</v>
      </c>
      <c r="Q70" s="332">
        <f>HLOOKUP(Labor!$B$11,InflationTable,4)*$J70</f>
        <v>2647.1517519098625</v>
      </c>
      <c r="R70" s="296">
        <f>Q70*$S$4</f>
        <v>113827.52533212409</v>
      </c>
      <c r="S70" s="297">
        <f>R70</f>
        <v>113827.52533212409</v>
      </c>
      <c r="T70" s="211">
        <f>AVERAGE(M70,P70,S70)</f>
        <v>111932.15115587918</v>
      </c>
      <c r="U70" s="393" t="s">
        <v>12</v>
      </c>
      <c r="V70" s="218" t="s">
        <v>12</v>
      </c>
    </row>
    <row r="71" spans="2:23" x14ac:dyDescent="0.25">
      <c r="B71" s="559" t="s">
        <v>110</v>
      </c>
      <c r="C71" s="346">
        <v>0</v>
      </c>
      <c r="D71" s="346">
        <v>0</v>
      </c>
      <c r="E71" s="346">
        <v>18</v>
      </c>
      <c r="F71" s="346">
        <v>12</v>
      </c>
      <c r="G71" s="346">
        <v>0</v>
      </c>
      <c r="H71" s="346">
        <v>0</v>
      </c>
      <c r="I71" s="694"/>
      <c r="J71" s="347">
        <f>SUM(C71:H71)</f>
        <v>30</v>
      </c>
      <c r="K71" s="293" t="s">
        <v>12</v>
      </c>
      <c r="L71" s="327">
        <f>J71*$M$4</f>
        <v>1290</v>
      </c>
      <c r="M71" s="328">
        <f>L71</f>
        <v>1290</v>
      </c>
      <c r="N71" s="61" t="s">
        <v>12</v>
      </c>
      <c r="O71" s="348">
        <f>$J$71*$P$4</f>
        <v>1290</v>
      </c>
      <c r="P71" s="349">
        <f>O71</f>
        <v>1290</v>
      </c>
      <c r="Q71" s="293" t="s">
        <v>12</v>
      </c>
      <c r="R71" s="327">
        <f>$J$71*$P$4</f>
        <v>1290</v>
      </c>
      <c r="S71" s="328">
        <f>R71</f>
        <v>1290</v>
      </c>
      <c r="T71" s="129">
        <f>AVERAGE(M71,P71,S71)</f>
        <v>1290</v>
      </c>
      <c r="U71" s="135" t="s">
        <v>12</v>
      </c>
      <c r="V71" s="136" t="s">
        <v>12</v>
      </c>
    </row>
    <row r="72" spans="2:23" s="1" customFormat="1" ht="13.8" thickBot="1" x14ac:dyDescent="0.3">
      <c r="B72" s="714" t="s">
        <v>8</v>
      </c>
      <c r="C72" s="712">
        <f>ROUND(C71*Labor!$D$3,0)</f>
        <v>0</v>
      </c>
      <c r="D72" s="219">
        <f>ROUND(D71*Labor!$D$4,0)</f>
        <v>0</v>
      </c>
      <c r="E72" s="219">
        <f>ROUND(E71*Labor!$D$5,0)</f>
        <v>794</v>
      </c>
      <c r="F72" s="219">
        <f>ROUND(F71*Labor!$D$6,0)</f>
        <v>591</v>
      </c>
      <c r="G72" s="219">
        <f>ROUND(G71*Labor!$D$7,0)</f>
        <v>0</v>
      </c>
      <c r="H72" s="219">
        <f>ROUND(H71*Labor!$D$8,0)</f>
        <v>0</v>
      </c>
      <c r="I72" s="713"/>
      <c r="J72" s="209">
        <f>SUM(C72:H72)</f>
        <v>1385</v>
      </c>
      <c r="K72" s="332">
        <f>HLOOKUP(Labor!$B$11,InflationTable,2)*J72</f>
        <v>1870.8605603663314</v>
      </c>
      <c r="L72" s="296">
        <f>K72*$M$4</f>
        <v>80447.004095752243</v>
      </c>
      <c r="M72" s="297">
        <f>L72</f>
        <v>80447.004095752243</v>
      </c>
      <c r="N72" s="450">
        <f>HLOOKUP(Labor!$B$11,InflationTable,3)*$J$72</f>
        <v>1921.9587039318137</v>
      </c>
      <c r="O72" s="377">
        <f>N72*$P$4</f>
        <v>82644.224269067985</v>
      </c>
      <c r="P72" s="378">
        <f>O72</f>
        <v>82644.224269067985</v>
      </c>
      <c r="Q72" s="332">
        <f>HLOOKUP(Labor!$B$11,InflationTable,4)*$J72</f>
        <v>1944.9894834987583</v>
      </c>
      <c r="R72" s="296">
        <f>Q72*$S$4</f>
        <v>83634.54779044661</v>
      </c>
      <c r="S72" s="297">
        <f>R72</f>
        <v>83634.54779044661</v>
      </c>
      <c r="T72" s="211">
        <f>AVERAGE(M72,P72,S72)</f>
        <v>82241.925385088951</v>
      </c>
      <c r="U72" s="393" t="s">
        <v>12</v>
      </c>
      <c r="V72" s="218" t="s">
        <v>12</v>
      </c>
    </row>
    <row r="73" spans="2:23" x14ac:dyDescent="0.25">
      <c r="B73" s="559" t="s">
        <v>20</v>
      </c>
      <c r="C73" s="107" t="s">
        <v>45</v>
      </c>
      <c r="D73" s="108" t="s">
        <v>46</v>
      </c>
      <c r="E73" s="107" t="s">
        <v>47</v>
      </c>
      <c r="F73" s="107" t="s">
        <v>48</v>
      </c>
      <c r="G73" s="107" t="s">
        <v>49</v>
      </c>
      <c r="H73" s="107" t="s">
        <v>50</v>
      </c>
      <c r="I73" s="159" t="s">
        <v>190</v>
      </c>
      <c r="J73" s="109" t="s">
        <v>13</v>
      </c>
      <c r="K73" s="351"/>
      <c r="L73" s="352"/>
      <c r="M73" s="356"/>
      <c r="N73" s="110" t="s">
        <v>56</v>
      </c>
      <c r="O73" s="108" t="s">
        <v>13</v>
      </c>
      <c r="P73" s="111" t="s">
        <v>68</v>
      </c>
      <c r="Q73" s="351" t="s">
        <v>56</v>
      </c>
      <c r="R73" s="352" t="s">
        <v>13</v>
      </c>
      <c r="S73" s="356" t="s">
        <v>68</v>
      </c>
      <c r="T73" s="123"/>
      <c r="U73" s="133"/>
      <c r="V73" s="37"/>
    </row>
    <row r="74" spans="2:23" x14ac:dyDescent="0.25">
      <c r="B74" s="558" t="s">
        <v>4</v>
      </c>
      <c r="C74" s="21">
        <v>0</v>
      </c>
      <c r="D74" s="21">
        <v>0</v>
      </c>
      <c r="E74" s="21">
        <v>0</v>
      </c>
      <c r="F74" s="21">
        <v>1</v>
      </c>
      <c r="G74" s="21">
        <v>1</v>
      </c>
      <c r="H74" s="21">
        <v>0</v>
      </c>
      <c r="I74" s="693"/>
      <c r="J74" s="52">
        <f t="shared" ref="J74:J79" si="23">SUM(C74:H74)</f>
        <v>2</v>
      </c>
      <c r="K74" s="263" t="s">
        <v>12</v>
      </c>
      <c r="L74" s="281">
        <f>J74*$M$4</f>
        <v>86</v>
      </c>
      <c r="M74" s="289">
        <f t="shared" ref="M74:M79" si="24">L74</f>
        <v>86</v>
      </c>
      <c r="N74" s="58" t="s">
        <v>12</v>
      </c>
      <c r="O74" s="69">
        <f>$J74*$P$4</f>
        <v>86</v>
      </c>
      <c r="P74" s="68">
        <f t="shared" ref="P74:P79" si="25">O74</f>
        <v>86</v>
      </c>
      <c r="Q74" s="263" t="s">
        <v>12</v>
      </c>
      <c r="R74" s="281">
        <f>$J74*$P$4</f>
        <v>86</v>
      </c>
      <c r="S74" s="289">
        <f t="shared" ref="S74:S79" si="26">R74</f>
        <v>86</v>
      </c>
      <c r="T74" s="121">
        <f t="shared" ref="T74:T79" si="27">AVERAGE(M74,P74,S74)</f>
        <v>86</v>
      </c>
      <c r="U74" s="135" t="s">
        <v>12</v>
      </c>
      <c r="V74" s="136" t="s">
        <v>12</v>
      </c>
    </row>
    <row r="75" spans="2:23" s="1" customFormat="1" ht="13.8" thickBot="1" x14ac:dyDescent="0.3">
      <c r="B75" s="714" t="s">
        <v>8</v>
      </c>
      <c r="C75" s="712">
        <f>ROUND(C74*Labor!$D$3,0)</f>
        <v>0</v>
      </c>
      <c r="D75" s="219">
        <f>ROUND(D74*Labor!$D$4,0)</f>
        <v>0</v>
      </c>
      <c r="E75" s="219">
        <f>ROUND(E74*Labor!$D$5,0)</f>
        <v>0</v>
      </c>
      <c r="F75" s="219">
        <f>ROUND(F74*Labor!$D$6,0)</f>
        <v>49</v>
      </c>
      <c r="G75" s="219">
        <f>ROUND(G74*Labor!$D$7,0)</f>
        <v>55</v>
      </c>
      <c r="H75" s="219">
        <f>ROUND(H74*Labor!$D$8,0)</f>
        <v>0</v>
      </c>
      <c r="I75" s="713"/>
      <c r="J75" s="209">
        <f t="shared" si="23"/>
        <v>104</v>
      </c>
      <c r="K75" s="332">
        <f>HLOOKUP(Labor!$B$11,InflationTable,2)*J75</f>
        <v>140.48339225855486</v>
      </c>
      <c r="L75" s="296">
        <f>K75*$M$4</f>
        <v>6040.7858671178592</v>
      </c>
      <c r="M75" s="297">
        <f t="shared" si="24"/>
        <v>6040.7858671178592</v>
      </c>
      <c r="N75" s="450">
        <f>HLOOKUP(Labor!$B$11,InflationTable,3)*$J75</f>
        <v>144.32036477177516</v>
      </c>
      <c r="O75" s="377">
        <f>N75*$P$4</f>
        <v>6205.7756851863323</v>
      </c>
      <c r="P75" s="378">
        <f t="shared" si="25"/>
        <v>6205.7756851863323</v>
      </c>
      <c r="Q75" s="332">
        <f>HLOOKUP(Labor!$B$11,InflationTable,4)*$J75</f>
        <v>146.04975182950966</v>
      </c>
      <c r="R75" s="296">
        <f>Q75*$S$4</f>
        <v>6280.1393286689154</v>
      </c>
      <c r="S75" s="297">
        <f t="shared" si="26"/>
        <v>6280.1393286689154</v>
      </c>
      <c r="T75" s="211">
        <f t="shared" si="27"/>
        <v>6175.5669603243696</v>
      </c>
      <c r="U75" s="393" t="s">
        <v>12</v>
      </c>
      <c r="V75" s="218" t="s">
        <v>12</v>
      </c>
    </row>
    <row r="76" spans="2:23" x14ac:dyDescent="0.25">
      <c r="B76" s="559" t="s">
        <v>109</v>
      </c>
      <c r="C76" s="346">
        <v>0</v>
      </c>
      <c r="D76" s="346">
        <v>1</v>
      </c>
      <c r="E76" s="346">
        <v>1</v>
      </c>
      <c r="F76" s="346">
        <v>2</v>
      </c>
      <c r="G76" s="346">
        <v>1</v>
      </c>
      <c r="H76" s="346">
        <v>0</v>
      </c>
      <c r="I76" s="694"/>
      <c r="J76" s="347">
        <f t="shared" si="23"/>
        <v>5</v>
      </c>
      <c r="K76" s="293" t="s">
        <v>12</v>
      </c>
      <c r="L76" s="327">
        <f>J76*$M$4</f>
        <v>215</v>
      </c>
      <c r="M76" s="328">
        <f t="shared" si="24"/>
        <v>215</v>
      </c>
      <c r="N76" s="61" t="s">
        <v>12</v>
      </c>
      <c r="O76" s="348">
        <f>$J76*$P$4</f>
        <v>215</v>
      </c>
      <c r="P76" s="349">
        <f t="shared" si="25"/>
        <v>215</v>
      </c>
      <c r="Q76" s="293" t="s">
        <v>12</v>
      </c>
      <c r="R76" s="327">
        <f>$J76*$P$4</f>
        <v>215</v>
      </c>
      <c r="S76" s="328">
        <f t="shared" si="26"/>
        <v>215</v>
      </c>
      <c r="T76" s="129">
        <f t="shared" si="27"/>
        <v>215</v>
      </c>
      <c r="U76" s="135" t="s">
        <v>12</v>
      </c>
      <c r="V76" s="136" t="s">
        <v>12</v>
      </c>
    </row>
    <row r="77" spans="2:23" s="1" customFormat="1" ht="13.8" thickBot="1" x14ac:dyDescent="0.3">
      <c r="B77" s="714" t="s">
        <v>8</v>
      </c>
      <c r="C77" s="712">
        <f>ROUND(C76*Labor!$D$3,0)</f>
        <v>0</v>
      </c>
      <c r="D77" s="219">
        <f>ROUND(D76*Labor!$D$4,0)</f>
        <v>41</v>
      </c>
      <c r="E77" s="219">
        <f>ROUND(E76*Labor!$D$5,0)</f>
        <v>44</v>
      </c>
      <c r="F77" s="219">
        <f>ROUND(F76*Labor!$D$6,0)</f>
        <v>99</v>
      </c>
      <c r="G77" s="219">
        <f>ROUND(G76*Labor!$D$7,0)</f>
        <v>55</v>
      </c>
      <c r="H77" s="219">
        <f>ROUND(H76*Labor!$D$8,0)</f>
        <v>0</v>
      </c>
      <c r="I77" s="713"/>
      <c r="J77" s="209">
        <f t="shared" si="23"/>
        <v>239</v>
      </c>
      <c r="K77" s="332">
        <f>HLOOKUP(Labor!$B$11,InflationTable,2)*J77</f>
        <v>322.84164182494817</v>
      </c>
      <c r="L77" s="296">
        <f>K77*$M$4</f>
        <v>13882.190598472771</v>
      </c>
      <c r="M77" s="297">
        <f t="shared" si="24"/>
        <v>13882.190598472771</v>
      </c>
      <c r="N77" s="450">
        <f>HLOOKUP(Labor!$B$11,InflationTable,3)*$J77</f>
        <v>331.65929981206023</v>
      </c>
      <c r="O77" s="377">
        <f>N77*$P$4</f>
        <v>14261.349891918589</v>
      </c>
      <c r="P77" s="378">
        <f t="shared" si="25"/>
        <v>14261.349891918589</v>
      </c>
      <c r="Q77" s="332">
        <f>HLOOKUP(Labor!$B$11,InflationTable,4)*$J77</f>
        <v>335.63356430050777</v>
      </c>
      <c r="R77" s="296">
        <f>Q77*$S$4</f>
        <v>14432.243264921834</v>
      </c>
      <c r="S77" s="297">
        <f t="shared" si="26"/>
        <v>14432.243264921834</v>
      </c>
      <c r="T77" s="446">
        <f t="shared" si="27"/>
        <v>14191.92791843773</v>
      </c>
      <c r="U77" s="444" t="s">
        <v>12</v>
      </c>
      <c r="V77" s="380" t="s">
        <v>12</v>
      </c>
    </row>
    <row r="78" spans="2:23" x14ac:dyDescent="0.25">
      <c r="B78" s="559" t="s">
        <v>108</v>
      </c>
      <c r="C78" s="346">
        <v>0</v>
      </c>
      <c r="D78" s="346">
        <v>0</v>
      </c>
      <c r="E78" s="346">
        <v>0</v>
      </c>
      <c r="F78" s="346">
        <v>3</v>
      </c>
      <c r="G78" s="346">
        <v>3</v>
      </c>
      <c r="H78" s="346">
        <v>0</v>
      </c>
      <c r="I78" s="694"/>
      <c r="J78" s="347">
        <f t="shared" si="23"/>
        <v>6</v>
      </c>
      <c r="K78" s="293" t="s">
        <v>12</v>
      </c>
      <c r="L78" s="327">
        <f>J78*$M$4</f>
        <v>258</v>
      </c>
      <c r="M78" s="328">
        <f t="shared" si="24"/>
        <v>258</v>
      </c>
      <c r="N78" s="61" t="s">
        <v>12</v>
      </c>
      <c r="O78" s="348">
        <f>$J78*$P$4</f>
        <v>258</v>
      </c>
      <c r="P78" s="349">
        <f t="shared" si="25"/>
        <v>258</v>
      </c>
      <c r="Q78" s="293" t="s">
        <v>12</v>
      </c>
      <c r="R78" s="327">
        <f>$J78*$P$4</f>
        <v>258</v>
      </c>
      <c r="S78" s="328">
        <f t="shared" si="26"/>
        <v>258</v>
      </c>
      <c r="T78" s="121">
        <f t="shared" si="27"/>
        <v>258</v>
      </c>
      <c r="U78" s="135" t="s">
        <v>12</v>
      </c>
      <c r="V78" s="136" t="s">
        <v>12</v>
      </c>
    </row>
    <row r="79" spans="2:23" s="1" customFormat="1" ht="13.8" thickBot="1" x14ac:dyDescent="0.3">
      <c r="B79" s="714" t="s">
        <v>8</v>
      </c>
      <c r="C79" s="712">
        <f>ROUND(C78*Labor!$D$3,0)</f>
        <v>0</v>
      </c>
      <c r="D79" s="219">
        <f>ROUND(D78*Labor!$D$4,0)</f>
        <v>0</v>
      </c>
      <c r="E79" s="219">
        <f>ROUND(E78*Labor!$D$5,0)</f>
        <v>0</v>
      </c>
      <c r="F79" s="219">
        <f>ROUND(F78*Labor!$D$6,0)</f>
        <v>148</v>
      </c>
      <c r="G79" s="219">
        <f>ROUND(G78*Labor!$D$7,0)</f>
        <v>166</v>
      </c>
      <c r="H79" s="219">
        <f>ROUND(H78*Labor!$D$8,0)</f>
        <v>0</v>
      </c>
      <c r="I79" s="713"/>
      <c r="J79" s="209">
        <f t="shared" si="23"/>
        <v>314</v>
      </c>
      <c r="K79" s="332">
        <f>HLOOKUP(Labor!$B$11,InflationTable,2)*J79</f>
        <v>424.15178047294444</v>
      </c>
      <c r="L79" s="296">
        <f>K79*$M$4</f>
        <v>18238.52656033661</v>
      </c>
      <c r="M79" s="297">
        <f t="shared" si="24"/>
        <v>18238.52656033661</v>
      </c>
      <c r="N79" s="450">
        <f>HLOOKUP(Labor!$B$11,InflationTable,3)*$J79</f>
        <v>435.73648594555198</v>
      </c>
      <c r="O79" s="377">
        <f>N79*$P$4</f>
        <v>18736.668895658735</v>
      </c>
      <c r="P79" s="378">
        <f t="shared" si="25"/>
        <v>18736.668895658735</v>
      </c>
      <c r="Q79" s="332">
        <f>HLOOKUP(Labor!$B$11,InflationTable,4)*$J79</f>
        <v>440.95790456217338</v>
      </c>
      <c r="R79" s="296">
        <f>Q79*$S$4</f>
        <v>18961.189896173455</v>
      </c>
      <c r="S79" s="297">
        <f t="shared" si="26"/>
        <v>18961.189896173455</v>
      </c>
      <c r="T79" s="211">
        <f t="shared" si="27"/>
        <v>18645.461784056268</v>
      </c>
      <c r="U79" s="393" t="s">
        <v>12</v>
      </c>
      <c r="V79" s="218" t="s">
        <v>12</v>
      </c>
    </row>
    <row r="80" spans="2:23" x14ac:dyDescent="0.25">
      <c r="B80" s="565" t="s">
        <v>29</v>
      </c>
      <c r="C80" s="107" t="s">
        <v>45</v>
      </c>
      <c r="D80" s="108" t="s">
        <v>46</v>
      </c>
      <c r="E80" s="107" t="s">
        <v>47</v>
      </c>
      <c r="F80" s="107" t="s">
        <v>48</v>
      </c>
      <c r="G80" s="107" t="s">
        <v>49</v>
      </c>
      <c r="H80" s="107" t="s">
        <v>50</v>
      </c>
      <c r="I80" s="159" t="s">
        <v>190</v>
      </c>
      <c r="J80" s="109" t="s">
        <v>112</v>
      </c>
      <c r="K80" s="351"/>
      <c r="L80" s="352"/>
      <c r="M80" s="356"/>
      <c r="N80" s="110" t="s">
        <v>113</v>
      </c>
      <c r="O80" s="108" t="s">
        <v>13</v>
      </c>
      <c r="P80" s="111" t="s">
        <v>68</v>
      </c>
      <c r="Q80" s="351" t="s">
        <v>113</v>
      </c>
      <c r="R80" s="352" t="s">
        <v>13</v>
      </c>
      <c r="S80" s="356" t="s">
        <v>68</v>
      </c>
      <c r="T80" s="123"/>
      <c r="U80" s="133"/>
      <c r="V80" s="37"/>
    </row>
    <row r="81" spans="2:22" x14ac:dyDescent="0.25">
      <c r="B81" s="569" t="s">
        <v>51</v>
      </c>
      <c r="C81" s="21">
        <v>0</v>
      </c>
      <c r="D81" s="21">
        <v>0</v>
      </c>
      <c r="E81" s="21">
        <v>0.2</v>
      </c>
      <c r="F81" s="21">
        <v>0.3</v>
      </c>
      <c r="G81" s="21">
        <v>0</v>
      </c>
      <c r="H81" s="21">
        <v>0</v>
      </c>
      <c r="I81" s="693"/>
      <c r="J81" s="52">
        <f>SUM(C81:H81)</f>
        <v>0.5</v>
      </c>
      <c r="K81" s="263" t="s">
        <v>12</v>
      </c>
      <c r="L81" s="314">
        <f>J81*$K$5</f>
        <v>19.5</v>
      </c>
      <c r="M81" s="289">
        <f>L81</f>
        <v>19.5</v>
      </c>
      <c r="N81" s="58" t="s">
        <v>12</v>
      </c>
      <c r="O81" s="89">
        <f>$J81*N$5</f>
        <v>19.5</v>
      </c>
      <c r="P81" s="68">
        <f>O81</f>
        <v>19.5</v>
      </c>
      <c r="Q81" s="263" t="s">
        <v>12</v>
      </c>
      <c r="R81" s="314">
        <f>$J81*Q$5</f>
        <v>19.5</v>
      </c>
      <c r="S81" s="289">
        <f>R81</f>
        <v>19.5</v>
      </c>
      <c r="T81" s="121">
        <f>AVERAGE(M81,P81,S81)</f>
        <v>19.5</v>
      </c>
      <c r="U81" s="135" t="s">
        <v>12</v>
      </c>
      <c r="V81" s="136" t="s">
        <v>12</v>
      </c>
    </row>
    <row r="82" spans="2:22" s="1" customFormat="1" ht="13.8" thickBot="1" x14ac:dyDescent="0.3">
      <c r="B82" s="715" t="s">
        <v>107</v>
      </c>
      <c r="C82" s="712">
        <f>ROUND(C81*Labor!$D$3,0)</f>
        <v>0</v>
      </c>
      <c r="D82" s="219">
        <f>ROUND(D81*Labor!$D$4,0)</f>
        <v>0</v>
      </c>
      <c r="E82" s="219">
        <f>ROUND(E81*Labor!$D$5,0)</f>
        <v>9</v>
      </c>
      <c r="F82" s="219">
        <f>ROUND(F81*Labor!$D$6,0)</f>
        <v>15</v>
      </c>
      <c r="G82" s="219">
        <f>ROUND(G81*Labor!$D$7,0)</f>
        <v>0</v>
      </c>
      <c r="H82" s="219">
        <f>ROUND(H81*Labor!$D$8,0)</f>
        <v>0</v>
      </c>
      <c r="I82" s="713"/>
      <c r="J82" s="209">
        <f>SUM(C82:H82)</f>
        <v>24</v>
      </c>
      <c r="K82" s="332">
        <f>HLOOKUP(Labor!$B$11,InflationTable,2)*J82</f>
        <v>32.419244367358814</v>
      </c>
      <c r="L82" s="296">
        <f>K82*$K$5</f>
        <v>1264.3505303269937</v>
      </c>
      <c r="M82" s="297">
        <f>L82</f>
        <v>1264.3505303269937</v>
      </c>
      <c r="N82" s="450">
        <f>HLOOKUP(Labor!$B$11,InflationTable,3)*$J82</f>
        <v>33.304699562717346</v>
      </c>
      <c r="O82" s="377">
        <f>N82*$N$5</f>
        <v>1298.8832829459766</v>
      </c>
      <c r="P82" s="378">
        <f>O82</f>
        <v>1298.8832829459766</v>
      </c>
      <c r="Q82" s="332">
        <f>HLOOKUP(Labor!$B$11,InflationTable,4)*$J82</f>
        <v>33.703788883732997</v>
      </c>
      <c r="R82" s="296">
        <f>Q82*$Q$5</f>
        <v>1314.4477664655869</v>
      </c>
      <c r="S82" s="297">
        <f>R82</f>
        <v>1314.4477664655869</v>
      </c>
      <c r="T82" s="391">
        <f>AVERAGE(M82,P82,S82)</f>
        <v>1292.5605265795191</v>
      </c>
      <c r="U82" s="393" t="s">
        <v>12</v>
      </c>
      <c r="V82" s="218" t="s">
        <v>12</v>
      </c>
    </row>
    <row r="83" spans="2:22" x14ac:dyDescent="0.25">
      <c r="B83" s="565" t="s">
        <v>106</v>
      </c>
      <c r="C83" s="32"/>
      <c r="D83" s="431" t="s">
        <v>54</v>
      </c>
      <c r="E83" s="28">
        <v>5</v>
      </c>
      <c r="F83" s="7"/>
      <c r="G83" s="5"/>
      <c r="H83" s="5"/>
      <c r="I83" s="5"/>
      <c r="J83" s="109" t="s">
        <v>55</v>
      </c>
      <c r="K83" s="259"/>
      <c r="L83" s="542"/>
      <c r="M83" s="543"/>
      <c r="N83" s="364" t="s">
        <v>55</v>
      </c>
      <c r="O83" s="1434" t="s">
        <v>57</v>
      </c>
      <c r="P83" s="1435"/>
      <c r="Q83" s="259" t="s">
        <v>55</v>
      </c>
      <c r="R83" s="1431" t="s">
        <v>57</v>
      </c>
      <c r="S83" s="1439"/>
      <c r="T83" s="170"/>
      <c r="U83" s="133"/>
      <c r="V83" s="37"/>
    </row>
    <row r="84" spans="2:22" x14ac:dyDescent="0.25">
      <c r="B84" s="569" t="s">
        <v>51</v>
      </c>
      <c r="C84" s="21">
        <v>0</v>
      </c>
      <c r="D84" s="21">
        <v>0</v>
      </c>
      <c r="E84" s="21">
        <v>0</v>
      </c>
      <c r="F84" s="21">
        <v>6</v>
      </c>
      <c r="G84" s="21">
        <v>18</v>
      </c>
      <c r="H84" s="21">
        <v>0</v>
      </c>
      <c r="I84" s="693"/>
      <c r="J84" s="52">
        <f>SUM(C84:H84)</f>
        <v>24</v>
      </c>
      <c r="K84" s="263" t="s">
        <v>12</v>
      </c>
      <c r="L84" s="283">
        <f>J84*$K$5</f>
        <v>936</v>
      </c>
      <c r="M84" s="282">
        <f>L84/$E$83</f>
        <v>187.2</v>
      </c>
      <c r="N84" s="58" t="s">
        <v>12</v>
      </c>
      <c r="O84" s="60">
        <f>$J$84*$N$5</f>
        <v>936</v>
      </c>
      <c r="P84" s="59">
        <f>O84/$E$83</f>
        <v>187.2</v>
      </c>
      <c r="Q84" s="263" t="s">
        <v>12</v>
      </c>
      <c r="R84" s="283">
        <f>$J$84*$Q$5</f>
        <v>936</v>
      </c>
      <c r="S84" s="282">
        <f>R84/$E$83</f>
        <v>187.2</v>
      </c>
      <c r="T84" s="121">
        <f>AVERAGE(M84,P84,S84)</f>
        <v>187.19999999999996</v>
      </c>
      <c r="U84" s="135" t="s">
        <v>12</v>
      </c>
      <c r="V84" s="136" t="s">
        <v>12</v>
      </c>
    </row>
    <row r="85" spans="2:22" s="1" customFormat="1" ht="13.8" thickBot="1" x14ac:dyDescent="0.3">
      <c r="B85" s="715" t="s">
        <v>105</v>
      </c>
      <c r="C85" s="712">
        <f>ROUND(C84*Labor!$D$3,0)</f>
        <v>0</v>
      </c>
      <c r="D85" s="219">
        <f>ROUND(D84*Labor!$D$4,0)</f>
        <v>0</v>
      </c>
      <c r="E85" s="219">
        <f>ROUND(E84*Labor!$D$5,0)</f>
        <v>0</v>
      </c>
      <c r="F85" s="219">
        <f>ROUND(F84*Labor!$D$6,0)</f>
        <v>296</v>
      </c>
      <c r="G85" s="219">
        <f>ROUND(G84*Labor!$D$7,0)</f>
        <v>998</v>
      </c>
      <c r="H85" s="219">
        <f>ROUND(H84*Labor!$D$8,0)</f>
        <v>0</v>
      </c>
      <c r="I85" s="713"/>
      <c r="J85" s="209">
        <f>SUM(C85:H85)</f>
        <v>1294</v>
      </c>
      <c r="K85" s="332">
        <f>HLOOKUP(Labor!$B$11,InflationTable,2)*J85</f>
        <v>1747.9375921400958</v>
      </c>
      <c r="L85" s="296">
        <f>K85*$K$5</f>
        <v>68169.566093463742</v>
      </c>
      <c r="M85" s="297">
        <f>L85/$E$83</f>
        <v>13633.913218692749</v>
      </c>
      <c r="N85" s="445">
        <f>HLOOKUP(Labor!$B$11,InflationTable,3)*$J85</f>
        <v>1795.6783847565102</v>
      </c>
      <c r="O85" s="377">
        <f>N85*$N$5</f>
        <v>70031.457005503893</v>
      </c>
      <c r="P85" s="378">
        <f>O85/$E$83</f>
        <v>14006.291401100778</v>
      </c>
      <c r="Q85" s="339">
        <f>HLOOKUP(Labor!$B$11,InflationTable,4)*$J85</f>
        <v>1817.1959506479373</v>
      </c>
      <c r="R85" s="296">
        <f>Q85*$Q$5</f>
        <v>70870.642075269556</v>
      </c>
      <c r="S85" s="297">
        <f>R85/$E$83</f>
        <v>14174.12841505391</v>
      </c>
      <c r="T85" s="211">
        <f>AVERAGE(M85,P85,S85)</f>
        <v>13938.111011615814</v>
      </c>
      <c r="U85" s="393" t="s">
        <v>12</v>
      </c>
      <c r="V85" s="218" t="s">
        <v>12</v>
      </c>
    </row>
    <row r="86" spans="2:22" x14ac:dyDescent="0.25">
      <c r="B86" s="560" t="s">
        <v>66</v>
      </c>
      <c r="C86" s="42">
        <f t="shared" ref="C86:J87" si="28">C69+C71+C74+C76+C78+C81+C84</f>
        <v>0</v>
      </c>
      <c r="D86" s="42">
        <f t="shared" si="28"/>
        <v>1</v>
      </c>
      <c r="E86" s="42">
        <f t="shared" si="28"/>
        <v>19.2</v>
      </c>
      <c r="F86" s="42">
        <f t="shared" si="28"/>
        <v>42.3</v>
      </c>
      <c r="G86" s="42">
        <f t="shared" si="28"/>
        <v>41</v>
      </c>
      <c r="H86" s="42">
        <f t="shared" si="28"/>
        <v>0</v>
      </c>
      <c r="I86" s="696"/>
      <c r="J86" s="53">
        <f t="shared" si="28"/>
        <v>103.5</v>
      </c>
      <c r="K86" s="293" t="s">
        <v>12</v>
      </c>
      <c r="L86" s="315" t="s">
        <v>12</v>
      </c>
      <c r="M86" s="316">
        <f>M84+L81+L78+L76+L74+L71+L69</f>
        <v>3603.7</v>
      </c>
      <c r="N86" s="92" t="s">
        <v>12</v>
      </c>
      <c r="O86" s="42" t="s">
        <v>12</v>
      </c>
      <c r="P86" s="90">
        <f>P84+O81+O78+O76+O74+O71+O69</f>
        <v>3603.7</v>
      </c>
      <c r="Q86" s="293" t="s">
        <v>12</v>
      </c>
      <c r="R86" s="315" t="s">
        <v>12</v>
      </c>
      <c r="S86" s="316">
        <f>S84+R81+R78+R76+R74+R71+R69</f>
        <v>3603.7</v>
      </c>
      <c r="T86" s="150">
        <f>AVERAGE(M86,P86,S86)</f>
        <v>3603.6999999999994</v>
      </c>
      <c r="U86" s="133"/>
      <c r="V86" s="37"/>
    </row>
    <row r="87" spans="2:22" ht="13.8" thickBot="1" x14ac:dyDescent="0.3">
      <c r="B87" s="561" t="s">
        <v>67</v>
      </c>
      <c r="C87" s="240">
        <f t="shared" si="28"/>
        <v>0</v>
      </c>
      <c r="D87" s="240">
        <f t="shared" si="28"/>
        <v>41</v>
      </c>
      <c r="E87" s="240">
        <f t="shared" si="28"/>
        <v>847</v>
      </c>
      <c r="F87" s="240">
        <f t="shared" si="28"/>
        <v>2085</v>
      </c>
      <c r="G87" s="240">
        <f t="shared" si="28"/>
        <v>2272</v>
      </c>
      <c r="H87" s="240">
        <f t="shared" si="28"/>
        <v>0</v>
      </c>
      <c r="I87" s="247"/>
      <c r="J87" s="243">
        <f t="shared" si="28"/>
        <v>5245</v>
      </c>
      <c r="K87" s="274">
        <f>K70+K72+K75+K77+K79+K82+K85</f>
        <v>7084.9556961165408</v>
      </c>
      <c r="L87" s="317" t="s">
        <v>12</v>
      </c>
      <c r="M87" s="306">
        <f>M85+L82+L79+L77+L75+L72+L70</f>
        <v>242996.0147122104</v>
      </c>
      <c r="N87" s="242">
        <f>N70+N72+N75+N77+N79+N82+N85</f>
        <v>7278.4645502688545</v>
      </c>
      <c r="O87" s="256" t="s">
        <v>12</v>
      </c>
      <c r="P87" s="254">
        <f>P85+O82+O79+O77+O75+O72+O70</f>
        <v>249632.87771988066</v>
      </c>
      <c r="Q87" s="274">
        <f>Q70+Q72+Q75+Q77+Q79+Q82+Q85</f>
        <v>7365.6821956324811</v>
      </c>
      <c r="R87" s="317" t="s">
        <v>12</v>
      </c>
      <c r="S87" s="306">
        <f>S85+R82+R79+R77+R75+R72+R70</f>
        <v>252624.22179385441</v>
      </c>
      <c r="T87" s="248">
        <f>AVERAGE(M87,P87,S87)</f>
        <v>248417.70474198181</v>
      </c>
      <c r="U87" s="246"/>
      <c r="V87" s="236"/>
    </row>
    <row r="88" spans="2:22" ht="14.4" thickTop="1" thickBot="1" x14ac:dyDescent="0.3">
      <c r="B88" s="619"/>
      <c r="C88" s="618"/>
      <c r="D88" s="618"/>
      <c r="E88" s="618"/>
      <c r="F88" s="618"/>
      <c r="G88" s="618"/>
      <c r="H88" s="618"/>
      <c r="I88" s="618"/>
      <c r="J88" s="618"/>
      <c r="K88" s="618"/>
      <c r="L88" s="618"/>
      <c r="M88" s="618"/>
      <c r="N88" s="618"/>
      <c r="O88" s="618"/>
      <c r="P88" s="618"/>
      <c r="Q88" s="618"/>
      <c r="R88" s="618"/>
      <c r="S88" s="618"/>
      <c r="T88" s="618"/>
      <c r="U88" s="618"/>
      <c r="V88" s="620"/>
    </row>
    <row r="89" spans="2:22" ht="16.2" thickTop="1" x14ac:dyDescent="0.3">
      <c r="B89" s="562" t="s">
        <v>30</v>
      </c>
      <c r="C89" s="5"/>
      <c r="D89" s="5"/>
      <c r="E89" s="5"/>
      <c r="F89" s="112" t="s">
        <v>6</v>
      </c>
      <c r="G89" s="1415"/>
      <c r="H89" s="1416"/>
      <c r="I89" s="1416"/>
      <c r="J89" s="1417"/>
      <c r="K89" s="181" t="s">
        <v>30</v>
      </c>
      <c r="L89" s="426"/>
      <c r="M89" s="67"/>
      <c r="N89" s="181" t="s">
        <v>30</v>
      </c>
      <c r="O89" s="426"/>
      <c r="P89" s="67"/>
      <c r="Q89" s="181" t="s">
        <v>30</v>
      </c>
      <c r="R89" s="319"/>
      <c r="S89" s="180"/>
      <c r="T89" s="225"/>
      <c r="U89" s="133"/>
      <c r="V89" s="37"/>
    </row>
    <row r="90" spans="2:22" x14ac:dyDescent="0.25">
      <c r="B90" s="555"/>
      <c r="C90" s="5"/>
      <c r="D90" s="5"/>
      <c r="E90" s="5"/>
      <c r="F90" s="7"/>
      <c r="G90" s="5"/>
      <c r="H90" s="5"/>
      <c r="I90" s="5"/>
      <c r="J90" s="45" t="s">
        <v>61</v>
      </c>
      <c r="K90" s="277" t="s">
        <v>61</v>
      </c>
      <c r="L90" s="1422" t="s">
        <v>57</v>
      </c>
      <c r="M90" s="1423"/>
      <c r="N90" s="57" t="s">
        <v>61</v>
      </c>
      <c r="O90" s="1432" t="s">
        <v>57</v>
      </c>
      <c r="P90" s="1436"/>
      <c r="Q90" s="318" t="s">
        <v>61</v>
      </c>
      <c r="R90" s="1431" t="s">
        <v>57</v>
      </c>
      <c r="S90" s="1439"/>
      <c r="T90" s="131"/>
      <c r="U90" s="133"/>
      <c r="V90" s="37"/>
    </row>
    <row r="91" spans="2:22" x14ac:dyDescent="0.25">
      <c r="B91" s="563" t="s">
        <v>21</v>
      </c>
      <c r="C91" s="23" t="s">
        <v>45</v>
      </c>
      <c r="D91" s="24" t="s">
        <v>46</v>
      </c>
      <c r="E91" s="23" t="s">
        <v>47</v>
      </c>
      <c r="F91" s="23" t="s">
        <v>48</v>
      </c>
      <c r="G91" s="23" t="s">
        <v>49</v>
      </c>
      <c r="H91" s="23" t="s">
        <v>50</v>
      </c>
      <c r="I91" s="23" t="s">
        <v>190</v>
      </c>
      <c r="J91" s="45" t="s">
        <v>13</v>
      </c>
      <c r="K91" s="260" t="s">
        <v>56</v>
      </c>
      <c r="L91" s="261" t="s">
        <v>13</v>
      </c>
      <c r="M91" s="262" t="s">
        <v>68</v>
      </c>
      <c r="N91" s="77" t="s">
        <v>56</v>
      </c>
      <c r="O91" s="24" t="s">
        <v>13</v>
      </c>
      <c r="P91" s="38" t="s">
        <v>68</v>
      </c>
      <c r="Q91" s="260" t="s">
        <v>56</v>
      </c>
      <c r="R91" s="261" t="s">
        <v>13</v>
      </c>
      <c r="S91" s="262" t="s">
        <v>68</v>
      </c>
      <c r="T91" s="123"/>
      <c r="U91" s="133"/>
      <c r="V91" s="37"/>
    </row>
    <row r="92" spans="2:22" x14ac:dyDescent="0.25">
      <c r="B92" s="566" t="s">
        <v>4</v>
      </c>
      <c r="C92" s="21">
        <v>0</v>
      </c>
      <c r="D92" s="21">
        <v>0</v>
      </c>
      <c r="E92" s="21">
        <v>0</v>
      </c>
      <c r="F92" s="21">
        <v>0</v>
      </c>
      <c r="G92" s="21">
        <v>6</v>
      </c>
      <c r="H92" s="21">
        <v>6</v>
      </c>
      <c r="I92" s="693"/>
      <c r="J92" s="52">
        <f>SUM(C92:H92)</f>
        <v>12</v>
      </c>
      <c r="K92" s="263" t="s">
        <v>12</v>
      </c>
      <c r="L92" s="281">
        <f>J92*$M$4</f>
        <v>516</v>
      </c>
      <c r="M92" s="289">
        <f>L92</f>
        <v>516</v>
      </c>
      <c r="N92" s="58" t="s">
        <v>12</v>
      </c>
      <c r="O92" s="69">
        <f>$J92*P$4</f>
        <v>516</v>
      </c>
      <c r="P92" s="59">
        <f>O92</f>
        <v>516</v>
      </c>
      <c r="Q92" s="263" t="s">
        <v>12</v>
      </c>
      <c r="R92" s="281">
        <f>$J92*S$4</f>
        <v>516</v>
      </c>
      <c r="S92" s="289">
        <f>R92</f>
        <v>516</v>
      </c>
      <c r="T92" s="173">
        <f t="shared" ref="T92:T97" si="29">AVERAGE(M92,P92,S92)</f>
        <v>516</v>
      </c>
      <c r="U92" s="135" t="s">
        <v>12</v>
      </c>
      <c r="V92" s="136" t="s">
        <v>12</v>
      </c>
    </row>
    <row r="93" spans="2:22" s="1" customFormat="1" ht="13.8" thickBot="1" x14ac:dyDescent="0.3">
      <c r="B93" s="715" t="s">
        <v>8</v>
      </c>
      <c r="C93" s="373">
        <f>ROUND(C92*Labor!$D$3,0)</f>
        <v>0</v>
      </c>
      <c r="D93" s="219">
        <f>ROUND(D92*Labor!$D$4,0)</f>
        <v>0</v>
      </c>
      <c r="E93" s="219">
        <f>ROUND(E92*Labor!$D$5,0)</f>
        <v>0</v>
      </c>
      <c r="F93" s="219">
        <f>ROUND(F92*Labor!$D$6,0)</f>
        <v>0</v>
      </c>
      <c r="G93" s="219">
        <f>ROUND(G92*Labor!$D$7,0)</f>
        <v>333</v>
      </c>
      <c r="H93" s="219">
        <f>ROUND(H92*Labor!$D$8,0)</f>
        <v>352</v>
      </c>
      <c r="I93" s="713"/>
      <c r="J93" s="209">
        <f>SUM(C93:H93)</f>
        <v>685</v>
      </c>
      <c r="K93" s="332">
        <f>HLOOKUP(Labor!$B$11,InflationTable,2)*J93</f>
        <v>925.29926631836611</v>
      </c>
      <c r="L93" s="296">
        <f>K93*$M$4</f>
        <v>39787.868451689741</v>
      </c>
      <c r="M93" s="297">
        <f>L93</f>
        <v>39787.868451689741</v>
      </c>
      <c r="N93" s="376">
        <f>HLOOKUP(Labor!$B$11,InflationTable,3)*$J93</f>
        <v>950.57163335255768</v>
      </c>
      <c r="O93" s="377">
        <f>N93*P$4</f>
        <v>40874.580234159977</v>
      </c>
      <c r="P93" s="378">
        <f>O93</f>
        <v>40874.580234159977</v>
      </c>
      <c r="Q93" s="332">
        <f>HLOOKUP(Labor!$B$11,InflationTable,4)*$J93</f>
        <v>961.96230772321258</v>
      </c>
      <c r="R93" s="296">
        <f>Q93*S$4</f>
        <v>41364.379232098137</v>
      </c>
      <c r="S93" s="297">
        <f>R93</f>
        <v>41364.379232098137</v>
      </c>
      <c r="T93" s="450">
        <f t="shared" si="29"/>
        <v>40675.609305982623</v>
      </c>
      <c r="U93" s="393" t="s">
        <v>12</v>
      </c>
      <c r="V93" s="218" t="s">
        <v>12</v>
      </c>
    </row>
    <row r="94" spans="2:22" x14ac:dyDescent="0.25">
      <c r="B94" s="559" t="s">
        <v>104</v>
      </c>
      <c r="C94" s="346">
        <v>0</v>
      </c>
      <c r="D94" s="346">
        <v>0</v>
      </c>
      <c r="E94" s="346">
        <v>16</v>
      </c>
      <c r="F94" s="346">
        <v>8</v>
      </c>
      <c r="G94" s="346">
        <v>4</v>
      </c>
      <c r="H94" s="346">
        <v>2</v>
      </c>
      <c r="I94" s="694"/>
      <c r="J94" s="347">
        <f>SUM(C94:H94)</f>
        <v>30</v>
      </c>
      <c r="K94" s="293" t="s">
        <v>12</v>
      </c>
      <c r="L94" s="327">
        <f>J94*$M$4</f>
        <v>1290</v>
      </c>
      <c r="M94" s="328">
        <f>L94</f>
        <v>1290</v>
      </c>
      <c r="N94" s="61" t="s">
        <v>12</v>
      </c>
      <c r="O94" s="348">
        <f>$J94*P$4</f>
        <v>1290</v>
      </c>
      <c r="P94" s="349">
        <f>O94</f>
        <v>1290</v>
      </c>
      <c r="Q94" s="293" t="s">
        <v>12</v>
      </c>
      <c r="R94" s="327">
        <f>$J94*S$4</f>
        <v>1290</v>
      </c>
      <c r="S94" s="328">
        <f>R94</f>
        <v>1290</v>
      </c>
      <c r="T94" s="173">
        <f t="shared" si="29"/>
        <v>1290</v>
      </c>
      <c r="U94" s="135" t="s">
        <v>12</v>
      </c>
      <c r="V94" s="136" t="s">
        <v>12</v>
      </c>
    </row>
    <row r="95" spans="2:22" s="1" customFormat="1" ht="13.8" thickBot="1" x14ac:dyDescent="0.3">
      <c r="B95" s="714" t="s">
        <v>8</v>
      </c>
      <c r="C95" s="712">
        <f>ROUND(C94*Labor!$D$3,0)</f>
        <v>0</v>
      </c>
      <c r="D95" s="219">
        <f>ROUND(D94*Labor!$D$4,0)</f>
        <v>0</v>
      </c>
      <c r="E95" s="219">
        <f>ROUND(E94*Labor!$D$5,0)</f>
        <v>706</v>
      </c>
      <c r="F95" s="219">
        <f>ROUND(F94*Labor!$D$6,0)</f>
        <v>394</v>
      </c>
      <c r="G95" s="219">
        <f>ROUND(G94*Labor!$D$7,0)</f>
        <v>222</v>
      </c>
      <c r="H95" s="219">
        <f>ROUND(H94*Labor!$D$8,0)</f>
        <v>117</v>
      </c>
      <c r="I95" s="713"/>
      <c r="J95" s="209">
        <f>SUM(C95:H95)</f>
        <v>1439</v>
      </c>
      <c r="K95" s="332">
        <f>HLOOKUP(Labor!$B$11,InflationTable,2)*J95</f>
        <v>1943.8038601928888</v>
      </c>
      <c r="L95" s="296">
        <f>K95*$M$4</f>
        <v>83583.565988294213</v>
      </c>
      <c r="M95" s="390">
        <f>L95</f>
        <v>83583.565988294213</v>
      </c>
      <c r="N95" s="376">
        <f>HLOOKUP(Labor!$B$11,InflationTable,3)*$J95</f>
        <v>1996.8942779479275</v>
      </c>
      <c r="O95" s="377">
        <f>N95*P$4</f>
        <v>85866.453951760879</v>
      </c>
      <c r="P95" s="378">
        <f>O95</f>
        <v>85866.453951760879</v>
      </c>
      <c r="Q95" s="339">
        <f>HLOOKUP(Labor!$B$11,InflationTable,4)*$J95</f>
        <v>2020.8230084871575</v>
      </c>
      <c r="R95" s="296">
        <f>Q95*S$4</f>
        <v>86895.389364947769</v>
      </c>
      <c r="S95" s="390">
        <f>R95</f>
        <v>86895.389364947769</v>
      </c>
      <c r="T95" s="211">
        <f t="shared" si="29"/>
        <v>85448.469768334282</v>
      </c>
      <c r="U95" s="393" t="s">
        <v>12</v>
      </c>
      <c r="V95" s="218" t="s">
        <v>12</v>
      </c>
    </row>
    <row r="96" spans="2:22" x14ac:dyDescent="0.25">
      <c r="B96" s="560" t="s">
        <v>66</v>
      </c>
      <c r="C96" s="36">
        <f t="shared" ref="C96:J97" si="30">C92+C94</f>
        <v>0</v>
      </c>
      <c r="D96" s="36">
        <f t="shared" si="30"/>
        <v>0</v>
      </c>
      <c r="E96" s="36">
        <f t="shared" si="30"/>
        <v>16</v>
      </c>
      <c r="F96" s="36">
        <f t="shared" si="30"/>
        <v>8</v>
      </c>
      <c r="G96" s="36">
        <f t="shared" si="30"/>
        <v>10</v>
      </c>
      <c r="H96" s="36">
        <f t="shared" si="30"/>
        <v>8</v>
      </c>
      <c r="I96" s="695"/>
      <c r="J96" s="46">
        <f t="shared" si="30"/>
        <v>42</v>
      </c>
      <c r="K96" s="301" t="s">
        <v>12</v>
      </c>
      <c r="L96" s="320">
        <f>L92+L94</f>
        <v>1806</v>
      </c>
      <c r="M96" s="321">
        <f>M92+M94</f>
        <v>1806</v>
      </c>
      <c r="N96" s="85" t="s">
        <v>12</v>
      </c>
      <c r="O96" s="36">
        <f>O92+O94</f>
        <v>1806</v>
      </c>
      <c r="P96" s="100">
        <f>P92+P94</f>
        <v>1806</v>
      </c>
      <c r="Q96" s="301" t="s">
        <v>12</v>
      </c>
      <c r="R96" s="320">
        <f>R92+R94</f>
        <v>1806</v>
      </c>
      <c r="S96" s="322">
        <f>S92+S94</f>
        <v>1806</v>
      </c>
      <c r="T96" s="121">
        <f t="shared" si="29"/>
        <v>1806</v>
      </c>
      <c r="U96" s="135" t="s">
        <v>12</v>
      </c>
      <c r="V96" s="136" t="s">
        <v>12</v>
      </c>
    </row>
    <row r="97" spans="2:23" ht="13.8" thickBot="1" x14ac:dyDescent="0.3">
      <c r="B97" s="561" t="s">
        <v>67</v>
      </c>
      <c r="C97" s="240">
        <f t="shared" si="30"/>
        <v>0</v>
      </c>
      <c r="D97" s="240">
        <f t="shared" si="30"/>
        <v>0</v>
      </c>
      <c r="E97" s="240">
        <f t="shared" si="30"/>
        <v>706</v>
      </c>
      <c r="F97" s="240">
        <f t="shared" si="30"/>
        <v>394</v>
      </c>
      <c r="G97" s="240">
        <f t="shared" si="30"/>
        <v>555</v>
      </c>
      <c r="H97" s="240">
        <f t="shared" si="30"/>
        <v>469</v>
      </c>
      <c r="I97" s="247"/>
      <c r="J97" s="243">
        <f t="shared" si="30"/>
        <v>2124</v>
      </c>
      <c r="K97" s="274">
        <f>K93+K95</f>
        <v>2869.1031265112551</v>
      </c>
      <c r="L97" s="275">
        <f>L93+L95</f>
        <v>123371.43443998395</v>
      </c>
      <c r="M97" s="276">
        <f>M93+M95</f>
        <v>123371.43443998395</v>
      </c>
      <c r="N97" s="242">
        <f>N93+N95</f>
        <v>2947.4659113004855</v>
      </c>
      <c r="O97" s="240">
        <f>O93+O95</f>
        <v>126741.03418592086</v>
      </c>
      <c r="P97" s="243">
        <f>P93+P95</f>
        <v>126741.03418592086</v>
      </c>
      <c r="Q97" s="313">
        <f>Q93+Q95</f>
        <v>2982.7853162103702</v>
      </c>
      <c r="R97" s="275">
        <f>R93+R95</f>
        <v>128259.76859704591</v>
      </c>
      <c r="S97" s="276">
        <f>S93+S95</f>
        <v>128259.76859704591</v>
      </c>
      <c r="T97" s="257">
        <f t="shared" si="29"/>
        <v>126124.07907431691</v>
      </c>
      <c r="U97" s="258" t="s">
        <v>12</v>
      </c>
      <c r="V97" s="249" t="s">
        <v>12</v>
      </c>
    </row>
    <row r="98" spans="2:23" ht="14.4" thickTop="1" thickBot="1" x14ac:dyDescent="0.3">
      <c r="B98" s="555"/>
      <c r="C98" s="5"/>
      <c r="D98" s="618"/>
      <c r="E98" s="618"/>
      <c r="F98" s="618"/>
      <c r="G98" s="618"/>
      <c r="H98" s="618"/>
      <c r="I98" s="618"/>
      <c r="J98" s="618"/>
      <c r="K98" s="618"/>
      <c r="L98" s="618"/>
      <c r="M98" s="618"/>
      <c r="N98" s="618"/>
      <c r="O98" s="618"/>
      <c r="P98" s="618"/>
      <c r="Q98" s="618"/>
      <c r="R98" s="618"/>
      <c r="S98" s="618"/>
      <c r="T98" s="618"/>
      <c r="U98" s="618"/>
      <c r="V98" s="620"/>
    </row>
    <row r="99" spans="2:23" ht="18.600000000000001" thickTop="1" thickBot="1" x14ac:dyDescent="0.35">
      <c r="B99" s="556" t="s">
        <v>121</v>
      </c>
      <c r="C99" s="647" t="str">
        <f>C2</f>
        <v>PAMSUpperAir</v>
      </c>
      <c r="D99" s="5"/>
      <c r="E99" s="4"/>
      <c r="F99" s="12"/>
      <c r="G99" s="4"/>
      <c r="H99" s="4"/>
      <c r="I99" s="4"/>
      <c r="J99" s="41"/>
      <c r="K99" s="233" t="str">
        <f>K2</f>
        <v>Year 1</v>
      </c>
      <c r="L99" s="233">
        <f>L2</f>
        <v>2019</v>
      </c>
      <c r="M99" s="83"/>
      <c r="N99" s="79" t="str">
        <f>N2</f>
        <v>Year 2</v>
      </c>
      <c r="O99" s="79">
        <f>O2</f>
        <v>2020</v>
      </c>
      <c r="P99" s="41"/>
      <c r="Q99" s="233" t="str">
        <f>Q2</f>
        <v>Year 3</v>
      </c>
      <c r="R99" s="233">
        <f>R2</f>
        <v>2021</v>
      </c>
      <c r="S99" s="83"/>
      <c r="T99" s="152"/>
      <c r="U99" s="130"/>
      <c r="V99" s="570"/>
    </row>
    <row r="100" spans="2:23" ht="13.8" thickBot="1" x14ac:dyDescent="0.3">
      <c r="B100" s="555"/>
      <c r="C100" s="194" t="s">
        <v>45</v>
      </c>
      <c r="D100" s="190" t="s">
        <v>46</v>
      </c>
      <c r="E100" s="187" t="s">
        <v>47</v>
      </c>
      <c r="F100" s="202" t="s">
        <v>48</v>
      </c>
      <c r="G100" s="201" t="s">
        <v>49</v>
      </c>
      <c r="H100" s="187" t="s">
        <v>50</v>
      </c>
      <c r="I100" s="202"/>
      <c r="J100" s="188" t="s">
        <v>13</v>
      </c>
      <c r="K100" s="323" t="s">
        <v>56</v>
      </c>
      <c r="L100" s="324" t="s">
        <v>13</v>
      </c>
      <c r="M100" s="325" t="s">
        <v>68</v>
      </c>
      <c r="N100" s="189" t="s">
        <v>56</v>
      </c>
      <c r="O100" s="190" t="s">
        <v>13</v>
      </c>
      <c r="P100" s="191" t="s">
        <v>68</v>
      </c>
      <c r="Q100" s="323" t="s">
        <v>56</v>
      </c>
      <c r="R100" s="324" t="s">
        <v>13</v>
      </c>
      <c r="S100" s="325" t="s">
        <v>68</v>
      </c>
      <c r="T100" s="192"/>
      <c r="U100" s="193"/>
      <c r="V100" s="571"/>
      <c r="W100" s="5"/>
    </row>
    <row r="101" spans="2:23" x14ac:dyDescent="0.25">
      <c r="B101" s="572" t="s">
        <v>97</v>
      </c>
      <c r="C101" s="196">
        <f t="shared" ref="C101:T101" si="31">C12</f>
        <v>0</v>
      </c>
      <c r="D101" s="184">
        <f t="shared" si="31"/>
        <v>0</v>
      </c>
      <c r="E101" s="184">
        <f t="shared" si="31"/>
        <v>0</v>
      </c>
      <c r="F101" s="184">
        <f t="shared" si="31"/>
        <v>5</v>
      </c>
      <c r="G101" s="184">
        <f t="shared" si="31"/>
        <v>12</v>
      </c>
      <c r="H101" s="184">
        <f t="shared" si="31"/>
        <v>2</v>
      </c>
      <c r="I101" s="697"/>
      <c r="J101" s="185">
        <f t="shared" si="31"/>
        <v>19</v>
      </c>
      <c r="K101" s="326" t="str">
        <f t="shared" si="31"/>
        <v>NA</v>
      </c>
      <c r="L101" s="327">
        <f t="shared" si="31"/>
        <v>741</v>
      </c>
      <c r="M101" s="328">
        <f t="shared" si="31"/>
        <v>148.19999999999999</v>
      </c>
      <c r="N101" s="186" t="str">
        <f t="shared" si="31"/>
        <v>NA</v>
      </c>
      <c r="O101" s="184">
        <f t="shared" si="31"/>
        <v>741</v>
      </c>
      <c r="P101" s="185">
        <f t="shared" si="31"/>
        <v>148.19999999999999</v>
      </c>
      <c r="Q101" s="326" t="str">
        <f t="shared" si="31"/>
        <v>NA</v>
      </c>
      <c r="R101" s="327">
        <f t="shared" si="31"/>
        <v>741</v>
      </c>
      <c r="S101" s="328">
        <f t="shared" si="31"/>
        <v>148.19999999999999</v>
      </c>
      <c r="T101" s="185">
        <f t="shared" si="31"/>
        <v>148.19999999999999</v>
      </c>
      <c r="U101" s="37"/>
      <c r="V101" s="138"/>
    </row>
    <row r="102" spans="2:23" ht="13.8" thickBot="1" x14ac:dyDescent="0.3">
      <c r="B102" s="573" t="s">
        <v>76</v>
      </c>
      <c r="C102" s="203">
        <f t="shared" ref="C102:T102" si="32">C13</f>
        <v>0</v>
      </c>
      <c r="D102" s="204">
        <f t="shared" si="32"/>
        <v>0</v>
      </c>
      <c r="E102" s="204">
        <f t="shared" si="32"/>
        <v>0</v>
      </c>
      <c r="F102" s="204">
        <f t="shared" si="32"/>
        <v>246</v>
      </c>
      <c r="G102" s="204">
        <f t="shared" si="32"/>
        <v>666</v>
      </c>
      <c r="H102" s="204">
        <f t="shared" si="32"/>
        <v>117</v>
      </c>
      <c r="I102" s="698"/>
      <c r="J102" s="205">
        <f t="shared" si="32"/>
        <v>1029</v>
      </c>
      <c r="K102" s="329">
        <f t="shared" si="32"/>
        <v>1389.9751022505091</v>
      </c>
      <c r="L102" s="330">
        <f t="shared" si="32"/>
        <v>54209.028987769852</v>
      </c>
      <c r="M102" s="331">
        <f t="shared" si="32"/>
        <v>10841.80579755397</v>
      </c>
      <c r="N102" s="203">
        <f t="shared" si="32"/>
        <v>1427.9389937515064</v>
      </c>
      <c r="O102" s="204">
        <f t="shared" si="32"/>
        <v>55689.620756308745</v>
      </c>
      <c r="P102" s="205">
        <f t="shared" si="32"/>
        <v>11137.924151261748</v>
      </c>
      <c r="Q102" s="329">
        <f t="shared" si="32"/>
        <v>1445.0499483900521</v>
      </c>
      <c r="R102" s="330">
        <f t="shared" si="32"/>
        <v>56356.947987212036</v>
      </c>
      <c r="S102" s="331">
        <f t="shared" si="32"/>
        <v>11271.389597442407</v>
      </c>
      <c r="T102" s="205">
        <f t="shared" si="32"/>
        <v>11083.706515419375</v>
      </c>
      <c r="U102" s="206" t="str">
        <f>U13</f>
        <v>NA</v>
      </c>
      <c r="V102" s="392" t="s">
        <v>12</v>
      </c>
    </row>
    <row r="103" spans="2:23" x14ac:dyDescent="0.25">
      <c r="B103" s="574" t="s">
        <v>98</v>
      </c>
      <c r="C103" s="196">
        <f t="shared" ref="C103:T103" si="33">C32</f>
        <v>0</v>
      </c>
      <c r="D103" s="184">
        <f t="shared" si="33"/>
        <v>0</v>
      </c>
      <c r="E103" s="184">
        <f t="shared" si="33"/>
        <v>0</v>
      </c>
      <c r="F103" s="184">
        <f t="shared" si="33"/>
        <v>20</v>
      </c>
      <c r="G103" s="184">
        <f t="shared" si="33"/>
        <v>15</v>
      </c>
      <c r="H103" s="184">
        <f t="shared" si="33"/>
        <v>0</v>
      </c>
      <c r="I103" s="697"/>
      <c r="J103" s="185">
        <f t="shared" si="33"/>
        <v>35</v>
      </c>
      <c r="K103" s="326" t="str">
        <f t="shared" si="33"/>
        <v>NA</v>
      </c>
      <c r="L103" s="327">
        <f t="shared" si="33"/>
        <v>4085</v>
      </c>
      <c r="M103" s="328">
        <f t="shared" si="33"/>
        <v>817</v>
      </c>
      <c r="N103" s="186" t="str">
        <f t="shared" si="33"/>
        <v>NA</v>
      </c>
      <c r="O103" s="184">
        <f t="shared" si="33"/>
        <v>4085</v>
      </c>
      <c r="P103" s="185">
        <f t="shared" si="33"/>
        <v>817</v>
      </c>
      <c r="Q103" s="326" t="str">
        <f t="shared" si="33"/>
        <v>NA</v>
      </c>
      <c r="R103" s="327">
        <f t="shared" si="33"/>
        <v>4085</v>
      </c>
      <c r="S103" s="328">
        <f t="shared" si="33"/>
        <v>817</v>
      </c>
      <c r="T103" s="185">
        <f t="shared" si="33"/>
        <v>817</v>
      </c>
      <c r="U103" s="37"/>
      <c r="V103" s="138"/>
    </row>
    <row r="104" spans="2:23" ht="13.8" thickBot="1" x14ac:dyDescent="0.3">
      <c r="B104" s="573" t="s">
        <v>76</v>
      </c>
      <c r="C104" s="207">
        <f t="shared" ref="C104:T104" si="34">C33</f>
        <v>0</v>
      </c>
      <c r="D104" s="208">
        <f t="shared" si="34"/>
        <v>0</v>
      </c>
      <c r="E104" s="208">
        <f t="shared" si="34"/>
        <v>0</v>
      </c>
      <c r="F104" s="208">
        <f t="shared" si="34"/>
        <v>985</v>
      </c>
      <c r="G104" s="208">
        <f t="shared" si="34"/>
        <v>832</v>
      </c>
      <c r="H104" s="208">
        <f t="shared" si="34"/>
        <v>0</v>
      </c>
      <c r="I104" s="699"/>
      <c r="J104" s="209">
        <f t="shared" si="34"/>
        <v>1817</v>
      </c>
      <c r="K104" s="332">
        <f t="shared" si="34"/>
        <v>0</v>
      </c>
      <c r="L104" s="296">
        <f t="shared" si="34"/>
        <v>0</v>
      </c>
      <c r="M104" s="297">
        <f t="shared" si="34"/>
        <v>450503.22293621261</v>
      </c>
      <c r="N104" s="207">
        <f t="shared" si="34"/>
        <v>0</v>
      </c>
      <c r="O104" s="208">
        <f t="shared" si="34"/>
        <v>0</v>
      </c>
      <c r="P104" s="209">
        <f t="shared" si="34"/>
        <v>462807.65590678074</v>
      </c>
      <c r="Q104" s="332">
        <f t="shared" si="34"/>
        <v>0</v>
      </c>
      <c r="R104" s="296">
        <f t="shared" si="34"/>
        <v>0</v>
      </c>
      <c r="S104" s="297">
        <f t="shared" si="34"/>
        <v>468353.46762650099</v>
      </c>
      <c r="T104" s="209">
        <f t="shared" si="34"/>
        <v>50829.66651959288</v>
      </c>
      <c r="U104" s="210" t="str">
        <f>U33</f>
        <v>NA</v>
      </c>
      <c r="V104" s="575">
        <f>V33</f>
        <v>409725.11563690525</v>
      </c>
    </row>
    <row r="105" spans="2:23" x14ac:dyDescent="0.25">
      <c r="B105" s="574" t="s">
        <v>96</v>
      </c>
      <c r="C105" s="197">
        <f t="shared" ref="C105:T105" si="35">C42</f>
        <v>0</v>
      </c>
      <c r="D105" s="25">
        <f t="shared" si="35"/>
        <v>0</v>
      </c>
      <c r="E105" s="25">
        <f t="shared" si="35"/>
        <v>0</v>
      </c>
      <c r="F105" s="25">
        <f t="shared" si="35"/>
        <v>16</v>
      </c>
      <c r="G105" s="25">
        <f t="shared" si="35"/>
        <v>0</v>
      </c>
      <c r="H105" s="25">
        <f t="shared" si="35"/>
        <v>0</v>
      </c>
      <c r="I105" s="9"/>
      <c r="J105" s="198">
        <f t="shared" si="35"/>
        <v>16</v>
      </c>
      <c r="K105" s="333" t="str">
        <f t="shared" si="35"/>
        <v>NA</v>
      </c>
      <c r="L105" s="334">
        <f t="shared" si="35"/>
        <v>688</v>
      </c>
      <c r="M105" s="335">
        <f t="shared" si="35"/>
        <v>688</v>
      </c>
      <c r="N105" s="199" t="str">
        <f t="shared" si="35"/>
        <v>NA</v>
      </c>
      <c r="O105" s="25">
        <f t="shared" si="35"/>
        <v>688</v>
      </c>
      <c r="P105" s="198">
        <f t="shared" si="35"/>
        <v>688</v>
      </c>
      <c r="Q105" s="333" t="str">
        <f t="shared" si="35"/>
        <v>NA</v>
      </c>
      <c r="R105" s="334">
        <f t="shared" si="35"/>
        <v>688</v>
      </c>
      <c r="S105" s="335">
        <f t="shared" si="35"/>
        <v>688</v>
      </c>
      <c r="T105" s="198">
        <f t="shared" si="35"/>
        <v>688</v>
      </c>
      <c r="U105" s="200" t="str">
        <f>U18</f>
        <v>NA</v>
      </c>
      <c r="V105" s="147" t="s">
        <v>12</v>
      </c>
    </row>
    <row r="106" spans="2:23" ht="13.8" thickBot="1" x14ac:dyDescent="0.3">
      <c r="B106" s="573" t="s">
        <v>76</v>
      </c>
      <c r="C106" s="211">
        <f t="shared" ref="C106:T106" si="36">C43</f>
        <v>0</v>
      </c>
      <c r="D106" s="208">
        <f t="shared" si="36"/>
        <v>0</v>
      </c>
      <c r="E106" s="208">
        <f t="shared" si="36"/>
        <v>0</v>
      </c>
      <c r="F106" s="208">
        <f t="shared" si="36"/>
        <v>16</v>
      </c>
      <c r="G106" s="208">
        <f t="shared" si="36"/>
        <v>0</v>
      </c>
      <c r="H106" s="208">
        <f t="shared" si="36"/>
        <v>0</v>
      </c>
      <c r="I106" s="699"/>
      <c r="J106" s="209">
        <f t="shared" si="36"/>
        <v>1788</v>
      </c>
      <c r="K106" s="332">
        <f t="shared" si="36"/>
        <v>2415.2337053682313</v>
      </c>
      <c r="L106" s="296">
        <f t="shared" si="36"/>
        <v>103855.04933083395</v>
      </c>
      <c r="M106" s="297">
        <f t="shared" si="36"/>
        <v>103855.04933083395</v>
      </c>
      <c r="N106" s="207">
        <f t="shared" si="36"/>
        <v>2481.2001174224424</v>
      </c>
      <c r="O106" s="208">
        <f t="shared" si="36"/>
        <v>106691.60504916502</v>
      </c>
      <c r="P106" s="209">
        <f t="shared" si="36"/>
        <v>106691.60504916502</v>
      </c>
      <c r="Q106" s="332">
        <f t="shared" si="36"/>
        <v>2510.9322718381081</v>
      </c>
      <c r="R106" s="296">
        <f t="shared" si="36"/>
        <v>107970.08768903866</v>
      </c>
      <c r="S106" s="297">
        <f t="shared" si="36"/>
        <v>107970.08768903866</v>
      </c>
      <c r="T106" s="209">
        <f t="shared" si="36"/>
        <v>106172.24735634588</v>
      </c>
      <c r="U106" s="209">
        <f>U43</f>
        <v>59380.451541580471</v>
      </c>
      <c r="V106" s="392" t="s">
        <v>12</v>
      </c>
    </row>
    <row r="107" spans="2:23" x14ac:dyDescent="0.25">
      <c r="B107" s="574" t="s">
        <v>99</v>
      </c>
      <c r="C107" s="197">
        <f t="shared" ref="C107:T107" si="37">C52</f>
        <v>0</v>
      </c>
      <c r="D107" s="25">
        <f t="shared" si="37"/>
        <v>0</v>
      </c>
      <c r="E107" s="25">
        <f t="shared" si="37"/>
        <v>0</v>
      </c>
      <c r="F107" s="25">
        <f t="shared" si="37"/>
        <v>5</v>
      </c>
      <c r="G107" s="25">
        <f t="shared" si="37"/>
        <v>0</v>
      </c>
      <c r="H107" s="25">
        <f t="shared" si="37"/>
        <v>0</v>
      </c>
      <c r="I107" s="9"/>
      <c r="J107" s="198">
        <f t="shared" si="37"/>
        <v>5</v>
      </c>
      <c r="K107" s="333" t="str">
        <f t="shared" si="37"/>
        <v>NA</v>
      </c>
      <c r="L107" s="334">
        <f t="shared" si="37"/>
        <v>215</v>
      </c>
      <c r="M107" s="335">
        <f t="shared" si="37"/>
        <v>215</v>
      </c>
      <c r="N107" s="199" t="str">
        <f t="shared" si="37"/>
        <v>NA</v>
      </c>
      <c r="O107" s="25">
        <f t="shared" si="37"/>
        <v>215</v>
      </c>
      <c r="P107" s="198">
        <f t="shared" si="37"/>
        <v>215</v>
      </c>
      <c r="Q107" s="333" t="str">
        <f t="shared" si="37"/>
        <v>NA</v>
      </c>
      <c r="R107" s="334">
        <f t="shared" si="37"/>
        <v>215</v>
      </c>
      <c r="S107" s="335">
        <f t="shared" si="37"/>
        <v>215</v>
      </c>
      <c r="T107" s="198">
        <f t="shared" si="37"/>
        <v>215</v>
      </c>
      <c r="U107" s="37"/>
      <c r="V107" s="138"/>
    </row>
    <row r="108" spans="2:23" ht="13.8" thickBot="1" x14ac:dyDescent="0.3">
      <c r="B108" s="573" t="s">
        <v>76</v>
      </c>
      <c r="C108" s="207">
        <f t="shared" ref="C108:T108" si="38">C53</f>
        <v>0</v>
      </c>
      <c r="D108" s="208">
        <f t="shared" si="38"/>
        <v>0</v>
      </c>
      <c r="E108" s="208">
        <f t="shared" si="38"/>
        <v>0</v>
      </c>
      <c r="F108" s="208">
        <f t="shared" si="38"/>
        <v>246</v>
      </c>
      <c r="G108" s="208">
        <f t="shared" si="38"/>
        <v>0</v>
      </c>
      <c r="H108" s="208">
        <f t="shared" si="38"/>
        <v>0</v>
      </c>
      <c r="I108" s="699"/>
      <c r="J108" s="209">
        <f t="shared" si="38"/>
        <v>246</v>
      </c>
      <c r="K108" s="332">
        <f t="shared" si="38"/>
        <v>332.29725476542779</v>
      </c>
      <c r="L108" s="296">
        <f t="shared" si="38"/>
        <v>14288.781954913395</v>
      </c>
      <c r="M108" s="297">
        <f t="shared" si="38"/>
        <v>14288.781954913395</v>
      </c>
      <c r="N108" s="211">
        <f t="shared" si="38"/>
        <v>341.37317051785283</v>
      </c>
      <c r="O108" s="208">
        <f t="shared" si="38"/>
        <v>14679.046332267671</v>
      </c>
      <c r="P108" s="209">
        <f t="shared" si="38"/>
        <v>14679.046332267671</v>
      </c>
      <c r="Q108" s="332">
        <f t="shared" si="38"/>
        <v>345.46383605826321</v>
      </c>
      <c r="R108" s="296">
        <f t="shared" si="38"/>
        <v>14854.944950505318</v>
      </c>
      <c r="S108" s="297">
        <f t="shared" si="38"/>
        <v>14854.944950505318</v>
      </c>
      <c r="T108" s="209">
        <f t="shared" si="38"/>
        <v>14607.591079228796</v>
      </c>
      <c r="U108" s="209">
        <f>U53</f>
        <v>118760.90308316094</v>
      </c>
      <c r="V108" s="576" t="s">
        <v>12</v>
      </c>
    </row>
    <row r="109" spans="2:23" x14ac:dyDescent="0.25">
      <c r="B109" s="574" t="s">
        <v>100</v>
      </c>
      <c r="C109" s="197">
        <f t="shared" ref="C109:V109" si="39">C62</f>
        <v>0</v>
      </c>
      <c r="D109" s="25">
        <f t="shared" si="39"/>
        <v>0</v>
      </c>
      <c r="E109" s="25">
        <f t="shared" si="39"/>
        <v>3</v>
      </c>
      <c r="F109" s="25">
        <f t="shared" si="39"/>
        <v>7</v>
      </c>
      <c r="G109" s="25">
        <f t="shared" si="39"/>
        <v>0</v>
      </c>
      <c r="H109" s="25">
        <f t="shared" si="39"/>
        <v>0</v>
      </c>
      <c r="I109" s="9"/>
      <c r="J109" s="198">
        <f t="shared" si="39"/>
        <v>10</v>
      </c>
      <c r="K109" s="333" t="str">
        <f t="shared" si="39"/>
        <v>NA</v>
      </c>
      <c r="L109" s="334">
        <f t="shared" si="39"/>
        <v>430</v>
      </c>
      <c r="M109" s="335">
        <f t="shared" si="39"/>
        <v>430</v>
      </c>
      <c r="N109" s="199" t="str">
        <f t="shared" si="39"/>
        <v>NA</v>
      </c>
      <c r="O109" s="25">
        <f t="shared" si="39"/>
        <v>430</v>
      </c>
      <c r="P109" s="198">
        <f t="shared" si="39"/>
        <v>430</v>
      </c>
      <c r="Q109" s="333" t="str">
        <f t="shared" si="39"/>
        <v>NA</v>
      </c>
      <c r="R109" s="334">
        <f t="shared" si="39"/>
        <v>430</v>
      </c>
      <c r="S109" s="335">
        <f t="shared" si="39"/>
        <v>430</v>
      </c>
      <c r="T109" s="198">
        <f t="shared" si="39"/>
        <v>430</v>
      </c>
      <c r="U109" s="212" t="str">
        <f t="shared" si="39"/>
        <v>NA</v>
      </c>
      <c r="V109" s="577" t="str">
        <f t="shared" si="39"/>
        <v>NA</v>
      </c>
    </row>
    <row r="110" spans="2:23" ht="13.8" thickBot="1" x14ac:dyDescent="0.3">
      <c r="B110" s="573" t="s">
        <v>76</v>
      </c>
      <c r="C110" s="207">
        <f t="shared" ref="C110:U110" si="40">C63</f>
        <v>0</v>
      </c>
      <c r="D110" s="208">
        <f t="shared" si="40"/>
        <v>0</v>
      </c>
      <c r="E110" s="208">
        <f t="shared" si="40"/>
        <v>132</v>
      </c>
      <c r="F110" s="208">
        <f t="shared" si="40"/>
        <v>345</v>
      </c>
      <c r="G110" s="208">
        <f t="shared" si="40"/>
        <v>0</v>
      </c>
      <c r="H110" s="208">
        <f t="shared" si="40"/>
        <v>0</v>
      </c>
      <c r="I110" s="699"/>
      <c r="J110" s="209">
        <f t="shared" si="40"/>
        <v>477</v>
      </c>
      <c r="K110" s="332">
        <f t="shared" si="40"/>
        <v>644.33248180125634</v>
      </c>
      <c r="L110" s="296">
        <f t="shared" si="40"/>
        <v>27706.296717454024</v>
      </c>
      <c r="M110" s="297">
        <f t="shared" si="40"/>
        <v>27706.296717454024</v>
      </c>
      <c r="N110" s="207">
        <f t="shared" si="40"/>
        <v>661.9309038090073</v>
      </c>
      <c r="O110" s="208">
        <f t="shared" si="40"/>
        <v>28463.028863787313</v>
      </c>
      <c r="P110" s="209">
        <f t="shared" si="40"/>
        <v>28463.028863787313</v>
      </c>
      <c r="Q110" s="339">
        <f t="shared" si="40"/>
        <v>669.86280406419337</v>
      </c>
      <c r="R110" s="296">
        <f t="shared" si="40"/>
        <v>28804.100574760312</v>
      </c>
      <c r="S110" s="297">
        <f t="shared" si="40"/>
        <v>28804.100574760312</v>
      </c>
      <c r="T110" s="209">
        <f t="shared" si="40"/>
        <v>28324.475385333888</v>
      </c>
      <c r="U110" s="210" t="str">
        <f t="shared" si="40"/>
        <v>NA</v>
      </c>
      <c r="V110" s="392" t="s">
        <v>12</v>
      </c>
    </row>
    <row r="111" spans="2:23" x14ac:dyDescent="0.25">
      <c r="B111" s="574" t="s">
        <v>101</v>
      </c>
      <c r="C111" s="213">
        <f t="shared" ref="C111:T111" si="41">C86</f>
        <v>0</v>
      </c>
      <c r="D111" s="214">
        <f t="shared" si="41"/>
        <v>1</v>
      </c>
      <c r="E111" s="214">
        <f t="shared" si="41"/>
        <v>19.2</v>
      </c>
      <c r="F111" s="214">
        <f t="shared" si="41"/>
        <v>42.3</v>
      </c>
      <c r="G111" s="214">
        <f t="shared" si="41"/>
        <v>41</v>
      </c>
      <c r="H111" s="214">
        <f t="shared" si="41"/>
        <v>0</v>
      </c>
      <c r="I111" s="700"/>
      <c r="J111" s="215">
        <f t="shared" si="41"/>
        <v>103.5</v>
      </c>
      <c r="K111" s="336" t="str">
        <f t="shared" si="41"/>
        <v>NA</v>
      </c>
      <c r="L111" s="337" t="str">
        <f t="shared" si="41"/>
        <v>NA</v>
      </c>
      <c r="M111" s="294">
        <f t="shared" si="41"/>
        <v>3603.7</v>
      </c>
      <c r="N111" s="216" t="str">
        <f t="shared" si="41"/>
        <v>NA</v>
      </c>
      <c r="O111" s="217" t="str">
        <f t="shared" si="41"/>
        <v>NA</v>
      </c>
      <c r="P111" s="215">
        <f t="shared" si="41"/>
        <v>3603.7</v>
      </c>
      <c r="Q111" s="336" t="str">
        <f t="shared" si="41"/>
        <v>NA</v>
      </c>
      <c r="R111" s="337" t="str">
        <f t="shared" si="41"/>
        <v>NA</v>
      </c>
      <c r="S111" s="294">
        <f t="shared" si="41"/>
        <v>3603.7</v>
      </c>
      <c r="T111" s="215">
        <f t="shared" si="41"/>
        <v>3603.6999999999994</v>
      </c>
      <c r="U111" s="136" t="s">
        <v>12</v>
      </c>
      <c r="V111" s="147" t="s">
        <v>12</v>
      </c>
    </row>
    <row r="112" spans="2:23" ht="13.8" thickBot="1" x14ac:dyDescent="0.3">
      <c r="B112" s="573" t="s">
        <v>76</v>
      </c>
      <c r="C112" s="207">
        <f t="shared" ref="C112:T112" si="42">C87</f>
        <v>0</v>
      </c>
      <c r="D112" s="208">
        <f t="shared" si="42"/>
        <v>41</v>
      </c>
      <c r="E112" s="208">
        <f t="shared" si="42"/>
        <v>847</v>
      </c>
      <c r="F112" s="208">
        <f t="shared" si="42"/>
        <v>2085</v>
      </c>
      <c r="G112" s="208">
        <f t="shared" si="42"/>
        <v>2272</v>
      </c>
      <c r="H112" s="208">
        <f t="shared" si="42"/>
        <v>0</v>
      </c>
      <c r="I112" s="699"/>
      <c r="J112" s="209">
        <f t="shared" si="42"/>
        <v>5245</v>
      </c>
      <c r="K112" s="332">
        <f t="shared" si="42"/>
        <v>7084.9556961165408</v>
      </c>
      <c r="L112" s="338" t="str">
        <f t="shared" si="42"/>
        <v>NA</v>
      </c>
      <c r="M112" s="297">
        <f t="shared" si="42"/>
        <v>242996.0147122104</v>
      </c>
      <c r="N112" s="211">
        <f t="shared" si="42"/>
        <v>7278.4645502688545</v>
      </c>
      <c r="O112" s="219" t="str">
        <f t="shared" si="42"/>
        <v>NA</v>
      </c>
      <c r="P112" s="209">
        <f t="shared" si="42"/>
        <v>249632.87771988066</v>
      </c>
      <c r="Q112" s="332">
        <f t="shared" si="42"/>
        <v>7365.6821956324811</v>
      </c>
      <c r="R112" s="338" t="str">
        <f t="shared" si="42"/>
        <v>NA</v>
      </c>
      <c r="S112" s="297">
        <f t="shared" si="42"/>
        <v>252624.22179385441</v>
      </c>
      <c r="T112" s="209">
        <f t="shared" si="42"/>
        <v>248417.70474198181</v>
      </c>
      <c r="U112" s="209">
        <f>U87</f>
        <v>0</v>
      </c>
      <c r="V112" s="392" t="s">
        <v>12</v>
      </c>
    </row>
    <row r="113" spans="2:22" x14ac:dyDescent="0.25">
      <c r="B113" s="574" t="s">
        <v>102</v>
      </c>
      <c r="C113" s="197">
        <f t="shared" ref="C113:T113" si="43">C96</f>
        <v>0</v>
      </c>
      <c r="D113" s="25">
        <f t="shared" si="43"/>
        <v>0</v>
      </c>
      <c r="E113" s="25">
        <f t="shared" si="43"/>
        <v>16</v>
      </c>
      <c r="F113" s="25">
        <f t="shared" si="43"/>
        <v>8</v>
      </c>
      <c r="G113" s="25">
        <f t="shared" si="43"/>
        <v>10</v>
      </c>
      <c r="H113" s="25">
        <f t="shared" si="43"/>
        <v>8</v>
      </c>
      <c r="I113" s="9"/>
      <c r="J113" s="198">
        <f t="shared" si="43"/>
        <v>42</v>
      </c>
      <c r="K113" s="333" t="str">
        <f t="shared" si="43"/>
        <v>NA</v>
      </c>
      <c r="L113" s="334">
        <f t="shared" si="43"/>
        <v>1806</v>
      </c>
      <c r="M113" s="335">
        <f t="shared" si="43"/>
        <v>1806</v>
      </c>
      <c r="N113" s="199" t="str">
        <f t="shared" si="43"/>
        <v>NA</v>
      </c>
      <c r="O113" s="25">
        <f t="shared" si="43"/>
        <v>1806</v>
      </c>
      <c r="P113" s="198">
        <f t="shared" si="43"/>
        <v>1806</v>
      </c>
      <c r="Q113" s="333" t="str">
        <f t="shared" si="43"/>
        <v>NA</v>
      </c>
      <c r="R113" s="334">
        <f t="shared" si="43"/>
        <v>1806</v>
      </c>
      <c r="S113" s="335">
        <f t="shared" si="43"/>
        <v>1806</v>
      </c>
      <c r="T113" s="198">
        <f t="shared" si="43"/>
        <v>1806</v>
      </c>
      <c r="U113" s="136" t="s">
        <v>12</v>
      </c>
      <c r="V113" s="147" t="s">
        <v>12</v>
      </c>
    </row>
    <row r="114" spans="2:22" ht="13.8" thickBot="1" x14ac:dyDescent="0.3">
      <c r="B114" s="578" t="s">
        <v>76</v>
      </c>
      <c r="C114" s="220">
        <f t="shared" ref="C114:T114" si="44">C97</f>
        <v>0</v>
      </c>
      <c r="D114" s="221">
        <f t="shared" si="44"/>
        <v>0</v>
      </c>
      <c r="E114" s="221">
        <f t="shared" si="44"/>
        <v>706</v>
      </c>
      <c r="F114" s="221">
        <f t="shared" si="44"/>
        <v>394</v>
      </c>
      <c r="G114" s="221">
        <f t="shared" si="44"/>
        <v>555</v>
      </c>
      <c r="H114" s="221">
        <f t="shared" si="44"/>
        <v>469</v>
      </c>
      <c r="I114" s="701"/>
      <c r="J114" s="222">
        <f t="shared" si="44"/>
        <v>2124</v>
      </c>
      <c r="K114" s="304">
        <f t="shared" si="44"/>
        <v>2869.1031265112551</v>
      </c>
      <c r="L114" s="305">
        <f t="shared" si="44"/>
        <v>123371.43443998395</v>
      </c>
      <c r="M114" s="306">
        <f t="shared" si="44"/>
        <v>123371.43443998395</v>
      </c>
      <c r="N114" s="220">
        <f t="shared" si="44"/>
        <v>2947.4659113004855</v>
      </c>
      <c r="O114" s="221">
        <f t="shared" si="44"/>
        <v>126741.03418592086</v>
      </c>
      <c r="P114" s="222">
        <f t="shared" si="44"/>
        <v>126741.03418592086</v>
      </c>
      <c r="Q114" s="311">
        <f t="shared" si="44"/>
        <v>2982.7853162103702</v>
      </c>
      <c r="R114" s="305">
        <f t="shared" si="44"/>
        <v>128259.76859704591</v>
      </c>
      <c r="S114" s="306">
        <f t="shared" si="44"/>
        <v>128259.76859704591</v>
      </c>
      <c r="T114" s="222">
        <f t="shared" si="44"/>
        <v>126124.07907431691</v>
      </c>
      <c r="U114" s="223" t="str">
        <f>U97</f>
        <v>NA</v>
      </c>
      <c r="V114" s="224" t="s">
        <v>12</v>
      </c>
    </row>
    <row r="115" spans="2:22" ht="18" thickTop="1" x14ac:dyDescent="0.3">
      <c r="B115" s="579" t="s">
        <v>13</v>
      </c>
      <c r="C115" s="183" t="s">
        <v>45</v>
      </c>
      <c r="D115" s="108" t="s">
        <v>46</v>
      </c>
      <c r="E115" s="107" t="s">
        <v>47</v>
      </c>
      <c r="F115" s="107" t="s">
        <v>48</v>
      </c>
      <c r="G115" s="107" t="s">
        <v>49</v>
      </c>
      <c r="H115" s="107" t="s">
        <v>50</v>
      </c>
      <c r="I115" s="679"/>
      <c r="J115" s="109" t="s">
        <v>13</v>
      </c>
      <c r="K115" s="110" t="s">
        <v>56</v>
      </c>
      <c r="L115" s="108" t="s">
        <v>13</v>
      </c>
      <c r="M115" s="111" t="s">
        <v>68</v>
      </c>
      <c r="N115" s="110" t="s">
        <v>56</v>
      </c>
      <c r="O115" s="108" t="s">
        <v>13</v>
      </c>
      <c r="P115" s="111" t="s">
        <v>68</v>
      </c>
      <c r="Q115" s="110" t="s">
        <v>56</v>
      </c>
      <c r="R115" s="108" t="s">
        <v>13</v>
      </c>
      <c r="S115" s="111" t="s">
        <v>68</v>
      </c>
      <c r="T115" s="111"/>
      <c r="U115" s="37"/>
      <c r="V115" s="138"/>
    </row>
    <row r="116" spans="2:22" x14ac:dyDescent="0.25">
      <c r="B116" s="580" t="s">
        <v>75</v>
      </c>
      <c r="C116" s="195">
        <f t="shared" ref="C116:J117" si="45">C101+C103+C105+C107+C109+C111+C113</f>
        <v>0</v>
      </c>
      <c r="D116" s="101">
        <f t="shared" si="45"/>
        <v>1</v>
      </c>
      <c r="E116" s="101">
        <f t="shared" si="45"/>
        <v>38.200000000000003</v>
      </c>
      <c r="F116" s="101">
        <f t="shared" si="45"/>
        <v>103.3</v>
      </c>
      <c r="G116" s="101">
        <f t="shared" si="45"/>
        <v>78</v>
      </c>
      <c r="H116" s="101">
        <f t="shared" si="45"/>
        <v>10</v>
      </c>
      <c r="I116" s="702"/>
      <c r="J116" s="102">
        <f t="shared" si="45"/>
        <v>230.5</v>
      </c>
      <c r="K116" s="340" t="s">
        <v>12</v>
      </c>
      <c r="L116" s="281">
        <f>L101+L103+L105+L107+L109+L113</f>
        <v>7965</v>
      </c>
      <c r="M116" s="289">
        <f>M101+M103+M105+M107+M109+M111+M113</f>
        <v>7707.9</v>
      </c>
      <c r="N116" s="103" t="s">
        <v>12</v>
      </c>
      <c r="O116" s="101">
        <f>O101+O103+O105+O107+O109+O113</f>
        <v>7965</v>
      </c>
      <c r="P116" s="102">
        <f>P101+P103+P105+P107+P109+P111+P113</f>
        <v>7707.9</v>
      </c>
      <c r="Q116" s="340" t="s">
        <v>12</v>
      </c>
      <c r="R116" s="281">
        <f>R101+R103+R105+R107+R109+R113</f>
        <v>7965</v>
      </c>
      <c r="S116" s="289">
        <f>S101+S103+S105+S107+S109+S111+S113</f>
        <v>7707.9</v>
      </c>
      <c r="T116" s="174">
        <f>T101+T103+T105+T107+T109+T111+T113</f>
        <v>7707.9</v>
      </c>
      <c r="U116" s="102"/>
      <c r="V116" s="140" t="s">
        <v>12</v>
      </c>
    </row>
    <row r="117" spans="2:22" s="235" customFormat="1" ht="16.2" thickBot="1" x14ac:dyDescent="0.35">
      <c r="B117" s="581" t="s">
        <v>76</v>
      </c>
      <c r="C117" s="582">
        <f t="shared" si="45"/>
        <v>0</v>
      </c>
      <c r="D117" s="583">
        <f t="shared" si="45"/>
        <v>41</v>
      </c>
      <c r="E117" s="583">
        <f t="shared" si="45"/>
        <v>1685</v>
      </c>
      <c r="F117" s="583">
        <f t="shared" si="45"/>
        <v>4317</v>
      </c>
      <c r="G117" s="583">
        <f t="shared" si="45"/>
        <v>4325</v>
      </c>
      <c r="H117" s="583">
        <f t="shared" si="45"/>
        <v>586</v>
      </c>
      <c r="I117" s="703"/>
      <c r="J117" s="584">
        <f t="shared" si="45"/>
        <v>12726</v>
      </c>
      <c r="K117" s="585">
        <f>K102+K104+K106+K108+K110+K112+K114</f>
        <v>14735.89736681322</v>
      </c>
      <c r="L117" s="586">
        <f>L102+L104+L106+L108+L110+L114</f>
        <v>323430.59143095522</v>
      </c>
      <c r="M117" s="587">
        <f>M102+M104+M106+M108+M110+M112+M114</f>
        <v>973562.60588916217</v>
      </c>
      <c r="N117" s="582">
        <f>N102+N104+N106+N108+N110+N112+N114</f>
        <v>15138.373647070148</v>
      </c>
      <c r="O117" s="588">
        <f>O102+O104+O106+O108+O110+O114</f>
        <v>332264.33518744959</v>
      </c>
      <c r="P117" s="584">
        <f>P102+P104+P106+P108+P110+P112+P114</f>
        <v>1000153.172209064</v>
      </c>
      <c r="Q117" s="589">
        <f>Q102+Q104+Q106+Q108+Q110+Q112+Q114</f>
        <v>15319.776372193468</v>
      </c>
      <c r="R117" s="586">
        <f>R102+R104+R106+R108+R110+R114</f>
        <v>336245.84979856224</v>
      </c>
      <c r="S117" s="587">
        <f>S102+S104+S106+S108+S110+S112+S114</f>
        <v>1012137.980829148</v>
      </c>
      <c r="T117" s="590">
        <f>T102+T104+T106+T108+T110+T112+T114</f>
        <v>585559.47067221953</v>
      </c>
      <c r="U117" s="584">
        <f>SUM(U102,U104,U106,U108,U110,U112,U114)</f>
        <v>178141.35462474142</v>
      </c>
      <c r="V117" s="591">
        <f>SUM(V102,V104,V106,V108,V110,V112,V114)</f>
        <v>409725.11563690525</v>
      </c>
    </row>
  </sheetData>
  <mergeCells count="35">
    <mergeCell ref="R90:S90"/>
    <mergeCell ref="R36:S36"/>
    <mergeCell ref="R46:S46"/>
    <mergeCell ref="R56:S56"/>
    <mergeCell ref="R83:S83"/>
    <mergeCell ref="R67:S67"/>
    <mergeCell ref="G66:J66"/>
    <mergeCell ref="O83:P83"/>
    <mergeCell ref="L90:M90"/>
    <mergeCell ref="O36:P36"/>
    <mergeCell ref="O46:P46"/>
    <mergeCell ref="O67:P67"/>
    <mergeCell ref="O90:P90"/>
    <mergeCell ref="O56:P56"/>
    <mergeCell ref="L36:M36"/>
    <mergeCell ref="G89:J89"/>
    <mergeCell ref="L67:M67"/>
    <mergeCell ref="L56:M56"/>
    <mergeCell ref="G55:J55"/>
    <mergeCell ref="G36:J36"/>
    <mergeCell ref="L46:M46"/>
    <mergeCell ref="G15:J15"/>
    <mergeCell ref="G35:J35"/>
    <mergeCell ref="G46:J46"/>
    <mergeCell ref="G45:J45"/>
    <mergeCell ref="T2:U2"/>
    <mergeCell ref="R16:S16"/>
    <mergeCell ref="G7:J7"/>
    <mergeCell ref="L16:M16"/>
    <mergeCell ref="F2:G2"/>
    <mergeCell ref="C5:J5"/>
    <mergeCell ref="R8:S8"/>
    <mergeCell ref="L8:M8"/>
    <mergeCell ref="O8:P8"/>
    <mergeCell ref="O16:P16"/>
  </mergeCells>
  <phoneticPr fontId="2" type="noConversion"/>
  <dataValidations disablePrompts="1" count="1">
    <dataValidation allowBlank="1" showInputMessage="1" showErrorMessage="1" sqref="D38 D18:D24" xr:uid="{00000000-0002-0000-0E00-000000000000}"/>
  </dataValidations>
  <pageMargins left="0.25" right="0.28000000000000003" top="0.64" bottom="0.47" header="0.5" footer="0.44"/>
  <pageSetup scale="43" fitToHeight="25" orientation="landscape" r:id="rId1"/>
  <headerFooter alignWithMargins="0"/>
  <rowBreaks count="1" manualBreakCount="1">
    <brk id="64" max="2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24"/>
  <sheetViews>
    <sheetView topLeftCell="A40" zoomScaleNormal="100" workbookViewId="0">
      <selection activeCell="F3" sqref="F3"/>
    </sheetView>
  </sheetViews>
  <sheetFormatPr defaultRowHeight="13.2" x14ac:dyDescent="0.25"/>
  <cols>
    <col min="1" max="1" width="1.109375" customWidth="1"/>
    <col min="2" max="2" width="31.44140625" customWidth="1"/>
    <col min="3" max="3" width="15.5546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644" t="s">
        <v>194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39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43</v>
      </c>
      <c r="M4" s="396" t="s">
        <v>71</v>
      </c>
      <c r="N4" s="431" t="s">
        <v>69</v>
      </c>
      <c r="O4" s="20">
        <v>43</v>
      </c>
      <c r="P4" s="425" t="s">
        <v>71</v>
      </c>
      <c r="Q4" s="429" t="s">
        <v>69</v>
      </c>
      <c r="R4" s="20">
        <v>43</v>
      </c>
      <c r="S4" s="115" t="s">
        <v>69</v>
      </c>
      <c r="T4" s="106">
        <f>AVERAGE(L4,O4,R4)</f>
        <v>43</v>
      </c>
      <c r="U4" s="37"/>
    </row>
    <row r="5" spans="1:21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341">
        <v>39</v>
      </c>
      <c r="K5" s="342" t="s">
        <v>70</v>
      </c>
      <c r="L5" s="343">
        <f>L4*$I$4</f>
        <v>0</v>
      </c>
      <c r="M5" s="631">
        <v>39</v>
      </c>
      <c r="N5" s="344" t="s">
        <v>70</v>
      </c>
      <c r="O5" s="345">
        <f>O4*$I$4</f>
        <v>0</v>
      </c>
      <c r="P5" s="630">
        <v>39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195</v>
      </c>
      <c r="C7" s="239"/>
      <c r="D7" s="431" t="s">
        <v>54</v>
      </c>
      <c r="E7" s="28">
        <v>5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57" t="s">
        <v>55</v>
      </c>
      <c r="N8" s="1432" t="s">
        <v>57</v>
      </c>
      <c r="O8" s="1433"/>
      <c r="P8" s="277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 x14ac:dyDescent="0.25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 x14ac:dyDescent="0.25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8" thickBot="1" x14ac:dyDescent="0.3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 x14ac:dyDescent="0.25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8" thickBot="1" x14ac:dyDescent="0.3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4" thickTop="1" thickBot="1" x14ac:dyDescent="0.3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2" thickTop="1" x14ac:dyDescent="0.3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5"/>
      <c r="H18" s="1416"/>
      <c r="I18" s="1417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 x14ac:dyDescent="0.25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22" t="s">
        <v>57</v>
      </c>
      <c r="L19" s="1423"/>
      <c r="M19" s="93" t="s">
        <v>61</v>
      </c>
      <c r="N19" s="1432" t="s">
        <v>57</v>
      </c>
      <c r="O19" s="1433"/>
      <c r="P19" s="262" t="s">
        <v>61</v>
      </c>
      <c r="Q19" s="1422" t="s">
        <v>57</v>
      </c>
      <c r="R19" s="1423"/>
      <c r="S19" s="131"/>
      <c r="T19" s="37"/>
      <c r="U19" s="138"/>
    </row>
    <row r="20" spans="1:22" x14ac:dyDescent="0.25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 x14ac:dyDescent="0.25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2019</v>
      </c>
      <c r="E21" s="74"/>
      <c r="F21" s="75"/>
      <c r="G21" s="76"/>
      <c r="H21" s="76"/>
      <c r="I21" s="37"/>
      <c r="J21" s="279">
        <f>HLOOKUP(D21,InflationTable,2)*$C$21</f>
        <v>21612.829578239209</v>
      </c>
      <c r="K21" s="279">
        <f>J21*$L$4</f>
        <v>929351.67186428595</v>
      </c>
      <c r="L21" s="280">
        <f>K21/$E$18</f>
        <v>185870.33437285718</v>
      </c>
      <c r="M21" s="78">
        <f>HLOOKUP($D$21,InflationTable,3)*$C$21</f>
        <v>22203.133041811565</v>
      </c>
      <c r="N21" s="27">
        <f>M21*$L$4</f>
        <v>954734.72079789732</v>
      </c>
      <c r="O21" s="182">
        <f>N21/$E$18</f>
        <v>190946.94415957946</v>
      </c>
      <c r="P21" s="298">
        <f>HLOOKUP($D$21,InflationTable,4)*$C$21</f>
        <v>22469.192589155329</v>
      </c>
      <c r="Q21" s="279">
        <f>P21*$L$4</f>
        <v>966175.2813336791</v>
      </c>
      <c r="R21" s="280">
        <f>Q21/$E$18</f>
        <v>193235.05626673583</v>
      </c>
      <c r="S21" s="127" t="s">
        <v>12</v>
      </c>
      <c r="T21" s="119" t="s">
        <v>12</v>
      </c>
      <c r="U21" s="139">
        <f>AVERAGE(L21,O21,R21)</f>
        <v>190017.4449330575</v>
      </c>
    </row>
    <row r="22" spans="1:22" ht="13.8" thickBot="1" x14ac:dyDescent="0.3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 x14ac:dyDescent="0.25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 x14ac:dyDescent="0.25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344</v>
      </c>
      <c r="L24" s="282">
        <f>K24/$E$18</f>
        <v>68.8</v>
      </c>
      <c r="M24" s="58" t="s">
        <v>12</v>
      </c>
      <c r="N24" s="69">
        <f>$I$24*($O$4+$O$5)</f>
        <v>344</v>
      </c>
      <c r="O24" s="59">
        <f>N24/$E$18</f>
        <v>68.8</v>
      </c>
      <c r="P24" s="263" t="s">
        <v>12</v>
      </c>
      <c r="Q24" s="281">
        <f>$I$24*($R$4+$R$5)</f>
        <v>344</v>
      </c>
      <c r="R24" s="282">
        <f>Q24/$E$18</f>
        <v>68.8</v>
      </c>
      <c r="S24" s="151">
        <f>AVERAGE(L24,O24,R24)</f>
        <v>68.8</v>
      </c>
      <c r="T24" s="119" t="s">
        <v>12</v>
      </c>
      <c r="U24" s="140" t="s">
        <v>12</v>
      </c>
    </row>
    <row r="25" spans="1:22" s="1" customFormat="1" ht="13.8" thickBot="1" x14ac:dyDescent="0.3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532.2159283641405</v>
      </c>
      <c r="K25" s="296">
        <f>J25*($L$4+$L$5)</f>
        <v>22885.284919658043</v>
      </c>
      <c r="L25" s="297">
        <f>K25/$E$18</f>
        <v>4577.0569839316086</v>
      </c>
      <c r="M25" s="376">
        <f>HLOOKUP(Labor!$B$11,InflationTable,3)*$I25</f>
        <v>546.75215115460981</v>
      </c>
      <c r="N25" s="377">
        <f>M25*$L$4</f>
        <v>23510.342499648221</v>
      </c>
      <c r="O25" s="378">
        <f>N25/$E$18</f>
        <v>4702.0684999296445</v>
      </c>
      <c r="P25" s="332">
        <f>HLOOKUP(Labor!$B$11,InflationTable,4)*$I25</f>
        <v>553.30386750795003</v>
      </c>
      <c r="Q25" s="296">
        <f>P25*$L$4</f>
        <v>23792.066302841853</v>
      </c>
      <c r="R25" s="390">
        <f>Q25/$E$18</f>
        <v>4758.4132605683708</v>
      </c>
      <c r="S25" s="391">
        <f>AVERAGE(L25,O25,R25)</f>
        <v>4679.1795814765419</v>
      </c>
      <c r="T25" s="218" t="s">
        <v>12</v>
      </c>
      <c r="U25" s="392" t="s">
        <v>12</v>
      </c>
    </row>
    <row r="26" spans="1:22" x14ac:dyDescent="0.25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258</v>
      </c>
      <c r="L26" s="294">
        <f>K26/$E$18</f>
        <v>51.6</v>
      </c>
      <c r="M26" s="61" t="s">
        <v>12</v>
      </c>
      <c r="N26" s="348">
        <f>I26*$O$4</f>
        <v>258</v>
      </c>
      <c r="O26" s="62">
        <f>N26/$E$18</f>
        <v>51.6</v>
      </c>
      <c r="P26" s="293" t="s">
        <v>12</v>
      </c>
      <c r="Q26" s="327">
        <f>$I26*$O$4</f>
        <v>258</v>
      </c>
      <c r="R26" s="367">
        <f>Q26/$E$18</f>
        <v>51.6</v>
      </c>
      <c r="S26" s="129">
        <f>AVERAGE(L26,O26,R26)</f>
        <v>51.6</v>
      </c>
      <c r="T26" s="136" t="s">
        <v>12</v>
      </c>
      <c r="U26" s="147" t="s">
        <v>12</v>
      </c>
    </row>
    <row r="27" spans="1:22" s="1" customFormat="1" ht="13.8" thickBot="1" x14ac:dyDescent="0.3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330.94645291678785</v>
      </c>
      <c r="K27" s="296">
        <f>J27*$L$4</f>
        <v>14230.697475421877</v>
      </c>
      <c r="L27" s="297">
        <f>K27/$E$18</f>
        <v>2846.1394950843755</v>
      </c>
      <c r="M27" s="376">
        <f>HLOOKUP(Labor!$B$11,InflationTable,3)*$I27</f>
        <v>339.98547470273957</v>
      </c>
      <c r="N27" s="377">
        <f>M27*$O$4</f>
        <v>14619.375412217802</v>
      </c>
      <c r="O27" s="378">
        <f>N27/$E$18</f>
        <v>2923.8750824435601</v>
      </c>
      <c r="P27" s="339">
        <f>HLOOKUP(Labor!$B$11,InflationTable,4)*$I27</f>
        <v>344.05951152144098</v>
      </c>
      <c r="Q27" s="296">
        <f>P27*$R$4</f>
        <v>14794.558995421961</v>
      </c>
      <c r="R27" s="297">
        <f>Q27/$E$18</f>
        <v>2958.9117990843924</v>
      </c>
      <c r="S27" s="211">
        <f>AVERAGE(L27,O27,R27)</f>
        <v>2909.642125537443</v>
      </c>
      <c r="T27" s="393" t="s">
        <v>12</v>
      </c>
      <c r="U27" s="392" t="s">
        <v>12</v>
      </c>
    </row>
    <row r="28" spans="1:22" x14ac:dyDescent="0.25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602</v>
      </c>
      <c r="L28" s="286">
        <f>L24+L26</f>
        <v>120.4</v>
      </c>
      <c r="M28" s="44" t="s">
        <v>12</v>
      </c>
      <c r="N28" s="33">
        <f>N24+N26</f>
        <v>602</v>
      </c>
      <c r="O28" s="40">
        <f>O24+O26</f>
        <v>120.4</v>
      </c>
      <c r="P28" s="284" t="s">
        <v>12</v>
      </c>
      <c r="Q28" s="285">
        <f>Q24+Q26</f>
        <v>602</v>
      </c>
      <c r="R28" s="286">
        <f>R24+R26</f>
        <v>120.4</v>
      </c>
      <c r="S28" s="175">
        <f>AVERAGE(L28,O28,R28)</f>
        <v>120.40000000000002</v>
      </c>
      <c r="T28" s="136" t="s">
        <v>12</v>
      </c>
      <c r="U28" s="147" t="s">
        <v>12</v>
      </c>
    </row>
    <row r="29" spans="1:22" ht="13.8" thickBot="1" x14ac:dyDescent="0.3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863.16238128092834</v>
      </c>
      <c r="K29" s="287"/>
      <c r="L29" s="276">
        <f>L27+L25+L22+L21</f>
        <v>193293.53085187316</v>
      </c>
      <c r="M29" s="242">
        <f>M27+M25</f>
        <v>886.73762585734937</v>
      </c>
      <c r="N29" s="247"/>
      <c r="O29" s="243">
        <f>O27+O25+O22+O21</f>
        <v>198572.88774195267</v>
      </c>
      <c r="P29" s="274">
        <f>P27+P25</f>
        <v>897.36337902939101</v>
      </c>
      <c r="Q29" s="287"/>
      <c r="R29" s="276">
        <f>R27+R25+R22+R21</f>
        <v>200952.3813263886</v>
      </c>
      <c r="S29" s="248">
        <f>SUM(S27,S25)</f>
        <v>7588.8217070139854</v>
      </c>
      <c r="T29" s="249" t="s">
        <v>12</v>
      </c>
      <c r="U29" s="250">
        <f>SUM(U21:U22)</f>
        <v>190017.4449330575</v>
      </c>
    </row>
    <row r="30" spans="1:22" ht="14.4" thickTop="1" thickBot="1" x14ac:dyDescent="0.3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2" thickTop="1" x14ac:dyDescent="0.3">
      <c r="A31" s="615"/>
      <c r="B31" s="709" t="s">
        <v>22</v>
      </c>
      <c r="C31" s="5"/>
      <c r="D31" s="5"/>
      <c r="E31" s="5"/>
      <c r="F31" s="112" t="s">
        <v>6</v>
      </c>
      <c r="G31" s="1415"/>
      <c r="H31" s="1416"/>
      <c r="I31" s="1417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 x14ac:dyDescent="0.25">
      <c r="A32" s="615"/>
      <c r="B32" s="5"/>
      <c r="C32" s="5"/>
      <c r="D32" s="5"/>
      <c r="E32" s="5"/>
      <c r="F32" s="112"/>
      <c r="G32" s="1418"/>
      <c r="H32" s="1418"/>
      <c r="I32" s="1419"/>
      <c r="J32" s="277" t="s">
        <v>61</v>
      </c>
      <c r="K32" s="1437" t="s">
        <v>57</v>
      </c>
      <c r="L32" s="1438"/>
      <c r="M32" s="57" t="s">
        <v>61</v>
      </c>
      <c r="N32" s="1432" t="s">
        <v>57</v>
      </c>
      <c r="O32" s="1433"/>
      <c r="P32" s="277" t="s">
        <v>61</v>
      </c>
      <c r="Q32" s="1422" t="s">
        <v>57</v>
      </c>
      <c r="R32" s="1423"/>
      <c r="S32" s="131"/>
      <c r="T32" s="37"/>
      <c r="U32" s="227"/>
    </row>
    <row r="33" spans="1:22" x14ac:dyDescent="0.25">
      <c r="A33" s="615"/>
      <c r="B33" s="1" t="s">
        <v>200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 x14ac:dyDescent="0.25">
      <c r="A34" s="616"/>
      <c r="B34" s="728" t="s">
        <v>18</v>
      </c>
      <c r="C34" s="458">
        <f>VLOOKUP(C$2,Monitor_Costs,4,FALSE)</f>
        <v>750</v>
      </c>
      <c r="D34" s="381">
        <f>VLOOKUP(C$2,Monitor_Costs,5,FALSE)</f>
        <v>2019</v>
      </c>
      <c r="E34" s="431"/>
      <c r="H34" s="112"/>
      <c r="I34" s="145"/>
      <c r="J34" s="748">
        <f>HLOOKUP($D$34,InflationTable,2)*$C34</f>
        <v>1013.1013864799628</v>
      </c>
      <c r="K34" s="384">
        <f>J34*$L$4</f>
        <v>43563.359618638402</v>
      </c>
      <c r="L34" s="385">
        <f>K34</f>
        <v>43563.359618638402</v>
      </c>
      <c r="M34" s="446">
        <f>HLOOKUP($D$34,InflationTable,3)*$C34</f>
        <v>1040.771861334917</v>
      </c>
      <c r="N34" s="387">
        <f>M34*$O$4</f>
        <v>44753.190037401437</v>
      </c>
      <c r="O34" s="388">
        <f>N34</f>
        <v>44753.190037401437</v>
      </c>
      <c r="P34" s="384">
        <f>HLOOKUP($D$34,InflationTable,4)*$C34</f>
        <v>1053.2434026166561</v>
      </c>
      <c r="Q34" s="736">
        <f>P34*$R$4</f>
        <v>45289.466312516211</v>
      </c>
      <c r="R34" s="385">
        <f>Q34</f>
        <v>45289.466312516211</v>
      </c>
      <c r="S34" s="462" t="s">
        <v>12</v>
      </c>
      <c r="T34" s="382">
        <f>AVERAGE(L34,O34,R34)</f>
        <v>44535.338656185348</v>
      </c>
      <c r="U34" s="511" t="s">
        <v>12</v>
      </c>
    </row>
    <row r="35" spans="1:22" s="1" customFormat="1" x14ac:dyDescent="0.25">
      <c r="A35" s="616"/>
      <c r="B35" s="740" t="str">
        <f>VLOOKUP(C$2,Monitor_Costs,10,FALSE)</f>
        <v>Carbonyl sample cartridges</v>
      </c>
      <c r="C35" s="458">
        <f>VLOOKUP(C$2,Monitor_Costs,11,FALSE)</f>
        <v>8500</v>
      </c>
      <c r="D35" s="381">
        <f>VLOOKUP(C$2,Monitor_Costs,12,FALSE)</f>
        <v>2019</v>
      </c>
      <c r="E35" s="492"/>
      <c r="F35" s="396"/>
      <c r="G35" s="112"/>
      <c r="H35" s="112"/>
      <c r="I35" s="145"/>
      <c r="J35" s="660">
        <f>HLOOKUP($D$34,InflationTable,2)*$C35</f>
        <v>11481.815713439579</v>
      </c>
      <c r="K35" s="749">
        <f>J35*$L$4</f>
        <v>493718.07567790191</v>
      </c>
      <c r="L35" s="750">
        <f>K35</f>
        <v>493718.07567790191</v>
      </c>
      <c r="M35" s="751">
        <f>HLOOKUP($D$34,InflationTable,3)*$C35</f>
        <v>11795.414428462394</v>
      </c>
      <c r="N35" s="752">
        <f>M35*$O$4</f>
        <v>507202.82042388298</v>
      </c>
      <c r="O35" s="753">
        <f>N35</f>
        <v>507202.82042388298</v>
      </c>
      <c r="P35" s="749">
        <f>HLOOKUP($D$34,InflationTable,4)*$C35</f>
        <v>11936.758562988769</v>
      </c>
      <c r="Q35" s="384">
        <f>P35*$R$4</f>
        <v>513280.61820851709</v>
      </c>
      <c r="R35" s="385">
        <f>Q35</f>
        <v>513280.61820851709</v>
      </c>
      <c r="S35" s="462" t="s">
        <v>12</v>
      </c>
      <c r="T35" s="382">
        <f>AVERAGE(L35,O35,R35)</f>
        <v>504733.83810343401</v>
      </c>
      <c r="U35" s="511" t="s">
        <v>12</v>
      </c>
    </row>
    <row r="36" spans="1:22" s="1" customFormat="1" x14ac:dyDescent="0.25">
      <c r="A36" s="616"/>
      <c r="B36" s="742" t="str">
        <f>VLOOKUP(C$2,Monitor_Costs,19,FALSE)</f>
        <v>Supplies/reagents</v>
      </c>
      <c r="C36" s="458">
        <f>VLOOKUP(C$2,Monitor_Costs,20,FALSE)</f>
        <v>2400</v>
      </c>
      <c r="D36" s="381">
        <f>VLOOKUP(C$2,Monitor_Costs,21,FALSE)</f>
        <v>2019</v>
      </c>
      <c r="E36" s="112"/>
      <c r="F36" s="396"/>
      <c r="G36" s="112"/>
      <c r="H36" s="112"/>
      <c r="I36" s="145"/>
      <c r="J36" s="748">
        <f>HLOOKUP($D$34,InflationTable,2)*$C36</f>
        <v>3241.924436735881</v>
      </c>
      <c r="K36" s="384">
        <f>J36*$L$4</f>
        <v>139402.7507796429</v>
      </c>
      <c r="L36" s="385">
        <f>K36</f>
        <v>139402.7507796429</v>
      </c>
      <c r="M36" s="446">
        <f>HLOOKUP($D$34,InflationTable,3)*$C36</f>
        <v>3330.4699562717346</v>
      </c>
      <c r="N36" s="387">
        <f>M36*$O$4</f>
        <v>143210.2081196846</v>
      </c>
      <c r="O36" s="388">
        <f>N36</f>
        <v>143210.2081196846</v>
      </c>
      <c r="P36" s="384">
        <f>HLOOKUP($D$34,InflationTable,4)*$C36</f>
        <v>3370.3788883732996</v>
      </c>
      <c r="Q36" s="384">
        <f>P36*$R$4</f>
        <v>144926.29220005189</v>
      </c>
      <c r="R36" s="750">
        <f>Q36</f>
        <v>144926.29220005189</v>
      </c>
      <c r="S36" s="756" t="s">
        <v>12</v>
      </c>
      <c r="T36" s="463">
        <f>AVERAGE(L36,O36,R36)</f>
        <v>142513.08369979312</v>
      </c>
      <c r="U36" s="516" t="s">
        <v>12</v>
      </c>
    </row>
    <row r="37" spans="1:22" s="1" customFormat="1" ht="13.8" thickBot="1" x14ac:dyDescent="0.3">
      <c r="A37" s="616"/>
      <c r="B37" s="741" t="str">
        <f>VLOOKUP(C$2,Monitor_Costs,22,FALSE)</f>
        <v>Sample analysis</v>
      </c>
      <c r="C37" s="738">
        <f>VLOOKUP(C$2,Monitor_Costs,23,FALSE)</f>
        <v>13300</v>
      </c>
      <c r="D37" s="739">
        <f>VLOOKUP(C$2,Monitor_Costs,24,FALSE)</f>
        <v>2019</v>
      </c>
      <c r="E37" s="737"/>
      <c r="F37" s="674"/>
      <c r="G37" s="673"/>
      <c r="H37" s="673"/>
      <c r="I37" s="639"/>
      <c r="J37" s="743">
        <f>HLOOKUP($D$34,InflationTable,2)*$C37</f>
        <v>17965.664586911342</v>
      </c>
      <c r="K37" s="743">
        <f>J37*$L$4</f>
        <v>772523.57723718765</v>
      </c>
      <c r="L37" s="744">
        <f>K37</f>
        <v>772523.57723718765</v>
      </c>
      <c r="M37" s="745">
        <f>HLOOKUP($D$34,InflationTable,3)*$C37</f>
        <v>18456.354341005863</v>
      </c>
      <c r="N37" s="746">
        <f>M37*$O$4</f>
        <v>793623.23666325212</v>
      </c>
      <c r="O37" s="747">
        <f>N37</f>
        <v>793623.23666325212</v>
      </c>
      <c r="P37" s="743">
        <f>HLOOKUP($D$34,InflationTable,4)*$C37</f>
        <v>18677.516339735368</v>
      </c>
      <c r="Q37" s="743">
        <f>P37*$R$4</f>
        <v>803133.20260862086</v>
      </c>
      <c r="R37" s="744">
        <f>Q37</f>
        <v>803133.20260862086</v>
      </c>
      <c r="S37" s="754" t="s">
        <v>12</v>
      </c>
      <c r="T37" s="755">
        <f>AVERAGE(L37,O37,R37)</f>
        <v>789760.00550302025</v>
      </c>
      <c r="U37" s="757" t="s">
        <v>12</v>
      </c>
    </row>
    <row r="38" spans="1:22" x14ac:dyDescent="0.25">
      <c r="A38" s="615"/>
      <c r="B38" s="1" t="s">
        <v>202</v>
      </c>
      <c r="C38" s="729"/>
      <c r="D38" s="729"/>
      <c r="E38" s="5"/>
      <c r="F38" s="431" t="s">
        <v>54</v>
      </c>
      <c r="G38" s="70">
        <v>5</v>
      </c>
      <c r="H38" s="5"/>
      <c r="I38" s="37"/>
      <c r="J38" s="730"/>
      <c r="K38" s="730"/>
      <c r="L38" s="731"/>
      <c r="M38" s="732"/>
      <c r="N38" s="733"/>
      <c r="O38" s="734"/>
      <c r="P38" s="735"/>
      <c r="Q38" s="730"/>
      <c r="R38" s="731"/>
      <c r="S38" s="125"/>
      <c r="T38" s="37"/>
      <c r="U38" s="227"/>
    </row>
    <row r="39" spans="1:22" s="1" customFormat="1" ht="13.8" thickBot="1" x14ac:dyDescent="0.3">
      <c r="A39" s="616"/>
      <c r="B39" s="722" t="str">
        <f>VLOOKUP(C$2,Monitor_Costs,13,FALSE)</f>
        <v>HPLC/UV with autosampler</v>
      </c>
      <c r="C39" s="720">
        <f>VLOOKUP(C$2,Monitor_Costs,14,FALSE)</f>
        <v>59000</v>
      </c>
      <c r="D39" s="373">
        <f>VLOOKUP(C$2,Monitor_Costs,15,FALSE)</f>
        <v>2019</v>
      </c>
      <c r="E39" s="673"/>
      <c r="F39" s="674"/>
      <c r="G39" s="673"/>
      <c r="H39" s="721"/>
      <c r="I39" s="363"/>
      <c r="J39" s="296">
        <f>HLOOKUP($D$34,InflationTable,2)*$C39</f>
        <v>79697.309069757073</v>
      </c>
      <c r="K39" s="296">
        <f>J39*$L$4</f>
        <v>3426984.2899995539</v>
      </c>
      <c r="L39" s="297">
        <f>K39/$G$38</f>
        <v>685396.85799991083</v>
      </c>
      <c r="M39" s="450">
        <f>HLOOKUP($D$34,InflationTable,3)*$C39</f>
        <v>81874.053091680151</v>
      </c>
      <c r="N39" s="377">
        <f>M39*$O$4</f>
        <v>3520584.2829422466</v>
      </c>
      <c r="O39" s="378">
        <f>N39/$G$38</f>
        <v>704116.85658844933</v>
      </c>
      <c r="P39" s="296">
        <f>HLOOKUP($D$34,InflationTable,4)*$C39</f>
        <v>82855.147672510284</v>
      </c>
      <c r="Q39" s="296">
        <f>P39*$R$4</f>
        <v>3562771.3499179422</v>
      </c>
      <c r="R39" s="297">
        <f>Q39/$G$38</f>
        <v>712554.26998358849</v>
      </c>
      <c r="S39" s="472" t="s">
        <v>12</v>
      </c>
      <c r="T39" s="472" t="s">
        <v>12</v>
      </c>
      <c r="U39" s="375">
        <f>AVERAGE(L39,O39,R39)</f>
        <v>700689.32819064951</v>
      </c>
    </row>
    <row r="40" spans="1:22" s="1" customFormat="1" ht="13.8" thickBot="1" x14ac:dyDescent="0.3">
      <c r="A40" s="616"/>
      <c r="B40" s="722" t="str">
        <f>VLOOKUP(C$2,Monitor_Costs,16,FALSE)</f>
        <v>Equipment (auxiliary)</v>
      </c>
      <c r="C40" s="720">
        <f>VLOOKUP(C$2,Monitor_Costs,17,FALSE)</f>
        <v>1000</v>
      </c>
      <c r="D40" s="373">
        <f>VLOOKUP(C$2,Monitor_Costs,18,FALSE)</f>
        <v>2019</v>
      </c>
      <c r="E40" s="673"/>
      <c r="F40" s="674"/>
      <c r="G40" s="673"/>
      <c r="H40" s="721"/>
      <c r="I40" s="363"/>
      <c r="J40" s="296">
        <f>HLOOKUP($D$34,InflationTable,2)*$C40</f>
        <v>1350.8018486399505</v>
      </c>
      <c r="K40" s="296">
        <f>J40*$L$4</f>
        <v>58084.479491517872</v>
      </c>
      <c r="L40" s="297">
        <f>K40/$G$38</f>
        <v>11616.895898303574</v>
      </c>
      <c r="M40" s="450">
        <f>HLOOKUP($D$34,InflationTable,3)*$C40</f>
        <v>1387.6958151132228</v>
      </c>
      <c r="N40" s="377">
        <f>M40*$O$4</f>
        <v>59670.920049868582</v>
      </c>
      <c r="O40" s="378">
        <f>N40/$G$38</f>
        <v>11934.184009973716</v>
      </c>
      <c r="P40" s="296">
        <f>HLOOKUP($D$34,InflationTable,4)*$C40</f>
        <v>1404.3245368222081</v>
      </c>
      <c r="Q40" s="296">
        <f>P40*$R$4</f>
        <v>60385.955083354944</v>
      </c>
      <c r="R40" s="297">
        <f>Q40/$G$38</f>
        <v>12077.191016670989</v>
      </c>
      <c r="S40" s="472" t="s">
        <v>12</v>
      </c>
      <c r="T40" s="472" t="s">
        <v>12</v>
      </c>
      <c r="U40" s="375">
        <f>AVERAGE(L40,O40,R40)</f>
        <v>11876.090308316094</v>
      </c>
    </row>
    <row r="41" spans="1:22" x14ac:dyDescent="0.25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 x14ac:dyDescent="0.25">
      <c r="A42" s="615"/>
      <c r="B42" s="614" t="s">
        <v>4</v>
      </c>
      <c r="C42" s="21">
        <v>0</v>
      </c>
      <c r="D42" s="21">
        <v>0</v>
      </c>
      <c r="E42" s="21">
        <v>8</v>
      </c>
      <c r="F42" s="21">
        <v>8</v>
      </c>
      <c r="G42" s="21">
        <v>0</v>
      </c>
      <c r="H42" s="21">
        <v>0</v>
      </c>
      <c r="I42" s="48">
        <f>SUM(C42:H42)</f>
        <v>16</v>
      </c>
      <c r="J42" s="299" t="s">
        <v>12</v>
      </c>
      <c r="K42" s="281">
        <f>I42*$L$4</f>
        <v>688</v>
      </c>
      <c r="L42" s="289">
        <f>K42</f>
        <v>688</v>
      </c>
      <c r="M42" s="58" t="s">
        <v>12</v>
      </c>
      <c r="N42" s="69">
        <f>$I$42*$O$4</f>
        <v>688</v>
      </c>
      <c r="O42" s="68">
        <f>N42</f>
        <v>688</v>
      </c>
      <c r="P42" s="299" t="s">
        <v>12</v>
      </c>
      <c r="Q42" s="281">
        <f>$I$42*$R$4</f>
        <v>688</v>
      </c>
      <c r="R42" s="289">
        <f>Q42</f>
        <v>688</v>
      </c>
      <c r="S42" s="121">
        <f>AVERAGE(L42,O42,R42)</f>
        <v>688</v>
      </c>
      <c r="T42" s="119" t="s">
        <v>12</v>
      </c>
      <c r="U42" s="232" t="s">
        <v>12</v>
      </c>
    </row>
    <row r="43" spans="1:22" s="1" customFormat="1" ht="13.8" thickBot="1" x14ac:dyDescent="0.3">
      <c r="A43" s="616"/>
      <c r="B43" s="604" t="s">
        <v>8</v>
      </c>
      <c r="C43" s="373">
        <f>ROUND(C42*Labor!$D$3,0)</f>
        <v>0</v>
      </c>
      <c r="D43" s="374">
        <f>ROUND(D42*Labor!$D$4,0)</f>
        <v>0</v>
      </c>
      <c r="E43" s="374">
        <f>ROUND(E42*Labor!$D$5,0)</f>
        <v>353</v>
      </c>
      <c r="F43" s="374">
        <f>ROUND(F42*Labor!$D$6,0)</f>
        <v>394</v>
      </c>
      <c r="G43" s="374">
        <f>ROUND(G42*Labor!$D$7,0)</f>
        <v>0</v>
      </c>
      <c r="H43" s="374">
        <f>ROUND(H42*Labor!$D$8,0)</f>
        <v>0</v>
      </c>
      <c r="I43" s="375">
        <f>SUM(C43:H43)</f>
        <v>747</v>
      </c>
      <c r="J43" s="296">
        <f>HLOOKUP(Labor!$B$11,InflationTable,2)*I43</f>
        <v>1009.048980934043</v>
      </c>
      <c r="K43" s="296">
        <f>J43*$L$4</f>
        <v>43389.10618016385</v>
      </c>
      <c r="L43" s="390">
        <f>K43</f>
        <v>43389.10618016385</v>
      </c>
      <c r="M43" s="376">
        <f>HLOOKUP(Labor!$B$11,InflationTable,3)*I43</f>
        <v>1036.6087738895774</v>
      </c>
      <c r="N43" s="377">
        <f>M43*$O$4</f>
        <v>44574.177277251831</v>
      </c>
      <c r="O43" s="378">
        <f>N43</f>
        <v>44574.177277251831</v>
      </c>
      <c r="P43" s="296">
        <f>HLOOKUP(Labor!$B$11,InflationTable,4)*$I$43</f>
        <v>1049.0304290061895</v>
      </c>
      <c r="Q43" s="296">
        <f>P43*$R$4</f>
        <v>45108.30844726615</v>
      </c>
      <c r="R43" s="390">
        <f>Q43</f>
        <v>45108.30844726615</v>
      </c>
      <c r="S43" s="211">
        <f>AVERAGE(L43,O43,R43)</f>
        <v>44357.197301560605</v>
      </c>
      <c r="T43" s="393" t="s">
        <v>12</v>
      </c>
      <c r="U43" s="228" t="s">
        <v>12</v>
      </c>
    </row>
    <row r="44" spans="1:22" x14ac:dyDescent="0.25">
      <c r="A44" s="615"/>
      <c r="B44" s="605" t="s">
        <v>66</v>
      </c>
      <c r="C44" s="36">
        <f t="shared" ref="C44:I44" si="3">C42</f>
        <v>0</v>
      </c>
      <c r="D44" s="36">
        <f t="shared" si="3"/>
        <v>0</v>
      </c>
      <c r="E44" s="36">
        <f t="shared" si="3"/>
        <v>8</v>
      </c>
      <c r="F44" s="36">
        <f t="shared" si="3"/>
        <v>8</v>
      </c>
      <c r="G44" s="36">
        <f t="shared" si="3"/>
        <v>0</v>
      </c>
      <c r="H44" s="36">
        <f t="shared" si="3"/>
        <v>0</v>
      </c>
      <c r="I44" s="51">
        <f t="shared" si="3"/>
        <v>16</v>
      </c>
      <c r="J44" s="307" t="s">
        <v>12</v>
      </c>
      <c r="K44" s="302">
        <f>K42</f>
        <v>688</v>
      </c>
      <c r="L44" s="303">
        <f>L42</f>
        <v>688</v>
      </c>
      <c r="M44" s="85" t="s">
        <v>12</v>
      </c>
      <c r="N44" s="82">
        <f>N42</f>
        <v>688</v>
      </c>
      <c r="O44" s="96">
        <f>O42</f>
        <v>688</v>
      </c>
      <c r="P44" s="301" t="s">
        <v>12</v>
      </c>
      <c r="Q44" s="302">
        <f>Q42</f>
        <v>688</v>
      </c>
      <c r="R44" s="303">
        <f>R42</f>
        <v>688</v>
      </c>
      <c r="S44" s="96">
        <f>S42</f>
        <v>688</v>
      </c>
      <c r="T44" s="136" t="s">
        <v>12</v>
      </c>
      <c r="U44" s="230" t="s">
        <v>12</v>
      </c>
    </row>
    <row r="45" spans="1:22" ht="13.8" thickBot="1" x14ac:dyDescent="0.3">
      <c r="A45" s="615"/>
      <c r="B45" s="606" t="s">
        <v>67</v>
      </c>
      <c r="C45" s="240">
        <f t="shared" ref="C45:H45" si="4">C44</f>
        <v>0</v>
      </c>
      <c r="D45" s="240">
        <f t="shared" si="4"/>
        <v>0</v>
      </c>
      <c r="E45" s="240">
        <f t="shared" si="4"/>
        <v>8</v>
      </c>
      <c r="F45" s="240">
        <f t="shared" si="4"/>
        <v>8</v>
      </c>
      <c r="G45" s="240">
        <f t="shared" si="4"/>
        <v>0</v>
      </c>
      <c r="H45" s="240">
        <f t="shared" si="4"/>
        <v>0</v>
      </c>
      <c r="I45" s="251">
        <f>I43+C34</f>
        <v>1497</v>
      </c>
      <c r="J45" s="305">
        <f t="shared" ref="J45:R45" si="5">J43+J34</f>
        <v>2022.1503674140058</v>
      </c>
      <c r="K45" s="305">
        <f t="shared" si="5"/>
        <v>86952.465798802252</v>
      </c>
      <c r="L45" s="306">
        <f t="shared" si="5"/>
        <v>86952.465798802252</v>
      </c>
      <c r="M45" s="252">
        <f t="shared" si="5"/>
        <v>2077.3806352244947</v>
      </c>
      <c r="N45" s="253">
        <f t="shared" si="5"/>
        <v>89327.367314653267</v>
      </c>
      <c r="O45" s="254">
        <f t="shared" si="5"/>
        <v>89327.367314653267</v>
      </c>
      <c r="P45" s="304">
        <f t="shared" si="5"/>
        <v>2102.2738316228456</v>
      </c>
      <c r="Q45" s="305">
        <f t="shared" si="5"/>
        <v>90397.774759782362</v>
      </c>
      <c r="R45" s="306">
        <f t="shared" si="5"/>
        <v>90397.774759782362</v>
      </c>
      <c r="S45" s="766">
        <f>SUM(S34:S44)</f>
        <v>45733.197301560605</v>
      </c>
      <c r="T45" s="766">
        <f>SUM(T34:T44)</f>
        <v>1481542.2659624326</v>
      </c>
      <c r="U45" s="766">
        <f>SUM(U34:U44)</f>
        <v>712565.41849896556</v>
      </c>
    </row>
    <row r="46" spans="1:22" ht="14.4" thickTop="1" thickBot="1" x14ac:dyDescent="0.3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2" thickTop="1" x14ac:dyDescent="0.3">
      <c r="A47" s="615"/>
      <c r="B47" s="181" t="s">
        <v>24</v>
      </c>
      <c r="C47" s="5"/>
      <c r="D47" s="5"/>
      <c r="E47" s="5"/>
      <c r="F47" s="112" t="s">
        <v>6</v>
      </c>
      <c r="G47" s="1415"/>
      <c r="H47" s="1416"/>
      <c r="I47" s="1417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 x14ac:dyDescent="0.25">
      <c r="A48" s="615"/>
      <c r="B48" s="5"/>
      <c r="C48" s="5"/>
      <c r="D48" s="5"/>
      <c r="E48" s="5"/>
      <c r="F48" s="112"/>
      <c r="G48" s="1418"/>
      <c r="H48" s="1418"/>
      <c r="I48" s="1419"/>
      <c r="J48" s="277" t="s">
        <v>61</v>
      </c>
      <c r="K48" s="1422" t="s">
        <v>57</v>
      </c>
      <c r="L48" s="1423"/>
      <c r="M48" s="57" t="s">
        <v>61</v>
      </c>
      <c r="N48" s="1432" t="s">
        <v>57</v>
      </c>
      <c r="O48" s="1433"/>
      <c r="P48" s="277" t="s">
        <v>61</v>
      </c>
      <c r="Q48" s="1422" t="s">
        <v>57</v>
      </c>
      <c r="R48" s="1423"/>
      <c r="S48" s="131"/>
      <c r="T48" s="37"/>
      <c r="U48" s="138"/>
    </row>
    <row r="49" spans="1:22" x14ac:dyDescent="0.25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8" thickBot="1" x14ac:dyDescent="0.3">
      <c r="A50" s="615"/>
      <c r="B50" s="361"/>
      <c r="C50" s="353">
        <f>VLOOKUP(C$2,Monitor_Costs,6,FALSE)</f>
        <v>10200</v>
      </c>
      <c r="D50" s="34">
        <f>VLOOKUP(C$2,Monitor_Costs,7,FALSE)</f>
        <v>2019</v>
      </c>
      <c r="E50" s="354"/>
      <c r="F50" s="71"/>
      <c r="G50" s="56"/>
      <c r="H50" s="56"/>
      <c r="I50" s="54"/>
      <c r="J50" s="355">
        <f>HLOOKUP(D50,InflationTable,2)*C50</f>
        <v>13778.178856127495</v>
      </c>
      <c r="K50" s="355">
        <f>J50*$L$4</f>
        <v>592461.69081348227</v>
      </c>
      <c r="L50" s="308">
        <f>K50</f>
        <v>592461.69081348227</v>
      </c>
      <c r="M50" s="357">
        <f>HLOOKUP($D$50,InflationTable,3)*$C$50</f>
        <v>14154.497314154873</v>
      </c>
      <c r="N50" s="357">
        <f>M50*$O$4</f>
        <v>608643.38450865948</v>
      </c>
      <c r="O50" s="95">
        <f>N50</f>
        <v>608643.38450865948</v>
      </c>
      <c r="P50" s="358">
        <f>HLOOKUP($D$50,InflationTable,4)*$C$50</f>
        <v>14324.110275586523</v>
      </c>
      <c r="Q50" s="355">
        <f>P50*$R$4</f>
        <v>615936.74185022048</v>
      </c>
      <c r="R50" s="308">
        <f>Q50</f>
        <v>615936.74185022048</v>
      </c>
      <c r="S50" s="359" t="s">
        <v>12</v>
      </c>
      <c r="T50" s="360">
        <f>AVERAGE(L50,O50,R50)</f>
        <v>605680.60572412086</v>
      </c>
      <c r="U50" s="142" t="s">
        <v>12</v>
      </c>
    </row>
    <row r="51" spans="1:22" x14ac:dyDescent="0.25">
      <c r="A51" s="615"/>
      <c r="B51" s="465" t="s">
        <v>203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 x14ac:dyDescent="0.25">
      <c r="B52" s="566" t="s">
        <v>4</v>
      </c>
      <c r="C52" s="21">
        <v>0</v>
      </c>
      <c r="D52" s="21">
        <v>0</v>
      </c>
      <c r="E52" s="21">
        <v>12</v>
      </c>
      <c r="F52" s="21">
        <v>4</v>
      </c>
      <c r="G52" s="21">
        <v>0</v>
      </c>
      <c r="H52" s="21">
        <v>0</v>
      </c>
      <c r="I52" s="52">
        <f t="shared" ref="I52:I57" si="6">SUM(C52:H52)</f>
        <v>16</v>
      </c>
      <c r="J52" s="263" t="s">
        <v>12</v>
      </c>
      <c r="K52" s="281">
        <f>I52*$L$4</f>
        <v>688</v>
      </c>
      <c r="L52" s="289">
        <f t="shared" ref="L52:L57" si="7">K52</f>
        <v>688</v>
      </c>
      <c r="M52" s="58" t="s">
        <v>12</v>
      </c>
      <c r="N52" s="69">
        <f>$I$52*$O$4</f>
        <v>688</v>
      </c>
      <c r="O52" s="68">
        <f t="shared" ref="O52:O57" si="8">N52</f>
        <v>688</v>
      </c>
      <c r="P52" s="263" t="s">
        <v>12</v>
      </c>
      <c r="Q52" s="281">
        <f>$I$52*$R$4</f>
        <v>688</v>
      </c>
      <c r="R52" s="289">
        <f t="shared" ref="R52:R57" si="9">Q52</f>
        <v>688</v>
      </c>
      <c r="S52" s="121">
        <f t="shared" ref="S52:S58" si="10">AVERAGE(L52,O52,R52)</f>
        <v>688</v>
      </c>
      <c r="T52" s="119" t="s">
        <v>12</v>
      </c>
      <c r="U52" s="140" t="s">
        <v>12</v>
      </c>
    </row>
    <row r="53" spans="1:22" s="1" customFormat="1" ht="13.8" thickBot="1" x14ac:dyDescent="0.3">
      <c r="B53" s="715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529</v>
      </c>
      <c r="F53" s="374">
        <f>ROUND(F52*Labor!$D$6,0)</f>
        <v>197</v>
      </c>
      <c r="G53" s="374">
        <f>ROUND(G52*Labor!$D$7,0)</f>
        <v>0</v>
      </c>
      <c r="H53" s="374">
        <f>ROUND(H52*Labor!$D$8,0)</f>
        <v>0</v>
      </c>
      <c r="I53" s="209">
        <f t="shared" si="6"/>
        <v>726</v>
      </c>
      <c r="J53" s="339">
        <f>HLOOKUP(Labor!$B$11,InflationTable,2)*I53</f>
        <v>980.68214211260408</v>
      </c>
      <c r="K53" s="296">
        <f>J53*$L$4</f>
        <v>42169.332110841977</v>
      </c>
      <c r="L53" s="297">
        <f t="shared" si="7"/>
        <v>42169.332110841977</v>
      </c>
      <c r="M53" s="376">
        <f>HLOOKUP(Labor!$B$11,InflationTable,3)*$I$53</f>
        <v>1007.4671617721998</v>
      </c>
      <c r="N53" s="377">
        <f>M53*$O$4</f>
        <v>43321.087956204588</v>
      </c>
      <c r="O53" s="378">
        <f t="shared" si="8"/>
        <v>43321.087956204588</v>
      </c>
      <c r="P53" s="332">
        <f>HLOOKUP(Labor!$B$11,InflationTable,4)*$I$53</f>
        <v>1019.5396137329232</v>
      </c>
      <c r="Q53" s="296">
        <f>P53*$O$4</f>
        <v>43840.203390515693</v>
      </c>
      <c r="R53" s="297">
        <f t="shared" si="9"/>
        <v>43840.203390515693</v>
      </c>
      <c r="S53" s="211">
        <f t="shared" si="10"/>
        <v>43110.207819187424</v>
      </c>
      <c r="T53" s="218" t="s">
        <v>12</v>
      </c>
      <c r="U53" s="392" t="s">
        <v>12</v>
      </c>
    </row>
    <row r="54" spans="1:22" x14ac:dyDescent="0.25">
      <c r="B54" s="565" t="s">
        <v>204</v>
      </c>
      <c r="C54" s="346">
        <v>0</v>
      </c>
      <c r="D54" s="346">
        <v>8</v>
      </c>
      <c r="E54" s="346">
        <v>72</v>
      </c>
      <c r="F54" s="346">
        <v>24</v>
      </c>
      <c r="G54" s="346">
        <v>0</v>
      </c>
      <c r="H54" s="346">
        <v>0</v>
      </c>
      <c r="I54" s="347">
        <f t="shared" si="6"/>
        <v>104</v>
      </c>
      <c r="J54" s="293" t="s">
        <v>12</v>
      </c>
      <c r="K54" s="327">
        <f>I54*$L$4</f>
        <v>4472</v>
      </c>
      <c r="L54" s="328">
        <f t="shared" si="7"/>
        <v>4472</v>
      </c>
      <c r="M54" s="61" t="s">
        <v>12</v>
      </c>
      <c r="N54" s="348">
        <f>L54*$L$4</f>
        <v>192296</v>
      </c>
      <c r="O54" s="349">
        <f t="shared" si="8"/>
        <v>192296</v>
      </c>
      <c r="P54" s="293" t="s">
        <v>12</v>
      </c>
      <c r="Q54" s="327">
        <f>O54*$L$4</f>
        <v>8268728</v>
      </c>
      <c r="R54" s="328">
        <f t="shared" si="9"/>
        <v>8268728</v>
      </c>
      <c r="S54" s="129">
        <f t="shared" si="10"/>
        <v>2821832</v>
      </c>
      <c r="T54" s="119" t="s">
        <v>12</v>
      </c>
      <c r="U54" s="140" t="s">
        <v>12</v>
      </c>
    </row>
    <row r="55" spans="1:22" s="1" customFormat="1" ht="13.8" thickBot="1" x14ac:dyDescent="0.3">
      <c r="B55" s="714" t="s">
        <v>8</v>
      </c>
      <c r="C55" s="373">
        <f>ROUND(C54*Labor!$D$3,0)</f>
        <v>0</v>
      </c>
      <c r="D55" s="374">
        <f>ROUND(D54*Labor!$D$4,0)</f>
        <v>327</v>
      </c>
      <c r="E55" s="374">
        <f>ROUND(E54*Labor!$D$5,0)</f>
        <v>3177</v>
      </c>
      <c r="F55" s="374">
        <f>ROUND(F54*Labor!$D$6,0)</f>
        <v>1182</v>
      </c>
      <c r="G55" s="374">
        <f>ROUND(G54*Labor!$D$7,0)</f>
        <v>0</v>
      </c>
      <c r="H55" s="374">
        <f>ROUND(H54*Labor!$D$8,0)</f>
        <v>0</v>
      </c>
      <c r="I55" s="209">
        <f t="shared" si="6"/>
        <v>4686</v>
      </c>
      <c r="J55" s="332">
        <f>HLOOKUP(Labor!$B$11,InflationTable,2)*$I55</f>
        <v>6329.8574627268081</v>
      </c>
      <c r="K55" s="296">
        <f>J55*$L$4</f>
        <v>272183.87089725275</v>
      </c>
      <c r="L55" s="297">
        <f t="shared" si="7"/>
        <v>272183.87089725275</v>
      </c>
      <c r="M55" s="376">
        <f>HLOOKUP(Labor!$B$11,InflationTable,2)*$I55</f>
        <v>6329.8574627268081</v>
      </c>
      <c r="N55" s="377">
        <f>M55*$L$4</f>
        <v>272183.87089725275</v>
      </c>
      <c r="O55" s="378">
        <f t="shared" si="8"/>
        <v>272183.87089725275</v>
      </c>
      <c r="P55" s="332">
        <f>HLOOKUP(Labor!$B$11,InflationTable,2)*$I55</f>
        <v>6329.8574627268081</v>
      </c>
      <c r="Q55" s="296">
        <f>P55*$L$4</f>
        <v>272183.87089725275</v>
      </c>
      <c r="R55" s="297">
        <f t="shared" si="9"/>
        <v>272183.87089725275</v>
      </c>
      <c r="S55" s="391">
        <f t="shared" si="10"/>
        <v>272183.87089725275</v>
      </c>
      <c r="T55" s="218" t="s">
        <v>12</v>
      </c>
      <c r="U55" s="392" t="s">
        <v>12</v>
      </c>
    </row>
    <row r="56" spans="1:22" x14ac:dyDescent="0.25">
      <c r="B56" s="565" t="s">
        <v>117</v>
      </c>
      <c r="C56" s="346">
        <v>0</v>
      </c>
      <c r="D56" s="346">
        <v>0</v>
      </c>
      <c r="E56" s="346">
        <v>64</v>
      </c>
      <c r="F56" s="346">
        <v>160</v>
      </c>
      <c r="G56" s="346">
        <v>0</v>
      </c>
      <c r="H56" s="346">
        <v>0</v>
      </c>
      <c r="I56" s="347">
        <f t="shared" si="6"/>
        <v>224</v>
      </c>
      <c r="J56" s="293" t="s">
        <v>12</v>
      </c>
      <c r="K56" s="327">
        <f>I56*$L$4</f>
        <v>9632</v>
      </c>
      <c r="L56" s="328">
        <f t="shared" si="7"/>
        <v>9632</v>
      </c>
      <c r="M56" s="61" t="s">
        <v>12</v>
      </c>
      <c r="N56" s="348">
        <f>$I$56*$O$4</f>
        <v>9632</v>
      </c>
      <c r="O56" s="349">
        <f t="shared" si="8"/>
        <v>9632</v>
      </c>
      <c r="P56" s="293" t="s">
        <v>12</v>
      </c>
      <c r="Q56" s="327">
        <f>$I$56*$R$4</f>
        <v>9632</v>
      </c>
      <c r="R56" s="328">
        <f t="shared" si="9"/>
        <v>9632</v>
      </c>
      <c r="S56" s="129">
        <f t="shared" si="10"/>
        <v>9632</v>
      </c>
      <c r="T56" s="119" t="s">
        <v>12</v>
      </c>
      <c r="U56" s="140" t="s">
        <v>12</v>
      </c>
    </row>
    <row r="57" spans="1:22" s="1" customFormat="1" ht="13.8" thickBot="1" x14ac:dyDescent="0.3">
      <c r="B57" s="714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2824</v>
      </c>
      <c r="F57" s="374">
        <f>ROUND(F56*Labor!$D$6,0)</f>
        <v>7882</v>
      </c>
      <c r="G57" s="374">
        <f>ROUND(G56*Labor!$D$7,0)</f>
        <v>0</v>
      </c>
      <c r="H57" s="374">
        <f>ROUND(H56*Labor!$D$8,0)</f>
        <v>0</v>
      </c>
      <c r="I57" s="209">
        <f t="shared" si="6"/>
        <v>10706</v>
      </c>
      <c r="J57" s="332">
        <f>HLOOKUP(Labor!$B$11,InflationTable,2)*$I$57</f>
        <v>14461.68459153931</v>
      </c>
      <c r="K57" s="296">
        <f>J57*$L$4</f>
        <v>621852.43743619032</v>
      </c>
      <c r="L57" s="297">
        <f t="shared" si="7"/>
        <v>621852.43743619032</v>
      </c>
      <c r="M57" s="376">
        <f>HLOOKUP(Labor!$B$11,InflationTable,3)*$I$57</f>
        <v>14856.671396602163</v>
      </c>
      <c r="N57" s="377">
        <f>M57*$O$4</f>
        <v>638836.87005389307</v>
      </c>
      <c r="O57" s="378">
        <f t="shared" si="8"/>
        <v>638836.87005389307</v>
      </c>
      <c r="P57" s="332">
        <f>HLOOKUP(Labor!$B$11,InflationTable,4)*$I$57</f>
        <v>15034.69849121856</v>
      </c>
      <c r="Q57" s="296">
        <f>P57*$R$4</f>
        <v>646492.03512239805</v>
      </c>
      <c r="R57" s="297">
        <f t="shared" si="9"/>
        <v>646492.03512239805</v>
      </c>
      <c r="S57" s="391">
        <f t="shared" si="10"/>
        <v>635727.11420416052</v>
      </c>
      <c r="T57" s="218" t="s">
        <v>12</v>
      </c>
      <c r="U57" s="392" t="s">
        <v>12</v>
      </c>
    </row>
    <row r="58" spans="1:22" x14ac:dyDescent="0.25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76</v>
      </c>
      <c r="F58" s="36">
        <f t="shared" si="11"/>
        <v>164</v>
      </c>
      <c r="G58" s="36">
        <f t="shared" si="11"/>
        <v>0</v>
      </c>
      <c r="H58" s="36">
        <f t="shared" si="11"/>
        <v>0</v>
      </c>
      <c r="I58" s="46">
        <f t="shared" si="11"/>
        <v>240</v>
      </c>
      <c r="J58" s="301" t="s">
        <v>12</v>
      </c>
      <c r="K58" s="309">
        <f>K52+K56</f>
        <v>10320</v>
      </c>
      <c r="L58" s="310">
        <f>L52+L56</f>
        <v>10320</v>
      </c>
      <c r="M58" s="85" t="s">
        <v>12</v>
      </c>
      <c r="N58" s="86">
        <f>N52+N56</f>
        <v>10320</v>
      </c>
      <c r="O58" s="97">
        <f>O52+O56</f>
        <v>10320</v>
      </c>
      <c r="P58" s="301" t="s">
        <v>12</v>
      </c>
      <c r="Q58" s="309">
        <f>Q52+Q56</f>
        <v>10320</v>
      </c>
      <c r="R58" s="310">
        <f>R52+R56</f>
        <v>10320</v>
      </c>
      <c r="S58" s="121">
        <f t="shared" si="10"/>
        <v>10320</v>
      </c>
      <c r="T58" s="136" t="s">
        <v>12</v>
      </c>
      <c r="U58" s="148" t="s">
        <v>12</v>
      </c>
    </row>
    <row r="59" spans="1:22" ht="13.8" thickBot="1" x14ac:dyDescent="0.3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3353</v>
      </c>
      <c r="F59" s="240">
        <f t="shared" si="12"/>
        <v>8079</v>
      </c>
      <c r="G59" s="240">
        <f t="shared" si="12"/>
        <v>0</v>
      </c>
      <c r="H59" s="240">
        <f t="shared" si="12"/>
        <v>0</v>
      </c>
      <c r="I59" s="222">
        <f>I57+I53+C50+I55</f>
        <v>26318</v>
      </c>
      <c r="J59" s="306">
        <f t="shared" ref="J59:R59" si="13">J57+J53+J50+J55</f>
        <v>35550.403052506219</v>
      </c>
      <c r="K59" s="306">
        <f t="shared" si="13"/>
        <v>1528667.3312577673</v>
      </c>
      <c r="L59" s="306">
        <f t="shared" si="13"/>
        <v>1528667.3312577673</v>
      </c>
      <c r="M59" s="254">
        <f t="shared" si="13"/>
        <v>36348.493335256047</v>
      </c>
      <c r="N59" s="254">
        <f t="shared" si="13"/>
        <v>1562985.2134160099</v>
      </c>
      <c r="O59" s="254">
        <f t="shared" si="13"/>
        <v>1562985.2134160099</v>
      </c>
      <c r="P59" s="306">
        <f t="shared" si="13"/>
        <v>36708.205843264812</v>
      </c>
      <c r="Q59" s="306">
        <f t="shared" si="13"/>
        <v>1578452.8512603871</v>
      </c>
      <c r="R59" s="306">
        <f t="shared" si="13"/>
        <v>1578452.8512603871</v>
      </c>
      <c r="S59" s="248">
        <f>S57+S53+S55</f>
        <v>951021.19292060076</v>
      </c>
      <c r="T59" s="251">
        <f>T50</f>
        <v>605680.60572412086</v>
      </c>
      <c r="U59" s="224" t="s">
        <v>12</v>
      </c>
    </row>
    <row r="60" spans="1:22" ht="14.4" thickTop="1" thickBot="1" x14ac:dyDescent="0.3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2" thickTop="1" x14ac:dyDescent="0.3">
      <c r="B61" s="652" t="s">
        <v>26</v>
      </c>
      <c r="C61" s="5"/>
      <c r="D61" s="5"/>
      <c r="E61" s="5"/>
      <c r="F61" s="112" t="s">
        <v>6</v>
      </c>
      <c r="G61" s="1415"/>
      <c r="H61" s="1416"/>
      <c r="I61" s="1417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 x14ac:dyDescent="0.25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22" t="s">
        <v>57</v>
      </c>
      <c r="L62" s="1423"/>
      <c r="M62" s="57" t="s">
        <v>61</v>
      </c>
      <c r="N62" s="1432" t="s">
        <v>57</v>
      </c>
      <c r="O62" s="1433"/>
      <c r="P62" s="277" t="s">
        <v>61</v>
      </c>
      <c r="Q62" s="1422" t="s">
        <v>57</v>
      </c>
      <c r="R62" s="1423"/>
      <c r="S62" s="131"/>
      <c r="T62" s="37"/>
      <c r="U62" s="138"/>
    </row>
    <row r="63" spans="1:22" x14ac:dyDescent="0.25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 x14ac:dyDescent="0.25">
      <c r="B64" s="566" t="s">
        <v>4</v>
      </c>
      <c r="C64" s="21">
        <v>0</v>
      </c>
      <c r="D64" s="21">
        <v>0</v>
      </c>
      <c r="E64" s="21">
        <v>24</v>
      </c>
      <c r="F64" s="21">
        <v>24</v>
      </c>
      <c r="G64" s="21">
        <v>0</v>
      </c>
      <c r="H64" s="21">
        <v>0</v>
      </c>
      <c r="I64" s="52">
        <f t="shared" ref="I64:I71" si="14">SUM(C64:H64)</f>
        <v>48</v>
      </c>
      <c r="J64" s="263" t="s">
        <v>12</v>
      </c>
      <c r="K64" s="281">
        <f>I64*$L$4</f>
        <v>2064</v>
      </c>
      <c r="L64" s="289">
        <f t="shared" ref="L64:L71" si="15">K64</f>
        <v>2064</v>
      </c>
      <c r="M64" s="58" t="s">
        <v>12</v>
      </c>
      <c r="N64" s="69">
        <f>$I$64*$O$4</f>
        <v>2064</v>
      </c>
      <c r="O64" s="68">
        <f t="shared" ref="O64:O71" si="16">N64</f>
        <v>2064</v>
      </c>
      <c r="P64" s="263" t="s">
        <v>12</v>
      </c>
      <c r="Q64" s="281">
        <f>$I$64*$R$4</f>
        <v>2064</v>
      </c>
      <c r="R64" s="289">
        <f t="shared" ref="R64:R71" si="17">Q64</f>
        <v>2064</v>
      </c>
      <c r="S64" s="121">
        <f t="shared" ref="S64:S73" si="18">AVERAGE(L64,O64,R64)</f>
        <v>2064</v>
      </c>
      <c r="T64" s="119" t="s">
        <v>12</v>
      </c>
      <c r="U64" s="140" t="s">
        <v>12</v>
      </c>
    </row>
    <row r="65" spans="1:22" s="1" customFormat="1" ht="13.8" thickBot="1" x14ac:dyDescent="0.3">
      <c r="B65" s="715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1059</v>
      </c>
      <c r="F65" s="374">
        <f>ROUND(F64*Labor!$D$6,0)</f>
        <v>1182</v>
      </c>
      <c r="G65" s="374">
        <f>ROUND(G64*Labor!$D$7,0)</f>
        <v>0</v>
      </c>
      <c r="H65" s="374">
        <f>ROUND(H64*Labor!$D$8,0)</f>
        <v>0</v>
      </c>
      <c r="I65" s="209">
        <f t="shared" si="14"/>
        <v>2241</v>
      </c>
      <c r="J65" s="332">
        <f>HLOOKUP(Labor!$B$11,InflationTable,2)*I65</f>
        <v>3027.1469428021292</v>
      </c>
      <c r="K65" s="296">
        <f>J65*$L$4</f>
        <v>130167.31854049156</v>
      </c>
      <c r="L65" s="297">
        <f t="shared" si="15"/>
        <v>130167.31854049156</v>
      </c>
      <c r="M65" s="376">
        <f>HLOOKUP(Labor!$B$11,InflationTable,3)*$I$65</f>
        <v>3109.8263216687324</v>
      </c>
      <c r="N65" s="377">
        <f>M65*$L$4</f>
        <v>133722.53183175548</v>
      </c>
      <c r="O65" s="378">
        <f t="shared" si="16"/>
        <v>133722.53183175548</v>
      </c>
      <c r="P65" s="332">
        <f>HLOOKUP(Labor!$B$11,InflationTable,4)*$I$65</f>
        <v>3147.0912870185684</v>
      </c>
      <c r="Q65" s="296">
        <f>P65*$R$4</f>
        <v>135324.92534179843</v>
      </c>
      <c r="R65" s="297">
        <f t="shared" si="17"/>
        <v>135324.92534179843</v>
      </c>
      <c r="S65" s="211">
        <f t="shared" si="18"/>
        <v>133071.59190468185</v>
      </c>
      <c r="T65" s="218" t="s">
        <v>12</v>
      </c>
      <c r="U65" s="392" t="s">
        <v>12</v>
      </c>
    </row>
    <row r="66" spans="1:22" x14ac:dyDescent="0.25">
      <c r="B66" s="559" t="s">
        <v>114</v>
      </c>
      <c r="C66" s="346">
        <v>0</v>
      </c>
      <c r="D66" s="346">
        <v>0</v>
      </c>
      <c r="E66" s="346">
        <v>0</v>
      </c>
      <c r="F66" s="346">
        <v>16</v>
      </c>
      <c r="G66" s="346">
        <v>2</v>
      </c>
      <c r="H66" s="346">
        <v>2</v>
      </c>
      <c r="I66" s="347">
        <f t="shared" si="14"/>
        <v>20</v>
      </c>
      <c r="J66" s="293" t="s">
        <v>12</v>
      </c>
      <c r="K66" s="327">
        <f>I66*$L$4</f>
        <v>860</v>
      </c>
      <c r="L66" s="328">
        <f t="shared" si="15"/>
        <v>860</v>
      </c>
      <c r="M66" s="61" t="s">
        <v>12</v>
      </c>
      <c r="N66" s="348">
        <f>$I$66*$O$4</f>
        <v>860</v>
      </c>
      <c r="O66" s="349">
        <f t="shared" si="16"/>
        <v>860</v>
      </c>
      <c r="P66" s="293" t="s">
        <v>12</v>
      </c>
      <c r="Q66" s="327">
        <f>$I$66*$R$4</f>
        <v>860</v>
      </c>
      <c r="R66" s="328">
        <f t="shared" si="17"/>
        <v>860</v>
      </c>
      <c r="S66" s="129">
        <f t="shared" si="18"/>
        <v>860</v>
      </c>
      <c r="T66" s="136" t="s">
        <v>12</v>
      </c>
      <c r="U66" s="147" t="s">
        <v>12</v>
      </c>
    </row>
    <row r="67" spans="1:22" s="1" customFormat="1" ht="13.8" thickBot="1" x14ac:dyDescent="0.3">
      <c r="B67" s="715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788</v>
      </c>
      <c r="G67" s="374">
        <f>ROUND(G66*Labor!$D$7,0)</f>
        <v>111</v>
      </c>
      <c r="H67" s="374">
        <f>ROUND(H66*Labor!$D$8,0)</f>
        <v>117</v>
      </c>
      <c r="I67" s="209">
        <f t="shared" si="14"/>
        <v>1016</v>
      </c>
      <c r="J67" s="339">
        <f>HLOOKUP(Labor!$B$11,InflationTable,2)*I67</f>
        <v>1372.4146782181897</v>
      </c>
      <c r="K67" s="296">
        <f>J67*$L$4</f>
        <v>59013.831163382158</v>
      </c>
      <c r="L67" s="297">
        <f t="shared" si="15"/>
        <v>59013.831163382158</v>
      </c>
      <c r="M67" s="450">
        <f>HLOOKUP(Labor!$B$11,InflationTable,3)*I67</f>
        <v>1409.8989481550343</v>
      </c>
      <c r="N67" s="377">
        <f>M67*$O$4</f>
        <v>60625.654770666471</v>
      </c>
      <c r="O67" s="378">
        <f t="shared" si="16"/>
        <v>60625.654770666471</v>
      </c>
      <c r="P67" s="332">
        <f>HLOOKUP(Labor!$B$11,InflationTable,4)*$I$67</f>
        <v>1426.7937294113635</v>
      </c>
      <c r="Q67" s="296">
        <f>P67*$R$4</f>
        <v>61352.13036468863</v>
      </c>
      <c r="R67" s="297">
        <f t="shared" si="17"/>
        <v>61352.13036468863</v>
      </c>
      <c r="S67" s="211">
        <f t="shared" si="18"/>
        <v>60330.538766245758</v>
      </c>
      <c r="T67" s="218" t="s">
        <v>12</v>
      </c>
      <c r="U67" s="392" t="s">
        <v>12</v>
      </c>
    </row>
    <row r="68" spans="1:22" x14ac:dyDescent="0.25">
      <c r="B68" s="559" t="s">
        <v>115</v>
      </c>
      <c r="C68" s="346">
        <v>0</v>
      </c>
      <c r="D68" s="346">
        <v>0</v>
      </c>
      <c r="E68" s="346">
        <v>0</v>
      </c>
      <c r="F68" s="346">
        <v>48</v>
      </c>
      <c r="G68" s="346">
        <v>12</v>
      </c>
      <c r="H68" s="346">
        <v>0</v>
      </c>
      <c r="I68" s="347">
        <f t="shared" si="14"/>
        <v>60</v>
      </c>
      <c r="J68" s="293" t="s">
        <v>12</v>
      </c>
      <c r="K68" s="327">
        <f>I68*$L$4</f>
        <v>2580</v>
      </c>
      <c r="L68" s="328">
        <f t="shared" si="15"/>
        <v>2580</v>
      </c>
      <c r="M68" s="61" t="s">
        <v>12</v>
      </c>
      <c r="N68" s="348">
        <f>$I$68*$O$4</f>
        <v>2580</v>
      </c>
      <c r="O68" s="349">
        <f t="shared" si="16"/>
        <v>2580</v>
      </c>
      <c r="P68" s="293" t="s">
        <v>12</v>
      </c>
      <c r="Q68" s="327">
        <f>$I$68*$R$4</f>
        <v>2580</v>
      </c>
      <c r="R68" s="328">
        <f t="shared" si="17"/>
        <v>2580</v>
      </c>
      <c r="S68" s="129">
        <f t="shared" si="18"/>
        <v>2580</v>
      </c>
      <c r="T68" s="136" t="s">
        <v>12</v>
      </c>
      <c r="U68" s="147" t="s">
        <v>12</v>
      </c>
    </row>
    <row r="69" spans="1:22" s="1" customFormat="1" ht="13.8" thickBot="1" x14ac:dyDescent="0.3">
      <c r="B69" s="715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2365</v>
      </c>
      <c r="G69" s="374">
        <f>ROUND(G68*Labor!$D$7,0)</f>
        <v>666</v>
      </c>
      <c r="H69" s="374">
        <f>ROUND(H68*Labor!$D$8,0)</f>
        <v>0</v>
      </c>
      <c r="I69" s="209">
        <f t="shared" si="14"/>
        <v>3031</v>
      </c>
      <c r="J69" s="339">
        <f>HLOOKUP(Labor!$B$11,InflationTable,2)*I69</f>
        <v>4094.2804032276899</v>
      </c>
      <c r="K69" s="296">
        <f>J69*$L$4</f>
        <v>176054.05733879068</v>
      </c>
      <c r="L69" s="297">
        <f t="shared" si="15"/>
        <v>176054.05733879068</v>
      </c>
      <c r="M69" s="376">
        <f>HLOOKUP(Labor!$B$11,InflationTable,3)*$I$69</f>
        <v>4206.1060156081785</v>
      </c>
      <c r="N69" s="377">
        <f>M69*$O$4</f>
        <v>180862.55867115167</v>
      </c>
      <c r="O69" s="378">
        <f t="shared" si="16"/>
        <v>180862.55867115167</v>
      </c>
      <c r="P69" s="332">
        <f>HLOOKUP(Labor!$B$11,InflationTable,4)*$I$69</f>
        <v>4256.5076711081128</v>
      </c>
      <c r="Q69" s="296">
        <f>P69*$R$4</f>
        <v>183029.82985764885</v>
      </c>
      <c r="R69" s="297">
        <f t="shared" si="17"/>
        <v>183029.82985764885</v>
      </c>
      <c r="S69" s="211">
        <f t="shared" si="18"/>
        <v>179982.1486225304</v>
      </c>
      <c r="T69" s="218" t="s">
        <v>12</v>
      </c>
      <c r="U69" s="392" t="s">
        <v>12</v>
      </c>
    </row>
    <row r="70" spans="1:22" x14ac:dyDescent="0.25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8" thickBot="1" x14ac:dyDescent="0.3">
      <c r="B71" s="715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 x14ac:dyDescent="0.25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24</v>
      </c>
      <c r="F72" s="36">
        <f t="shared" si="19"/>
        <v>88</v>
      </c>
      <c r="G72" s="36">
        <f t="shared" si="19"/>
        <v>14</v>
      </c>
      <c r="H72" s="36">
        <f t="shared" si="19"/>
        <v>2</v>
      </c>
      <c r="I72" s="46">
        <f t="shared" si="19"/>
        <v>128</v>
      </c>
      <c r="J72" s="301" t="s">
        <v>12</v>
      </c>
      <c r="K72" s="285">
        <f>K64+K66+K68+K70</f>
        <v>5504</v>
      </c>
      <c r="L72" s="312">
        <f>L64+L66+L68+L70</f>
        <v>5504</v>
      </c>
      <c r="M72" s="85" t="s">
        <v>12</v>
      </c>
      <c r="N72" s="33">
        <f>N64+N66+N68+N70</f>
        <v>5504</v>
      </c>
      <c r="O72" s="99">
        <f>O64+O66+O68+O70</f>
        <v>5504</v>
      </c>
      <c r="P72" s="301" t="s">
        <v>12</v>
      </c>
      <c r="Q72" s="285">
        <f>Q64+Q66+Q68+Q70</f>
        <v>5504</v>
      </c>
      <c r="R72" s="312">
        <f>R64+R66+R68+R70</f>
        <v>5504</v>
      </c>
      <c r="S72" s="129">
        <f t="shared" si="18"/>
        <v>5504</v>
      </c>
      <c r="T72" s="136" t="s">
        <v>12</v>
      </c>
      <c r="U72" s="147" t="s">
        <v>12</v>
      </c>
    </row>
    <row r="73" spans="1:22" ht="13.8" thickBot="1" x14ac:dyDescent="0.3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1059</v>
      </c>
      <c r="F73" s="240">
        <f t="shared" si="19"/>
        <v>4335</v>
      </c>
      <c r="G73" s="240">
        <f t="shared" si="19"/>
        <v>777</v>
      </c>
      <c r="H73" s="240">
        <f t="shared" si="19"/>
        <v>117</v>
      </c>
      <c r="I73" s="243">
        <f t="shared" si="19"/>
        <v>6288</v>
      </c>
      <c r="J73" s="313">
        <f>J65+J67+J69+J71</f>
        <v>8493.8420242480097</v>
      </c>
      <c r="K73" s="275">
        <f>K65+K67+K69+K71</f>
        <v>365235.20704266441</v>
      </c>
      <c r="L73" s="276">
        <f>L65+L67+L69+L71</f>
        <v>365235.20704266441</v>
      </c>
      <c r="M73" s="242">
        <f>M65+M67+M69+M71</f>
        <v>8725.8312854319447</v>
      </c>
      <c r="N73" s="240">
        <f>N65+N67+N69+N71</f>
        <v>375210.74527357362</v>
      </c>
      <c r="O73" s="243">
        <f>O65+O67+O69+O71</f>
        <v>375210.74527357362</v>
      </c>
      <c r="P73" s="313">
        <f>P65+P67+P69+P71</f>
        <v>8830.3926875380457</v>
      </c>
      <c r="Q73" s="275">
        <f>Q65+Q67+Q69+Q71</f>
        <v>379706.88556413591</v>
      </c>
      <c r="R73" s="276">
        <f>R65+R67+R69+R71</f>
        <v>379706.88556413591</v>
      </c>
      <c r="S73" s="255">
        <f t="shared" si="18"/>
        <v>373384.27929345798</v>
      </c>
      <c r="T73" s="249" t="s">
        <v>12</v>
      </c>
      <c r="U73" s="224" t="s">
        <v>12</v>
      </c>
    </row>
    <row r="74" spans="1:22" ht="13.8" thickTop="1" x14ac:dyDescent="0.25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8" thickBot="1" x14ac:dyDescent="0.3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8.2" thickTop="1" thickBot="1" x14ac:dyDescent="0.35">
      <c r="B76" s="652" t="s">
        <v>28</v>
      </c>
      <c r="C76" s="5"/>
      <c r="D76" s="5"/>
      <c r="E76" s="5"/>
      <c r="F76" s="112" t="s">
        <v>6</v>
      </c>
      <c r="G76" s="1415"/>
      <c r="H76" s="1416"/>
      <c r="I76" s="1417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2" t="s">
        <v>79</v>
      </c>
    </row>
    <row r="77" spans="1:22" x14ac:dyDescent="0.25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22" t="s">
        <v>57</v>
      </c>
      <c r="L77" s="1423"/>
      <c r="M77" s="57" t="s">
        <v>61</v>
      </c>
      <c r="N77" s="1432" t="s">
        <v>57</v>
      </c>
      <c r="O77" s="1436"/>
      <c r="P77" s="318" t="s">
        <v>61</v>
      </c>
      <c r="Q77" s="1422" t="s">
        <v>57</v>
      </c>
      <c r="R77" s="1423"/>
      <c r="S77" s="760"/>
      <c r="T77" s="37"/>
      <c r="U77" s="37"/>
    </row>
    <row r="78" spans="1:22" x14ac:dyDescent="0.25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1"/>
      <c r="T78" s="37"/>
      <c r="U78" s="37"/>
    </row>
    <row r="79" spans="1:22" s="1" customFormat="1" ht="13.8" thickBot="1" x14ac:dyDescent="0.3">
      <c r="A79" s="616"/>
      <c r="B79" s="759" t="str">
        <f>VLOOKUP(C$2,Monitor_Costs,25,FALSE)</f>
        <v>Calibration Stds</v>
      </c>
      <c r="C79" s="720">
        <f>VLOOKUP(C$2,Monitor_Costs,26,FALSE)</f>
        <v>4500</v>
      </c>
      <c r="D79" s="373">
        <f>VLOOKUP(C$2,Monitor_Costs,15,FALSE)</f>
        <v>2019</v>
      </c>
      <c r="E79" s="673"/>
      <c r="F79" s="674"/>
      <c r="G79" s="673"/>
      <c r="H79" s="721"/>
      <c r="I79" s="363"/>
      <c r="J79" s="296">
        <f>HLOOKUP($D$34,InflationTable,2)*$C79</f>
        <v>6078.6083188797775</v>
      </c>
      <c r="K79" s="296">
        <f>J79*$L$4</f>
        <v>261380.15771183043</v>
      </c>
      <c r="L79" s="297">
        <f>K79</f>
        <v>261380.15771183043</v>
      </c>
      <c r="M79" s="450">
        <f>HLOOKUP($D$34,InflationTable,3)*$C79</f>
        <v>6244.6311680095023</v>
      </c>
      <c r="N79" s="377">
        <f>M79*$O$4</f>
        <v>268519.14022440859</v>
      </c>
      <c r="O79" s="378">
        <f>N79</f>
        <v>268519.14022440859</v>
      </c>
      <c r="P79" s="296">
        <f>HLOOKUP($D$34,InflationTable,4)*$C79</f>
        <v>6319.4604156999367</v>
      </c>
      <c r="Q79" s="296">
        <f>P79*$R$4</f>
        <v>271736.79787509725</v>
      </c>
      <c r="R79" s="297">
        <f>Q79</f>
        <v>271736.79787509725</v>
      </c>
      <c r="S79" s="472" t="s">
        <v>12</v>
      </c>
      <c r="T79" s="375">
        <f>AVERAGE(L79,O79,R79)</f>
        <v>267212.0319371121</v>
      </c>
      <c r="U79" s="228" t="s">
        <v>12</v>
      </c>
    </row>
    <row r="80" spans="1:22" x14ac:dyDescent="0.25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 x14ac:dyDescent="0.25">
      <c r="B81" s="557" t="s">
        <v>205</v>
      </c>
      <c r="C81" s="21">
        <v>0</v>
      </c>
      <c r="D81" s="21">
        <v>0</v>
      </c>
      <c r="E81" s="21">
        <v>4</v>
      </c>
      <c r="F81" s="21">
        <v>10</v>
      </c>
      <c r="G81" s="21">
        <v>0</v>
      </c>
      <c r="H81" s="21">
        <v>0</v>
      </c>
      <c r="I81" s="52">
        <f t="shared" ref="I81:I86" si="20">SUM(C81:H81)</f>
        <v>14</v>
      </c>
      <c r="J81" s="263" t="s">
        <v>12</v>
      </c>
      <c r="K81" s="281">
        <f>I81*$L$4</f>
        <v>602</v>
      </c>
      <c r="L81" s="289">
        <f t="shared" ref="L81:L86" si="21">K81</f>
        <v>602</v>
      </c>
      <c r="M81" s="58" t="s">
        <v>12</v>
      </c>
      <c r="N81" s="69">
        <f>$I$81*$O$4</f>
        <v>602</v>
      </c>
      <c r="O81" s="68">
        <f t="shared" ref="O81:O86" si="22">N81</f>
        <v>602</v>
      </c>
      <c r="P81" s="263" t="s">
        <v>12</v>
      </c>
      <c r="Q81" s="281">
        <f>$I$81*$O$4</f>
        <v>602</v>
      </c>
      <c r="R81" s="289">
        <f t="shared" ref="R81:R86" si="23">Q81</f>
        <v>602</v>
      </c>
      <c r="S81" s="121">
        <f t="shared" ref="S81:S86" si="24">AVERAGE(L81,O81,R81)</f>
        <v>602</v>
      </c>
      <c r="T81" s="135" t="s">
        <v>12</v>
      </c>
      <c r="U81" s="136" t="s">
        <v>12</v>
      </c>
    </row>
    <row r="82" spans="2:22" s="1" customFormat="1" ht="13.8" thickBot="1" x14ac:dyDescent="0.3">
      <c r="B82" s="714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176</v>
      </c>
      <c r="F82" s="374">
        <f>ROUND(F81*Labor!$D$6,0)</f>
        <v>493</v>
      </c>
      <c r="G82" s="374">
        <f>ROUND(G81*Labor!$D$7,0)</f>
        <v>0</v>
      </c>
      <c r="H82" s="374">
        <f>ROUND(H81*Labor!$D$8,0)</f>
        <v>0</v>
      </c>
      <c r="I82" s="209">
        <f t="shared" si="20"/>
        <v>669</v>
      </c>
      <c r="J82" s="332">
        <f>HLOOKUP(Labor!$B$11,InflationTable,2)*I82</f>
        <v>903.68643674012685</v>
      </c>
      <c r="K82" s="296">
        <f>J82*$L$4</f>
        <v>38858.516779825455</v>
      </c>
      <c r="L82" s="297">
        <f t="shared" si="21"/>
        <v>38858.516779825455</v>
      </c>
      <c r="M82" s="450">
        <f>HLOOKUP(Labor!$B$11,InflationTable,3)*$I$82</f>
        <v>928.36850031074607</v>
      </c>
      <c r="N82" s="377">
        <f>M82*$O$4</f>
        <v>39919.845513362081</v>
      </c>
      <c r="O82" s="378">
        <f t="shared" si="22"/>
        <v>39919.845513362081</v>
      </c>
      <c r="P82" s="332">
        <f>HLOOKUP(Labor!$B$11,InflationTable,4)*$I82</f>
        <v>939.49311513405723</v>
      </c>
      <c r="Q82" s="296">
        <f>P82*$R$4</f>
        <v>40398.203950764459</v>
      </c>
      <c r="R82" s="297">
        <f t="shared" si="23"/>
        <v>40398.203950764459</v>
      </c>
      <c r="S82" s="211">
        <f t="shared" si="24"/>
        <v>39725.522081317329</v>
      </c>
      <c r="T82" s="393" t="s">
        <v>12</v>
      </c>
      <c r="U82" s="218" t="s">
        <v>12</v>
      </c>
    </row>
    <row r="83" spans="2:22" x14ac:dyDescent="0.25">
      <c r="B83" s="559" t="s">
        <v>206</v>
      </c>
      <c r="C83" s="346">
        <v>0</v>
      </c>
      <c r="D83" s="346">
        <v>0</v>
      </c>
      <c r="E83" s="346">
        <v>4</v>
      </c>
      <c r="F83" s="346">
        <v>8</v>
      </c>
      <c r="G83" s="346">
        <v>0</v>
      </c>
      <c r="H83" s="346">
        <v>0</v>
      </c>
      <c r="I83" s="347">
        <f t="shared" si="20"/>
        <v>12</v>
      </c>
      <c r="J83" s="293" t="s">
        <v>12</v>
      </c>
      <c r="K83" s="327">
        <f>I83*$L$4</f>
        <v>516</v>
      </c>
      <c r="L83" s="328">
        <f t="shared" si="21"/>
        <v>516</v>
      </c>
      <c r="M83" s="61" t="s">
        <v>12</v>
      </c>
      <c r="N83" s="348">
        <f>$I$83*$O$4</f>
        <v>516</v>
      </c>
      <c r="O83" s="349">
        <f t="shared" si="22"/>
        <v>516</v>
      </c>
      <c r="P83" s="293" t="s">
        <v>12</v>
      </c>
      <c r="Q83" s="327">
        <f>$I$83*$O$4</f>
        <v>516</v>
      </c>
      <c r="R83" s="328">
        <f t="shared" si="23"/>
        <v>516</v>
      </c>
      <c r="S83" s="129">
        <f t="shared" si="24"/>
        <v>516</v>
      </c>
      <c r="T83" s="135" t="s">
        <v>12</v>
      </c>
      <c r="U83" s="136" t="s">
        <v>12</v>
      </c>
    </row>
    <row r="84" spans="2:22" s="1" customFormat="1" ht="13.8" thickBot="1" x14ac:dyDescent="0.3">
      <c r="B84" s="714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176</v>
      </c>
      <c r="F84" s="374">
        <f>ROUND(F83*Labor!$D$6,0)</f>
        <v>394</v>
      </c>
      <c r="G84" s="374">
        <f>ROUND(G83*Labor!$D$7,0)</f>
        <v>0</v>
      </c>
      <c r="H84" s="374">
        <f>ROUND(H83*Labor!$D$8,0)</f>
        <v>0</v>
      </c>
      <c r="I84" s="209">
        <f t="shared" si="20"/>
        <v>570</v>
      </c>
      <c r="J84" s="332">
        <f>HLOOKUP(Labor!$B$11,InflationTable,2)*I84</f>
        <v>769.95705372477175</v>
      </c>
      <c r="K84" s="296">
        <f>J84*$L$4</f>
        <v>33108.153310165188</v>
      </c>
      <c r="L84" s="297">
        <f t="shared" si="21"/>
        <v>33108.153310165188</v>
      </c>
      <c r="M84" s="450">
        <f>HLOOKUP(Labor!$B$11,InflationTable,3)*$I$84</f>
        <v>790.98661461453696</v>
      </c>
      <c r="N84" s="377">
        <f>M84*$O$4</f>
        <v>34012.424428425089</v>
      </c>
      <c r="O84" s="378">
        <f t="shared" si="22"/>
        <v>34012.424428425089</v>
      </c>
      <c r="P84" s="332">
        <f>HLOOKUP(Labor!$B$11,InflationTable,4)*$I84</f>
        <v>800.46498598865867</v>
      </c>
      <c r="Q84" s="296">
        <f>P84*$R$4</f>
        <v>34419.994397512324</v>
      </c>
      <c r="R84" s="297">
        <f t="shared" si="23"/>
        <v>34419.994397512324</v>
      </c>
      <c r="S84" s="211">
        <f t="shared" si="24"/>
        <v>33846.857378700865</v>
      </c>
      <c r="T84" s="393" t="s">
        <v>12</v>
      </c>
      <c r="U84" s="218" t="s">
        <v>12</v>
      </c>
    </row>
    <row r="85" spans="2:22" x14ac:dyDescent="0.25">
      <c r="B85" s="559" t="s">
        <v>109</v>
      </c>
      <c r="C85" s="346">
        <v>0</v>
      </c>
      <c r="D85" s="346">
        <v>1</v>
      </c>
      <c r="E85" s="346">
        <v>8</v>
      </c>
      <c r="F85" s="346">
        <v>5</v>
      </c>
      <c r="G85" s="346">
        <v>2</v>
      </c>
      <c r="H85" s="346">
        <v>0</v>
      </c>
      <c r="I85" s="347">
        <f t="shared" si="20"/>
        <v>16</v>
      </c>
      <c r="J85" s="293" t="s">
        <v>12</v>
      </c>
      <c r="K85" s="327">
        <f>I85*$L$4</f>
        <v>688</v>
      </c>
      <c r="L85" s="328">
        <f t="shared" si="21"/>
        <v>688</v>
      </c>
      <c r="M85" s="61" t="s">
        <v>12</v>
      </c>
      <c r="N85" s="348">
        <f>$I85*$O$4</f>
        <v>688</v>
      </c>
      <c r="O85" s="349">
        <f t="shared" si="22"/>
        <v>688</v>
      </c>
      <c r="P85" s="293" t="s">
        <v>12</v>
      </c>
      <c r="Q85" s="327">
        <f>$I85*$O$4</f>
        <v>688</v>
      </c>
      <c r="R85" s="328">
        <f t="shared" si="23"/>
        <v>688</v>
      </c>
      <c r="S85" s="129">
        <f t="shared" si="24"/>
        <v>688</v>
      </c>
      <c r="T85" s="135" t="s">
        <v>12</v>
      </c>
      <c r="U85" s="136" t="s">
        <v>12</v>
      </c>
    </row>
    <row r="86" spans="2:22" s="1" customFormat="1" ht="13.8" thickBot="1" x14ac:dyDescent="0.3">
      <c r="B86" s="714" t="s">
        <v>8</v>
      </c>
      <c r="C86" s="373">
        <f>ROUND(C85*Labor!$D$3,0)</f>
        <v>0</v>
      </c>
      <c r="D86" s="374">
        <f>ROUND(D85*Labor!$D$4,0)</f>
        <v>41</v>
      </c>
      <c r="E86" s="374">
        <f>ROUND(E85*Labor!$D$5,0)</f>
        <v>353</v>
      </c>
      <c r="F86" s="374">
        <f>ROUND(F85*Labor!$D$6,0)</f>
        <v>246</v>
      </c>
      <c r="G86" s="374">
        <f>ROUND(G85*Labor!$D$7,0)</f>
        <v>111</v>
      </c>
      <c r="H86" s="374">
        <f>ROUND(H85*Labor!$D$8,0)</f>
        <v>0</v>
      </c>
      <c r="I86" s="209">
        <f t="shared" si="20"/>
        <v>751</v>
      </c>
      <c r="J86" s="332">
        <f>HLOOKUP(Labor!$B$11,InflationTable,2)*I86</f>
        <v>1014.4521883286028</v>
      </c>
      <c r="K86" s="296">
        <f>J86*$L$4</f>
        <v>43621.444098129919</v>
      </c>
      <c r="L86" s="297">
        <f t="shared" si="21"/>
        <v>43621.444098129919</v>
      </c>
      <c r="M86" s="450">
        <f>HLOOKUP(Labor!$B$11,InflationTable,3)*$I86</f>
        <v>1042.1595571500304</v>
      </c>
      <c r="N86" s="377">
        <f>M86*$O$4</f>
        <v>44812.86095745131</v>
      </c>
      <c r="O86" s="378">
        <f t="shared" si="22"/>
        <v>44812.86095745131</v>
      </c>
      <c r="P86" s="332">
        <f>HLOOKUP(Labor!$B$11,InflationTable,4)*$I86</f>
        <v>1054.6477271534784</v>
      </c>
      <c r="Q86" s="296">
        <f>P86*$R$4</f>
        <v>45349.85226759957</v>
      </c>
      <c r="R86" s="297">
        <f t="shared" si="23"/>
        <v>45349.85226759957</v>
      </c>
      <c r="S86" s="446">
        <f t="shared" si="24"/>
        <v>44594.719107726938</v>
      </c>
      <c r="T86" s="444" t="s">
        <v>12</v>
      </c>
      <c r="U86" s="380" t="s">
        <v>12</v>
      </c>
    </row>
    <row r="87" spans="2:22" x14ac:dyDescent="0.25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 x14ac:dyDescent="0.25">
      <c r="B88" s="558" t="s">
        <v>4</v>
      </c>
      <c r="C88" s="21">
        <v>0</v>
      </c>
      <c r="D88" s="21">
        <v>0</v>
      </c>
      <c r="E88" s="21">
        <v>0</v>
      </c>
      <c r="F88" s="21">
        <v>12</v>
      </c>
      <c r="G88" s="21">
        <v>4</v>
      </c>
      <c r="H88" s="21">
        <v>0</v>
      </c>
      <c r="I88" s="52">
        <f>SUM(C88:H88)</f>
        <v>16</v>
      </c>
      <c r="J88" s="263" t="s">
        <v>12</v>
      </c>
      <c r="K88" s="281">
        <f>I88*$L$4</f>
        <v>688</v>
      </c>
      <c r="L88" s="289">
        <f>K88</f>
        <v>688</v>
      </c>
      <c r="M88" s="58" t="s">
        <v>12</v>
      </c>
      <c r="N88" s="69">
        <f>$I88*$O$4</f>
        <v>688</v>
      </c>
      <c r="O88" s="68">
        <f>N88</f>
        <v>688</v>
      </c>
      <c r="P88" s="263" t="s">
        <v>12</v>
      </c>
      <c r="Q88" s="281">
        <f>$I88*$O$4</f>
        <v>688</v>
      </c>
      <c r="R88" s="289">
        <f>Q88</f>
        <v>688</v>
      </c>
      <c r="S88" s="121">
        <f>AVERAGE(L88,O88,R88)</f>
        <v>688</v>
      </c>
      <c r="T88" s="135" t="s">
        <v>12</v>
      </c>
      <c r="U88" s="136" t="s">
        <v>12</v>
      </c>
    </row>
    <row r="89" spans="2:22" s="1" customFormat="1" ht="13.8" thickBot="1" x14ac:dyDescent="0.3">
      <c r="B89" s="714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591</v>
      </c>
      <c r="G89" s="374">
        <f>ROUND(G88*Labor!$D$7,0)</f>
        <v>222</v>
      </c>
      <c r="H89" s="374">
        <f>ROUND(H88*Labor!$D$8,0)</f>
        <v>0</v>
      </c>
      <c r="I89" s="209">
        <f>SUM(C89:H89)</f>
        <v>813</v>
      </c>
      <c r="J89" s="332">
        <f>HLOOKUP(Labor!$B$11,InflationTable,2)*I89</f>
        <v>1098.2019029442797</v>
      </c>
      <c r="K89" s="296">
        <f>J89*$L$4</f>
        <v>47222.681826604028</v>
      </c>
      <c r="L89" s="297">
        <f>K89</f>
        <v>47222.681826604028</v>
      </c>
      <c r="M89" s="450">
        <f>HLOOKUP(Labor!$B$11,InflationTable,3)*$I89</f>
        <v>1128.1966976870501</v>
      </c>
      <c r="N89" s="377">
        <f>M89*$O$4</f>
        <v>48512.458000543156</v>
      </c>
      <c r="O89" s="378">
        <f>N89</f>
        <v>48512.458000543156</v>
      </c>
      <c r="P89" s="332">
        <f>HLOOKUP(Labor!$B$11,InflationTable,4)*$I89</f>
        <v>1141.7158484364552</v>
      </c>
      <c r="Q89" s="296">
        <f>P89*$R$4</f>
        <v>49093.781482767576</v>
      </c>
      <c r="R89" s="297">
        <f>Q89</f>
        <v>49093.781482767576</v>
      </c>
      <c r="S89" s="211">
        <f>AVERAGE(L89,O89,R89)</f>
        <v>48276.30710330492</v>
      </c>
      <c r="T89" s="393" t="s">
        <v>12</v>
      </c>
      <c r="U89" s="218" t="s">
        <v>12</v>
      </c>
    </row>
    <row r="90" spans="2:22" x14ac:dyDescent="0.25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34" t="s">
        <v>57</v>
      </c>
      <c r="O90" s="1435"/>
      <c r="P90" s="259" t="s">
        <v>55</v>
      </c>
      <c r="Q90" s="1431" t="s">
        <v>57</v>
      </c>
      <c r="R90" s="1439"/>
      <c r="S90" s="170"/>
      <c r="T90" s="133"/>
      <c r="U90" s="37"/>
    </row>
    <row r="91" spans="2:22" x14ac:dyDescent="0.25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468</v>
      </c>
      <c r="L91" s="282">
        <f>K91/$E$90</f>
        <v>93.6</v>
      </c>
      <c r="M91" s="58" t="s">
        <v>12</v>
      </c>
      <c r="N91" s="60">
        <f>$I$91*$M$5</f>
        <v>468</v>
      </c>
      <c r="O91" s="59">
        <f>N91/$E$90</f>
        <v>93.6</v>
      </c>
      <c r="P91" s="263" t="s">
        <v>12</v>
      </c>
      <c r="Q91" s="283">
        <f>$I$91*$P$5</f>
        <v>468</v>
      </c>
      <c r="R91" s="282">
        <f>Q91/$E$90</f>
        <v>93.6</v>
      </c>
      <c r="S91" s="121">
        <f>AVERAGE(L91,O91,R91)</f>
        <v>93.59999999999998</v>
      </c>
      <c r="T91" s="135" t="s">
        <v>12</v>
      </c>
      <c r="U91" s="136" t="s">
        <v>12</v>
      </c>
    </row>
    <row r="92" spans="2:22" s="1" customFormat="1" ht="13.8" thickBot="1" x14ac:dyDescent="0.3">
      <c r="B92" s="715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798.32389254621069</v>
      </c>
      <c r="K92" s="296">
        <f>J92*$J$5</f>
        <v>31134.631809302216</v>
      </c>
      <c r="L92" s="297">
        <f>K92/$E$90</f>
        <v>6226.9263618604436</v>
      </c>
      <c r="M92" s="445">
        <f>HLOOKUP(Labor!$B$11,InflationTable,3)*$I92</f>
        <v>820.12822673191465</v>
      </c>
      <c r="N92" s="377">
        <f>M92*$M$5</f>
        <v>31985.000842544672</v>
      </c>
      <c r="O92" s="378">
        <f>N92/$E$90</f>
        <v>6397.0001685089346</v>
      </c>
      <c r="P92" s="339">
        <f>HLOOKUP(Labor!$B$11,InflationTable,4)*$I92</f>
        <v>829.95580126192499</v>
      </c>
      <c r="Q92" s="296">
        <f>P92*$P$5</f>
        <v>32368.276249215076</v>
      </c>
      <c r="R92" s="297">
        <f>Q92/$E$90</f>
        <v>6473.6552498430156</v>
      </c>
      <c r="S92" s="211">
        <f>AVERAGE(L92,O92,R92)</f>
        <v>6365.8605934041307</v>
      </c>
      <c r="T92" s="393" t="s">
        <v>12</v>
      </c>
      <c r="U92" s="218" t="s">
        <v>12</v>
      </c>
    </row>
    <row r="93" spans="2:22" x14ac:dyDescent="0.25">
      <c r="B93" s="560" t="s">
        <v>66</v>
      </c>
      <c r="C93" s="42">
        <f>C81+C83+C88+C85+C91</f>
        <v>0</v>
      </c>
      <c r="D93" s="42">
        <f t="shared" ref="D93:I93" si="25">D81+D83+D88+D85+D91</f>
        <v>1</v>
      </c>
      <c r="E93" s="42">
        <f t="shared" si="25"/>
        <v>16</v>
      </c>
      <c r="F93" s="42">
        <f t="shared" si="25"/>
        <v>47</v>
      </c>
      <c r="G93" s="42">
        <f t="shared" si="25"/>
        <v>6</v>
      </c>
      <c r="H93" s="42">
        <f t="shared" si="25"/>
        <v>0</v>
      </c>
      <c r="I93" s="42">
        <f t="shared" si="25"/>
        <v>70</v>
      </c>
      <c r="J93" s="293" t="s">
        <v>12</v>
      </c>
      <c r="K93" s="315" t="s">
        <v>12</v>
      </c>
      <c r="L93" s="315">
        <f>L81+L83+L88+L85+L91</f>
        <v>2587.6</v>
      </c>
      <c r="M93" s="92" t="s">
        <v>12</v>
      </c>
      <c r="N93" s="42" t="s">
        <v>12</v>
      </c>
      <c r="O93" s="42">
        <f>O81+O83+O88+O85+O91</f>
        <v>2587.6</v>
      </c>
      <c r="P93" s="758" t="s">
        <v>12</v>
      </c>
      <c r="Q93" s="315" t="s">
        <v>12</v>
      </c>
      <c r="R93" s="315">
        <f>R81+R83+R88+R85+R91</f>
        <v>2587.6</v>
      </c>
      <c r="S93" s="150">
        <f>AVERAGE(L93,O93,R93)</f>
        <v>2587.6</v>
      </c>
      <c r="T93" s="133"/>
      <c r="U93" s="37"/>
    </row>
    <row r="94" spans="2:22" ht="13.8" thickBot="1" x14ac:dyDescent="0.3">
      <c r="B94" s="561" t="s">
        <v>67</v>
      </c>
      <c r="C94" s="240">
        <f>C82+C84+C89+C86+C92</f>
        <v>0</v>
      </c>
      <c r="D94" s="240">
        <f t="shared" ref="D94:N94" si="26">D82+D84+D89+D86+D92</f>
        <v>41</v>
      </c>
      <c r="E94" s="240">
        <f t="shared" si="26"/>
        <v>705</v>
      </c>
      <c r="F94" s="240">
        <f t="shared" si="26"/>
        <v>2315</v>
      </c>
      <c r="G94" s="240">
        <f t="shared" si="26"/>
        <v>333</v>
      </c>
      <c r="H94" s="240">
        <f t="shared" si="26"/>
        <v>0</v>
      </c>
      <c r="I94" s="240">
        <f t="shared" si="26"/>
        <v>3394</v>
      </c>
      <c r="J94" s="275">
        <f t="shared" si="26"/>
        <v>4584.621474283992</v>
      </c>
      <c r="K94" s="275">
        <f t="shared" si="26"/>
        <v>193945.42782402682</v>
      </c>
      <c r="L94" s="275">
        <f t="shared" si="26"/>
        <v>169037.72237658504</v>
      </c>
      <c r="M94" s="240">
        <f t="shared" si="26"/>
        <v>4709.8395964942783</v>
      </c>
      <c r="N94" s="240">
        <f t="shared" si="26"/>
        <v>199242.58974232629</v>
      </c>
      <c r="O94" s="240">
        <f>O82+O84+O89+O86+O92</f>
        <v>173654.58906829057</v>
      </c>
      <c r="P94" s="275">
        <f>P82+P84+P89+P86+P92</f>
        <v>4766.2774779745741</v>
      </c>
      <c r="Q94" s="275">
        <f>Q82+Q84+Q89+Q86+Q92</f>
        <v>201630.108347859</v>
      </c>
      <c r="R94" s="275">
        <f>R82+R84+R89+R86+R92</f>
        <v>175735.48734848696</v>
      </c>
      <c r="S94" s="248">
        <f>AVERAGE(L94,O94,R94)</f>
        <v>172809.2662644542</v>
      </c>
      <c r="T94" s="763">
        <f>T79</f>
        <v>267212.0319371121</v>
      </c>
      <c r="U94" s="764" t="s">
        <v>12</v>
      </c>
    </row>
    <row r="95" spans="2:22" ht="14.4" thickTop="1" thickBot="1" x14ac:dyDescent="0.3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2" thickTop="1" x14ac:dyDescent="0.3">
      <c r="B96" s="562" t="s">
        <v>30</v>
      </c>
      <c r="C96" s="5"/>
      <c r="D96" s="5"/>
      <c r="E96" s="5"/>
      <c r="F96" s="112" t="s">
        <v>6</v>
      </c>
      <c r="G96" s="1415"/>
      <c r="H96" s="1416"/>
      <c r="I96" s="1417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 x14ac:dyDescent="0.25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22" t="s">
        <v>57</v>
      </c>
      <c r="L97" s="1423"/>
      <c r="M97" s="57" t="s">
        <v>61</v>
      </c>
      <c r="N97" s="1432" t="s">
        <v>57</v>
      </c>
      <c r="O97" s="1436"/>
      <c r="P97" s="318" t="s">
        <v>61</v>
      </c>
      <c r="Q97" s="1431" t="s">
        <v>57</v>
      </c>
      <c r="R97" s="1439"/>
      <c r="S97" s="131"/>
      <c r="T97" s="133"/>
      <c r="U97" s="37"/>
    </row>
    <row r="98" spans="1:22" x14ac:dyDescent="0.25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 x14ac:dyDescent="0.25">
      <c r="B99" s="566" t="s">
        <v>4</v>
      </c>
      <c r="C99" s="21">
        <v>0</v>
      </c>
      <c r="D99" s="21">
        <v>0</v>
      </c>
      <c r="E99" s="21">
        <v>0</v>
      </c>
      <c r="F99" s="21">
        <v>24</v>
      </c>
      <c r="G99" s="21">
        <v>12</v>
      </c>
      <c r="H99" s="21">
        <v>0</v>
      </c>
      <c r="I99" s="52">
        <f>SUM(C99:H99)</f>
        <v>36</v>
      </c>
      <c r="J99" s="263" t="s">
        <v>12</v>
      </c>
      <c r="K99" s="281">
        <f>I99*$L$4</f>
        <v>1548</v>
      </c>
      <c r="L99" s="289">
        <f>K99</f>
        <v>1548</v>
      </c>
      <c r="M99" s="58" t="s">
        <v>12</v>
      </c>
      <c r="N99" s="69">
        <f>$I99*O$4</f>
        <v>1548</v>
      </c>
      <c r="O99" s="59">
        <f>N99</f>
        <v>1548</v>
      </c>
      <c r="P99" s="263" t="s">
        <v>12</v>
      </c>
      <c r="Q99" s="281">
        <f>$I99*R$4</f>
        <v>1548</v>
      </c>
      <c r="R99" s="289">
        <f>Q99</f>
        <v>1548</v>
      </c>
      <c r="S99" s="173">
        <f t="shared" ref="S99:S104" si="27">AVERAGE(L99,O99,R99)</f>
        <v>1548</v>
      </c>
      <c r="T99" s="135" t="s">
        <v>12</v>
      </c>
      <c r="U99" s="136" t="s">
        <v>12</v>
      </c>
    </row>
    <row r="100" spans="1:22" ht="13.8" thickBot="1" x14ac:dyDescent="0.3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1182</v>
      </c>
      <c r="G100" s="35">
        <f>ROUND(G99*Labor!$D$7,0)</f>
        <v>666</v>
      </c>
      <c r="H100" s="35">
        <f>ROUND(H99*Labor!$D$8,0)</f>
        <v>0</v>
      </c>
      <c r="I100" s="39">
        <f>SUM(C100:H100)</f>
        <v>1848</v>
      </c>
      <c r="J100" s="268">
        <f>HLOOKUP(Labor!$B$11,InflationTable,2)*I100</f>
        <v>2496.2818162866283</v>
      </c>
      <c r="K100" s="269">
        <f>J100*$L$4</f>
        <v>107340.11810032502</v>
      </c>
      <c r="L100" s="308">
        <f>K100</f>
        <v>107340.11810032502</v>
      </c>
      <c r="M100" s="84">
        <f>HLOOKUP(Labor!$B$11,InflationTable,3)*$I100</f>
        <v>2564.4618663292358</v>
      </c>
      <c r="N100" s="63">
        <f>M100*O$4</f>
        <v>110271.86025215714</v>
      </c>
      <c r="O100" s="64">
        <f>N100</f>
        <v>110271.86025215714</v>
      </c>
      <c r="P100" s="268">
        <f>HLOOKUP(Labor!$B$11,InflationTable,4)*$I100</f>
        <v>2595.1917440474408</v>
      </c>
      <c r="Q100" s="269">
        <f>P100*R$4</f>
        <v>111593.24499403995</v>
      </c>
      <c r="R100" s="308">
        <f>Q100</f>
        <v>111593.24499403995</v>
      </c>
      <c r="S100" s="171">
        <f t="shared" si="27"/>
        <v>109735.07444884071</v>
      </c>
      <c r="T100" s="137" t="s">
        <v>12</v>
      </c>
      <c r="U100" s="149" t="s">
        <v>12</v>
      </c>
    </row>
    <row r="101" spans="1:22" x14ac:dyDescent="0.25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24</v>
      </c>
      <c r="H101" s="346">
        <v>12</v>
      </c>
      <c r="I101" s="347">
        <f>SUM(C101:H101)</f>
        <v>36</v>
      </c>
      <c r="J101" s="293" t="s">
        <v>12</v>
      </c>
      <c r="K101" s="327">
        <f>I101*$L$4</f>
        <v>1548</v>
      </c>
      <c r="L101" s="328">
        <f>K101</f>
        <v>1548</v>
      </c>
      <c r="M101" s="61" t="s">
        <v>12</v>
      </c>
      <c r="N101" s="348">
        <f>$I101*O$4</f>
        <v>1548</v>
      </c>
      <c r="O101" s="349">
        <f>N101</f>
        <v>1548</v>
      </c>
      <c r="P101" s="293" t="s">
        <v>12</v>
      </c>
      <c r="Q101" s="327">
        <f>$I101*R$4</f>
        <v>1548</v>
      </c>
      <c r="R101" s="328">
        <f>Q101</f>
        <v>1548</v>
      </c>
      <c r="S101" s="173">
        <f t="shared" si="27"/>
        <v>1548</v>
      </c>
      <c r="T101" s="135" t="s">
        <v>12</v>
      </c>
      <c r="U101" s="136" t="s">
        <v>12</v>
      </c>
    </row>
    <row r="102" spans="1:22" ht="13.8" thickBot="1" x14ac:dyDescent="0.3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1331</v>
      </c>
      <c r="H102" s="35">
        <f>ROUND(H101*Labor!$D$8,0)</f>
        <v>703</v>
      </c>
      <c r="I102" s="39">
        <f>SUM(C102:H102)</f>
        <v>2034</v>
      </c>
      <c r="J102" s="268">
        <f>HLOOKUP(Labor!$B$11,InflationTable,2)*I102</f>
        <v>2747.5309601336594</v>
      </c>
      <c r="K102" s="269">
        <f>J102*$L$4</f>
        <v>118143.83128574735</v>
      </c>
      <c r="L102" s="300">
        <f>K102</f>
        <v>118143.83128574735</v>
      </c>
      <c r="M102" s="84">
        <f>HLOOKUP(Labor!$B$11,InflationTable,3)*$I102</f>
        <v>2822.5732879402954</v>
      </c>
      <c r="N102" s="63">
        <f>M102*O$4</f>
        <v>121370.6513814327</v>
      </c>
      <c r="O102" s="64">
        <f>N102</f>
        <v>121370.6513814327</v>
      </c>
      <c r="P102" s="292">
        <f>HLOOKUP(Labor!$B$11,InflationTable,4)*$I102</f>
        <v>2856.3961078963712</v>
      </c>
      <c r="Q102" s="269">
        <f>P102*R$4</f>
        <v>122825.03263954396</v>
      </c>
      <c r="R102" s="300">
        <f>Q102</f>
        <v>122825.03263954396</v>
      </c>
      <c r="S102" s="128">
        <f t="shared" si="27"/>
        <v>120779.83843557467</v>
      </c>
      <c r="T102" s="137" t="s">
        <v>12</v>
      </c>
      <c r="U102" s="149" t="s">
        <v>12</v>
      </c>
    </row>
    <row r="103" spans="1:22" x14ac:dyDescent="0.25">
      <c r="A103" t="s">
        <v>208</v>
      </c>
      <c r="B103" s="560" t="s">
        <v>66</v>
      </c>
      <c r="C103" s="36">
        <f t="shared" ref="C103:I104" si="28">C99+C101</f>
        <v>0</v>
      </c>
      <c r="D103" s="36">
        <f t="shared" si="28"/>
        <v>0</v>
      </c>
      <c r="E103" s="36">
        <f t="shared" si="28"/>
        <v>0</v>
      </c>
      <c r="F103" s="36">
        <f t="shared" si="28"/>
        <v>24</v>
      </c>
      <c r="G103" s="36">
        <f t="shared" si="28"/>
        <v>36</v>
      </c>
      <c r="H103" s="36">
        <f t="shared" si="28"/>
        <v>12</v>
      </c>
      <c r="I103" s="46">
        <f t="shared" si="28"/>
        <v>72</v>
      </c>
      <c r="J103" s="301" t="s">
        <v>12</v>
      </c>
      <c r="K103" s="320">
        <f>K99+K101</f>
        <v>3096</v>
      </c>
      <c r="L103" s="321">
        <f>L99+L101</f>
        <v>3096</v>
      </c>
      <c r="M103" s="85" t="s">
        <v>12</v>
      </c>
      <c r="N103" s="36">
        <f>N99+N101</f>
        <v>3096</v>
      </c>
      <c r="O103" s="100">
        <f>O99+O101</f>
        <v>3096</v>
      </c>
      <c r="P103" s="301" t="s">
        <v>12</v>
      </c>
      <c r="Q103" s="320">
        <f>Q99+Q101</f>
        <v>3096</v>
      </c>
      <c r="R103" s="322">
        <f>R99+R101</f>
        <v>3096</v>
      </c>
      <c r="S103" s="121">
        <f t="shared" si="27"/>
        <v>3096</v>
      </c>
      <c r="T103" s="135" t="s">
        <v>12</v>
      </c>
      <c r="U103" s="136" t="s">
        <v>12</v>
      </c>
    </row>
    <row r="104" spans="1:22" ht="13.8" thickBot="1" x14ac:dyDescent="0.3">
      <c r="B104" s="561" t="s">
        <v>67</v>
      </c>
      <c r="C104" s="240">
        <f t="shared" si="28"/>
        <v>0</v>
      </c>
      <c r="D104" s="240">
        <f t="shared" si="28"/>
        <v>0</v>
      </c>
      <c r="E104" s="240">
        <f t="shared" si="28"/>
        <v>0</v>
      </c>
      <c r="F104" s="240">
        <f t="shared" si="28"/>
        <v>1182</v>
      </c>
      <c r="G104" s="240">
        <f t="shared" si="28"/>
        <v>1997</v>
      </c>
      <c r="H104" s="240">
        <f t="shared" si="28"/>
        <v>703</v>
      </c>
      <c r="I104" s="243">
        <f t="shared" si="28"/>
        <v>3882</v>
      </c>
      <c r="J104" s="274">
        <f>J100+J102</f>
        <v>5243.8127764202873</v>
      </c>
      <c r="K104" s="275">
        <f>K100+K102</f>
        <v>225483.94938607237</v>
      </c>
      <c r="L104" s="276">
        <f>L100+L102</f>
        <v>225483.94938607237</v>
      </c>
      <c r="M104" s="242">
        <f>M100+M102</f>
        <v>5387.0351542695316</v>
      </c>
      <c r="N104" s="240">
        <f>N100+N102</f>
        <v>231642.51163358986</v>
      </c>
      <c r="O104" s="243">
        <f>O100+O102</f>
        <v>231642.51163358986</v>
      </c>
      <c r="P104" s="313">
        <f>P100+P102</f>
        <v>5451.587851943812</v>
      </c>
      <c r="Q104" s="275">
        <f>Q100+Q102</f>
        <v>234418.27763358393</v>
      </c>
      <c r="R104" s="276">
        <f>R100+R102</f>
        <v>234418.27763358393</v>
      </c>
      <c r="S104" s="257">
        <f t="shared" si="27"/>
        <v>230514.91288441536</v>
      </c>
      <c r="T104" s="258" t="s">
        <v>12</v>
      </c>
      <c r="U104" s="249" t="s">
        <v>12</v>
      </c>
    </row>
    <row r="105" spans="1:22" ht="14.4" thickTop="1" thickBot="1" x14ac:dyDescent="0.3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8.600000000000001" thickTop="1" thickBot="1" x14ac:dyDescent="0.35">
      <c r="B106" s="556" t="s">
        <v>121</v>
      </c>
      <c r="C106" s="647" t="str">
        <f>C2</f>
        <v>PAMSCarbE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2019</v>
      </c>
      <c r="L106" s="83"/>
      <c r="M106" s="79" t="str">
        <f>M2</f>
        <v>Year 2</v>
      </c>
      <c r="N106" s="79">
        <f>N2</f>
        <v>2020</v>
      </c>
      <c r="O106" s="41"/>
      <c r="P106" s="233" t="str">
        <f>P2</f>
        <v>Year 3</v>
      </c>
      <c r="Q106" s="233">
        <f>Q2</f>
        <v>2021</v>
      </c>
      <c r="R106" s="83"/>
      <c r="S106" s="152"/>
      <c r="T106" s="130"/>
      <c r="U106" s="570"/>
    </row>
    <row r="107" spans="1:22" ht="13.8" thickBot="1" x14ac:dyDescent="0.3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 x14ac:dyDescent="0.25">
      <c r="B108" s="572" t="s">
        <v>97</v>
      </c>
      <c r="C108" s="196">
        <f t="shared" ref="C108:S108" si="29">C15</f>
        <v>0</v>
      </c>
      <c r="D108" s="184">
        <f t="shared" si="29"/>
        <v>0</v>
      </c>
      <c r="E108" s="184">
        <f t="shared" si="29"/>
        <v>0</v>
      </c>
      <c r="F108" s="184">
        <f t="shared" si="29"/>
        <v>0</v>
      </c>
      <c r="G108" s="184">
        <f t="shared" si="29"/>
        <v>0</v>
      </c>
      <c r="H108" s="184">
        <f t="shared" si="29"/>
        <v>0</v>
      </c>
      <c r="I108" s="185">
        <f t="shared" si="29"/>
        <v>0</v>
      </c>
      <c r="J108" s="326" t="str">
        <f t="shared" si="29"/>
        <v>NA</v>
      </c>
      <c r="K108" s="327">
        <f t="shared" si="29"/>
        <v>0</v>
      </c>
      <c r="L108" s="328">
        <f t="shared" si="29"/>
        <v>0</v>
      </c>
      <c r="M108" s="186" t="str">
        <f t="shared" si="29"/>
        <v>NA</v>
      </c>
      <c r="N108" s="184">
        <f t="shared" si="29"/>
        <v>0</v>
      </c>
      <c r="O108" s="185">
        <f t="shared" si="29"/>
        <v>0</v>
      </c>
      <c r="P108" s="326" t="str">
        <f t="shared" si="29"/>
        <v>NA</v>
      </c>
      <c r="Q108" s="327">
        <f t="shared" si="29"/>
        <v>0</v>
      </c>
      <c r="R108" s="328">
        <f t="shared" si="29"/>
        <v>0</v>
      </c>
      <c r="S108" s="185">
        <f t="shared" si="29"/>
        <v>0</v>
      </c>
      <c r="T108" s="37"/>
      <c r="U108" s="138"/>
    </row>
    <row r="109" spans="1:22" ht="13.8" thickBot="1" x14ac:dyDescent="0.3">
      <c r="B109" s="573" t="s">
        <v>76</v>
      </c>
      <c r="C109" s="203">
        <f t="shared" ref="C109:S109" si="30">C16</f>
        <v>0</v>
      </c>
      <c r="D109" s="204">
        <f t="shared" si="30"/>
        <v>0</v>
      </c>
      <c r="E109" s="204">
        <f t="shared" si="30"/>
        <v>0</v>
      </c>
      <c r="F109" s="204">
        <f t="shared" si="30"/>
        <v>0</v>
      </c>
      <c r="G109" s="204">
        <f t="shared" si="30"/>
        <v>0</v>
      </c>
      <c r="H109" s="204">
        <f t="shared" si="30"/>
        <v>0</v>
      </c>
      <c r="I109" s="205">
        <f t="shared" si="30"/>
        <v>0</v>
      </c>
      <c r="J109" s="329">
        <f t="shared" si="30"/>
        <v>0</v>
      </c>
      <c r="K109" s="330">
        <f t="shared" si="30"/>
        <v>0</v>
      </c>
      <c r="L109" s="331">
        <f t="shared" si="30"/>
        <v>0</v>
      </c>
      <c r="M109" s="203">
        <f t="shared" si="30"/>
        <v>0</v>
      </c>
      <c r="N109" s="204">
        <f t="shared" si="30"/>
        <v>0</v>
      </c>
      <c r="O109" s="205">
        <f t="shared" si="30"/>
        <v>0</v>
      </c>
      <c r="P109" s="329">
        <f t="shared" si="30"/>
        <v>0</v>
      </c>
      <c r="Q109" s="330">
        <f t="shared" si="30"/>
        <v>0</v>
      </c>
      <c r="R109" s="331">
        <f t="shared" si="30"/>
        <v>0</v>
      </c>
      <c r="S109" s="205">
        <f t="shared" si="30"/>
        <v>0</v>
      </c>
      <c r="T109" s="206" t="str">
        <f>T16</f>
        <v>NA</v>
      </c>
      <c r="U109" s="392" t="s">
        <v>12</v>
      </c>
    </row>
    <row r="110" spans="1:22" x14ac:dyDescent="0.25">
      <c r="B110" s="574" t="s">
        <v>98</v>
      </c>
      <c r="C110" s="196">
        <f t="shared" ref="C110:S110" si="31">C28</f>
        <v>0</v>
      </c>
      <c r="D110" s="184">
        <f t="shared" si="31"/>
        <v>6</v>
      </c>
      <c r="E110" s="184">
        <f t="shared" si="31"/>
        <v>0</v>
      </c>
      <c r="F110" s="184">
        <f t="shared" si="31"/>
        <v>8</v>
      </c>
      <c r="G110" s="184">
        <f t="shared" si="31"/>
        <v>0</v>
      </c>
      <c r="H110" s="184">
        <f t="shared" si="31"/>
        <v>0</v>
      </c>
      <c r="I110" s="185">
        <f t="shared" si="31"/>
        <v>14</v>
      </c>
      <c r="J110" s="326" t="str">
        <f t="shared" si="31"/>
        <v>NA</v>
      </c>
      <c r="K110" s="327">
        <f t="shared" si="31"/>
        <v>602</v>
      </c>
      <c r="L110" s="328">
        <f t="shared" si="31"/>
        <v>120.4</v>
      </c>
      <c r="M110" s="186" t="str">
        <f t="shared" si="31"/>
        <v>NA</v>
      </c>
      <c r="N110" s="184">
        <f t="shared" si="31"/>
        <v>602</v>
      </c>
      <c r="O110" s="185">
        <f t="shared" si="31"/>
        <v>120.4</v>
      </c>
      <c r="P110" s="326" t="str">
        <f t="shared" si="31"/>
        <v>NA</v>
      </c>
      <c r="Q110" s="327">
        <f t="shared" si="31"/>
        <v>602</v>
      </c>
      <c r="R110" s="328">
        <f t="shared" si="31"/>
        <v>120.4</v>
      </c>
      <c r="S110" s="185">
        <f t="shared" si="31"/>
        <v>120.40000000000002</v>
      </c>
      <c r="T110" s="37"/>
      <c r="U110" s="138"/>
    </row>
    <row r="111" spans="1:22" ht="13.8" thickBot="1" x14ac:dyDescent="0.3">
      <c r="B111" s="573" t="s">
        <v>76</v>
      </c>
      <c r="C111" s="207">
        <f t="shared" ref="C111:S111" si="32">C29</f>
        <v>0</v>
      </c>
      <c r="D111" s="208">
        <f t="shared" si="32"/>
        <v>245</v>
      </c>
      <c r="E111" s="208">
        <f t="shared" si="32"/>
        <v>0</v>
      </c>
      <c r="F111" s="208">
        <f t="shared" si="32"/>
        <v>394</v>
      </c>
      <c r="G111" s="208">
        <f t="shared" si="32"/>
        <v>0</v>
      </c>
      <c r="H111" s="208">
        <f t="shared" si="32"/>
        <v>0</v>
      </c>
      <c r="I111" s="209">
        <f t="shared" si="32"/>
        <v>639</v>
      </c>
      <c r="J111" s="332">
        <f t="shared" si="32"/>
        <v>863.16238128092834</v>
      </c>
      <c r="K111" s="296">
        <f t="shared" si="32"/>
        <v>0</v>
      </c>
      <c r="L111" s="297">
        <f t="shared" si="32"/>
        <v>193293.53085187316</v>
      </c>
      <c r="M111" s="207">
        <f t="shared" si="32"/>
        <v>886.73762585734937</v>
      </c>
      <c r="N111" s="208">
        <f t="shared" si="32"/>
        <v>0</v>
      </c>
      <c r="O111" s="209">
        <f t="shared" si="32"/>
        <v>198572.88774195267</v>
      </c>
      <c r="P111" s="332">
        <f t="shared" si="32"/>
        <v>897.36337902939101</v>
      </c>
      <c r="Q111" s="296">
        <f t="shared" si="32"/>
        <v>0</v>
      </c>
      <c r="R111" s="297">
        <f t="shared" si="32"/>
        <v>200952.3813263886</v>
      </c>
      <c r="S111" s="209">
        <f t="shared" si="32"/>
        <v>7588.8217070139854</v>
      </c>
      <c r="T111" s="210" t="str">
        <f>T29</f>
        <v>NA</v>
      </c>
      <c r="U111" s="765">
        <f>U29</f>
        <v>190017.4449330575</v>
      </c>
    </row>
    <row r="112" spans="1:22" x14ac:dyDescent="0.25">
      <c r="B112" s="574" t="s">
        <v>96</v>
      </c>
      <c r="C112" s="197">
        <f t="shared" ref="C112:S112" si="33">C44</f>
        <v>0</v>
      </c>
      <c r="D112" s="25">
        <f t="shared" si="33"/>
        <v>0</v>
      </c>
      <c r="E112" s="25">
        <f t="shared" si="33"/>
        <v>8</v>
      </c>
      <c r="F112" s="25">
        <f t="shared" si="33"/>
        <v>8</v>
      </c>
      <c r="G112" s="25">
        <f t="shared" si="33"/>
        <v>0</v>
      </c>
      <c r="H112" s="25">
        <f t="shared" si="33"/>
        <v>0</v>
      </c>
      <c r="I112" s="198">
        <f t="shared" si="33"/>
        <v>16</v>
      </c>
      <c r="J112" s="333" t="str">
        <f t="shared" si="33"/>
        <v>NA</v>
      </c>
      <c r="K112" s="334">
        <f t="shared" si="33"/>
        <v>688</v>
      </c>
      <c r="L112" s="335">
        <f t="shared" si="33"/>
        <v>688</v>
      </c>
      <c r="M112" s="199" t="str">
        <f t="shared" si="33"/>
        <v>NA</v>
      </c>
      <c r="N112" s="25">
        <f t="shared" si="33"/>
        <v>688</v>
      </c>
      <c r="O112" s="198">
        <f t="shared" si="33"/>
        <v>688</v>
      </c>
      <c r="P112" s="333" t="str">
        <f t="shared" si="33"/>
        <v>NA</v>
      </c>
      <c r="Q112" s="334">
        <f t="shared" si="33"/>
        <v>688</v>
      </c>
      <c r="R112" s="335">
        <f t="shared" si="33"/>
        <v>688</v>
      </c>
      <c r="S112" s="198">
        <f t="shared" si="33"/>
        <v>688</v>
      </c>
      <c r="T112" s="200" t="str">
        <f>T21</f>
        <v>NA</v>
      </c>
      <c r="U112" s="147" t="s">
        <v>12</v>
      </c>
    </row>
    <row r="113" spans="2:21" ht="13.8" thickBot="1" x14ac:dyDescent="0.3">
      <c r="B113" s="573" t="s">
        <v>76</v>
      </c>
      <c r="C113" s="211">
        <f t="shared" ref="C113:S113" si="34">C45</f>
        <v>0</v>
      </c>
      <c r="D113" s="208">
        <f t="shared" si="34"/>
        <v>0</v>
      </c>
      <c r="E113" s="208">
        <f t="shared" si="34"/>
        <v>8</v>
      </c>
      <c r="F113" s="208">
        <f t="shared" si="34"/>
        <v>8</v>
      </c>
      <c r="G113" s="208">
        <f t="shared" si="34"/>
        <v>0</v>
      </c>
      <c r="H113" s="208">
        <f t="shared" si="34"/>
        <v>0</v>
      </c>
      <c r="I113" s="209">
        <f t="shared" si="34"/>
        <v>1497</v>
      </c>
      <c r="J113" s="332">
        <f t="shared" si="34"/>
        <v>2022.1503674140058</v>
      </c>
      <c r="K113" s="296">
        <f t="shared" si="34"/>
        <v>86952.465798802252</v>
      </c>
      <c r="L113" s="297">
        <f t="shared" si="34"/>
        <v>86952.465798802252</v>
      </c>
      <c r="M113" s="207">
        <f t="shared" si="34"/>
        <v>2077.3806352244947</v>
      </c>
      <c r="N113" s="208">
        <f t="shared" si="34"/>
        <v>89327.367314653267</v>
      </c>
      <c r="O113" s="209">
        <f t="shared" si="34"/>
        <v>89327.367314653267</v>
      </c>
      <c r="P113" s="332">
        <f t="shared" si="34"/>
        <v>2102.2738316228456</v>
      </c>
      <c r="Q113" s="296">
        <f t="shared" si="34"/>
        <v>90397.774759782362</v>
      </c>
      <c r="R113" s="297">
        <f t="shared" si="34"/>
        <v>90397.774759782362</v>
      </c>
      <c r="S113" s="209">
        <f t="shared" si="34"/>
        <v>45733.197301560605</v>
      </c>
      <c r="T113" s="209">
        <f>T45</f>
        <v>1481542.2659624326</v>
      </c>
      <c r="U113" s="765">
        <f>U45</f>
        <v>712565.41849896556</v>
      </c>
    </row>
    <row r="114" spans="2:21" x14ac:dyDescent="0.25">
      <c r="B114" s="574" t="s">
        <v>99</v>
      </c>
      <c r="C114" s="197">
        <f t="shared" ref="C114:S114" si="35">C58</f>
        <v>0</v>
      </c>
      <c r="D114" s="25">
        <f t="shared" si="35"/>
        <v>0</v>
      </c>
      <c r="E114" s="25">
        <f t="shared" si="35"/>
        <v>76</v>
      </c>
      <c r="F114" s="25">
        <f t="shared" si="35"/>
        <v>164</v>
      </c>
      <c r="G114" s="25">
        <f t="shared" si="35"/>
        <v>0</v>
      </c>
      <c r="H114" s="25">
        <f t="shared" si="35"/>
        <v>0</v>
      </c>
      <c r="I114" s="198">
        <f t="shared" si="35"/>
        <v>240</v>
      </c>
      <c r="J114" s="333" t="str">
        <f t="shared" si="35"/>
        <v>NA</v>
      </c>
      <c r="K114" s="334">
        <f t="shared" si="35"/>
        <v>10320</v>
      </c>
      <c r="L114" s="335">
        <f t="shared" si="35"/>
        <v>10320</v>
      </c>
      <c r="M114" s="199" t="str">
        <f t="shared" si="35"/>
        <v>NA</v>
      </c>
      <c r="N114" s="25">
        <f t="shared" si="35"/>
        <v>10320</v>
      </c>
      <c r="O114" s="198">
        <f t="shared" si="35"/>
        <v>10320</v>
      </c>
      <c r="P114" s="333" t="str">
        <f t="shared" si="35"/>
        <v>NA</v>
      </c>
      <c r="Q114" s="334">
        <f t="shared" si="35"/>
        <v>10320</v>
      </c>
      <c r="R114" s="335">
        <f t="shared" si="35"/>
        <v>10320</v>
      </c>
      <c r="S114" s="198">
        <f t="shared" si="35"/>
        <v>10320</v>
      </c>
      <c r="T114" s="37"/>
      <c r="U114" s="138"/>
    </row>
    <row r="115" spans="2:21" ht="13.8" thickBot="1" x14ac:dyDescent="0.3">
      <c r="B115" s="573" t="s">
        <v>76</v>
      </c>
      <c r="C115" s="207">
        <f t="shared" ref="C115:S115" si="36">C59</f>
        <v>0</v>
      </c>
      <c r="D115" s="208">
        <f t="shared" si="36"/>
        <v>0</v>
      </c>
      <c r="E115" s="208">
        <f t="shared" si="36"/>
        <v>3353</v>
      </c>
      <c r="F115" s="208">
        <f t="shared" si="36"/>
        <v>8079</v>
      </c>
      <c r="G115" s="208">
        <f t="shared" si="36"/>
        <v>0</v>
      </c>
      <c r="H115" s="208">
        <f t="shared" si="36"/>
        <v>0</v>
      </c>
      <c r="I115" s="209">
        <f t="shared" si="36"/>
        <v>26318</v>
      </c>
      <c r="J115" s="332">
        <f t="shared" si="36"/>
        <v>35550.403052506219</v>
      </c>
      <c r="K115" s="296">
        <f t="shared" si="36"/>
        <v>1528667.3312577673</v>
      </c>
      <c r="L115" s="297">
        <f t="shared" si="36"/>
        <v>1528667.3312577673</v>
      </c>
      <c r="M115" s="211">
        <f t="shared" si="36"/>
        <v>36348.493335256047</v>
      </c>
      <c r="N115" s="208">
        <f t="shared" si="36"/>
        <v>1562985.2134160099</v>
      </c>
      <c r="O115" s="209">
        <f t="shared" si="36"/>
        <v>1562985.2134160099</v>
      </c>
      <c r="P115" s="332">
        <f t="shared" si="36"/>
        <v>36708.205843264812</v>
      </c>
      <c r="Q115" s="296">
        <f t="shared" si="36"/>
        <v>1578452.8512603871</v>
      </c>
      <c r="R115" s="297">
        <f t="shared" si="36"/>
        <v>1578452.8512603871</v>
      </c>
      <c r="S115" s="209">
        <f t="shared" si="36"/>
        <v>951021.19292060076</v>
      </c>
      <c r="T115" s="209">
        <f>T59</f>
        <v>605680.60572412086</v>
      </c>
      <c r="U115" s="576" t="s">
        <v>12</v>
      </c>
    </row>
    <row r="116" spans="2:21" x14ac:dyDescent="0.25">
      <c r="B116" s="574" t="s">
        <v>100</v>
      </c>
      <c r="C116" s="197">
        <f t="shared" ref="C116:U116" si="37">C72</f>
        <v>0</v>
      </c>
      <c r="D116" s="25">
        <f t="shared" si="37"/>
        <v>0</v>
      </c>
      <c r="E116" s="25">
        <f t="shared" si="37"/>
        <v>24</v>
      </c>
      <c r="F116" s="25">
        <f t="shared" si="37"/>
        <v>88</v>
      </c>
      <c r="G116" s="25">
        <f t="shared" si="37"/>
        <v>14</v>
      </c>
      <c r="H116" s="25">
        <f t="shared" si="37"/>
        <v>2</v>
      </c>
      <c r="I116" s="198">
        <f t="shared" si="37"/>
        <v>128</v>
      </c>
      <c r="J116" s="333" t="str">
        <f t="shared" si="37"/>
        <v>NA</v>
      </c>
      <c r="K116" s="334">
        <f t="shared" si="37"/>
        <v>5504</v>
      </c>
      <c r="L116" s="335">
        <f t="shared" si="37"/>
        <v>5504</v>
      </c>
      <c r="M116" s="199" t="str">
        <f t="shared" si="37"/>
        <v>NA</v>
      </c>
      <c r="N116" s="25">
        <f t="shared" si="37"/>
        <v>5504</v>
      </c>
      <c r="O116" s="198">
        <f t="shared" si="37"/>
        <v>5504</v>
      </c>
      <c r="P116" s="333" t="str">
        <f t="shared" si="37"/>
        <v>NA</v>
      </c>
      <c r="Q116" s="334">
        <f t="shared" si="37"/>
        <v>5504</v>
      </c>
      <c r="R116" s="335">
        <f t="shared" si="37"/>
        <v>5504</v>
      </c>
      <c r="S116" s="198">
        <f t="shared" si="37"/>
        <v>5504</v>
      </c>
      <c r="T116" s="212" t="str">
        <f t="shared" si="37"/>
        <v>NA</v>
      </c>
      <c r="U116" s="577" t="str">
        <f t="shared" si="37"/>
        <v>NA</v>
      </c>
    </row>
    <row r="117" spans="2:21" ht="13.8" thickBot="1" x14ac:dyDescent="0.3">
      <c r="B117" s="573" t="s">
        <v>76</v>
      </c>
      <c r="C117" s="207">
        <f t="shared" ref="C117:T117" si="38">C73</f>
        <v>0</v>
      </c>
      <c r="D117" s="208">
        <f t="shared" si="38"/>
        <v>0</v>
      </c>
      <c r="E117" s="208">
        <f t="shared" si="38"/>
        <v>1059</v>
      </c>
      <c r="F117" s="208">
        <f t="shared" si="38"/>
        <v>4335</v>
      </c>
      <c r="G117" s="208">
        <f t="shared" si="38"/>
        <v>777</v>
      </c>
      <c r="H117" s="208">
        <f t="shared" si="38"/>
        <v>117</v>
      </c>
      <c r="I117" s="209">
        <f t="shared" si="38"/>
        <v>6288</v>
      </c>
      <c r="J117" s="332">
        <f t="shared" si="38"/>
        <v>8493.8420242480097</v>
      </c>
      <c r="K117" s="296">
        <f t="shared" si="38"/>
        <v>365235.20704266441</v>
      </c>
      <c r="L117" s="297">
        <f t="shared" si="38"/>
        <v>365235.20704266441</v>
      </c>
      <c r="M117" s="207">
        <f t="shared" si="38"/>
        <v>8725.8312854319447</v>
      </c>
      <c r="N117" s="208">
        <f t="shared" si="38"/>
        <v>375210.74527357362</v>
      </c>
      <c r="O117" s="209">
        <f t="shared" si="38"/>
        <v>375210.74527357362</v>
      </c>
      <c r="P117" s="339">
        <f t="shared" si="38"/>
        <v>8830.3926875380457</v>
      </c>
      <c r="Q117" s="296">
        <f t="shared" si="38"/>
        <v>379706.88556413591</v>
      </c>
      <c r="R117" s="297">
        <f t="shared" si="38"/>
        <v>379706.88556413591</v>
      </c>
      <c r="S117" s="209">
        <f t="shared" si="38"/>
        <v>373384.27929345798</v>
      </c>
      <c r="T117" s="210" t="str">
        <f t="shared" si="38"/>
        <v>NA</v>
      </c>
      <c r="U117" s="392" t="s">
        <v>12</v>
      </c>
    </row>
    <row r="118" spans="2:21" x14ac:dyDescent="0.25">
      <c r="B118" s="574" t="s">
        <v>101</v>
      </c>
      <c r="C118" s="213">
        <f t="shared" ref="C118:S118" si="39">C93</f>
        <v>0</v>
      </c>
      <c r="D118" s="214">
        <f t="shared" si="39"/>
        <v>1</v>
      </c>
      <c r="E118" s="214">
        <f t="shared" si="39"/>
        <v>16</v>
      </c>
      <c r="F118" s="214">
        <f t="shared" si="39"/>
        <v>47</v>
      </c>
      <c r="G118" s="214">
        <f t="shared" si="39"/>
        <v>6</v>
      </c>
      <c r="H118" s="214">
        <f t="shared" si="39"/>
        <v>0</v>
      </c>
      <c r="I118" s="215">
        <f t="shared" si="39"/>
        <v>70</v>
      </c>
      <c r="J118" s="336" t="str">
        <f t="shared" si="39"/>
        <v>NA</v>
      </c>
      <c r="K118" s="337" t="str">
        <f t="shared" si="39"/>
        <v>NA</v>
      </c>
      <c r="L118" s="294">
        <f t="shared" si="39"/>
        <v>2587.6</v>
      </c>
      <c r="M118" s="216" t="str">
        <f t="shared" si="39"/>
        <v>NA</v>
      </c>
      <c r="N118" s="217" t="str">
        <f t="shared" si="39"/>
        <v>NA</v>
      </c>
      <c r="O118" s="215">
        <f t="shared" si="39"/>
        <v>2587.6</v>
      </c>
      <c r="P118" s="336" t="str">
        <f t="shared" si="39"/>
        <v>NA</v>
      </c>
      <c r="Q118" s="337" t="str">
        <f t="shared" si="39"/>
        <v>NA</v>
      </c>
      <c r="R118" s="294">
        <f t="shared" si="39"/>
        <v>2587.6</v>
      </c>
      <c r="S118" s="215">
        <f t="shared" si="39"/>
        <v>2587.6</v>
      </c>
      <c r="T118" s="136" t="s">
        <v>12</v>
      </c>
      <c r="U118" s="147" t="s">
        <v>12</v>
      </c>
    </row>
    <row r="119" spans="2:21" ht="13.8" thickBot="1" x14ac:dyDescent="0.3">
      <c r="B119" s="573" t="s">
        <v>76</v>
      </c>
      <c r="C119" s="207">
        <f t="shared" ref="C119:S119" si="40">C94</f>
        <v>0</v>
      </c>
      <c r="D119" s="208">
        <f t="shared" si="40"/>
        <v>41</v>
      </c>
      <c r="E119" s="208">
        <f t="shared" si="40"/>
        <v>705</v>
      </c>
      <c r="F119" s="208">
        <f t="shared" si="40"/>
        <v>2315</v>
      </c>
      <c r="G119" s="208">
        <f t="shared" si="40"/>
        <v>333</v>
      </c>
      <c r="H119" s="208">
        <f t="shared" si="40"/>
        <v>0</v>
      </c>
      <c r="I119" s="209">
        <f t="shared" si="40"/>
        <v>3394</v>
      </c>
      <c r="J119" s="332">
        <f t="shared" si="40"/>
        <v>4584.621474283992</v>
      </c>
      <c r="K119" s="338">
        <f t="shared" si="40"/>
        <v>193945.42782402682</v>
      </c>
      <c r="L119" s="297">
        <f t="shared" si="40"/>
        <v>169037.72237658504</v>
      </c>
      <c r="M119" s="211">
        <f t="shared" si="40"/>
        <v>4709.8395964942783</v>
      </c>
      <c r="N119" s="219">
        <f t="shared" si="40"/>
        <v>199242.58974232629</v>
      </c>
      <c r="O119" s="209">
        <f t="shared" si="40"/>
        <v>173654.58906829057</v>
      </c>
      <c r="P119" s="332">
        <f t="shared" si="40"/>
        <v>4766.2774779745741</v>
      </c>
      <c r="Q119" s="338">
        <f t="shared" si="40"/>
        <v>201630.108347859</v>
      </c>
      <c r="R119" s="297">
        <f t="shared" si="40"/>
        <v>175735.48734848696</v>
      </c>
      <c r="S119" s="209">
        <f t="shared" si="40"/>
        <v>172809.2662644542</v>
      </c>
      <c r="T119" s="209">
        <f>T94</f>
        <v>267212.0319371121</v>
      </c>
      <c r="U119" s="392" t="s">
        <v>12</v>
      </c>
    </row>
    <row r="120" spans="2:21" x14ac:dyDescent="0.25">
      <c r="B120" s="574" t="s">
        <v>102</v>
      </c>
      <c r="C120" s="197">
        <f t="shared" ref="C120:S120" si="41">C103</f>
        <v>0</v>
      </c>
      <c r="D120" s="25">
        <f t="shared" si="41"/>
        <v>0</v>
      </c>
      <c r="E120" s="25">
        <f t="shared" si="41"/>
        <v>0</v>
      </c>
      <c r="F120" s="25">
        <f t="shared" si="41"/>
        <v>24</v>
      </c>
      <c r="G120" s="25">
        <f t="shared" si="41"/>
        <v>36</v>
      </c>
      <c r="H120" s="25">
        <f t="shared" si="41"/>
        <v>12</v>
      </c>
      <c r="I120" s="198">
        <f t="shared" si="41"/>
        <v>72</v>
      </c>
      <c r="J120" s="333" t="str">
        <f t="shared" si="41"/>
        <v>NA</v>
      </c>
      <c r="K120" s="334">
        <f t="shared" si="41"/>
        <v>3096</v>
      </c>
      <c r="L120" s="335">
        <f t="shared" si="41"/>
        <v>3096</v>
      </c>
      <c r="M120" s="199" t="str">
        <f t="shared" si="41"/>
        <v>NA</v>
      </c>
      <c r="N120" s="25">
        <f t="shared" si="41"/>
        <v>3096</v>
      </c>
      <c r="O120" s="198">
        <f t="shared" si="41"/>
        <v>3096</v>
      </c>
      <c r="P120" s="333" t="str">
        <f t="shared" si="41"/>
        <v>NA</v>
      </c>
      <c r="Q120" s="334">
        <f t="shared" si="41"/>
        <v>3096</v>
      </c>
      <c r="R120" s="335">
        <f t="shared" si="41"/>
        <v>3096</v>
      </c>
      <c r="S120" s="198">
        <f t="shared" si="41"/>
        <v>3096</v>
      </c>
      <c r="T120" s="136" t="s">
        <v>12</v>
      </c>
      <c r="U120" s="147" t="s">
        <v>12</v>
      </c>
    </row>
    <row r="121" spans="2:21" ht="13.8" thickBot="1" x14ac:dyDescent="0.3">
      <c r="B121" s="578" t="s">
        <v>76</v>
      </c>
      <c r="C121" s="220">
        <f t="shared" ref="C121:S121" si="42">C104</f>
        <v>0</v>
      </c>
      <c r="D121" s="221">
        <f t="shared" si="42"/>
        <v>0</v>
      </c>
      <c r="E121" s="221">
        <f t="shared" si="42"/>
        <v>0</v>
      </c>
      <c r="F121" s="221">
        <f t="shared" si="42"/>
        <v>1182</v>
      </c>
      <c r="G121" s="221">
        <f t="shared" si="42"/>
        <v>1997</v>
      </c>
      <c r="H121" s="221">
        <f t="shared" si="42"/>
        <v>703</v>
      </c>
      <c r="I121" s="222">
        <f t="shared" si="42"/>
        <v>3882</v>
      </c>
      <c r="J121" s="304">
        <f t="shared" si="42"/>
        <v>5243.8127764202873</v>
      </c>
      <c r="K121" s="305">
        <f t="shared" si="42"/>
        <v>225483.94938607237</v>
      </c>
      <c r="L121" s="306">
        <f t="shared" si="42"/>
        <v>225483.94938607237</v>
      </c>
      <c r="M121" s="220">
        <f t="shared" si="42"/>
        <v>5387.0351542695316</v>
      </c>
      <c r="N121" s="221">
        <f t="shared" si="42"/>
        <v>231642.51163358986</v>
      </c>
      <c r="O121" s="222">
        <f t="shared" si="42"/>
        <v>231642.51163358986</v>
      </c>
      <c r="P121" s="311">
        <f t="shared" si="42"/>
        <v>5451.587851943812</v>
      </c>
      <c r="Q121" s="305">
        <f t="shared" si="42"/>
        <v>234418.27763358393</v>
      </c>
      <c r="R121" s="306">
        <f t="shared" si="42"/>
        <v>234418.27763358393</v>
      </c>
      <c r="S121" s="222">
        <f t="shared" si="42"/>
        <v>230514.91288441536</v>
      </c>
      <c r="T121" s="223" t="str">
        <f>T104</f>
        <v>NA</v>
      </c>
      <c r="U121" s="224" t="s">
        <v>12</v>
      </c>
    </row>
    <row r="122" spans="2:21" ht="18" thickTop="1" x14ac:dyDescent="0.3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 x14ac:dyDescent="0.25">
      <c r="B123" s="580" t="s">
        <v>75</v>
      </c>
      <c r="C123" s="195">
        <f t="shared" ref="C123:I124" si="43">C108+C110+C112+C114+C116+C118+C120</f>
        <v>0</v>
      </c>
      <c r="D123" s="101">
        <f t="shared" si="43"/>
        <v>7</v>
      </c>
      <c r="E123" s="101">
        <f t="shared" si="43"/>
        <v>124</v>
      </c>
      <c r="F123" s="101">
        <f t="shared" si="43"/>
        <v>339</v>
      </c>
      <c r="G123" s="101">
        <f t="shared" si="43"/>
        <v>56</v>
      </c>
      <c r="H123" s="101">
        <f t="shared" si="43"/>
        <v>14</v>
      </c>
      <c r="I123" s="102">
        <f t="shared" si="43"/>
        <v>540</v>
      </c>
      <c r="J123" s="340" t="s">
        <v>12</v>
      </c>
      <c r="K123" s="281">
        <f>K108+K110+K112+K114+K116+K120</f>
        <v>20210</v>
      </c>
      <c r="L123" s="289">
        <f>L108+L110+L112+L114+L116+L118+L120</f>
        <v>22316</v>
      </c>
      <c r="M123" s="103" t="s">
        <v>12</v>
      </c>
      <c r="N123" s="101">
        <f>N108+N110+N112+N114+N116+N120</f>
        <v>20210</v>
      </c>
      <c r="O123" s="102">
        <f>O108+O110+O112+O114+O116+O118+O120</f>
        <v>22316</v>
      </c>
      <c r="P123" s="340" t="s">
        <v>12</v>
      </c>
      <c r="Q123" s="281">
        <f>Q108+Q110+Q112+Q114+Q116+Q120</f>
        <v>20210</v>
      </c>
      <c r="R123" s="289">
        <f>R108+R110+R112+R114+R116+R118+R120</f>
        <v>22316</v>
      </c>
      <c r="S123" s="174">
        <f>S108+S110+S112+S114+S116+S118+S120</f>
        <v>22316</v>
      </c>
      <c r="T123" s="102"/>
      <c r="U123" s="140" t="s">
        <v>12</v>
      </c>
    </row>
    <row r="124" spans="2:21" s="235" customFormat="1" ht="16.2" thickBot="1" x14ac:dyDescent="0.35">
      <c r="B124" s="581" t="s">
        <v>76</v>
      </c>
      <c r="C124" s="582">
        <f t="shared" si="43"/>
        <v>0</v>
      </c>
      <c r="D124" s="583">
        <f t="shared" si="43"/>
        <v>286</v>
      </c>
      <c r="E124" s="583">
        <f t="shared" si="43"/>
        <v>5125</v>
      </c>
      <c r="F124" s="583">
        <f t="shared" si="43"/>
        <v>16313</v>
      </c>
      <c r="G124" s="583">
        <f t="shared" si="43"/>
        <v>3107</v>
      </c>
      <c r="H124" s="583">
        <f t="shared" si="43"/>
        <v>820</v>
      </c>
      <c r="I124" s="584">
        <f t="shared" si="43"/>
        <v>42018</v>
      </c>
      <c r="J124" s="585">
        <f>J109+J111+J113+J115+J117+J119+J121</f>
        <v>56757.992076153438</v>
      </c>
      <c r="K124" s="586">
        <f>K109+K111+K113+K115+K117+K121</f>
        <v>2206338.9534853064</v>
      </c>
      <c r="L124" s="587">
        <f>L109+L111+L113+L115+L117+L119+L121</f>
        <v>2568670.2067137645</v>
      </c>
      <c r="M124" s="582">
        <f>M109+M111+M113+M115+M117+M119+M121</f>
        <v>58135.317632533639</v>
      </c>
      <c r="N124" s="588">
        <f>N109+N111+N113+N115+N117+N121</f>
        <v>2259165.8376378268</v>
      </c>
      <c r="O124" s="584">
        <f>O109+O111+O113+O115+O117+O119+O121</f>
        <v>2631393.3144480702</v>
      </c>
      <c r="P124" s="589">
        <f>P109+P111+P113+P115+P117+P119+P121</f>
        <v>58756.101071373479</v>
      </c>
      <c r="Q124" s="586">
        <f>Q109+Q111+Q113+Q115+Q117+Q121</f>
        <v>2282975.7892178893</v>
      </c>
      <c r="R124" s="587">
        <f>R109+R111+R113+R115+R117+R119+R121</f>
        <v>2659663.657892765</v>
      </c>
      <c r="S124" s="590">
        <f>S109+S111+S113+S115+S117+S119+S121</f>
        <v>1781051.6703715029</v>
      </c>
      <c r="T124" s="584">
        <f>SUM(T109,T111,T113,T115,T117,T119,T121)</f>
        <v>2354434.9036236657</v>
      </c>
      <c r="U124" s="591">
        <f>SUM(U109,U111,U113,U115,U117,U119,U121)</f>
        <v>902582.86343202309</v>
      </c>
    </row>
  </sheetData>
  <mergeCells count="35">
    <mergeCell ref="Q97:R97"/>
    <mergeCell ref="Q32:R32"/>
    <mergeCell ref="Q48:R48"/>
    <mergeCell ref="Q62:R62"/>
    <mergeCell ref="Q90:R90"/>
    <mergeCell ref="Q77:R77"/>
    <mergeCell ref="G76:I76"/>
    <mergeCell ref="N90:O90"/>
    <mergeCell ref="K97:L97"/>
    <mergeCell ref="N32:O32"/>
    <mergeCell ref="N48:O48"/>
    <mergeCell ref="N77:O77"/>
    <mergeCell ref="N97:O97"/>
    <mergeCell ref="N62:O62"/>
    <mergeCell ref="K32:L32"/>
    <mergeCell ref="G96:I96"/>
    <mergeCell ref="K77:L77"/>
    <mergeCell ref="K62:L62"/>
    <mergeCell ref="G61:I61"/>
    <mergeCell ref="G32:I32"/>
    <mergeCell ref="K48:L48"/>
    <mergeCell ref="G18:I18"/>
    <mergeCell ref="G31:I31"/>
    <mergeCell ref="G48:I48"/>
    <mergeCell ref="G47:I47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count="1">
    <dataValidation allowBlank="1" showInputMessage="1" showErrorMessage="1" sqref="D79 D39:D40 D21 D34:D37" xr:uid="{00000000-0002-0000-0F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24"/>
  <sheetViews>
    <sheetView zoomScaleNormal="100" workbookViewId="0">
      <selection activeCell="F3" sqref="F3"/>
    </sheetView>
  </sheetViews>
  <sheetFormatPr defaultRowHeight="13.2" x14ac:dyDescent="0.25"/>
  <cols>
    <col min="1" max="1" width="1.109375" customWidth="1"/>
    <col min="2" max="2" width="31.44140625" customWidth="1"/>
    <col min="3" max="3" width="15.5546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644" t="s">
        <v>209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/>
      <c r="L2" s="426"/>
      <c r="M2" s="592" t="s">
        <v>10</v>
      </c>
      <c r="N2" s="550">
        <f>K2+1</f>
        <v>1</v>
      </c>
      <c r="O2" s="549"/>
      <c r="P2" s="551" t="s">
        <v>11</v>
      </c>
      <c r="Q2" s="552">
        <f>N2+1</f>
        <v>2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 t="e">
        <f>AVERAGE(J5,M5,P5)</f>
        <v>#DIV/0!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0</v>
      </c>
      <c r="M4" s="396" t="s">
        <v>71</v>
      </c>
      <c r="N4" s="431" t="s">
        <v>69</v>
      </c>
      <c r="O4" s="20">
        <v>0</v>
      </c>
      <c r="P4" s="425" t="s">
        <v>71</v>
      </c>
      <c r="Q4" s="429" t="s">
        <v>69</v>
      </c>
      <c r="R4" s="20">
        <v>0</v>
      </c>
      <c r="S4" s="115" t="s">
        <v>69</v>
      </c>
      <c r="T4" s="106">
        <f>AVERAGE(L4,O4,R4)</f>
        <v>0</v>
      </c>
      <c r="U4" s="37"/>
    </row>
    <row r="5" spans="1:21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341"/>
      <c r="K5" s="342" t="s">
        <v>70</v>
      </c>
      <c r="L5" s="343">
        <f>L4*$I$4</f>
        <v>0</v>
      </c>
      <c r="M5" s="631"/>
      <c r="N5" s="344" t="s">
        <v>70</v>
      </c>
      <c r="O5" s="345">
        <f>O4*$I$4</f>
        <v>0</v>
      </c>
      <c r="P5" s="630"/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195</v>
      </c>
      <c r="C7" s="239"/>
      <c r="D7" s="431" t="s">
        <v>54</v>
      </c>
      <c r="E7" s="28">
        <v>5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57" t="s">
        <v>55</v>
      </c>
      <c r="N8" s="1432" t="s">
        <v>57</v>
      </c>
      <c r="O8" s="1433"/>
      <c r="P8" s="277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 x14ac:dyDescent="0.25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 x14ac:dyDescent="0.25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8" thickBot="1" x14ac:dyDescent="0.3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 x14ac:dyDescent="0.25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8" thickBot="1" x14ac:dyDescent="0.3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4" thickTop="1" thickBot="1" x14ac:dyDescent="0.3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2" thickTop="1" x14ac:dyDescent="0.3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5"/>
      <c r="H18" s="1416"/>
      <c r="I18" s="1417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 x14ac:dyDescent="0.25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22" t="s">
        <v>57</v>
      </c>
      <c r="L19" s="1423"/>
      <c r="M19" s="93" t="s">
        <v>61</v>
      </c>
      <c r="N19" s="1432" t="s">
        <v>57</v>
      </c>
      <c r="O19" s="1433"/>
      <c r="P19" s="262" t="s">
        <v>61</v>
      </c>
      <c r="Q19" s="1422" t="s">
        <v>57</v>
      </c>
      <c r="R19" s="1423"/>
      <c r="S19" s="131"/>
      <c r="T19" s="37"/>
      <c r="U19" s="138"/>
    </row>
    <row r="20" spans="1:22" x14ac:dyDescent="0.25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 x14ac:dyDescent="0.25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2019</v>
      </c>
      <c r="E21" s="74"/>
      <c r="F21" s="75"/>
      <c r="G21" s="76"/>
      <c r="H21" s="76"/>
      <c r="I21" s="37"/>
      <c r="J21" s="279">
        <f>HLOOKUP(D21,InflationTable,2)*$C$21</f>
        <v>21612.829578239209</v>
      </c>
      <c r="K21" s="279">
        <f>J21*$L$4</f>
        <v>0</v>
      </c>
      <c r="L21" s="280">
        <f>K21/$E$18</f>
        <v>0</v>
      </c>
      <c r="M21" s="78">
        <f>HLOOKUP($D$21,InflationTable,3)*$C$21</f>
        <v>22203.133041811565</v>
      </c>
      <c r="N21" s="27">
        <f>M21*$L$4</f>
        <v>0</v>
      </c>
      <c r="O21" s="182">
        <f>N21/$E$18</f>
        <v>0</v>
      </c>
      <c r="P21" s="298">
        <f>HLOOKUP($D$21,InflationTable,4)*$C$21</f>
        <v>22469.192589155329</v>
      </c>
      <c r="Q21" s="279">
        <f>P21*$L$4</f>
        <v>0</v>
      </c>
      <c r="R21" s="280">
        <f>Q21/$E$18</f>
        <v>0</v>
      </c>
      <c r="S21" s="127" t="s">
        <v>12</v>
      </c>
      <c r="T21" s="119" t="s">
        <v>12</v>
      </c>
      <c r="U21" s="139">
        <f>AVERAGE(L21,O21,R21)</f>
        <v>0</v>
      </c>
    </row>
    <row r="22" spans="1:22" ht="13.8" thickBot="1" x14ac:dyDescent="0.3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 x14ac:dyDescent="0.25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 x14ac:dyDescent="0.25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0</v>
      </c>
      <c r="L24" s="282">
        <f>K24/$E$18</f>
        <v>0</v>
      </c>
      <c r="M24" s="58" t="s">
        <v>12</v>
      </c>
      <c r="N24" s="69">
        <f>$I$24*($O$4+$O$5)</f>
        <v>0</v>
      </c>
      <c r="O24" s="59">
        <f>N24/$E$18</f>
        <v>0</v>
      </c>
      <c r="P24" s="263" t="s">
        <v>12</v>
      </c>
      <c r="Q24" s="281">
        <f>$I$24*($R$4+$R$5)</f>
        <v>0</v>
      </c>
      <c r="R24" s="282">
        <f>Q24/$E$18</f>
        <v>0</v>
      </c>
      <c r="S24" s="151">
        <f>AVERAGE(L24,O24,R24)</f>
        <v>0</v>
      </c>
      <c r="T24" s="119" t="s">
        <v>12</v>
      </c>
      <c r="U24" s="140" t="s">
        <v>12</v>
      </c>
    </row>
    <row r="25" spans="1:22" s="1" customFormat="1" ht="13.8" thickBot="1" x14ac:dyDescent="0.3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532.2159283641405</v>
      </c>
      <c r="K25" s="296">
        <f>J25*($L$4+$L$5)</f>
        <v>0</v>
      </c>
      <c r="L25" s="297">
        <f>K25/$E$18</f>
        <v>0</v>
      </c>
      <c r="M25" s="376">
        <f>HLOOKUP(Labor!$B$11,InflationTable,3)*$I25</f>
        <v>546.75215115460981</v>
      </c>
      <c r="N25" s="377">
        <f>M25*$L$4</f>
        <v>0</v>
      </c>
      <c r="O25" s="378">
        <f>N25/$E$18</f>
        <v>0</v>
      </c>
      <c r="P25" s="332">
        <f>HLOOKUP(Labor!$B$11,InflationTable,4)*$I25</f>
        <v>553.30386750795003</v>
      </c>
      <c r="Q25" s="296">
        <f>P25*$L$4</f>
        <v>0</v>
      </c>
      <c r="R25" s="390">
        <f>Q25/$E$18</f>
        <v>0</v>
      </c>
      <c r="S25" s="391">
        <f>AVERAGE(L25,O25,R25)</f>
        <v>0</v>
      </c>
      <c r="T25" s="218" t="s">
        <v>12</v>
      </c>
      <c r="U25" s="392" t="s">
        <v>12</v>
      </c>
    </row>
    <row r="26" spans="1:22" x14ac:dyDescent="0.25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0</v>
      </c>
      <c r="L26" s="294">
        <f>K26/$E$18</f>
        <v>0</v>
      </c>
      <c r="M26" s="61" t="s">
        <v>12</v>
      </c>
      <c r="N26" s="348">
        <f>I26*$O$4</f>
        <v>0</v>
      </c>
      <c r="O26" s="62">
        <f>N26/$E$18</f>
        <v>0</v>
      </c>
      <c r="P26" s="293" t="s">
        <v>12</v>
      </c>
      <c r="Q26" s="327">
        <f>$I26*$O$4</f>
        <v>0</v>
      </c>
      <c r="R26" s="367">
        <f>Q26/$E$18</f>
        <v>0</v>
      </c>
      <c r="S26" s="129">
        <f>AVERAGE(L26,O26,R26)</f>
        <v>0</v>
      </c>
      <c r="T26" s="136" t="s">
        <v>12</v>
      </c>
      <c r="U26" s="147" t="s">
        <v>12</v>
      </c>
    </row>
    <row r="27" spans="1:22" s="1" customFormat="1" ht="13.8" thickBot="1" x14ac:dyDescent="0.3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330.94645291678785</v>
      </c>
      <c r="K27" s="296">
        <f>J27*$L$4</f>
        <v>0</v>
      </c>
      <c r="L27" s="297">
        <f>K27/$E$18</f>
        <v>0</v>
      </c>
      <c r="M27" s="376">
        <f>HLOOKUP(Labor!$B$11,InflationTable,3)*$I27</f>
        <v>339.98547470273957</v>
      </c>
      <c r="N27" s="377">
        <f>M27*$O$4</f>
        <v>0</v>
      </c>
      <c r="O27" s="378">
        <f>N27/$E$18</f>
        <v>0</v>
      </c>
      <c r="P27" s="339">
        <f>HLOOKUP(Labor!$B$11,InflationTable,4)*$I27</f>
        <v>344.05951152144098</v>
      </c>
      <c r="Q27" s="296">
        <f>P27*$R$4</f>
        <v>0</v>
      </c>
      <c r="R27" s="297">
        <f>Q27/$E$18</f>
        <v>0</v>
      </c>
      <c r="S27" s="211">
        <f>AVERAGE(L27,O27,R27)</f>
        <v>0</v>
      </c>
      <c r="T27" s="393" t="s">
        <v>12</v>
      </c>
      <c r="U27" s="392" t="s">
        <v>12</v>
      </c>
    </row>
    <row r="28" spans="1:22" x14ac:dyDescent="0.25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0</v>
      </c>
      <c r="L28" s="286">
        <f>L24+L26</f>
        <v>0</v>
      </c>
      <c r="M28" s="44" t="s">
        <v>12</v>
      </c>
      <c r="N28" s="33">
        <f>N24+N26</f>
        <v>0</v>
      </c>
      <c r="O28" s="40">
        <f>O24+O26</f>
        <v>0</v>
      </c>
      <c r="P28" s="284" t="s">
        <v>12</v>
      </c>
      <c r="Q28" s="285">
        <f>Q24+Q26</f>
        <v>0</v>
      </c>
      <c r="R28" s="286">
        <f>R24+R26</f>
        <v>0</v>
      </c>
      <c r="S28" s="175">
        <f>AVERAGE(L28,O28,R28)</f>
        <v>0</v>
      </c>
      <c r="T28" s="136" t="s">
        <v>12</v>
      </c>
      <c r="U28" s="147" t="s">
        <v>12</v>
      </c>
    </row>
    <row r="29" spans="1:22" ht="13.8" thickBot="1" x14ac:dyDescent="0.3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863.16238128092834</v>
      </c>
      <c r="K29" s="287"/>
      <c r="L29" s="276">
        <f>L27+L25+L22+L21</f>
        <v>0</v>
      </c>
      <c r="M29" s="242">
        <f>M27+M25</f>
        <v>886.73762585734937</v>
      </c>
      <c r="N29" s="247"/>
      <c r="O29" s="243">
        <f>O27+O25+O22+O21</f>
        <v>0</v>
      </c>
      <c r="P29" s="274">
        <f>P27+P25</f>
        <v>897.36337902939101</v>
      </c>
      <c r="Q29" s="287"/>
      <c r="R29" s="276">
        <f>R27+R25+R22+R21</f>
        <v>0</v>
      </c>
      <c r="S29" s="248">
        <f>SUM(S27,S25)</f>
        <v>0</v>
      </c>
      <c r="T29" s="249" t="s">
        <v>12</v>
      </c>
      <c r="U29" s="250">
        <f>SUM(U21:U22)</f>
        <v>0</v>
      </c>
    </row>
    <row r="30" spans="1:22" ht="14.4" thickTop="1" thickBot="1" x14ac:dyDescent="0.3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2" thickTop="1" x14ac:dyDescent="0.3">
      <c r="A31" s="615"/>
      <c r="B31" s="709" t="s">
        <v>22</v>
      </c>
      <c r="C31" s="5"/>
      <c r="D31" s="5"/>
      <c r="E31" s="5"/>
      <c r="F31" s="112" t="s">
        <v>6</v>
      </c>
      <c r="G31" s="1415"/>
      <c r="H31" s="1416"/>
      <c r="I31" s="1417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 x14ac:dyDescent="0.25">
      <c r="A32" s="615"/>
      <c r="B32" s="5"/>
      <c r="C32" s="5"/>
      <c r="D32" s="5"/>
      <c r="E32" s="5"/>
      <c r="F32" s="112"/>
      <c r="G32" s="1418"/>
      <c r="H32" s="1418"/>
      <c r="I32" s="1419"/>
      <c r="J32" s="277" t="s">
        <v>61</v>
      </c>
      <c r="K32" s="1437" t="s">
        <v>57</v>
      </c>
      <c r="L32" s="1438"/>
      <c r="M32" s="57" t="s">
        <v>61</v>
      </c>
      <c r="N32" s="1432" t="s">
        <v>57</v>
      </c>
      <c r="O32" s="1433"/>
      <c r="P32" s="277" t="s">
        <v>61</v>
      </c>
      <c r="Q32" s="1422" t="s">
        <v>57</v>
      </c>
      <c r="R32" s="1423"/>
      <c r="S32" s="131"/>
      <c r="T32" s="37"/>
      <c r="U32" s="227"/>
    </row>
    <row r="33" spans="1:22" x14ac:dyDescent="0.25">
      <c r="A33" s="615"/>
      <c r="B33" s="1" t="s">
        <v>200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 x14ac:dyDescent="0.25">
      <c r="A34" s="616"/>
      <c r="B34" s="728" t="s">
        <v>18</v>
      </c>
      <c r="C34" s="458">
        <f>VLOOKUP(C$2,Monitor_Costs,4,FALSE)</f>
        <v>250</v>
      </c>
      <c r="D34" s="381">
        <f>VLOOKUP(C$2,Monitor_Costs,5,FALSE)</f>
        <v>2019</v>
      </c>
      <c r="E34" s="431"/>
      <c r="H34" s="112"/>
      <c r="I34" s="145"/>
      <c r="J34" s="748">
        <f>HLOOKUP($D$34,InflationTable,2)*$C34</f>
        <v>337.70046215998764</v>
      </c>
      <c r="K34" s="384">
        <f>J34*$L$4</f>
        <v>0</v>
      </c>
      <c r="L34" s="385">
        <f>K34</f>
        <v>0</v>
      </c>
      <c r="M34" s="446">
        <f>HLOOKUP($D$34,InflationTable,3)*$C34</f>
        <v>346.9239537783057</v>
      </c>
      <c r="N34" s="387">
        <f>M34*$O$4</f>
        <v>0</v>
      </c>
      <c r="O34" s="388">
        <f>N34</f>
        <v>0</v>
      </c>
      <c r="P34" s="384">
        <f>HLOOKUP($D$34,InflationTable,4)*$C34</f>
        <v>351.08113420555202</v>
      </c>
      <c r="Q34" s="736">
        <f>P34*$R$4</f>
        <v>0</v>
      </c>
      <c r="R34" s="385">
        <f>Q34</f>
        <v>0</v>
      </c>
      <c r="S34" s="462" t="s">
        <v>12</v>
      </c>
      <c r="T34" s="382">
        <f>AVERAGE(L34,O34,R34)</f>
        <v>0</v>
      </c>
      <c r="U34" s="511" t="s">
        <v>12</v>
      </c>
    </row>
    <row r="35" spans="1:22" s="1" customFormat="1" x14ac:dyDescent="0.25">
      <c r="A35" s="616"/>
      <c r="B35" s="740" t="str">
        <f>VLOOKUP(C$2,Monitor_Costs,10,FALSE)</f>
        <v>Carbonyl sample cartridges</v>
      </c>
      <c r="C35" s="458">
        <f>VLOOKUP(C$2,Monitor_Costs,11,FALSE)</f>
        <v>2900</v>
      </c>
      <c r="D35" s="381">
        <f>VLOOKUP(C$2,Monitor_Costs,12,FALSE)</f>
        <v>2019</v>
      </c>
      <c r="E35" s="492"/>
      <c r="F35" s="396"/>
      <c r="G35" s="112"/>
      <c r="H35" s="112"/>
      <c r="I35" s="145"/>
      <c r="J35" s="660">
        <f>HLOOKUP($D$34,InflationTable,2)*$C35</f>
        <v>3917.3253610558563</v>
      </c>
      <c r="K35" s="749">
        <f>J35*$L$4</f>
        <v>0</v>
      </c>
      <c r="L35" s="750">
        <f>K35</f>
        <v>0</v>
      </c>
      <c r="M35" s="751">
        <f>HLOOKUP($D$34,InflationTable,3)*$C35</f>
        <v>4024.3178638283462</v>
      </c>
      <c r="N35" s="752">
        <f>M35*$O$4</f>
        <v>0</v>
      </c>
      <c r="O35" s="753">
        <f>N35</f>
        <v>0</v>
      </c>
      <c r="P35" s="749">
        <f>HLOOKUP($D$34,InflationTable,4)*$C35</f>
        <v>4072.5411567844035</v>
      </c>
      <c r="Q35" s="384">
        <f>P35*$R$4</f>
        <v>0</v>
      </c>
      <c r="R35" s="385">
        <f>Q35</f>
        <v>0</v>
      </c>
      <c r="S35" s="462" t="s">
        <v>12</v>
      </c>
      <c r="T35" s="382">
        <f>AVERAGE(L35,O35,R35)</f>
        <v>0</v>
      </c>
      <c r="U35" s="511" t="s">
        <v>12</v>
      </c>
    </row>
    <row r="36" spans="1:22" s="1" customFormat="1" x14ac:dyDescent="0.25">
      <c r="A36" s="616"/>
      <c r="B36" s="742" t="str">
        <f>VLOOKUP(C$2,Monitor_Costs,19,FALSE)</f>
        <v>Supplies/reagents</v>
      </c>
      <c r="C36" s="458">
        <f>VLOOKUP(C$2,Monitor_Costs,20,FALSE)</f>
        <v>1200</v>
      </c>
      <c r="D36" s="381">
        <f>VLOOKUP(C$2,Monitor_Costs,21,FALSE)</f>
        <v>2019</v>
      </c>
      <c r="E36" s="112"/>
      <c r="F36" s="396"/>
      <c r="G36" s="112"/>
      <c r="H36" s="112"/>
      <c r="I36" s="145"/>
      <c r="J36" s="748">
        <f>HLOOKUP($D$34,InflationTable,2)*$C36</f>
        <v>1620.9622183679405</v>
      </c>
      <c r="K36" s="384">
        <f>J36*$L$4</f>
        <v>0</v>
      </c>
      <c r="L36" s="385">
        <f>K36</f>
        <v>0</v>
      </c>
      <c r="M36" s="446">
        <f>HLOOKUP($D$34,InflationTable,3)*$C36</f>
        <v>1665.2349781358673</v>
      </c>
      <c r="N36" s="387">
        <f>M36*$O$4</f>
        <v>0</v>
      </c>
      <c r="O36" s="388">
        <f>N36</f>
        <v>0</v>
      </c>
      <c r="P36" s="384">
        <f>HLOOKUP($D$34,InflationTable,4)*$C36</f>
        <v>1685.1894441866498</v>
      </c>
      <c r="Q36" s="384">
        <f>P36*$R$4</f>
        <v>0</v>
      </c>
      <c r="R36" s="750">
        <f>Q36</f>
        <v>0</v>
      </c>
      <c r="S36" s="756" t="s">
        <v>12</v>
      </c>
      <c r="T36" s="463">
        <f>AVERAGE(L36,O36,R36)</f>
        <v>0</v>
      </c>
      <c r="U36" s="516" t="s">
        <v>12</v>
      </c>
    </row>
    <row r="37" spans="1:22" s="1" customFormat="1" ht="13.8" thickBot="1" x14ac:dyDescent="0.3">
      <c r="A37" s="616"/>
      <c r="B37" s="741" t="str">
        <f>VLOOKUP(C$2,Monitor_Costs,22,FALSE)</f>
        <v>Sample analysis</v>
      </c>
      <c r="C37" s="738">
        <f>VLOOKUP(C$2,Monitor_Costs,23,FALSE)</f>
        <v>4433</v>
      </c>
      <c r="D37" s="739">
        <f>VLOOKUP(C$2,Monitor_Costs,24,FALSE)</f>
        <v>2019</v>
      </c>
      <c r="E37" s="737"/>
      <c r="F37" s="674"/>
      <c r="G37" s="673"/>
      <c r="H37" s="673"/>
      <c r="I37" s="639"/>
      <c r="J37" s="743">
        <f>HLOOKUP($D$34,InflationTable,2)*$C37</f>
        <v>5988.1045950209</v>
      </c>
      <c r="K37" s="743">
        <f>J37*$L$4</f>
        <v>0</v>
      </c>
      <c r="L37" s="744">
        <f>K37</f>
        <v>0</v>
      </c>
      <c r="M37" s="745">
        <f>HLOOKUP($D$34,InflationTable,3)*$C37</f>
        <v>6151.6555483969169</v>
      </c>
      <c r="N37" s="746">
        <f>M37*$O$4</f>
        <v>0</v>
      </c>
      <c r="O37" s="747">
        <f>N37</f>
        <v>0</v>
      </c>
      <c r="P37" s="743">
        <f>HLOOKUP($D$34,InflationTable,4)*$C37</f>
        <v>6225.3706717328487</v>
      </c>
      <c r="Q37" s="743">
        <f>P37*$R$4</f>
        <v>0</v>
      </c>
      <c r="R37" s="744">
        <f>Q37</f>
        <v>0</v>
      </c>
      <c r="S37" s="754" t="s">
        <v>12</v>
      </c>
      <c r="T37" s="755">
        <f>AVERAGE(L37,O37,R37)</f>
        <v>0</v>
      </c>
      <c r="U37" s="757" t="s">
        <v>12</v>
      </c>
    </row>
    <row r="38" spans="1:22" x14ac:dyDescent="0.25">
      <c r="A38" s="615"/>
      <c r="B38" s="1" t="s">
        <v>202</v>
      </c>
      <c r="C38" s="729"/>
      <c r="D38" s="729"/>
      <c r="E38" s="5"/>
      <c r="F38" s="431" t="s">
        <v>54</v>
      </c>
      <c r="G38" s="70">
        <v>5</v>
      </c>
      <c r="H38" s="5"/>
      <c r="I38" s="37"/>
      <c r="J38" s="730"/>
      <c r="K38" s="730"/>
      <c r="L38" s="731"/>
      <c r="M38" s="732"/>
      <c r="N38" s="733"/>
      <c r="O38" s="734"/>
      <c r="P38" s="735"/>
      <c r="Q38" s="730"/>
      <c r="R38" s="731"/>
      <c r="S38" s="125"/>
      <c r="T38" s="37"/>
      <c r="U38" s="227"/>
    </row>
    <row r="39" spans="1:22" s="1" customFormat="1" ht="13.8" thickBot="1" x14ac:dyDescent="0.3">
      <c r="A39" s="616"/>
      <c r="B39" s="722" t="str">
        <f>VLOOKUP(C$2,Monitor_Costs,13,FALSE)</f>
        <v>HPLC/UV with autosampler</v>
      </c>
      <c r="C39" s="720">
        <f>VLOOKUP(C$2,Monitor_Costs,14,FALSE)</f>
        <v>59000</v>
      </c>
      <c r="D39" s="373">
        <f>VLOOKUP(C$2,Monitor_Costs,15,FALSE)</f>
        <v>2019</v>
      </c>
      <c r="E39" s="673"/>
      <c r="F39" s="674"/>
      <c r="G39" s="673"/>
      <c r="H39" s="721"/>
      <c r="I39" s="363"/>
      <c r="J39" s="296">
        <f>HLOOKUP($D$34,InflationTable,2)*$C39</f>
        <v>79697.309069757073</v>
      </c>
      <c r="K39" s="296">
        <f>J39*$L$4</f>
        <v>0</v>
      </c>
      <c r="L39" s="297">
        <f>K39/$G$38</f>
        <v>0</v>
      </c>
      <c r="M39" s="450">
        <f>HLOOKUP($D$34,InflationTable,3)*$C39</f>
        <v>81874.053091680151</v>
      </c>
      <c r="N39" s="377">
        <f>M39*$O$4</f>
        <v>0</v>
      </c>
      <c r="O39" s="378">
        <f>N39/$G$38</f>
        <v>0</v>
      </c>
      <c r="P39" s="296">
        <f>HLOOKUP($D$34,InflationTable,4)*$C39</f>
        <v>82855.147672510284</v>
      </c>
      <c r="Q39" s="296">
        <f>P39*$R$4</f>
        <v>0</v>
      </c>
      <c r="R39" s="297">
        <f>Q39/$G$38</f>
        <v>0</v>
      </c>
      <c r="S39" s="472" t="s">
        <v>12</v>
      </c>
      <c r="T39" s="472" t="s">
        <v>12</v>
      </c>
      <c r="U39" s="375">
        <f>AVERAGE(L39,O39,R39)</f>
        <v>0</v>
      </c>
    </row>
    <row r="40" spans="1:22" s="1" customFormat="1" ht="13.8" thickBot="1" x14ac:dyDescent="0.3">
      <c r="A40" s="616"/>
      <c r="B40" s="722" t="str">
        <f>VLOOKUP(C$2,Monitor_Costs,16,FALSE)</f>
        <v>Equipment (auxiliary)</v>
      </c>
      <c r="C40" s="720">
        <f>VLOOKUP(C$2,Monitor_Costs,17,FALSE)</f>
        <v>1000</v>
      </c>
      <c r="D40" s="373">
        <f>VLOOKUP(C$2,Monitor_Costs,18,FALSE)</f>
        <v>2019</v>
      </c>
      <c r="E40" s="673"/>
      <c r="F40" s="674"/>
      <c r="G40" s="673"/>
      <c r="H40" s="721"/>
      <c r="I40" s="363"/>
      <c r="J40" s="296">
        <f>HLOOKUP($D$34,InflationTable,2)*$C40</f>
        <v>1350.8018486399505</v>
      </c>
      <c r="K40" s="296">
        <f>J40*$L$4</f>
        <v>0</v>
      </c>
      <c r="L40" s="297">
        <f>K40/$G$38</f>
        <v>0</v>
      </c>
      <c r="M40" s="450">
        <f>HLOOKUP($D$34,InflationTable,3)*$C40</f>
        <v>1387.6958151132228</v>
      </c>
      <c r="N40" s="377">
        <f>M40*$O$4</f>
        <v>0</v>
      </c>
      <c r="O40" s="378">
        <f>N40/$G$38</f>
        <v>0</v>
      </c>
      <c r="P40" s="296">
        <f>HLOOKUP($D$34,InflationTable,4)*$C40</f>
        <v>1404.3245368222081</v>
      </c>
      <c r="Q40" s="296">
        <f>P40*$R$4</f>
        <v>0</v>
      </c>
      <c r="R40" s="297">
        <f>Q40/$G$38</f>
        <v>0</v>
      </c>
      <c r="S40" s="472" t="s">
        <v>12</v>
      </c>
      <c r="T40" s="472" t="s">
        <v>12</v>
      </c>
      <c r="U40" s="375">
        <f>AVERAGE(L40,O40,R40)</f>
        <v>0</v>
      </c>
    </row>
    <row r="41" spans="1:22" x14ac:dyDescent="0.25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 x14ac:dyDescent="0.25">
      <c r="A42" s="615"/>
      <c r="B42" s="614" t="s">
        <v>4</v>
      </c>
      <c r="C42" s="21">
        <v>0</v>
      </c>
      <c r="D42" s="21">
        <v>16</v>
      </c>
      <c r="E42" s="21">
        <v>16</v>
      </c>
      <c r="F42" s="21">
        <v>0</v>
      </c>
      <c r="G42" s="21">
        <v>0</v>
      </c>
      <c r="H42" s="21">
        <v>0</v>
      </c>
      <c r="I42" s="48">
        <f>SUM(C42:H42)</f>
        <v>32</v>
      </c>
      <c r="J42" s="299" t="s">
        <v>12</v>
      </c>
      <c r="K42" s="281">
        <f>I42*$L$4</f>
        <v>0</v>
      </c>
      <c r="L42" s="289">
        <f>K42</f>
        <v>0</v>
      </c>
      <c r="M42" s="58" t="s">
        <v>12</v>
      </c>
      <c r="N42" s="69">
        <f>$I$42*$O$4</f>
        <v>0</v>
      </c>
      <c r="O42" s="68">
        <f>N42</f>
        <v>0</v>
      </c>
      <c r="P42" s="299" t="s">
        <v>12</v>
      </c>
      <c r="Q42" s="281">
        <f>$I$42*$R$4</f>
        <v>0</v>
      </c>
      <c r="R42" s="289">
        <f>Q42</f>
        <v>0</v>
      </c>
      <c r="S42" s="121">
        <f>AVERAGE(L42,O42,R42)</f>
        <v>0</v>
      </c>
      <c r="T42" s="119" t="s">
        <v>12</v>
      </c>
      <c r="U42" s="232" t="s">
        <v>12</v>
      </c>
    </row>
    <row r="43" spans="1:22" s="1" customFormat="1" ht="13.8" thickBot="1" x14ac:dyDescent="0.3">
      <c r="A43" s="616"/>
      <c r="B43" s="604" t="s">
        <v>8</v>
      </c>
      <c r="C43" s="373">
        <f>ROUND(C42*Labor!$D$3,0)</f>
        <v>0</v>
      </c>
      <c r="D43" s="374">
        <f>ROUND(D42*Labor!$D$4,0)</f>
        <v>654</v>
      </c>
      <c r="E43" s="374">
        <f>ROUND(E42*Labor!$D$5,0)</f>
        <v>706</v>
      </c>
      <c r="F43" s="374">
        <f>ROUND(F42*Labor!$D$6,0)</f>
        <v>0</v>
      </c>
      <c r="G43" s="374">
        <f>ROUND(G42*Labor!$D$7,0)</f>
        <v>0</v>
      </c>
      <c r="H43" s="374">
        <f>ROUND(H42*Labor!$D$8,0)</f>
        <v>0</v>
      </c>
      <c r="I43" s="375">
        <f>SUM(C43:H43)</f>
        <v>1360</v>
      </c>
      <c r="J43" s="296">
        <f>HLOOKUP(Labor!$B$11,InflationTable,2)*I43</f>
        <v>1837.0905141503326</v>
      </c>
      <c r="K43" s="296">
        <f>J43*$L$4</f>
        <v>0</v>
      </c>
      <c r="L43" s="390">
        <f>K43</f>
        <v>0</v>
      </c>
      <c r="M43" s="376">
        <f>HLOOKUP(Labor!$B$11,InflationTable,3)*I43</f>
        <v>1887.266308553983</v>
      </c>
      <c r="N43" s="377">
        <f>M43*$O$4</f>
        <v>0</v>
      </c>
      <c r="O43" s="378">
        <f>N43</f>
        <v>0</v>
      </c>
      <c r="P43" s="296">
        <f>HLOOKUP(Labor!$B$11,InflationTable,4)*$I$43</f>
        <v>1909.8813700782032</v>
      </c>
      <c r="Q43" s="296">
        <f>P43*$R$4</f>
        <v>0</v>
      </c>
      <c r="R43" s="390">
        <f>Q43</f>
        <v>0</v>
      </c>
      <c r="S43" s="211">
        <f>AVERAGE(L43,O43,R43)</f>
        <v>0</v>
      </c>
      <c r="T43" s="393" t="s">
        <v>12</v>
      </c>
      <c r="U43" s="228" t="s">
        <v>12</v>
      </c>
    </row>
    <row r="44" spans="1:22" x14ac:dyDescent="0.25">
      <c r="A44" s="615"/>
      <c r="B44" s="605" t="s">
        <v>66</v>
      </c>
      <c r="C44" s="36">
        <f t="shared" ref="C44:I44" si="3">C42</f>
        <v>0</v>
      </c>
      <c r="D44" s="36">
        <f t="shared" si="3"/>
        <v>16</v>
      </c>
      <c r="E44" s="36">
        <f t="shared" si="3"/>
        <v>16</v>
      </c>
      <c r="F44" s="36">
        <f t="shared" si="3"/>
        <v>0</v>
      </c>
      <c r="G44" s="36">
        <f t="shared" si="3"/>
        <v>0</v>
      </c>
      <c r="H44" s="36">
        <f t="shared" si="3"/>
        <v>0</v>
      </c>
      <c r="I44" s="51">
        <f t="shared" si="3"/>
        <v>32</v>
      </c>
      <c r="J44" s="307" t="s">
        <v>12</v>
      </c>
      <c r="K44" s="302">
        <f>K42</f>
        <v>0</v>
      </c>
      <c r="L44" s="303">
        <f>L42</f>
        <v>0</v>
      </c>
      <c r="M44" s="85" t="s">
        <v>12</v>
      </c>
      <c r="N44" s="82">
        <f>N42</f>
        <v>0</v>
      </c>
      <c r="O44" s="96">
        <f>O42</f>
        <v>0</v>
      </c>
      <c r="P44" s="301" t="s">
        <v>12</v>
      </c>
      <c r="Q44" s="302">
        <f>Q42</f>
        <v>0</v>
      </c>
      <c r="R44" s="303">
        <f>R42</f>
        <v>0</v>
      </c>
      <c r="S44" s="96">
        <f>S42</f>
        <v>0</v>
      </c>
      <c r="T44" s="136" t="s">
        <v>12</v>
      </c>
      <c r="U44" s="230" t="s">
        <v>12</v>
      </c>
    </row>
    <row r="45" spans="1:22" ht="13.8" thickBot="1" x14ac:dyDescent="0.3">
      <c r="A45" s="615"/>
      <c r="B45" s="606" t="s">
        <v>67</v>
      </c>
      <c r="C45" s="240">
        <f t="shared" ref="C45:H45" si="4">C44</f>
        <v>0</v>
      </c>
      <c r="D45" s="240">
        <f t="shared" si="4"/>
        <v>16</v>
      </c>
      <c r="E45" s="240">
        <f t="shared" si="4"/>
        <v>16</v>
      </c>
      <c r="F45" s="240">
        <f t="shared" si="4"/>
        <v>0</v>
      </c>
      <c r="G45" s="240">
        <f t="shared" si="4"/>
        <v>0</v>
      </c>
      <c r="H45" s="240">
        <f t="shared" si="4"/>
        <v>0</v>
      </c>
      <c r="I45" s="251">
        <f>I43+C34</f>
        <v>1610</v>
      </c>
      <c r="J45" s="305">
        <f t="shared" ref="J45:R45" si="5">J43+J34</f>
        <v>2174.7909763103203</v>
      </c>
      <c r="K45" s="305">
        <f t="shared" si="5"/>
        <v>0</v>
      </c>
      <c r="L45" s="306">
        <f t="shared" si="5"/>
        <v>0</v>
      </c>
      <c r="M45" s="252">
        <f t="shared" si="5"/>
        <v>2234.1902623322885</v>
      </c>
      <c r="N45" s="253">
        <f t="shared" si="5"/>
        <v>0</v>
      </c>
      <c r="O45" s="254">
        <f t="shared" si="5"/>
        <v>0</v>
      </c>
      <c r="P45" s="304">
        <f t="shared" si="5"/>
        <v>2260.9625042837552</v>
      </c>
      <c r="Q45" s="305">
        <f t="shared" si="5"/>
        <v>0</v>
      </c>
      <c r="R45" s="306">
        <f t="shared" si="5"/>
        <v>0</v>
      </c>
      <c r="S45" s="766">
        <f>SUM(S34:S44)</f>
        <v>0</v>
      </c>
      <c r="T45" s="766">
        <f>SUM(T34:T44)</f>
        <v>0</v>
      </c>
      <c r="U45" s="766">
        <f>SUM(U34:U44)</f>
        <v>0</v>
      </c>
    </row>
    <row r="46" spans="1:22" ht="14.4" thickTop="1" thickBot="1" x14ac:dyDescent="0.3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2" thickTop="1" x14ac:dyDescent="0.3">
      <c r="A47" s="615"/>
      <c r="B47" s="181" t="s">
        <v>24</v>
      </c>
      <c r="C47" s="5"/>
      <c r="D47" s="5"/>
      <c r="E47" s="5"/>
      <c r="F47" s="112" t="s">
        <v>6</v>
      </c>
      <c r="G47" s="1415"/>
      <c r="H47" s="1416"/>
      <c r="I47" s="1417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 x14ac:dyDescent="0.25">
      <c r="A48" s="615"/>
      <c r="B48" s="5"/>
      <c r="C48" s="5"/>
      <c r="D48" s="5"/>
      <c r="E48" s="5"/>
      <c r="F48" s="112"/>
      <c r="G48" s="1418"/>
      <c r="H48" s="1418"/>
      <c r="I48" s="1419"/>
      <c r="J48" s="277" t="s">
        <v>61</v>
      </c>
      <c r="K48" s="1422" t="s">
        <v>57</v>
      </c>
      <c r="L48" s="1423"/>
      <c r="M48" s="57" t="s">
        <v>61</v>
      </c>
      <c r="N48" s="1432" t="s">
        <v>57</v>
      </c>
      <c r="O48" s="1433"/>
      <c r="P48" s="277" t="s">
        <v>61</v>
      </c>
      <c r="Q48" s="1422" t="s">
        <v>57</v>
      </c>
      <c r="R48" s="1423"/>
      <c r="S48" s="131"/>
      <c r="T48" s="37"/>
      <c r="U48" s="138"/>
    </row>
    <row r="49" spans="1:22" x14ac:dyDescent="0.25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8" thickBot="1" x14ac:dyDescent="0.3">
      <c r="A50" s="615"/>
      <c r="B50" s="361"/>
      <c r="C50" s="353">
        <f>VLOOKUP(C$2,Monitor_Costs,6,FALSE)</f>
        <v>3400</v>
      </c>
      <c r="D50" s="34">
        <f>VLOOKUP(C$2,Monitor_Costs,7,FALSE)</f>
        <v>2019</v>
      </c>
      <c r="E50" s="354"/>
      <c r="F50" s="71"/>
      <c r="G50" s="56"/>
      <c r="H50" s="56"/>
      <c r="I50" s="54"/>
      <c r="J50" s="355">
        <f>HLOOKUP(D50,InflationTable,2)*C50</f>
        <v>4592.7262853758311</v>
      </c>
      <c r="K50" s="355">
        <f>J50*$L$4</f>
        <v>0</v>
      </c>
      <c r="L50" s="308">
        <f>K50</f>
        <v>0</v>
      </c>
      <c r="M50" s="357">
        <f>HLOOKUP($D$50,InflationTable,3)*$C$50</f>
        <v>4718.1657713849572</v>
      </c>
      <c r="N50" s="357">
        <f>M50*$O$4</f>
        <v>0</v>
      </c>
      <c r="O50" s="95">
        <f>N50</f>
        <v>0</v>
      </c>
      <c r="P50" s="358">
        <f>HLOOKUP($D$50,InflationTable,4)*$C$50</f>
        <v>4774.7034251955074</v>
      </c>
      <c r="Q50" s="355">
        <f>P50*$R$4</f>
        <v>0</v>
      </c>
      <c r="R50" s="308">
        <f>Q50</f>
        <v>0</v>
      </c>
      <c r="S50" s="359" t="s">
        <v>12</v>
      </c>
      <c r="T50" s="360">
        <f>AVERAGE(L50,O50,R50)</f>
        <v>0</v>
      </c>
      <c r="U50" s="142" t="s">
        <v>12</v>
      </c>
    </row>
    <row r="51" spans="1:22" x14ac:dyDescent="0.25">
      <c r="A51" s="615"/>
      <c r="B51" s="465" t="s">
        <v>203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 x14ac:dyDescent="0.25">
      <c r="B52" s="566" t="s">
        <v>4</v>
      </c>
      <c r="C52" s="21">
        <v>0</v>
      </c>
      <c r="D52" s="21">
        <v>0</v>
      </c>
      <c r="E52" s="21">
        <v>12</v>
      </c>
      <c r="F52" s="21">
        <v>4</v>
      </c>
      <c r="G52" s="21">
        <v>0</v>
      </c>
      <c r="H52" s="21">
        <v>0</v>
      </c>
      <c r="I52" s="52">
        <f t="shared" ref="I52:I57" si="6">SUM(C52:H52)</f>
        <v>16</v>
      </c>
      <c r="J52" s="263" t="s">
        <v>12</v>
      </c>
      <c r="K52" s="281">
        <f>I52*$L$4</f>
        <v>0</v>
      </c>
      <c r="L52" s="289">
        <f t="shared" ref="L52:L57" si="7">K52</f>
        <v>0</v>
      </c>
      <c r="M52" s="58" t="s">
        <v>12</v>
      </c>
      <c r="N52" s="69">
        <f>$I$52*$O$4</f>
        <v>0</v>
      </c>
      <c r="O52" s="68">
        <f t="shared" ref="O52:O57" si="8">N52</f>
        <v>0</v>
      </c>
      <c r="P52" s="263" t="s">
        <v>12</v>
      </c>
      <c r="Q52" s="281">
        <f>$I$52*$R$4</f>
        <v>0</v>
      </c>
      <c r="R52" s="289">
        <f t="shared" ref="R52:R57" si="9">Q52</f>
        <v>0</v>
      </c>
      <c r="S52" s="121">
        <f t="shared" ref="S52:S58" si="10">AVERAGE(L52,O52,R52)</f>
        <v>0</v>
      </c>
      <c r="T52" s="119" t="s">
        <v>12</v>
      </c>
      <c r="U52" s="140" t="s">
        <v>12</v>
      </c>
    </row>
    <row r="53" spans="1:22" s="1" customFormat="1" ht="13.8" thickBot="1" x14ac:dyDescent="0.3">
      <c r="B53" s="715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529</v>
      </c>
      <c r="F53" s="374">
        <f>ROUND(F52*Labor!$D$6,0)</f>
        <v>197</v>
      </c>
      <c r="G53" s="374">
        <f>ROUND(G52*Labor!$D$7,0)</f>
        <v>0</v>
      </c>
      <c r="H53" s="374">
        <f>ROUND(H52*Labor!$D$8,0)</f>
        <v>0</v>
      </c>
      <c r="I53" s="209">
        <f t="shared" si="6"/>
        <v>726</v>
      </c>
      <c r="J53" s="339">
        <f>HLOOKUP(Labor!$B$11,InflationTable,2)*I53</f>
        <v>980.68214211260408</v>
      </c>
      <c r="K53" s="296">
        <f>J53*$L$4</f>
        <v>0</v>
      </c>
      <c r="L53" s="297">
        <f t="shared" si="7"/>
        <v>0</v>
      </c>
      <c r="M53" s="376">
        <f>HLOOKUP(Labor!$B$11,InflationTable,3)*$I$53</f>
        <v>1007.4671617721998</v>
      </c>
      <c r="N53" s="377">
        <f>M53*$O$4</f>
        <v>0</v>
      </c>
      <c r="O53" s="378">
        <f t="shared" si="8"/>
        <v>0</v>
      </c>
      <c r="P53" s="332">
        <f>HLOOKUP(Labor!$B$11,InflationTable,4)*$I$53</f>
        <v>1019.5396137329232</v>
      </c>
      <c r="Q53" s="296">
        <f>P53*$O$4</f>
        <v>0</v>
      </c>
      <c r="R53" s="297">
        <f t="shared" si="9"/>
        <v>0</v>
      </c>
      <c r="S53" s="211">
        <f t="shared" si="10"/>
        <v>0</v>
      </c>
      <c r="T53" s="218" t="s">
        <v>12</v>
      </c>
      <c r="U53" s="392" t="s">
        <v>12</v>
      </c>
    </row>
    <row r="54" spans="1:22" x14ac:dyDescent="0.25">
      <c r="B54" s="565" t="s">
        <v>204</v>
      </c>
      <c r="C54" s="346">
        <v>0</v>
      </c>
      <c r="D54" s="346">
        <v>8</v>
      </c>
      <c r="E54" s="346">
        <v>72</v>
      </c>
      <c r="F54" s="346">
        <v>24</v>
      </c>
      <c r="G54" s="346">
        <v>0</v>
      </c>
      <c r="H54" s="346">
        <v>0</v>
      </c>
      <c r="I54" s="347">
        <f t="shared" si="6"/>
        <v>104</v>
      </c>
      <c r="J54" s="293" t="s">
        <v>12</v>
      </c>
      <c r="K54" s="327">
        <f>I54*$L$4</f>
        <v>0</v>
      </c>
      <c r="L54" s="328">
        <f t="shared" si="7"/>
        <v>0</v>
      </c>
      <c r="M54" s="61" t="s">
        <v>12</v>
      </c>
      <c r="N54" s="348">
        <f>L54*$L$4</f>
        <v>0</v>
      </c>
      <c r="O54" s="349">
        <f t="shared" si="8"/>
        <v>0</v>
      </c>
      <c r="P54" s="293" t="s">
        <v>12</v>
      </c>
      <c r="Q54" s="327">
        <f>O54*$L$4</f>
        <v>0</v>
      </c>
      <c r="R54" s="328">
        <f t="shared" si="9"/>
        <v>0</v>
      </c>
      <c r="S54" s="129">
        <f t="shared" si="10"/>
        <v>0</v>
      </c>
      <c r="T54" s="119" t="s">
        <v>12</v>
      </c>
      <c r="U54" s="140" t="s">
        <v>12</v>
      </c>
    </row>
    <row r="55" spans="1:22" s="1" customFormat="1" ht="13.8" thickBot="1" x14ac:dyDescent="0.3">
      <c r="B55" s="714" t="s">
        <v>8</v>
      </c>
      <c r="C55" s="373">
        <f>ROUND(C54*Labor!$D$3,0)</f>
        <v>0</v>
      </c>
      <c r="D55" s="374">
        <f>ROUND(D54*Labor!$D$4,0)</f>
        <v>327</v>
      </c>
      <c r="E55" s="374">
        <f>ROUND(E54*Labor!$D$5,0)</f>
        <v>3177</v>
      </c>
      <c r="F55" s="374">
        <f>ROUND(F54*Labor!$D$6,0)</f>
        <v>1182</v>
      </c>
      <c r="G55" s="374">
        <f>ROUND(G54*Labor!$D$7,0)</f>
        <v>0</v>
      </c>
      <c r="H55" s="374">
        <f>ROUND(H54*Labor!$D$8,0)</f>
        <v>0</v>
      </c>
      <c r="I55" s="209">
        <f t="shared" si="6"/>
        <v>4686</v>
      </c>
      <c r="J55" s="332">
        <f>HLOOKUP(Labor!$B$11,InflationTable,2)*$I55</f>
        <v>6329.8574627268081</v>
      </c>
      <c r="K55" s="296">
        <f>J55*$L$4</f>
        <v>0</v>
      </c>
      <c r="L55" s="297">
        <f t="shared" si="7"/>
        <v>0</v>
      </c>
      <c r="M55" s="376">
        <f>HLOOKUP(Labor!$B$11,InflationTable,2)*$I55</f>
        <v>6329.8574627268081</v>
      </c>
      <c r="N55" s="377">
        <f>M55*$L$4</f>
        <v>0</v>
      </c>
      <c r="O55" s="378">
        <f t="shared" si="8"/>
        <v>0</v>
      </c>
      <c r="P55" s="332">
        <f>HLOOKUP(Labor!$B$11,InflationTable,2)*$I55</f>
        <v>6329.8574627268081</v>
      </c>
      <c r="Q55" s="296">
        <f>P55*$L$4</f>
        <v>0</v>
      </c>
      <c r="R55" s="297">
        <f t="shared" si="9"/>
        <v>0</v>
      </c>
      <c r="S55" s="391">
        <f t="shared" si="10"/>
        <v>0</v>
      </c>
      <c r="T55" s="218" t="s">
        <v>12</v>
      </c>
      <c r="U55" s="392" t="s">
        <v>12</v>
      </c>
    </row>
    <row r="56" spans="1:22" x14ac:dyDescent="0.25">
      <c r="B56" s="565" t="s">
        <v>117</v>
      </c>
      <c r="C56" s="346">
        <v>0</v>
      </c>
      <c r="D56" s="346">
        <v>0</v>
      </c>
      <c r="E56" s="346">
        <v>32</v>
      </c>
      <c r="F56" s="346">
        <v>80</v>
      </c>
      <c r="G56" s="346">
        <v>0</v>
      </c>
      <c r="H56" s="346">
        <v>0</v>
      </c>
      <c r="I56" s="347">
        <f t="shared" si="6"/>
        <v>112</v>
      </c>
      <c r="J56" s="293" t="s">
        <v>12</v>
      </c>
      <c r="K56" s="327">
        <f>I56*$L$4</f>
        <v>0</v>
      </c>
      <c r="L56" s="328">
        <f t="shared" si="7"/>
        <v>0</v>
      </c>
      <c r="M56" s="61" t="s">
        <v>12</v>
      </c>
      <c r="N56" s="348">
        <f>$I$56*$O$4</f>
        <v>0</v>
      </c>
      <c r="O56" s="349">
        <f t="shared" si="8"/>
        <v>0</v>
      </c>
      <c r="P56" s="293" t="s">
        <v>12</v>
      </c>
      <c r="Q56" s="327">
        <f>$I$56*$R$4</f>
        <v>0</v>
      </c>
      <c r="R56" s="328">
        <f t="shared" si="9"/>
        <v>0</v>
      </c>
      <c r="S56" s="129">
        <f t="shared" si="10"/>
        <v>0</v>
      </c>
      <c r="T56" s="119" t="s">
        <v>12</v>
      </c>
      <c r="U56" s="140" t="s">
        <v>12</v>
      </c>
    </row>
    <row r="57" spans="1:22" s="1" customFormat="1" ht="13.8" thickBot="1" x14ac:dyDescent="0.3">
      <c r="B57" s="714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1412</v>
      </c>
      <c r="F57" s="374">
        <f>ROUND(F56*Labor!$D$6,0)</f>
        <v>3941</v>
      </c>
      <c r="G57" s="374">
        <f>ROUND(G56*Labor!$D$7,0)</f>
        <v>0</v>
      </c>
      <c r="H57" s="374">
        <f>ROUND(H56*Labor!$D$8,0)</f>
        <v>0</v>
      </c>
      <c r="I57" s="209">
        <f t="shared" si="6"/>
        <v>5353</v>
      </c>
      <c r="J57" s="332">
        <f>HLOOKUP(Labor!$B$11,InflationTable,2)*$I$57</f>
        <v>7230.8422957696548</v>
      </c>
      <c r="K57" s="296">
        <f>J57*$L$4</f>
        <v>0</v>
      </c>
      <c r="L57" s="297">
        <f t="shared" si="7"/>
        <v>0</v>
      </c>
      <c r="M57" s="376">
        <f>HLOOKUP(Labor!$B$11,InflationTable,3)*$I$57</f>
        <v>7428.3356983010817</v>
      </c>
      <c r="N57" s="377">
        <f>M57*$O$4</f>
        <v>0</v>
      </c>
      <c r="O57" s="378">
        <f t="shared" si="8"/>
        <v>0</v>
      </c>
      <c r="P57" s="332">
        <f>HLOOKUP(Labor!$B$11,InflationTable,4)*$I$57</f>
        <v>7517.3492456092799</v>
      </c>
      <c r="Q57" s="296">
        <f>P57*$R$4</f>
        <v>0</v>
      </c>
      <c r="R57" s="297">
        <f t="shared" si="9"/>
        <v>0</v>
      </c>
      <c r="S57" s="391">
        <f t="shared" si="10"/>
        <v>0</v>
      </c>
      <c r="T57" s="218" t="s">
        <v>12</v>
      </c>
      <c r="U57" s="392" t="s">
        <v>12</v>
      </c>
    </row>
    <row r="58" spans="1:22" x14ac:dyDescent="0.25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44</v>
      </c>
      <c r="F58" s="36">
        <f t="shared" si="11"/>
        <v>84</v>
      </c>
      <c r="G58" s="36">
        <f t="shared" si="11"/>
        <v>0</v>
      </c>
      <c r="H58" s="36">
        <f t="shared" si="11"/>
        <v>0</v>
      </c>
      <c r="I58" s="46">
        <f t="shared" si="11"/>
        <v>128</v>
      </c>
      <c r="J58" s="301" t="s">
        <v>12</v>
      </c>
      <c r="K58" s="309">
        <f>K52+K56</f>
        <v>0</v>
      </c>
      <c r="L58" s="310">
        <f>L52+L56</f>
        <v>0</v>
      </c>
      <c r="M58" s="85" t="s">
        <v>12</v>
      </c>
      <c r="N58" s="86">
        <f>N52+N56</f>
        <v>0</v>
      </c>
      <c r="O58" s="97">
        <f>O52+O56</f>
        <v>0</v>
      </c>
      <c r="P58" s="301" t="s">
        <v>12</v>
      </c>
      <c r="Q58" s="309">
        <f>Q52+Q56</f>
        <v>0</v>
      </c>
      <c r="R58" s="310">
        <f>R52+R56</f>
        <v>0</v>
      </c>
      <c r="S58" s="121">
        <f t="shared" si="10"/>
        <v>0</v>
      </c>
      <c r="T58" s="136" t="s">
        <v>12</v>
      </c>
      <c r="U58" s="148" t="s">
        <v>12</v>
      </c>
    </row>
    <row r="59" spans="1:22" ht="13.8" thickBot="1" x14ac:dyDescent="0.3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1941</v>
      </c>
      <c r="F59" s="240">
        <f t="shared" si="12"/>
        <v>4138</v>
      </c>
      <c r="G59" s="240">
        <f t="shared" si="12"/>
        <v>0</v>
      </c>
      <c r="H59" s="240">
        <f t="shared" si="12"/>
        <v>0</v>
      </c>
      <c r="I59" s="222">
        <f>I57+I53+C50+I55</f>
        <v>14165</v>
      </c>
      <c r="J59" s="306">
        <f t="shared" ref="J59:R59" si="13">J57+J53+J50+J55</f>
        <v>19134.1081859849</v>
      </c>
      <c r="K59" s="306">
        <f t="shared" si="13"/>
        <v>0</v>
      </c>
      <c r="L59" s="306">
        <f t="shared" si="13"/>
        <v>0</v>
      </c>
      <c r="M59" s="254">
        <f t="shared" si="13"/>
        <v>19483.826094185046</v>
      </c>
      <c r="N59" s="254">
        <f t="shared" si="13"/>
        <v>0</v>
      </c>
      <c r="O59" s="254">
        <f t="shared" si="13"/>
        <v>0</v>
      </c>
      <c r="P59" s="306">
        <f t="shared" si="13"/>
        <v>19641.449747264516</v>
      </c>
      <c r="Q59" s="306">
        <f t="shared" si="13"/>
        <v>0</v>
      </c>
      <c r="R59" s="306">
        <f t="shared" si="13"/>
        <v>0</v>
      </c>
      <c r="S59" s="248">
        <f>S57+S53+S55</f>
        <v>0</v>
      </c>
      <c r="T59" s="251">
        <f>T50</f>
        <v>0</v>
      </c>
      <c r="U59" s="224" t="s">
        <v>12</v>
      </c>
    </row>
    <row r="60" spans="1:22" ht="14.4" thickTop="1" thickBot="1" x14ac:dyDescent="0.3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2" thickTop="1" x14ac:dyDescent="0.3">
      <c r="B61" s="652" t="s">
        <v>26</v>
      </c>
      <c r="C61" s="5"/>
      <c r="D61" s="5"/>
      <c r="E61" s="5"/>
      <c r="F61" s="112" t="s">
        <v>6</v>
      </c>
      <c r="G61" s="1415"/>
      <c r="H61" s="1416"/>
      <c r="I61" s="1417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 x14ac:dyDescent="0.25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22" t="s">
        <v>57</v>
      </c>
      <c r="L62" s="1423"/>
      <c r="M62" s="57" t="s">
        <v>61</v>
      </c>
      <c r="N62" s="1432" t="s">
        <v>57</v>
      </c>
      <c r="O62" s="1433"/>
      <c r="P62" s="277" t="s">
        <v>61</v>
      </c>
      <c r="Q62" s="1422" t="s">
        <v>57</v>
      </c>
      <c r="R62" s="1423"/>
      <c r="S62" s="131"/>
      <c r="T62" s="37"/>
      <c r="U62" s="138"/>
    </row>
    <row r="63" spans="1:22" x14ac:dyDescent="0.25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 x14ac:dyDescent="0.25">
      <c r="B64" s="566" t="s">
        <v>4</v>
      </c>
      <c r="C64" s="21">
        <v>0</v>
      </c>
      <c r="D64" s="21">
        <v>0</v>
      </c>
      <c r="E64" s="21">
        <v>12</v>
      </c>
      <c r="F64" s="21">
        <v>12</v>
      </c>
      <c r="G64" s="21">
        <v>0</v>
      </c>
      <c r="H64" s="21">
        <v>0</v>
      </c>
      <c r="I64" s="52">
        <f t="shared" ref="I64:I71" si="14">SUM(C64:H64)</f>
        <v>24</v>
      </c>
      <c r="J64" s="263" t="s">
        <v>12</v>
      </c>
      <c r="K64" s="281">
        <f>I64*$L$4</f>
        <v>0</v>
      </c>
      <c r="L64" s="289">
        <f t="shared" ref="L64:L71" si="15">K64</f>
        <v>0</v>
      </c>
      <c r="M64" s="58" t="s">
        <v>12</v>
      </c>
      <c r="N64" s="69">
        <f>$I$64*$O$4</f>
        <v>0</v>
      </c>
      <c r="O64" s="68">
        <f t="shared" ref="O64:O71" si="16">N64</f>
        <v>0</v>
      </c>
      <c r="P64" s="263" t="s">
        <v>12</v>
      </c>
      <c r="Q64" s="281">
        <f>$I$64*$R$4</f>
        <v>0</v>
      </c>
      <c r="R64" s="289">
        <f t="shared" ref="R64:R71" si="17">Q64</f>
        <v>0</v>
      </c>
      <c r="S64" s="121">
        <f t="shared" ref="S64:S73" si="18">AVERAGE(L64,O64,R64)</f>
        <v>0</v>
      </c>
      <c r="T64" s="119" t="s">
        <v>12</v>
      </c>
      <c r="U64" s="140" t="s">
        <v>12</v>
      </c>
    </row>
    <row r="65" spans="1:22" s="1" customFormat="1" ht="13.8" thickBot="1" x14ac:dyDescent="0.3">
      <c r="B65" s="715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529</v>
      </c>
      <c r="F65" s="374">
        <f>ROUND(F64*Labor!$D$6,0)</f>
        <v>591</v>
      </c>
      <c r="G65" s="374">
        <f>ROUND(G64*Labor!$D$7,0)</f>
        <v>0</v>
      </c>
      <c r="H65" s="374">
        <f>ROUND(H64*Labor!$D$8,0)</f>
        <v>0</v>
      </c>
      <c r="I65" s="209">
        <f t="shared" si="14"/>
        <v>1120</v>
      </c>
      <c r="J65" s="332">
        <f>HLOOKUP(Labor!$B$11,InflationTable,2)*I65</f>
        <v>1512.8980704767446</v>
      </c>
      <c r="K65" s="296">
        <f>J65*$L$4</f>
        <v>0</v>
      </c>
      <c r="L65" s="297">
        <f t="shared" si="15"/>
        <v>0</v>
      </c>
      <c r="M65" s="376">
        <f>HLOOKUP(Labor!$B$11,InflationTable,3)*$I$65</f>
        <v>1554.2193129268096</v>
      </c>
      <c r="N65" s="377">
        <f>M65*$L$4</f>
        <v>0</v>
      </c>
      <c r="O65" s="378">
        <f t="shared" si="16"/>
        <v>0</v>
      </c>
      <c r="P65" s="332">
        <f>HLOOKUP(Labor!$B$11,InflationTable,4)*$I$65</f>
        <v>1572.8434812408732</v>
      </c>
      <c r="Q65" s="296">
        <f>P65*$R$4</f>
        <v>0</v>
      </c>
      <c r="R65" s="297">
        <f t="shared" si="17"/>
        <v>0</v>
      </c>
      <c r="S65" s="211">
        <f t="shared" si="18"/>
        <v>0</v>
      </c>
      <c r="T65" s="218" t="s">
        <v>12</v>
      </c>
      <c r="U65" s="392" t="s">
        <v>12</v>
      </c>
    </row>
    <row r="66" spans="1:22" x14ac:dyDescent="0.25">
      <c r="B66" s="559" t="s">
        <v>114</v>
      </c>
      <c r="C66" s="346">
        <v>0</v>
      </c>
      <c r="D66" s="346">
        <v>0</v>
      </c>
      <c r="E66" s="346">
        <v>0</v>
      </c>
      <c r="F66" s="346">
        <v>8</v>
      </c>
      <c r="G66" s="346">
        <v>1</v>
      </c>
      <c r="H66" s="346">
        <v>1</v>
      </c>
      <c r="I66" s="347">
        <f t="shared" si="14"/>
        <v>10</v>
      </c>
      <c r="J66" s="293" t="s">
        <v>12</v>
      </c>
      <c r="K66" s="327">
        <f>I66*$L$4</f>
        <v>0</v>
      </c>
      <c r="L66" s="328">
        <f t="shared" si="15"/>
        <v>0</v>
      </c>
      <c r="M66" s="61" t="s">
        <v>12</v>
      </c>
      <c r="N66" s="348">
        <f>$I$66*$O$4</f>
        <v>0</v>
      </c>
      <c r="O66" s="349">
        <f t="shared" si="16"/>
        <v>0</v>
      </c>
      <c r="P66" s="293" t="s">
        <v>12</v>
      </c>
      <c r="Q66" s="327">
        <f>$I$66*$R$4</f>
        <v>0</v>
      </c>
      <c r="R66" s="328">
        <f t="shared" si="17"/>
        <v>0</v>
      </c>
      <c r="S66" s="129">
        <f t="shared" si="18"/>
        <v>0</v>
      </c>
      <c r="T66" s="136" t="s">
        <v>12</v>
      </c>
      <c r="U66" s="147" t="s">
        <v>12</v>
      </c>
    </row>
    <row r="67" spans="1:22" s="1" customFormat="1" ht="13.8" thickBot="1" x14ac:dyDescent="0.3">
      <c r="B67" s="715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394</v>
      </c>
      <c r="G67" s="374">
        <f>ROUND(G66*Labor!$D$7,0)</f>
        <v>55</v>
      </c>
      <c r="H67" s="374">
        <f>ROUND(H66*Labor!$D$8,0)</f>
        <v>59</v>
      </c>
      <c r="I67" s="209">
        <f t="shared" si="14"/>
        <v>508</v>
      </c>
      <c r="J67" s="339">
        <f>HLOOKUP(Labor!$B$11,InflationTable,2)*I67</f>
        <v>686.20733910909485</v>
      </c>
      <c r="K67" s="296">
        <f>J67*$L$4</f>
        <v>0</v>
      </c>
      <c r="L67" s="297">
        <f t="shared" si="15"/>
        <v>0</v>
      </c>
      <c r="M67" s="450">
        <f>HLOOKUP(Labor!$B$11,InflationTable,3)*I67</f>
        <v>704.94947407751715</v>
      </c>
      <c r="N67" s="377">
        <f>M67*$O$4</f>
        <v>0</v>
      </c>
      <c r="O67" s="378">
        <f t="shared" si="16"/>
        <v>0</v>
      </c>
      <c r="P67" s="332">
        <f>HLOOKUP(Labor!$B$11,InflationTable,4)*$I$67</f>
        <v>713.39686470568176</v>
      </c>
      <c r="Q67" s="296">
        <f>P67*$R$4</f>
        <v>0</v>
      </c>
      <c r="R67" s="297">
        <f t="shared" si="17"/>
        <v>0</v>
      </c>
      <c r="S67" s="211">
        <f t="shared" si="18"/>
        <v>0</v>
      </c>
      <c r="T67" s="218" t="s">
        <v>12</v>
      </c>
      <c r="U67" s="392" t="s">
        <v>12</v>
      </c>
    </row>
    <row r="68" spans="1:22" x14ac:dyDescent="0.25">
      <c r="B68" s="559" t="s">
        <v>115</v>
      </c>
      <c r="C68" s="346">
        <v>0</v>
      </c>
      <c r="D68" s="346">
        <v>0</v>
      </c>
      <c r="E68" s="346">
        <v>0</v>
      </c>
      <c r="F68" s="346">
        <v>24</v>
      </c>
      <c r="G68" s="346">
        <v>6</v>
      </c>
      <c r="H68" s="346">
        <v>0</v>
      </c>
      <c r="I68" s="347">
        <f t="shared" si="14"/>
        <v>30</v>
      </c>
      <c r="J68" s="293" t="s">
        <v>12</v>
      </c>
      <c r="K68" s="327">
        <f>I68*$L$4</f>
        <v>0</v>
      </c>
      <c r="L68" s="328">
        <f t="shared" si="15"/>
        <v>0</v>
      </c>
      <c r="M68" s="61" t="s">
        <v>12</v>
      </c>
      <c r="N68" s="348">
        <f>$I$68*$O$4</f>
        <v>0</v>
      </c>
      <c r="O68" s="349">
        <f t="shared" si="16"/>
        <v>0</v>
      </c>
      <c r="P68" s="293" t="s">
        <v>12</v>
      </c>
      <c r="Q68" s="327">
        <f>$I$68*$R$4</f>
        <v>0</v>
      </c>
      <c r="R68" s="328">
        <f t="shared" si="17"/>
        <v>0</v>
      </c>
      <c r="S68" s="129">
        <f t="shared" si="18"/>
        <v>0</v>
      </c>
      <c r="T68" s="136" t="s">
        <v>12</v>
      </c>
      <c r="U68" s="147" t="s">
        <v>12</v>
      </c>
    </row>
    <row r="69" spans="1:22" s="1" customFormat="1" ht="13.8" thickBot="1" x14ac:dyDescent="0.3">
      <c r="B69" s="715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1182</v>
      </c>
      <c r="G69" s="374">
        <f>ROUND(G68*Labor!$D$7,0)</f>
        <v>333</v>
      </c>
      <c r="H69" s="374">
        <f>ROUND(H68*Labor!$D$8,0)</f>
        <v>0</v>
      </c>
      <c r="I69" s="209">
        <f t="shared" si="14"/>
        <v>1515</v>
      </c>
      <c r="J69" s="339">
        <f>HLOOKUP(Labor!$B$11,InflationTable,2)*I69</f>
        <v>2046.464800689525</v>
      </c>
      <c r="K69" s="296">
        <f>J69*$L$4</f>
        <v>0</v>
      </c>
      <c r="L69" s="297">
        <f t="shared" si="15"/>
        <v>0</v>
      </c>
      <c r="M69" s="376">
        <f>HLOOKUP(Labor!$B$11,InflationTable,3)*$I$69</f>
        <v>2102.3591598965327</v>
      </c>
      <c r="N69" s="377">
        <f>M69*$O$4</f>
        <v>0</v>
      </c>
      <c r="O69" s="378">
        <f t="shared" si="16"/>
        <v>0</v>
      </c>
      <c r="P69" s="332">
        <f>HLOOKUP(Labor!$B$11,InflationTable,4)*$I$69</f>
        <v>2127.5516732856454</v>
      </c>
      <c r="Q69" s="296">
        <f>P69*$R$4</f>
        <v>0</v>
      </c>
      <c r="R69" s="297">
        <f t="shared" si="17"/>
        <v>0</v>
      </c>
      <c r="S69" s="211">
        <f t="shared" si="18"/>
        <v>0</v>
      </c>
      <c r="T69" s="218" t="s">
        <v>12</v>
      </c>
      <c r="U69" s="392" t="s">
        <v>12</v>
      </c>
    </row>
    <row r="70" spans="1:22" x14ac:dyDescent="0.25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8" thickBot="1" x14ac:dyDescent="0.3">
      <c r="B71" s="715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 x14ac:dyDescent="0.25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12</v>
      </c>
      <c r="F72" s="36">
        <f t="shared" si="19"/>
        <v>44</v>
      </c>
      <c r="G72" s="36">
        <f t="shared" si="19"/>
        <v>7</v>
      </c>
      <c r="H72" s="36">
        <f t="shared" si="19"/>
        <v>1</v>
      </c>
      <c r="I72" s="46">
        <f t="shared" si="19"/>
        <v>64</v>
      </c>
      <c r="J72" s="301" t="s">
        <v>12</v>
      </c>
      <c r="K72" s="285">
        <f>K64+K66+K68+K70</f>
        <v>0</v>
      </c>
      <c r="L72" s="312">
        <f>L64+L66+L68+L70</f>
        <v>0</v>
      </c>
      <c r="M72" s="85" t="s">
        <v>12</v>
      </c>
      <c r="N72" s="33">
        <f>N64+N66+N68+N70</f>
        <v>0</v>
      </c>
      <c r="O72" s="99">
        <f>O64+O66+O68+O70</f>
        <v>0</v>
      </c>
      <c r="P72" s="301" t="s">
        <v>12</v>
      </c>
      <c r="Q72" s="285">
        <f>Q64+Q66+Q68+Q70</f>
        <v>0</v>
      </c>
      <c r="R72" s="312">
        <f>R64+R66+R68+R70</f>
        <v>0</v>
      </c>
      <c r="S72" s="129">
        <f t="shared" si="18"/>
        <v>0</v>
      </c>
      <c r="T72" s="136" t="s">
        <v>12</v>
      </c>
      <c r="U72" s="147" t="s">
        <v>12</v>
      </c>
    </row>
    <row r="73" spans="1:22" ht="13.8" thickBot="1" x14ac:dyDescent="0.3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529</v>
      </c>
      <c r="F73" s="240">
        <f t="shared" si="19"/>
        <v>2167</v>
      </c>
      <c r="G73" s="240">
        <f t="shared" si="19"/>
        <v>388</v>
      </c>
      <c r="H73" s="240">
        <f t="shared" si="19"/>
        <v>59</v>
      </c>
      <c r="I73" s="243">
        <f t="shared" si="19"/>
        <v>3143</v>
      </c>
      <c r="J73" s="313">
        <f>J65+J67+J69+J71</f>
        <v>4245.5702102753639</v>
      </c>
      <c r="K73" s="275">
        <f>K65+K67+K69+K71</f>
        <v>0</v>
      </c>
      <c r="L73" s="276">
        <f>L65+L67+L69+L71</f>
        <v>0</v>
      </c>
      <c r="M73" s="242">
        <f>M65+M67+M69+M71</f>
        <v>4361.5279469008601</v>
      </c>
      <c r="N73" s="240">
        <f>N65+N67+N69+N71</f>
        <v>0</v>
      </c>
      <c r="O73" s="243">
        <f>O65+O67+O69+O71</f>
        <v>0</v>
      </c>
      <c r="P73" s="313">
        <f>P65+P67+P69+P71</f>
        <v>4413.7920192321999</v>
      </c>
      <c r="Q73" s="275">
        <f>Q65+Q67+Q69+Q71</f>
        <v>0</v>
      </c>
      <c r="R73" s="276">
        <f>R65+R67+R69+R71</f>
        <v>0</v>
      </c>
      <c r="S73" s="255">
        <f t="shared" si="18"/>
        <v>0</v>
      </c>
      <c r="T73" s="249" t="s">
        <v>12</v>
      </c>
      <c r="U73" s="224" t="s">
        <v>12</v>
      </c>
    </row>
    <row r="74" spans="1:22" ht="13.8" thickTop="1" x14ac:dyDescent="0.25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8" thickBot="1" x14ac:dyDescent="0.3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8.2" thickTop="1" thickBot="1" x14ac:dyDescent="0.35">
      <c r="B76" s="652" t="s">
        <v>28</v>
      </c>
      <c r="C76" s="5"/>
      <c r="D76" s="5"/>
      <c r="E76" s="5"/>
      <c r="F76" s="112" t="s">
        <v>6</v>
      </c>
      <c r="G76" s="1415"/>
      <c r="H76" s="1416"/>
      <c r="I76" s="1417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2" t="s">
        <v>79</v>
      </c>
    </row>
    <row r="77" spans="1:22" x14ac:dyDescent="0.25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22" t="s">
        <v>57</v>
      </c>
      <c r="L77" s="1423"/>
      <c r="M77" s="57" t="s">
        <v>61</v>
      </c>
      <c r="N77" s="1432" t="s">
        <v>57</v>
      </c>
      <c r="O77" s="1436"/>
      <c r="P77" s="318" t="s">
        <v>61</v>
      </c>
      <c r="Q77" s="1422" t="s">
        <v>57</v>
      </c>
      <c r="R77" s="1423"/>
      <c r="S77" s="760"/>
      <c r="T77" s="37"/>
      <c r="U77" s="37"/>
    </row>
    <row r="78" spans="1:22" x14ac:dyDescent="0.25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1"/>
      <c r="T78" s="37"/>
      <c r="U78" s="37"/>
    </row>
    <row r="79" spans="1:22" s="1" customFormat="1" ht="13.8" thickBot="1" x14ac:dyDescent="0.3">
      <c r="A79" s="616"/>
      <c r="B79" s="759" t="str">
        <f>VLOOKUP(C$2,Monitor_Costs,25,FALSE)</f>
        <v>Calibration Stds</v>
      </c>
      <c r="C79" s="720">
        <f>VLOOKUP(C$2,Monitor_Costs,26,FALSE)</f>
        <v>1500</v>
      </c>
      <c r="D79" s="373">
        <f>VLOOKUP(C$2,Monitor_Costs,15,FALSE)</f>
        <v>2019</v>
      </c>
      <c r="E79" s="673"/>
      <c r="F79" s="674"/>
      <c r="G79" s="673"/>
      <c r="H79" s="721"/>
      <c r="I79" s="363"/>
      <c r="J79" s="296">
        <f>HLOOKUP($D$34,InflationTable,2)*$C79</f>
        <v>2026.2027729599256</v>
      </c>
      <c r="K79" s="296">
        <f>J79*$L$4</f>
        <v>0</v>
      </c>
      <c r="L79" s="297">
        <f>K79</f>
        <v>0</v>
      </c>
      <c r="M79" s="450">
        <f>HLOOKUP($D$34,InflationTable,3)*$C79</f>
        <v>2081.5437226698341</v>
      </c>
      <c r="N79" s="377">
        <f>M79*$O$4</f>
        <v>0</v>
      </c>
      <c r="O79" s="378">
        <f>N79</f>
        <v>0</v>
      </c>
      <c r="P79" s="296">
        <f>HLOOKUP($D$34,InflationTable,4)*$C79</f>
        <v>2106.4868052333122</v>
      </c>
      <c r="Q79" s="296">
        <f>P79*$R$4</f>
        <v>0</v>
      </c>
      <c r="R79" s="297">
        <f>Q79</f>
        <v>0</v>
      </c>
      <c r="S79" s="472" t="s">
        <v>12</v>
      </c>
      <c r="T79" s="375">
        <f>AVERAGE(L79,O79,R79)</f>
        <v>0</v>
      </c>
      <c r="U79" s="228" t="s">
        <v>12</v>
      </c>
    </row>
    <row r="80" spans="1:22" x14ac:dyDescent="0.25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 x14ac:dyDescent="0.25">
      <c r="B81" s="557" t="s">
        <v>205</v>
      </c>
      <c r="C81" s="21">
        <v>0</v>
      </c>
      <c r="D81" s="21">
        <v>0</v>
      </c>
      <c r="E81" s="21">
        <v>2</v>
      </c>
      <c r="F81" s="21">
        <v>5</v>
      </c>
      <c r="G81" s="21">
        <v>0</v>
      </c>
      <c r="H81" s="21">
        <v>0</v>
      </c>
      <c r="I81" s="52">
        <f t="shared" ref="I81:I86" si="20">SUM(C81:H81)</f>
        <v>7</v>
      </c>
      <c r="J81" s="263" t="s">
        <v>12</v>
      </c>
      <c r="K81" s="281">
        <f>I81*$L$4</f>
        <v>0</v>
      </c>
      <c r="L81" s="289">
        <f t="shared" ref="L81:L86" si="21">K81</f>
        <v>0</v>
      </c>
      <c r="M81" s="58" t="s">
        <v>12</v>
      </c>
      <c r="N81" s="69">
        <f>$I$81*$O$4</f>
        <v>0</v>
      </c>
      <c r="O81" s="68">
        <f t="shared" ref="O81:O86" si="22">N81</f>
        <v>0</v>
      </c>
      <c r="P81" s="263" t="s">
        <v>12</v>
      </c>
      <c r="Q81" s="281">
        <f>$I$81*$O$4</f>
        <v>0</v>
      </c>
      <c r="R81" s="289">
        <f t="shared" ref="R81:R86" si="23">Q81</f>
        <v>0</v>
      </c>
      <c r="S81" s="121">
        <f t="shared" ref="S81:S86" si="24">AVERAGE(L81,O81,R81)</f>
        <v>0</v>
      </c>
      <c r="T81" s="135" t="s">
        <v>12</v>
      </c>
      <c r="U81" s="136" t="s">
        <v>12</v>
      </c>
    </row>
    <row r="82" spans="2:22" s="1" customFormat="1" ht="13.8" thickBot="1" x14ac:dyDescent="0.3">
      <c r="B82" s="714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88</v>
      </c>
      <c r="F82" s="374">
        <f>ROUND(F81*Labor!$D$6,0)</f>
        <v>246</v>
      </c>
      <c r="G82" s="374">
        <f>ROUND(G81*Labor!$D$7,0)</f>
        <v>0</v>
      </c>
      <c r="H82" s="374">
        <f>ROUND(H81*Labor!$D$8,0)</f>
        <v>0</v>
      </c>
      <c r="I82" s="209">
        <f t="shared" si="20"/>
        <v>334</v>
      </c>
      <c r="J82" s="332">
        <f>HLOOKUP(Labor!$B$11,InflationTable,2)*I82</f>
        <v>451.16781744574342</v>
      </c>
      <c r="K82" s="296">
        <f>J82*$L$4</f>
        <v>0</v>
      </c>
      <c r="L82" s="297">
        <f t="shared" si="21"/>
        <v>0</v>
      </c>
      <c r="M82" s="450">
        <f>HLOOKUP(Labor!$B$11,InflationTable,3)*$I$82</f>
        <v>463.49040224781641</v>
      </c>
      <c r="N82" s="377">
        <f>M82*$O$4</f>
        <v>0</v>
      </c>
      <c r="O82" s="378">
        <f t="shared" si="22"/>
        <v>0</v>
      </c>
      <c r="P82" s="332">
        <f>HLOOKUP(Labor!$B$11,InflationTable,4)*$I82</f>
        <v>469.04439529861753</v>
      </c>
      <c r="Q82" s="296">
        <f>P82*$R$4</f>
        <v>0</v>
      </c>
      <c r="R82" s="297">
        <f t="shared" si="23"/>
        <v>0</v>
      </c>
      <c r="S82" s="211">
        <f t="shared" si="24"/>
        <v>0</v>
      </c>
      <c r="T82" s="393" t="s">
        <v>12</v>
      </c>
      <c r="U82" s="218" t="s">
        <v>12</v>
      </c>
    </row>
    <row r="83" spans="2:22" x14ac:dyDescent="0.25">
      <c r="B83" s="559" t="s">
        <v>206</v>
      </c>
      <c r="C83" s="346">
        <v>0</v>
      </c>
      <c r="D83" s="346">
        <v>0</v>
      </c>
      <c r="E83" s="346">
        <v>4</v>
      </c>
      <c r="F83" s="346">
        <v>8</v>
      </c>
      <c r="G83" s="346">
        <v>0</v>
      </c>
      <c r="H83" s="346">
        <v>0</v>
      </c>
      <c r="I83" s="347">
        <f t="shared" si="20"/>
        <v>12</v>
      </c>
      <c r="J83" s="293" t="s">
        <v>12</v>
      </c>
      <c r="K83" s="327">
        <f>I83*$L$4</f>
        <v>0</v>
      </c>
      <c r="L83" s="328">
        <f t="shared" si="21"/>
        <v>0</v>
      </c>
      <c r="M83" s="61" t="s">
        <v>12</v>
      </c>
      <c r="N83" s="348">
        <f>$I$83*$O$4</f>
        <v>0</v>
      </c>
      <c r="O83" s="349">
        <f t="shared" si="22"/>
        <v>0</v>
      </c>
      <c r="P83" s="293" t="s">
        <v>12</v>
      </c>
      <c r="Q83" s="327">
        <f>$I$83*$O$4</f>
        <v>0</v>
      </c>
      <c r="R83" s="328">
        <f t="shared" si="23"/>
        <v>0</v>
      </c>
      <c r="S83" s="129">
        <f t="shared" si="24"/>
        <v>0</v>
      </c>
      <c r="T83" s="135" t="s">
        <v>12</v>
      </c>
      <c r="U83" s="136" t="s">
        <v>12</v>
      </c>
    </row>
    <row r="84" spans="2:22" s="1" customFormat="1" ht="13.8" thickBot="1" x14ac:dyDescent="0.3">
      <c r="B84" s="714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176</v>
      </c>
      <c r="F84" s="374">
        <f>ROUND(F83*Labor!$D$6,0)</f>
        <v>394</v>
      </c>
      <c r="G84" s="374">
        <f>ROUND(G83*Labor!$D$7,0)</f>
        <v>0</v>
      </c>
      <c r="H84" s="374">
        <f>ROUND(H83*Labor!$D$8,0)</f>
        <v>0</v>
      </c>
      <c r="I84" s="209">
        <f t="shared" si="20"/>
        <v>570</v>
      </c>
      <c r="J84" s="332">
        <f>HLOOKUP(Labor!$B$11,InflationTable,2)*I84</f>
        <v>769.95705372477175</v>
      </c>
      <c r="K84" s="296">
        <f>J84*$L$4</f>
        <v>0</v>
      </c>
      <c r="L84" s="297">
        <f t="shared" si="21"/>
        <v>0</v>
      </c>
      <c r="M84" s="450">
        <f>HLOOKUP(Labor!$B$11,InflationTable,3)*$I$84</f>
        <v>790.98661461453696</v>
      </c>
      <c r="N84" s="377">
        <f>M84*$O$4</f>
        <v>0</v>
      </c>
      <c r="O84" s="378">
        <f t="shared" si="22"/>
        <v>0</v>
      </c>
      <c r="P84" s="332">
        <f>HLOOKUP(Labor!$B$11,InflationTable,4)*$I84</f>
        <v>800.46498598865867</v>
      </c>
      <c r="Q84" s="296">
        <f>P84*$R$4</f>
        <v>0</v>
      </c>
      <c r="R84" s="297">
        <f t="shared" si="23"/>
        <v>0</v>
      </c>
      <c r="S84" s="211">
        <f t="shared" si="24"/>
        <v>0</v>
      </c>
      <c r="T84" s="393" t="s">
        <v>12</v>
      </c>
      <c r="U84" s="218" t="s">
        <v>12</v>
      </c>
    </row>
    <row r="85" spans="2:22" x14ac:dyDescent="0.25">
      <c r="B85" s="559" t="s">
        <v>109</v>
      </c>
      <c r="C85" s="346">
        <v>0</v>
      </c>
      <c r="D85" s="346">
        <v>1</v>
      </c>
      <c r="E85" s="346">
        <v>8</v>
      </c>
      <c r="F85" s="346">
        <v>5</v>
      </c>
      <c r="G85" s="346">
        <v>2</v>
      </c>
      <c r="H85" s="346">
        <v>0</v>
      </c>
      <c r="I85" s="347">
        <f t="shared" si="20"/>
        <v>16</v>
      </c>
      <c r="J85" s="293" t="s">
        <v>12</v>
      </c>
      <c r="K85" s="327">
        <f>I85*$L$4</f>
        <v>0</v>
      </c>
      <c r="L85" s="328">
        <f t="shared" si="21"/>
        <v>0</v>
      </c>
      <c r="M85" s="61" t="s">
        <v>12</v>
      </c>
      <c r="N85" s="348">
        <f>$I85*$O$4</f>
        <v>0</v>
      </c>
      <c r="O85" s="349">
        <f t="shared" si="22"/>
        <v>0</v>
      </c>
      <c r="P85" s="293" t="s">
        <v>12</v>
      </c>
      <c r="Q85" s="327">
        <f>$I85*$O$4</f>
        <v>0</v>
      </c>
      <c r="R85" s="328">
        <f t="shared" si="23"/>
        <v>0</v>
      </c>
      <c r="S85" s="129">
        <f t="shared" si="24"/>
        <v>0</v>
      </c>
      <c r="T85" s="135" t="s">
        <v>12</v>
      </c>
      <c r="U85" s="136" t="s">
        <v>12</v>
      </c>
    </row>
    <row r="86" spans="2:22" s="1" customFormat="1" ht="13.8" thickBot="1" x14ac:dyDescent="0.3">
      <c r="B86" s="714" t="s">
        <v>8</v>
      </c>
      <c r="C86" s="373">
        <f>ROUND(C85*Labor!$D$3,0)</f>
        <v>0</v>
      </c>
      <c r="D86" s="374">
        <f>ROUND(D85*Labor!$D$4,0)</f>
        <v>41</v>
      </c>
      <c r="E86" s="374">
        <f>ROUND(E85*Labor!$D$5,0)</f>
        <v>353</v>
      </c>
      <c r="F86" s="374">
        <f>ROUND(F85*Labor!$D$6,0)</f>
        <v>246</v>
      </c>
      <c r="G86" s="374">
        <f>ROUND(G85*Labor!$D$7,0)</f>
        <v>111</v>
      </c>
      <c r="H86" s="374">
        <f>ROUND(H85*Labor!$D$8,0)</f>
        <v>0</v>
      </c>
      <c r="I86" s="209">
        <f t="shared" si="20"/>
        <v>751</v>
      </c>
      <c r="J86" s="332">
        <f>HLOOKUP(Labor!$B$11,InflationTable,2)*I86</f>
        <v>1014.4521883286028</v>
      </c>
      <c r="K86" s="296">
        <f>J86*$L$4</f>
        <v>0</v>
      </c>
      <c r="L86" s="297">
        <f t="shared" si="21"/>
        <v>0</v>
      </c>
      <c r="M86" s="450">
        <f>HLOOKUP(Labor!$B$11,InflationTable,3)*$I86</f>
        <v>1042.1595571500304</v>
      </c>
      <c r="N86" s="377">
        <f>M86*$O$4</f>
        <v>0</v>
      </c>
      <c r="O86" s="378">
        <f t="shared" si="22"/>
        <v>0</v>
      </c>
      <c r="P86" s="332">
        <f>HLOOKUP(Labor!$B$11,InflationTable,4)*$I86</f>
        <v>1054.6477271534784</v>
      </c>
      <c r="Q86" s="296">
        <f>P86*$R$4</f>
        <v>0</v>
      </c>
      <c r="R86" s="297">
        <f t="shared" si="23"/>
        <v>0</v>
      </c>
      <c r="S86" s="446">
        <f t="shared" si="24"/>
        <v>0</v>
      </c>
      <c r="T86" s="444" t="s">
        <v>12</v>
      </c>
      <c r="U86" s="380" t="s">
        <v>12</v>
      </c>
    </row>
    <row r="87" spans="2:22" x14ac:dyDescent="0.25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 x14ac:dyDescent="0.25">
      <c r="B88" s="558" t="s">
        <v>4</v>
      </c>
      <c r="C88" s="21">
        <v>0</v>
      </c>
      <c r="D88" s="21">
        <v>0</v>
      </c>
      <c r="E88" s="21">
        <v>0</v>
      </c>
      <c r="F88" s="21">
        <v>6</v>
      </c>
      <c r="G88" s="21">
        <v>3</v>
      </c>
      <c r="H88" s="21">
        <v>0</v>
      </c>
      <c r="I88" s="52">
        <f>SUM(C88:H88)</f>
        <v>9</v>
      </c>
      <c r="J88" s="263" t="s">
        <v>12</v>
      </c>
      <c r="K88" s="281">
        <f>I88*$L$4</f>
        <v>0</v>
      </c>
      <c r="L88" s="289">
        <f>K88</f>
        <v>0</v>
      </c>
      <c r="M88" s="58" t="s">
        <v>12</v>
      </c>
      <c r="N88" s="69">
        <f>$I88*$O$4</f>
        <v>0</v>
      </c>
      <c r="O88" s="68">
        <f>N88</f>
        <v>0</v>
      </c>
      <c r="P88" s="263" t="s">
        <v>12</v>
      </c>
      <c r="Q88" s="281">
        <f>$I88*$O$4</f>
        <v>0</v>
      </c>
      <c r="R88" s="289">
        <f>Q88</f>
        <v>0</v>
      </c>
      <c r="S88" s="121">
        <f>AVERAGE(L88,O88,R88)</f>
        <v>0</v>
      </c>
      <c r="T88" s="135" t="s">
        <v>12</v>
      </c>
      <c r="U88" s="136" t="s">
        <v>12</v>
      </c>
    </row>
    <row r="89" spans="2:22" s="1" customFormat="1" ht="13.8" thickBot="1" x14ac:dyDescent="0.3">
      <c r="B89" s="714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296</v>
      </c>
      <c r="G89" s="374">
        <f>ROUND(G88*Labor!$D$7,0)</f>
        <v>166</v>
      </c>
      <c r="H89" s="374">
        <f>ROUND(H88*Labor!$D$8,0)</f>
        <v>0</v>
      </c>
      <c r="I89" s="209">
        <f>SUM(C89:H89)</f>
        <v>462</v>
      </c>
      <c r="J89" s="332">
        <f>HLOOKUP(Labor!$B$11,InflationTable,2)*I89</f>
        <v>624.07045407165708</v>
      </c>
      <c r="K89" s="296">
        <f>J89*$L$4</f>
        <v>0</v>
      </c>
      <c r="L89" s="297">
        <f>K89</f>
        <v>0</v>
      </c>
      <c r="M89" s="450">
        <f>HLOOKUP(Labor!$B$11,InflationTable,3)*$I89</f>
        <v>641.11546658230895</v>
      </c>
      <c r="N89" s="377">
        <f>M89*$O$4</f>
        <v>0</v>
      </c>
      <c r="O89" s="378">
        <f>N89</f>
        <v>0</v>
      </c>
      <c r="P89" s="332">
        <f>HLOOKUP(Labor!$B$11,InflationTable,4)*$I89</f>
        <v>648.7979360118602</v>
      </c>
      <c r="Q89" s="296">
        <f>P89*$R$4</f>
        <v>0</v>
      </c>
      <c r="R89" s="297">
        <f>Q89</f>
        <v>0</v>
      </c>
      <c r="S89" s="211">
        <f>AVERAGE(L89,O89,R89)</f>
        <v>0</v>
      </c>
      <c r="T89" s="393" t="s">
        <v>12</v>
      </c>
      <c r="U89" s="218" t="s">
        <v>12</v>
      </c>
    </row>
    <row r="90" spans="2:22" x14ac:dyDescent="0.25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34" t="s">
        <v>57</v>
      </c>
      <c r="O90" s="1435"/>
      <c r="P90" s="259" t="s">
        <v>55</v>
      </c>
      <c r="Q90" s="1431" t="s">
        <v>57</v>
      </c>
      <c r="R90" s="1439"/>
      <c r="S90" s="170"/>
      <c r="T90" s="133"/>
      <c r="U90" s="37"/>
    </row>
    <row r="91" spans="2:22" x14ac:dyDescent="0.25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0</v>
      </c>
      <c r="L91" s="282">
        <f>K91/$E$90</f>
        <v>0</v>
      </c>
      <c r="M91" s="58" t="s">
        <v>12</v>
      </c>
      <c r="N91" s="60">
        <f>$I$91*$M$5</f>
        <v>0</v>
      </c>
      <c r="O91" s="59">
        <f>N91/$E$90</f>
        <v>0</v>
      </c>
      <c r="P91" s="263" t="s">
        <v>12</v>
      </c>
      <c r="Q91" s="283">
        <f>$I$91*$P$5</f>
        <v>0</v>
      </c>
      <c r="R91" s="282">
        <f>Q91/$E$90</f>
        <v>0</v>
      </c>
      <c r="S91" s="121">
        <f>AVERAGE(L91,O91,R91)</f>
        <v>0</v>
      </c>
      <c r="T91" s="135" t="s">
        <v>12</v>
      </c>
      <c r="U91" s="136" t="s">
        <v>12</v>
      </c>
    </row>
    <row r="92" spans="2:22" s="1" customFormat="1" ht="13.8" thickBot="1" x14ac:dyDescent="0.3">
      <c r="B92" s="715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798.32389254621069</v>
      </c>
      <c r="K92" s="296">
        <f>J92*$J$5</f>
        <v>0</v>
      </c>
      <c r="L92" s="297">
        <f>K92/$E$90</f>
        <v>0</v>
      </c>
      <c r="M92" s="445">
        <f>HLOOKUP(Labor!$B$11,InflationTable,3)*$I92</f>
        <v>820.12822673191465</v>
      </c>
      <c r="N92" s="377">
        <f>M92*$M$5</f>
        <v>0</v>
      </c>
      <c r="O92" s="378">
        <f>N92/$E$90</f>
        <v>0</v>
      </c>
      <c r="P92" s="339">
        <f>HLOOKUP(Labor!$B$11,InflationTable,4)*$I92</f>
        <v>829.95580126192499</v>
      </c>
      <c r="Q92" s="296">
        <f>P92*$P$5</f>
        <v>0</v>
      </c>
      <c r="R92" s="297">
        <f>Q92/$E$90</f>
        <v>0</v>
      </c>
      <c r="S92" s="211">
        <f>AVERAGE(L92,O92,R92)</f>
        <v>0</v>
      </c>
      <c r="T92" s="393" t="s">
        <v>12</v>
      </c>
      <c r="U92" s="218" t="s">
        <v>12</v>
      </c>
    </row>
    <row r="93" spans="2:22" x14ac:dyDescent="0.25">
      <c r="B93" s="560" t="s">
        <v>66</v>
      </c>
      <c r="C93" s="42">
        <f t="shared" ref="C93:I94" si="25">C81+C83+C88+C85+C91</f>
        <v>0</v>
      </c>
      <c r="D93" s="42">
        <f t="shared" si="25"/>
        <v>1</v>
      </c>
      <c r="E93" s="42">
        <f t="shared" si="25"/>
        <v>14</v>
      </c>
      <c r="F93" s="42">
        <f t="shared" si="25"/>
        <v>36</v>
      </c>
      <c r="G93" s="42">
        <f t="shared" si="25"/>
        <v>5</v>
      </c>
      <c r="H93" s="42">
        <f t="shared" si="25"/>
        <v>0</v>
      </c>
      <c r="I93" s="42">
        <f t="shared" si="25"/>
        <v>56</v>
      </c>
      <c r="J93" s="293" t="s">
        <v>12</v>
      </c>
      <c r="K93" s="315" t="s">
        <v>12</v>
      </c>
      <c r="L93" s="315">
        <f>L81+L83+L88+L85+L91</f>
        <v>0</v>
      </c>
      <c r="M93" s="92" t="s">
        <v>12</v>
      </c>
      <c r="N93" s="42" t="s">
        <v>12</v>
      </c>
      <c r="O93" s="42">
        <f>O81+O83+O88+O85+O91</f>
        <v>0</v>
      </c>
      <c r="P93" s="758" t="s">
        <v>12</v>
      </c>
      <c r="Q93" s="315" t="s">
        <v>12</v>
      </c>
      <c r="R93" s="315">
        <f>R81+R83+R88+R85+R91</f>
        <v>0</v>
      </c>
      <c r="S93" s="150">
        <f>AVERAGE(L93,O93,R93)</f>
        <v>0</v>
      </c>
      <c r="T93" s="133"/>
      <c r="U93" s="37"/>
    </row>
    <row r="94" spans="2:22" ht="13.8" thickBot="1" x14ac:dyDescent="0.3">
      <c r="B94" s="561" t="s">
        <v>67</v>
      </c>
      <c r="C94" s="240">
        <f t="shared" si="25"/>
        <v>0</v>
      </c>
      <c r="D94" s="240">
        <f t="shared" si="25"/>
        <v>41</v>
      </c>
      <c r="E94" s="240">
        <f t="shared" si="25"/>
        <v>617</v>
      </c>
      <c r="F94" s="240">
        <f t="shared" si="25"/>
        <v>1773</v>
      </c>
      <c r="G94" s="240">
        <f t="shared" si="25"/>
        <v>277</v>
      </c>
      <c r="H94" s="240">
        <f t="shared" si="25"/>
        <v>0</v>
      </c>
      <c r="I94" s="240">
        <f t="shared" si="25"/>
        <v>2708</v>
      </c>
      <c r="J94" s="275">
        <f>J82+J84+J89+J86+J92</f>
        <v>3657.9714061169857</v>
      </c>
      <c r="K94" s="275">
        <f>K82+K84+K89+K86+K92</f>
        <v>0</v>
      </c>
      <c r="L94" s="275">
        <f>L82+L84+L89+L86+L92</f>
        <v>0</v>
      </c>
      <c r="M94" s="240">
        <f>M82+M84+M89+M86+M92</f>
        <v>3757.8802673266073</v>
      </c>
      <c r="N94" s="240">
        <f>N82+N84+N89+N86+N92</f>
        <v>0</v>
      </c>
      <c r="O94" s="240">
        <f>O82+O84+O89+O86+O92</f>
        <v>0</v>
      </c>
      <c r="P94" s="275">
        <f>P82+P84+P89+P86+P92</f>
        <v>3802.9108457145398</v>
      </c>
      <c r="Q94" s="275">
        <f>Q82+Q84+Q89+Q86+Q92</f>
        <v>0</v>
      </c>
      <c r="R94" s="275">
        <f>R82+R84+R89+R86+R92</f>
        <v>0</v>
      </c>
      <c r="S94" s="248">
        <f>AVERAGE(L94,O94,R94)</f>
        <v>0</v>
      </c>
      <c r="T94" s="763">
        <f>T79</f>
        <v>0</v>
      </c>
      <c r="U94" s="764" t="s">
        <v>12</v>
      </c>
    </row>
    <row r="95" spans="2:22" ht="14.4" thickTop="1" thickBot="1" x14ac:dyDescent="0.3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2" thickTop="1" x14ac:dyDescent="0.3">
      <c r="B96" s="562" t="s">
        <v>30</v>
      </c>
      <c r="C96" s="5"/>
      <c r="D96" s="5"/>
      <c r="E96" s="5"/>
      <c r="F96" s="112" t="s">
        <v>6</v>
      </c>
      <c r="G96" s="1415"/>
      <c r="H96" s="1416"/>
      <c r="I96" s="1417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 x14ac:dyDescent="0.25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22" t="s">
        <v>57</v>
      </c>
      <c r="L97" s="1423"/>
      <c r="M97" s="57" t="s">
        <v>61</v>
      </c>
      <c r="N97" s="1432" t="s">
        <v>57</v>
      </c>
      <c r="O97" s="1436"/>
      <c r="P97" s="318" t="s">
        <v>61</v>
      </c>
      <c r="Q97" s="1431" t="s">
        <v>57</v>
      </c>
      <c r="R97" s="1439"/>
      <c r="S97" s="131"/>
      <c r="T97" s="133"/>
      <c r="U97" s="37"/>
    </row>
    <row r="98" spans="1:22" x14ac:dyDescent="0.25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 x14ac:dyDescent="0.25">
      <c r="B99" s="566" t="s">
        <v>4</v>
      </c>
      <c r="C99" s="21">
        <v>0</v>
      </c>
      <c r="D99" s="21">
        <v>0</v>
      </c>
      <c r="E99" s="21">
        <v>0</v>
      </c>
      <c r="F99" s="21">
        <v>12</v>
      </c>
      <c r="G99" s="21">
        <v>6</v>
      </c>
      <c r="H99" s="21">
        <v>0</v>
      </c>
      <c r="I99" s="52">
        <f>SUM(C99:H99)</f>
        <v>18</v>
      </c>
      <c r="J99" s="263" t="s">
        <v>12</v>
      </c>
      <c r="K99" s="281">
        <f>I99*$L$4</f>
        <v>0</v>
      </c>
      <c r="L99" s="289">
        <f>K99</f>
        <v>0</v>
      </c>
      <c r="M99" s="58" t="s">
        <v>12</v>
      </c>
      <c r="N99" s="69">
        <f>$I99*O$4</f>
        <v>0</v>
      </c>
      <c r="O99" s="59">
        <f>N99</f>
        <v>0</v>
      </c>
      <c r="P99" s="263" t="s">
        <v>12</v>
      </c>
      <c r="Q99" s="281">
        <f>$I99*R$4</f>
        <v>0</v>
      </c>
      <c r="R99" s="289">
        <f>Q99</f>
        <v>0</v>
      </c>
      <c r="S99" s="173">
        <f t="shared" ref="S99:S104" si="26">AVERAGE(L99,O99,R99)</f>
        <v>0</v>
      </c>
      <c r="T99" s="135" t="s">
        <v>12</v>
      </c>
      <c r="U99" s="136" t="s">
        <v>12</v>
      </c>
    </row>
    <row r="100" spans="1:22" ht="13.8" thickBot="1" x14ac:dyDescent="0.3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591</v>
      </c>
      <c r="G100" s="35">
        <f>ROUND(G99*Labor!$D$7,0)</f>
        <v>333</v>
      </c>
      <c r="H100" s="35">
        <f>ROUND(H99*Labor!$D$8,0)</f>
        <v>0</v>
      </c>
      <c r="I100" s="39">
        <f>SUM(C100:H100)</f>
        <v>924</v>
      </c>
      <c r="J100" s="268">
        <f>HLOOKUP(Labor!$B$11,InflationTable,2)*I100</f>
        <v>1248.1409081433142</v>
      </c>
      <c r="K100" s="269">
        <f>J100*$L$4</f>
        <v>0</v>
      </c>
      <c r="L100" s="308">
        <f>K100</f>
        <v>0</v>
      </c>
      <c r="M100" s="84">
        <f>HLOOKUP(Labor!$B$11,InflationTable,3)*$I100</f>
        <v>1282.2309331646179</v>
      </c>
      <c r="N100" s="63">
        <f>M100*O$4</f>
        <v>0</v>
      </c>
      <c r="O100" s="64">
        <f>N100</f>
        <v>0</v>
      </c>
      <c r="P100" s="268">
        <f>HLOOKUP(Labor!$B$11,InflationTable,4)*$I100</f>
        <v>1297.5958720237204</v>
      </c>
      <c r="Q100" s="269">
        <f>P100*R$4</f>
        <v>0</v>
      </c>
      <c r="R100" s="308">
        <f>Q100</f>
        <v>0</v>
      </c>
      <c r="S100" s="171">
        <f t="shared" si="26"/>
        <v>0</v>
      </c>
      <c r="T100" s="137" t="s">
        <v>12</v>
      </c>
      <c r="U100" s="149" t="s">
        <v>12</v>
      </c>
    </row>
    <row r="101" spans="1:22" x14ac:dyDescent="0.25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12</v>
      </c>
      <c r="H101" s="346">
        <v>6</v>
      </c>
      <c r="I101" s="347">
        <f>SUM(C101:H101)</f>
        <v>18</v>
      </c>
      <c r="J101" s="293" t="s">
        <v>12</v>
      </c>
      <c r="K101" s="327">
        <f>I101*$L$4</f>
        <v>0</v>
      </c>
      <c r="L101" s="328">
        <f>K101</f>
        <v>0</v>
      </c>
      <c r="M101" s="61" t="s">
        <v>12</v>
      </c>
      <c r="N101" s="348">
        <f>$I101*O$4</f>
        <v>0</v>
      </c>
      <c r="O101" s="349">
        <f>N101</f>
        <v>0</v>
      </c>
      <c r="P101" s="293" t="s">
        <v>12</v>
      </c>
      <c r="Q101" s="327">
        <f>$I101*R$4</f>
        <v>0</v>
      </c>
      <c r="R101" s="328">
        <f>Q101</f>
        <v>0</v>
      </c>
      <c r="S101" s="173">
        <f t="shared" si="26"/>
        <v>0</v>
      </c>
      <c r="T101" s="135" t="s">
        <v>12</v>
      </c>
      <c r="U101" s="136" t="s">
        <v>12</v>
      </c>
    </row>
    <row r="102" spans="1:22" ht="13.8" thickBot="1" x14ac:dyDescent="0.3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666</v>
      </c>
      <c r="H102" s="35">
        <f>ROUND(H101*Labor!$D$8,0)</f>
        <v>352</v>
      </c>
      <c r="I102" s="39">
        <f>SUM(C102:H102)</f>
        <v>1018</v>
      </c>
      <c r="J102" s="268">
        <f>HLOOKUP(Labor!$B$11,InflationTable,2)*I102</f>
        <v>1375.1162819154695</v>
      </c>
      <c r="K102" s="269">
        <f>J102*$L$4</f>
        <v>0</v>
      </c>
      <c r="L102" s="300">
        <f>K102</f>
        <v>0</v>
      </c>
      <c r="M102" s="84">
        <f>HLOOKUP(Labor!$B$11,InflationTable,3)*$I102</f>
        <v>1412.6743397852608</v>
      </c>
      <c r="N102" s="63">
        <f>M102*O$4</f>
        <v>0</v>
      </c>
      <c r="O102" s="64">
        <f>N102</f>
        <v>0</v>
      </c>
      <c r="P102" s="292">
        <f>HLOOKUP(Labor!$B$11,InflationTable,4)*$I102</f>
        <v>1429.6023784850079</v>
      </c>
      <c r="Q102" s="269">
        <f>P102*R$4</f>
        <v>0</v>
      </c>
      <c r="R102" s="300">
        <f>Q102</f>
        <v>0</v>
      </c>
      <c r="S102" s="128">
        <f t="shared" si="26"/>
        <v>0</v>
      </c>
      <c r="T102" s="137" t="s">
        <v>12</v>
      </c>
      <c r="U102" s="149" t="s">
        <v>12</v>
      </c>
    </row>
    <row r="103" spans="1:22" x14ac:dyDescent="0.25">
      <c r="A103" t="s">
        <v>208</v>
      </c>
      <c r="B103" s="560" t="s">
        <v>66</v>
      </c>
      <c r="C103" s="36">
        <f t="shared" ref="C103:I104" si="27">C99+C101</f>
        <v>0</v>
      </c>
      <c r="D103" s="36">
        <f t="shared" si="27"/>
        <v>0</v>
      </c>
      <c r="E103" s="36">
        <f t="shared" si="27"/>
        <v>0</v>
      </c>
      <c r="F103" s="36">
        <f t="shared" si="27"/>
        <v>12</v>
      </c>
      <c r="G103" s="36">
        <f t="shared" si="27"/>
        <v>18</v>
      </c>
      <c r="H103" s="36">
        <f t="shared" si="27"/>
        <v>6</v>
      </c>
      <c r="I103" s="46">
        <f t="shared" si="27"/>
        <v>36</v>
      </c>
      <c r="J103" s="301" t="s">
        <v>12</v>
      </c>
      <c r="K103" s="320">
        <f>K99+K101</f>
        <v>0</v>
      </c>
      <c r="L103" s="321">
        <f>L99+L101</f>
        <v>0</v>
      </c>
      <c r="M103" s="85" t="s">
        <v>12</v>
      </c>
      <c r="N103" s="36">
        <f>N99+N101</f>
        <v>0</v>
      </c>
      <c r="O103" s="100">
        <f>O99+O101</f>
        <v>0</v>
      </c>
      <c r="P103" s="301" t="s">
        <v>12</v>
      </c>
      <c r="Q103" s="320">
        <f>Q99+Q101</f>
        <v>0</v>
      </c>
      <c r="R103" s="322">
        <f>R99+R101</f>
        <v>0</v>
      </c>
      <c r="S103" s="121">
        <f t="shared" si="26"/>
        <v>0</v>
      </c>
      <c r="T103" s="135" t="s">
        <v>12</v>
      </c>
      <c r="U103" s="136" t="s">
        <v>12</v>
      </c>
    </row>
    <row r="104" spans="1:22" ht="13.8" thickBot="1" x14ac:dyDescent="0.3">
      <c r="B104" s="561" t="s">
        <v>67</v>
      </c>
      <c r="C104" s="240">
        <f t="shared" si="27"/>
        <v>0</v>
      </c>
      <c r="D104" s="240">
        <f t="shared" si="27"/>
        <v>0</v>
      </c>
      <c r="E104" s="240">
        <f t="shared" si="27"/>
        <v>0</v>
      </c>
      <c r="F104" s="240">
        <f t="shared" si="27"/>
        <v>591</v>
      </c>
      <c r="G104" s="240">
        <f t="shared" si="27"/>
        <v>999</v>
      </c>
      <c r="H104" s="240">
        <f t="shared" si="27"/>
        <v>352</v>
      </c>
      <c r="I104" s="243">
        <f t="shared" si="27"/>
        <v>1942</v>
      </c>
      <c r="J104" s="274">
        <f>J100+J102</f>
        <v>2623.2571900587836</v>
      </c>
      <c r="K104" s="275">
        <f>K100+K102</f>
        <v>0</v>
      </c>
      <c r="L104" s="276">
        <f>L100+L102</f>
        <v>0</v>
      </c>
      <c r="M104" s="242">
        <f>M100+M102</f>
        <v>2694.905272949879</v>
      </c>
      <c r="N104" s="240">
        <f>N100+N102</f>
        <v>0</v>
      </c>
      <c r="O104" s="243">
        <f>O100+O102</f>
        <v>0</v>
      </c>
      <c r="P104" s="313">
        <f>P100+P102</f>
        <v>2727.1982505087281</v>
      </c>
      <c r="Q104" s="275">
        <f>Q100+Q102</f>
        <v>0</v>
      </c>
      <c r="R104" s="276">
        <f>R100+R102</f>
        <v>0</v>
      </c>
      <c r="S104" s="257">
        <f t="shared" si="26"/>
        <v>0</v>
      </c>
      <c r="T104" s="258" t="s">
        <v>12</v>
      </c>
      <c r="U104" s="249" t="s">
        <v>12</v>
      </c>
    </row>
    <row r="105" spans="1:22" ht="14.4" thickTop="1" thickBot="1" x14ac:dyDescent="0.3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8.600000000000001" thickTop="1" thickBot="1" x14ac:dyDescent="0.35">
      <c r="B106" s="556" t="s">
        <v>121</v>
      </c>
      <c r="C106" s="647" t="str">
        <f>C2</f>
        <v>PAMSCarbD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0</v>
      </c>
      <c r="L106" s="83"/>
      <c r="M106" s="79" t="str">
        <f>M2</f>
        <v>Year 2</v>
      </c>
      <c r="N106" s="79">
        <f>N2</f>
        <v>1</v>
      </c>
      <c r="O106" s="41"/>
      <c r="P106" s="233" t="str">
        <f>P2</f>
        <v>Year 3</v>
      </c>
      <c r="Q106" s="233">
        <f>Q2</f>
        <v>2</v>
      </c>
      <c r="R106" s="83"/>
      <c r="S106" s="152"/>
      <c r="T106" s="130"/>
      <c r="U106" s="570"/>
    </row>
    <row r="107" spans="1:22" ht="13.8" thickBot="1" x14ac:dyDescent="0.3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 x14ac:dyDescent="0.25">
      <c r="B108" s="572" t="s">
        <v>97</v>
      </c>
      <c r="C108" s="196">
        <f t="shared" ref="C108:S108" si="28">C15</f>
        <v>0</v>
      </c>
      <c r="D108" s="184">
        <f t="shared" si="28"/>
        <v>0</v>
      </c>
      <c r="E108" s="184">
        <f t="shared" si="28"/>
        <v>0</v>
      </c>
      <c r="F108" s="184">
        <f t="shared" si="28"/>
        <v>0</v>
      </c>
      <c r="G108" s="184">
        <f t="shared" si="28"/>
        <v>0</v>
      </c>
      <c r="H108" s="184">
        <f t="shared" si="28"/>
        <v>0</v>
      </c>
      <c r="I108" s="185">
        <f t="shared" si="28"/>
        <v>0</v>
      </c>
      <c r="J108" s="326" t="str">
        <f t="shared" si="28"/>
        <v>NA</v>
      </c>
      <c r="K108" s="327">
        <f t="shared" si="28"/>
        <v>0</v>
      </c>
      <c r="L108" s="328">
        <f t="shared" si="28"/>
        <v>0</v>
      </c>
      <c r="M108" s="186" t="str">
        <f t="shared" si="28"/>
        <v>NA</v>
      </c>
      <c r="N108" s="184">
        <f t="shared" si="28"/>
        <v>0</v>
      </c>
      <c r="O108" s="185">
        <f t="shared" si="28"/>
        <v>0</v>
      </c>
      <c r="P108" s="326" t="str">
        <f t="shared" si="28"/>
        <v>NA</v>
      </c>
      <c r="Q108" s="327">
        <f t="shared" si="28"/>
        <v>0</v>
      </c>
      <c r="R108" s="328">
        <f t="shared" si="28"/>
        <v>0</v>
      </c>
      <c r="S108" s="185">
        <f t="shared" si="28"/>
        <v>0</v>
      </c>
      <c r="T108" s="37"/>
      <c r="U108" s="138"/>
    </row>
    <row r="109" spans="1:22" ht="13.8" thickBot="1" x14ac:dyDescent="0.3">
      <c r="B109" s="573" t="s">
        <v>76</v>
      </c>
      <c r="C109" s="203">
        <f t="shared" ref="C109:S109" si="29">C16</f>
        <v>0</v>
      </c>
      <c r="D109" s="204">
        <f t="shared" si="29"/>
        <v>0</v>
      </c>
      <c r="E109" s="204">
        <f t="shared" si="29"/>
        <v>0</v>
      </c>
      <c r="F109" s="204">
        <f t="shared" si="29"/>
        <v>0</v>
      </c>
      <c r="G109" s="204">
        <f t="shared" si="29"/>
        <v>0</v>
      </c>
      <c r="H109" s="204">
        <f t="shared" si="29"/>
        <v>0</v>
      </c>
      <c r="I109" s="205">
        <f t="shared" si="29"/>
        <v>0</v>
      </c>
      <c r="J109" s="329">
        <f t="shared" si="29"/>
        <v>0</v>
      </c>
      <c r="K109" s="330">
        <f t="shared" si="29"/>
        <v>0</v>
      </c>
      <c r="L109" s="331">
        <f t="shared" si="29"/>
        <v>0</v>
      </c>
      <c r="M109" s="203">
        <f t="shared" si="29"/>
        <v>0</v>
      </c>
      <c r="N109" s="204">
        <f t="shared" si="29"/>
        <v>0</v>
      </c>
      <c r="O109" s="205">
        <f t="shared" si="29"/>
        <v>0</v>
      </c>
      <c r="P109" s="329">
        <f t="shared" si="29"/>
        <v>0</v>
      </c>
      <c r="Q109" s="330">
        <f t="shared" si="29"/>
        <v>0</v>
      </c>
      <c r="R109" s="331">
        <f t="shared" si="29"/>
        <v>0</v>
      </c>
      <c r="S109" s="205">
        <f t="shared" si="29"/>
        <v>0</v>
      </c>
      <c r="T109" s="206" t="str">
        <f>T16</f>
        <v>NA</v>
      </c>
      <c r="U109" s="392" t="s">
        <v>12</v>
      </c>
    </row>
    <row r="110" spans="1:22" x14ac:dyDescent="0.25">
      <c r="B110" s="574" t="s">
        <v>98</v>
      </c>
      <c r="C110" s="196">
        <f t="shared" ref="C110:S110" si="30">C28</f>
        <v>0</v>
      </c>
      <c r="D110" s="184">
        <f t="shared" si="30"/>
        <v>6</v>
      </c>
      <c r="E110" s="184">
        <f t="shared" si="30"/>
        <v>0</v>
      </c>
      <c r="F110" s="184">
        <f t="shared" si="30"/>
        <v>8</v>
      </c>
      <c r="G110" s="184">
        <f t="shared" si="30"/>
        <v>0</v>
      </c>
      <c r="H110" s="184">
        <f t="shared" si="30"/>
        <v>0</v>
      </c>
      <c r="I110" s="185">
        <f t="shared" si="30"/>
        <v>14</v>
      </c>
      <c r="J110" s="326" t="str">
        <f t="shared" si="30"/>
        <v>NA</v>
      </c>
      <c r="K110" s="327">
        <f t="shared" si="30"/>
        <v>0</v>
      </c>
      <c r="L110" s="328">
        <f t="shared" si="30"/>
        <v>0</v>
      </c>
      <c r="M110" s="186" t="str">
        <f t="shared" si="30"/>
        <v>NA</v>
      </c>
      <c r="N110" s="184">
        <f t="shared" si="30"/>
        <v>0</v>
      </c>
      <c r="O110" s="185">
        <f t="shared" si="30"/>
        <v>0</v>
      </c>
      <c r="P110" s="326" t="str">
        <f t="shared" si="30"/>
        <v>NA</v>
      </c>
      <c r="Q110" s="327">
        <f t="shared" si="30"/>
        <v>0</v>
      </c>
      <c r="R110" s="328">
        <f t="shared" si="30"/>
        <v>0</v>
      </c>
      <c r="S110" s="185">
        <f t="shared" si="30"/>
        <v>0</v>
      </c>
      <c r="T110" s="37"/>
      <c r="U110" s="138"/>
    </row>
    <row r="111" spans="1:22" ht="13.8" thickBot="1" x14ac:dyDescent="0.3">
      <c r="B111" s="573" t="s">
        <v>76</v>
      </c>
      <c r="C111" s="207">
        <f t="shared" ref="C111:S111" si="31">C29</f>
        <v>0</v>
      </c>
      <c r="D111" s="208">
        <f t="shared" si="31"/>
        <v>245</v>
      </c>
      <c r="E111" s="208">
        <f t="shared" si="31"/>
        <v>0</v>
      </c>
      <c r="F111" s="208">
        <f t="shared" si="31"/>
        <v>394</v>
      </c>
      <c r="G111" s="208">
        <f t="shared" si="31"/>
        <v>0</v>
      </c>
      <c r="H111" s="208">
        <f t="shared" si="31"/>
        <v>0</v>
      </c>
      <c r="I111" s="209">
        <f t="shared" si="31"/>
        <v>639</v>
      </c>
      <c r="J111" s="332">
        <f t="shared" si="31"/>
        <v>863.16238128092834</v>
      </c>
      <c r="K111" s="296">
        <f t="shared" si="31"/>
        <v>0</v>
      </c>
      <c r="L111" s="297">
        <f t="shared" si="31"/>
        <v>0</v>
      </c>
      <c r="M111" s="207">
        <f t="shared" si="31"/>
        <v>886.73762585734937</v>
      </c>
      <c r="N111" s="208">
        <f t="shared" si="31"/>
        <v>0</v>
      </c>
      <c r="O111" s="209">
        <f t="shared" si="31"/>
        <v>0</v>
      </c>
      <c r="P111" s="332">
        <f t="shared" si="31"/>
        <v>897.36337902939101</v>
      </c>
      <c r="Q111" s="296">
        <f t="shared" si="31"/>
        <v>0</v>
      </c>
      <c r="R111" s="297">
        <f t="shared" si="31"/>
        <v>0</v>
      </c>
      <c r="S111" s="209">
        <f t="shared" si="31"/>
        <v>0</v>
      </c>
      <c r="T111" s="210" t="str">
        <f>T29</f>
        <v>NA</v>
      </c>
      <c r="U111" s="765">
        <f>U29</f>
        <v>0</v>
      </c>
    </row>
    <row r="112" spans="1:22" x14ac:dyDescent="0.25">
      <c r="B112" s="574" t="s">
        <v>96</v>
      </c>
      <c r="C112" s="197">
        <f t="shared" ref="C112:S112" si="32">C44</f>
        <v>0</v>
      </c>
      <c r="D112" s="25">
        <f t="shared" si="32"/>
        <v>16</v>
      </c>
      <c r="E112" s="25">
        <f t="shared" si="32"/>
        <v>16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198">
        <f t="shared" si="32"/>
        <v>32</v>
      </c>
      <c r="J112" s="333" t="str">
        <f t="shared" si="32"/>
        <v>NA</v>
      </c>
      <c r="K112" s="334">
        <f t="shared" si="32"/>
        <v>0</v>
      </c>
      <c r="L112" s="335">
        <f t="shared" si="32"/>
        <v>0</v>
      </c>
      <c r="M112" s="199" t="str">
        <f t="shared" si="32"/>
        <v>NA</v>
      </c>
      <c r="N112" s="25">
        <f t="shared" si="32"/>
        <v>0</v>
      </c>
      <c r="O112" s="198">
        <f t="shared" si="32"/>
        <v>0</v>
      </c>
      <c r="P112" s="333" t="str">
        <f t="shared" si="32"/>
        <v>NA</v>
      </c>
      <c r="Q112" s="334">
        <f t="shared" si="32"/>
        <v>0</v>
      </c>
      <c r="R112" s="335">
        <f t="shared" si="32"/>
        <v>0</v>
      </c>
      <c r="S112" s="198">
        <f t="shared" si="32"/>
        <v>0</v>
      </c>
      <c r="T112" s="200" t="str">
        <f>T21</f>
        <v>NA</v>
      </c>
      <c r="U112" s="147" t="s">
        <v>12</v>
      </c>
    </row>
    <row r="113" spans="2:21" ht="13.8" thickBot="1" x14ac:dyDescent="0.3">
      <c r="B113" s="573" t="s">
        <v>76</v>
      </c>
      <c r="C113" s="211">
        <f t="shared" ref="C113:S113" si="33">C45</f>
        <v>0</v>
      </c>
      <c r="D113" s="208">
        <f t="shared" si="33"/>
        <v>16</v>
      </c>
      <c r="E113" s="208">
        <f t="shared" si="33"/>
        <v>16</v>
      </c>
      <c r="F113" s="208">
        <f t="shared" si="33"/>
        <v>0</v>
      </c>
      <c r="G113" s="208">
        <f t="shared" si="33"/>
        <v>0</v>
      </c>
      <c r="H113" s="208">
        <f t="shared" si="33"/>
        <v>0</v>
      </c>
      <c r="I113" s="209">
        <f t="shared" si="33"/>
        <v>1610</v>
      </c>
      <c r="J113" s="332">
        <f t="shared" si="33"/>
        <v>2174.7909763103203</v>
      </c>
      <c r="K113" s="296">
        <f t="shared" si="33"/>
        <v>0</v>
      </c>
      <c r="L113" s="297">
        <f t="shared" si="33"/>
        <v>0</v>
      </c>
      <c r="M113" s="207">
        <f t="shared" si="33"/>
        <v>2234.1902623322885</v>
      </c>
      <c r="N113" s="208">
        <f t="shared" si="33"/>
        <v>0</v>
      </c>
      <c r="O113" s="209">
        <f t="shared" si="33"/>
        <v>0</v>
      </c>
      <c r="P113" s="332">
        <f t="shared" si="33"/>
        <v>2260.9625042837552</v>
      </c>
      <c r="Q113" s="296">
        <f t="shared" si="33"/>
        <v>0</v>
      </c>
      <c r="R113" s="297">
        <f t="shared" si="33"/>
        <v>0</v>
      </c>
      <c r="S113" s="209">
        <f t="shared" si="33"/>
        <v>0</v>
      </c>
      <c r="T113" s="209">
        <f>T45</f>
        <v>0</v>
      </c>
      <c r="U113" s="765">
        <f>U45</f>
        <v>0</v>
      </c>
    </row>
    <row r="114" spans="2:21" x14ac:dyDescent="0.25">
      <c r="B114" s="574" t="s">
        <v>99</v>
      </c>
      <c r="C114" s="197">
        <f t="shared" ref="C114:S114" si="34">C58</f>
        <v>0</v>
      </c>
      <c r="D114" s="25">
        <f t="shared" si="34"/>
        <v>0</v>
      </c>
      <c r="E114" s="25">
        <f t="shared" si="34"/>
        <v>44</v>
      </c>
      <c r="F114" s="25">
        <f t="shared" si="34"/>
        <v>84</v>
      </c>
      <c r="G114" s="25">
        <f t="shared" si="34"/>
        <v>0</v>
      </c>
      <c r="H114" s="25">
        <f t="shared" si="34"/>
        <v>0</v>
      </c>
      <c r="I114" s="198">
        <f t="shared" si="34"/>
        <v>128</v>
      </c>
      <c r="J114" s="333" t="str">
        <f t="shared" si="34"/>
        <v>NA</v>
      </c>
      <c r="K114" s="334">
        <f t="shared" si="34"/>
        <v>0</v>
      </c>
      <c r="L114" s="335">
        <f t="shared" si="34"/>
        <v>0</v>
      </c>
      <c r="M114" s="199" t="str">
        <f t="shared" si="34"/>
        <v>NA</v>
      </c>
      <c r="N114" s="25">
        <f t="shared" si="34"/>
        <v>0</v>
      </c>
      <c r="O114" s="198">
        <f t="shared" si="34"/>
        <v>0</v>
      </c>
      <c r="P114" s="333" t="str">
        <f t="shared" si="34"/>
        <v>NA</v>
      </c>
      <c r="Q114" s="334">
        <f t="shared" si="34"/>
        <v>0</v>
      </c>
      <c r="R114" s="335">
        <f t="shared" si="34"/>
        <v>0</v>
      </c>
      <c r="S114" s="198">
        <f t="shared" si="34"/>
        <v>0</v>
      </c>
      <c r="T114" s="37"/>
      <c r="U114" s="138"/>
    </row>
    <row r="115" spans="2:21" ht="13.8" thickBot="1" x14ac:dyDescent="0.3">
      <c r="B115" s="573" t="s">
        <v>76</v>
      </c>
      <c r="C115" s="207">
        <f t="shared" ref="C115:S115" si="35">C59</f>
        <v>0</v>
      </c>
      <c r="D115" s="208">
        <f t="shared" si="35"/>
        <v>0</v>
      </c>
      <c r="E115" s="208">
        <f t="shared" si="35"/>
        <v>1941</v>
      </c>
      <c r="F115" s="208">
        <f t="shared" si="35"/>
        <v>4138</v>
      </c>
      <c r="G115" s="208">
        <f t="shared" si="35"/>
        <v>0</v>
      </c>
      <c r="H115" s="208">
        <f t="shared" si="35"/>
        <v>0</v>
      </c>
      <c r="I115" s="209">
        <f t="shared" si="35"/>
        <v>14165</v>
      </c>
      <c r="J115" s="332">
        <f t="shared" si="35"/>
        <v>19134.1081859849</v>
      </c>
      <c r="K115" s="296">
        <f t="shared" si="35"/>
        <v>0</v>
      </c>
      <c r="L115" s="297">
        <f t="shared" si="35"/>
        <v>0</v>
      </c>
      <c r="M115" s="211">
        <f t="shared" si="35"/>
        <v>19483.826094185046</v>
      </c>
      <c r="N115" s="208">
        <f t="shared" si="35"/>
        <v>0</v>
      </c>
      <c r="O115" s="209">
        <f t="shared" si="35"/>
        <v>0</v>
      </c>
      <c r="P115" s="332">
        <f t="shared" si="35"/>
        <v>19641.449747264516</v>
      </c>
      <c r="Q115" s="296">
        <f t="shared" si="35"/>
        <v>0</v>
      </c>
      <c r="R115" s="297">
        <f t="shared" si="35"/>
        <v>0</v>
      </c>
      <c r="S115" s="209">
        <f t="shared" si="35"/>
        <v>0</v>
      </c>
      <c r="T115" s="209">
        <f>T59</f>
        <v>0</v>
      </c>
      <c r="U115" s="576" t="s">
        <v>12</v>
      </c>
    </row>
    <row r="116" spans="2:21" x14ac:dyDescent="0.25">
      <c r="B116" s="574" t="s">
        <v>100</v>
      </c>
      <c r="C116" s="197">
        <f t="shared" ref="C116:U116" si="36">C72</f>
        <v>0</v>
      </c>
      <c r="D116" s="25">
        <f t="shared" si="36"/>
        <v>0</v>
      </c>
      <c r="E116" s="25">
        <f t="shared" si="36"/>
        <v>12</v>
      </c>
      <c r="F116" s="25">
        <f t="shared" si="36"/>
        <v>44</v>
      </c>
      <c r="G116" s="25">
        <f t="shared" si="36"/>
        <v>7</v>
      </c>
      <c r="H116" s="25">
        <f t="shared" si="36"/>
        <v>1</v>
      </c>
      <c r="I116" s="198">
        <f t="shared" si="36"/>
        <v>64</v>
      </c>
      <c r="J116" s="333" t="str">
        <f t="shared" si="36"/>
        <v>NA</v>
      </c>
      <c r="K116" s="334">
        <f t="shared" si="36"/>
        <v>0</v>
      </c>
      <c r="L116" s="335">
        <f t="shared" si="36"/>
        <v>0</v>
      </c>
      <c r="M116" s="199" t="str">
        <f t="shared" si="36"/>
        <v>NA</v>
      </c>
      <c r="N116" s="25">
        <f t="shared" si="36"/>
        <v>0</v>
      </c>
      <c r="O116" s="198">
        <f t="shared" si="36"/>
        <v>0</v>
      </c>
      <c r="P116" s="333" t="str">
        <f t="shared" si="36"/>
        <v>NA</v>
      </c>
      <c r="Q116" s="334">
        <f t="shared" si="36"/>
        <v>0</v>
      </c>
      <c r="R116" s="335">
        <f t="shared" si="36"/>
        <v>0</v>
      </c>
      <c r="S116" s="198">
        <f t="shared" si="36"/>
        <v>0</v>
      </c>
      <c r="T116" s="212" t="str">
        <f t="shared" si="36"/>
        <v>NA</v>
      </c>
      <c r="U116" s="577" t="str">
        <f t="shared" si="36"/>
        <v>NA</v>
      </c>
    </row>
    <row r="117" spans="2:21" ht="13.8" thickBot="1" x14ac:dyDescent="0.3">
      <c r="B117" s="573" t="s">
        <v>76</v>
      </c>
      <c r="C117" s="207">
        <f t="shared" ref="C117:T117" si="37">C73</f>
        <v>0</v>
      </c>
      <c r="D117" s="208">
        <f t="shared" si="37"/>
        <v>0</v>
      </c>
      <c r="E117" s="208">
        <f t="shared" si="37"/>
        <v>529</v>
      </c>
      <c r="F117" s="208">
        <f t="shared" si="37"/>
        <v>2167</v>
      </c>
      <c r="G117" s="208">
        <f t="shared" si="37"/>
        <v>388</v>
      </c>
      <c r="H117" s="208">
        <f t="shared" si="37"/>
        <v>59</v>
      </c>
      <c r="I117" s="209">
        <f t="shared" si="37"/>
        <v>3143</v>
      </c>
      <c r="J117" s="332">
        <f t="shared" si="37"/>
        <v>4245.5702102753639</v>
      </c>
      <c r="K117" s="296">
        <f t="shared" si="37"/>
        <v>0</v>
      </c>
      <c r="L117" s="297">
        <f t="shared" si="37"/>
        <v>0</v>
      </c>
      <c r="M117" s="207">
        <f t="shared" si="37"/>
        <v>4361.5279469008601</v>
      </c>
      <c r="N117" s="208">
        <f t="shared" si="37"/>
        <v>0</v>
      </c>
      <c r="O117" s="209">
        <f t="shared" si="37"/>
        <v>0</v>
      </c>
      <c r="P117" s="339">
        <f t="shared" si="37"/>
        <v>4413.7920192321999</v>
      </c>
      <c r="Q117" s="296">
        <f t="shared" si="37"/>
        <v>0</v>
      </c>
      <c r="R117" s="297">
        <f t="shared" si="37"/>
        <v>0</v>
      </c>
      <c r="S117" s="209">
        <f t="shared" si="37"/>
        <v>0</v>
      </c>
      <c r="T117" s="210" t="str">
        <f t="shared" si="37"/>
        <v>NA</v>
      </c>
      <c r="U117" s="392" t="s">
        <v>12</v>
      </c>
    </row>
    <row r="118" spans="2:21" x14ac:dyDescent="0.25">
      <c r="B118" s="574" t="s">
        <v>101</v>
      </c>
      <c r="C118" s="213">
        <f t="shared" ref="C118:S118" si="38">C93</f>
        <v>0</v>
      </c>
      <c r="D118" s="214">
        <f t="shared" si="38"/>
        <v>1</v>
      </c>
      <c r="E118" s="214">
        <f t="shared" si="38"/>
        <v>14</v>
      </c>
      <c r="F118" s="214">
        <f t="shared" si="38"/>
        <v>36</v>
      </c>
      <c r="G118" s="214">
        <f t="shared" si="38"/>
        <v>5</v>
      </c>
      <c r="H118" s="214">
        <f t="shared" si="38"/>
        <v>0</v>
      </c>
      <c r="I118" s="215">
        <f t="shared" si="38"/>
        <v>56</v>
      </c>
      <c r="J118" s="336" t="str">
        <f t="shared" si="38"/>
        <v>NA</v>
      </c>
      <c r="K118" s="337" t="str">
        <f t="shared" si="38"/>
        <v>NA</v>
      </c>
      <c r="L118" s="294">
        <f t="shared" si="38"/>
        <v>0</v>
      </c>
      <c r="M118" s="216" t="str">
        <f t="shared" si="38"/>
        <v>NA</v>
      </c>
      <c r="N118" s="217" t="str">
        <f t="shared" si="38"/>
        <v>NA</v>
      </c>
      <c r="O118" s="215">
        <f t="shared" si="38"/>
        <v>0</v>
      </c>
      <c r="P118" s="336" t="str">
        <f t="shared" si="38"/>
        <v>NA</v>
      </c>
      <c r="Q118" s="337" t="str">
        <f t="shared" si="38"/>
        <v>NA</v>
      </c>
      <c r="R118" s="294">
        <f t="shared" si="38"/>
        <v>0</v>
      </c>
      <c r="S118" s="215">
        <f t="shared" si="38"/>
        <v>0</v>
      </c>
      <c r="T118" s="136" t="s">
        <v>12</v>
      </c>
      <c r="U118" s="147" t="s">
        <v>12</v>
      </c>
    </row>
    <row r="119" spans="2:21" ht="13.8" thickBot="1" x14ac:dyDescent="0.3">
      <c r="B119" s="573" t="s">
        <v>76</v>
      </c>
      <c r="C119" s="207">
        <f t="shared" ref="C119:S119" si="39">C94</f>
        <v>0</v>
      </c>
      <c r="D119" s="208">
        <f t="shared" si="39"/>
        <v>41</v>
      </c>
      <c r="E119" s="208">
        <f t="shared" si="39"/>
        <v>617</v>
      </c>
      <c r="F119" s="208">
        <f t="shared" si="39"/>
        <v>1773</v>
      </c>
      <c r="G119" s="208">
        <f t="shared" si="39"/>
        <v>277</v>
      </c>
      <c r="H119" s="208">
        <f t="shared" si="39"/>
        <v>0</v>
      </c>
      <c r="I119" s="209">
        <f t="shared" si="39"/>
        <v>2708</v>
      </c>
      <c r="J119" s="332">
        <f t="shared" si="39"/>
        <v>3657.9714061169857</v>
      </c>
      <c r="K119" s="338">
        <f t="shared" si="39"/>
        <v>0</v>
      </c>
      <c r="L119" s="297">
        <f t="shared" si="39"/>
        <v>0</v>
      </c>
      <c r="M119" s="211">
        <f t="shared" si="39"/>
        <v>3757.8802673266073</v>
      </c>
      <c r="N119" s="219">
        <f t="shared" si="39"/>
        <v>0</v>
      </c>
      <c r="O119" s="209">
        <f t="shared" si="39"/>
        <v>0</v>
      </c>
      <c r="P119" s="332">
        <f t="shared" si="39"/>
        <v>3802.9108457145398</v>
      </c>
      <c r="Q119" s="338">
        <f t="shared" si="39"/>
        <v>0</v>
      </c>
      <c r="R119" s="297">
        <f t="shared" si="39"/>
        <v>0</v>
      </c>
      <c r="S119" s="209">
        <f t="shared" si="39"/>
        <v>0</v>
      </c>
      <c r="T119" s="209">
        <f>T94</f>
        <v>0</v>
      </c>
      <c r="U119" s="392" t="s">
        <v>12</v>
      </c>
    </row>
    <row r="120" spans="2:21" x14ac:dyDescent="0.25">
      <c r="B120" s="574" t="s">
        <v>102</v>
      </c>
      <c r="C120" s="197">
        <f t="shared" ref="C120:S120" si="40">C103</f>
        <v>0</v>
      </c>
      <c r="D120" s="25">
        <f t="shared" si="40"/>
        <v>0</v>
      </c>
      <c r="E120" s="25">
        <f t="shared" si="40"/>
        <v>0</v>
      </c>
      <c r="F120" s="25">
        <f t="shared" si="40"/>
        <v>12</v>
      </c>
      <c r="G120" s="25">
        <f t="shared" si="40"/>
        <v>18</v>
      </c>
      <c r="H120" s="25">
        <f t="shared" si="40"/>
        <v>6</v>
      </c>
      <c r="I120" s="198">
        <f t="shared" si="40"/>
        <v>36</v>
      </c>
      <c r="J120" s="333" t="str">
        <f t="shared" si="40"/>
        <v>NA</v>
      </c>
      <c r="K120" s="334">
        <f t="shared" si="40"/>
        <v>0</v>
      </c>
      <c r="L120" s="335">
        <f t="shared" si="40"/>
        <v>0</v>
      </c>
      <c r="M120" s="199" t="str">
        <f t="shared" si="40"/>
        <v>NA</v>
      </c>
      <c r="N120" s="25">
        <f t="shared" si="40"/>
        <v>0</v>
      </c>
      <c r="O120" s="198">
        <f t="shared" si="40"/>
        <v>0</v>
      </c>
      <c r="P120" s="333" t="str">
        <f t="shared" si="40"/>
        <v>NA</v>
      </c>
      <c r="Q120" s="334">
        <f t="shared" si="40"/>
        <v>0</v>
      </c>
      <c r="R120" s="335">
        <f t="shared" si="40"/>
        <v>0</v>
      </c>
      <c r="S120" s="198">
        <f t="shared" si="40"/>
        <v>0</v>
      </c>
      <c r="T120" s="136" t="s">
        <v>12</v>
      </c>
      <c r="U120" s="147" t="s">
        <v>12</v>
      </c>
    </row>
    <row r="121" spans="2:21" ht="13.8" thickBot="1" x14ac:dyDescent="0.3">
      <c r="B121" s="578" t="s">
        <v>76</v>
      </c>
      <c r="C121" s="220">
        <f t="shared" ref="C121:S121" si="41">C104</f>
        <v>0</v>
      </c>
      <c r="D121" s="221">
        <f t="shared" si="41"/>
        <v>0</v>
      </c>
      <c r="E121" s="221">
        <f t="shared" si="41"/>
        <v>0</v>
      </c>
      <c r="F121" s="221">
        <f t="shared" si="41"/>
        <v>591</v>
      </c>
      <c r="G121" s="221">
        <f t="shared" si="41"/>
        <v>999</v>
      </c>
      <c r="H121" s="221">
        <f t="shared" si="41"/>
        <v>352</v>
      </c>
      <c r="I121" s="222">
        <f t="shared" si="41"/>
        <v>1942</v>
      </c>
      <c r="J121" s="304">
        <f t="shared" si="41"/>
        <v>2623.2571900587836</v>
      </c>
      <c r="K121" s="305">
        <f t="shared" si="41"/>
        <v>0</v>
      </c>
      <c r="L121" s="306">
        <f t="shared" si="41"/>
        <v>0</v>
      </c>
      <c r="M121" s="220">
        <f t="shared" si="41"/>
        <v>2694.905272949879</v>
      </c>
      <c r="N121" s="221">
        <f t="shared" si="41"/>
        <v>0</v>
      </c>
      <c r="O121" s="222">
        <f t="shared" si="41"/>
        <v>0</v>
      </c>
      <c r="P121" s="311">
        <f t="shared" si="41"/>
        <v>2727.1982505087281</v>
      </c>
      <c r="Q121" s="305">
        <f t="shared" si="41"/>
        <v>0</v>
      </c>
      <c r="R121" s="306">
        <f t="shared" si="41"/>
        <v>0</v>
      </c>
      <c r="S121" s="222">
        <f t="shared" si="41"/>
        <v>0</v>
      </c>
      <c r="T121" s="223" t="str">
        <f>T104</f>
        <v>NA</v>
      </c>
      <c r="U121" s="224" t="s">
        <v>12</v>
      </c>
    </row>
    <row r="122" spans="2:21" ht="18" thickTop="1" x14ac:dyDescent="0.3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 x14ac:dyDescent="0.25">
      <c r="B123" s="580" t="s">
        <v>75</v>
      </c>
      <c r="C123" s="195">
        <f t="shared" ref="C123:I124" si="42">C108+C110+C112+C114+C116+C118+C120</f>
        <v>0</v>
      </c>
      <c r="D123" s="101">
        <f t="shared" si="42"/>
        <v>23</v>
      </c>
      <c r="E123" s="101">
        <f t="shared" si="42"/>
        <v>86</v>
      </c>
      <c r="F123" s="101">
        <f t="shared" si="42"/>
        <v>184</v>
      </c>
      <c r="G123" s="101">
        <f t="shared" si="42"/>
        <v>30</v>
      </c>
      <c r="H123" s="101">
        <f t="shared" si="42"/>
        <v>7</v>
      </c>
      <c r="I123" s="102">
        <f t="shared" si="42"/>
        <v>330</v>
      </c>
      <c r="J123" s="340" t="s">
        <v>12</v>
      </c>
      <c r="K123" s="281">
        <f>K108+K110+K112+K114+K116+K120</f>
        <v>0</v>
      </c>
      <c r="L123" s="289">
        <f>L108+L110+L112+L114+L116+L118+L120</f>
        <v>0</v>
      </c>
      <c r="M123" s="103" t="s">
        <v>12</v>
      </c>
      <c r="N123" s="101">
        <f>N108+N110+N112+N114+N116+N120</f>
        <v>0</v>
      </c>
      <c r="O123" s="102">
        <f>O108+O110+O112+O114+O116+O118+O120</f>
        <v>0</v>
      </c>
      <c r="P123" s="340" t="s">
        <v>12</v>
      </c>
      <c r="Q123" s="281">
        <f>Q108+Q110+Q112+Q114+Q116+Q120</f>
        <v>0</v>
      </c>
      <c r="R123" s="289">
        <f>R108+R110+R112+R114+R116+R118+R120</f>
        <v>0</v>
      </c>
      <c r="S123" s="174">
        <f>S108+S110+S112+S114+S116+S118+S120</f>
        <v>0</v>
      </c>
      <c r="T123" s="102"/>
      <c r="U123" s="140" t="s">
        <v>12</v>
      </c>
    </row>
    <row r="124" spans="2:21" s="235" customFormat="1" ht="16.2" thickBot="1" x14ac:dyDescent="0.35">
      <c r="B124" s="581" t="s">
        <v>76</v>
      </c>
      <c r="C124" s="582">
        <f t="shared" si="42"/>
        <v>0</v>
      </c>
      <c r="D124" s="583">
        <f t="shared" si="42"/>
        <v>302</v>
      </c>
      <c r="E124" s="583">
        <f t="shared" si="42"/>
        <v>3103</v>
      </c>
      <c r="F124" s="583">
        <f t="shared" si="42"/>
        <v>9063</v>
      </c>
      <c r="G124" s="583">
        <f t="shared" si="42"/>
        <v>1664</v>
      </c>
      <c r="H124" s="583">
        <f t="shared" si="42"/>
        <v>411</v>
      </c>
      <c r="I124" s="584">
        <f t="shared" si="42"/>
        <v>24207</v>
      </c>
      <c r="J124" s="585">
        <f>J109+J111+J113+J115+J117+J119+J121</f>
        <v>32698.860350027284</v>
      </c>
      <c r="K124" s="586">
        <f>K109+K111+K113+K115+K117+K121</f>
        <v>0</v>
      </c>
      <c r="L124" s="587">
        <f>L109+L111+L113+L115+L117+L119+L121</f>
        <v>0</v>
      </c>
      <c r="M124" s="582">
        <f>M109+M111+M113+M115+M117+M119+M121</f>
        <v>33419.067469552028</v>
      </c>
      <c r="N124" s="588">
        <f>N109+N111+N113+N115+N117+N121</f>
        <v>0</v>
      </c>
      <c r="O124" s="584">
        <f>O109+O111+O113+O115+O117+O119+O121</f>
        <v>0</v>
      </c>
      <c r="P124" s="589">
        <f>P109+P111+P113+P115+P117+P119+P121</f>
        <v>33743.676746033132</v>
      </c>
      <c r="Q124" s="586">
        <f>Q109+Q111+Q113+Q115+Q117+Q121</f>
        <v>0</v>
      </c>
      <c r="R124" s="587">
        <f>R109+R111+R113+R115+R117+R119+R121</f>
        <v>0</v>
      </c>
      <c r="S124" s="590">
        <f>S109+S111+S113+S115+S117+S119+S121</f>
        <v>0</v>
      </c>
      <c r="T124" s="584">
        <f>SUM(T109,T111,T113,T115,T117,T119,T121)</f>
        <v>0</v>
      </c>
      <c r="U124" s="591">
        <f>SUM(U109,U111,U113,U115,U117,U119,U121)</f>
        <v>0</v>
      </c>
    </row>
  </sheetData>
  <mergeCells count="35">
    <mergeCell ref="G96:I96"/>
    <mergeCell ref="Q8:R8"/>
    <mergeCell ref="K8:L8"/>
    <mergeCell ref="N8:O8"/>
    <mergeCell ref="G61:I61"/>
    <mergeCell ref="G76:I76"/>
    <mergeCell ref="N19:O19"/>
    <mergeCell ref="G48:I48"/>
    <mergeCell ref="G47:I47"/>
    <mergeCell ref="K62:L62"/>
    <mergeCell ref="C5:I5"/>
    <mergeCell ref="G18:I18"/>
    <mergeCell ref="G31:I31"/>
    <mergeCell ref="N90:O90"/>
    <mergeCell ref="S2:T2"/>
    <mergeCell ref="Q19:R19"/>
    <mergeCell ref="G7:I7"/>
    <mergeCell ref="K19:L19"/>
    <mergeCell ref="F2:G2"/>
    <mergeCell ref="G32:I32"/>
    <mergeCell ref="K97:L97"/>
    <mergeCell ref="N32:O32"/>
    <mergeCell ref="N48:O48"/>
    <mergeCell ref="N77:O77"/>
    <mergeCell ref="N97:O97"/>
    <mergeCell ref="N62:O62"/>
    <mergeCell ref="K32:L32"/>
    <mergeCell ref="K77:L77"/>
    <mergeCell ref="K48:L48"/>
    <mergeCell ref="Q97:R97"/>
    <mergeCell ref="Q32:R32"/>
    <mergeCell ref="Q48:R48"/>
    <mergeCell ref="Q62:R62"/>
    <mergeCell ref="Q90:R90"/>
    <mergeCell ref="Q77:R77"/>
  </mergeCells>
  <phoneticPr fontId="2" type="noConversion"/>
  <dataValidations disablePrompts="1" count="1">
    <dataValidation allowBlank="1" showInputMessage="1" showErrorMessage="1" sqref="D79 D39:D40 D21 D34:D37" xr:uid="{00000000-0002-0000-10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24"/>
  <sheetViews>
    <sheetView zoomScaleNormal="100" workbookViewId="0">
      <selection activeCell="F3" sqref="F3"/>
    </sheetView>
  </sheetViews>
  <sheetFormatPr defaultRowHeight="13.2" x14ac:dyDescent="0.25"/>
  <cols>
    <col min="1" max="1" width="1.109375" customWidth="1"/>
    <col min="2" max="2" width="31.44140625" customWidth="1"/>
    <col min="3" max="3" width="15.5546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644" t="s">
        <v>210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/>
      <c r="L2" s="426"/>
      <c r="M2" s="592" t="s">
        <v>10</v>
      </c>
      <c r="N2" s="550">
        <f>K2+1</f>
        <v>1</v>
      </c>
      <c r="O2" s="549"/>
      <c r="P2" s="551" t="s">
        <v>11</v>
      </c>
      <c r="Q2" s="552">
        <f>N2+1</f>
        <v>2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 t="e">
        <f>AVERAGE(J5,M5,P5)</f>
        <v>#DIV/0!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0</v>
      </c>
      <c r="M4" s="396" t="s">
        <v>71</v>
      </c>
      <c r="N4" s="431" t="s">
        <v>69</v>
      </c>
      <c r="O4" s="20">
        <v>0</v>
      </c>
      <c r="P4" s="425" t="s">
        <v>71</v>
      </c>
      <c r="Q4" s="429" t="s">
        <v>69</v>
      </c>
      <c r="R4" s="20">
        <v>0</v>
      </c>
      <c r="S4" s="115" t="s">
        <v>69</v>
      </c>
      <c r="T4" s="106">
        <f>AVERAGE(L4,O4,R4)</f>
        <v>0</v>
      </c>
      <c r="U4" s="37"/>
    </row>
    <row r="5" spans="1:21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341"/>
      <c r="K5" s="342" t="s">
        <v>70</v>
      </c>
      <c r="L5" s="343">
        <f>L4*$I$4</f>
        <v>0</v>
      </c>
      <c r="M5" s="631"/>
      <c r="N5" s="344" t="s">
        <v>70</v>
      </c>
      <c r="O5" s="345">
        <f>O4*$I$4</f>
        <v>0</v>
      </c>
      <c r="P5" s="630"/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195</v>
      </c>
      <c r="C7" s="239"/>
      <c r="D7" s="431" t="s">
        <v>54</v>
      </c>
      <c r="E7" s="28">
        <v>5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57" t="s">
        <v>55</v>
      </c>
      <c r="N8" s="1432" t="s">
        <v>57</v>
      </c>
      <c r="O8" s="1433"/>
      <c r="P8" s="277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 x14ac:dyDescent="0.25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 x14ac:dyDescent="0.25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8" thickBot="1" x14ac:dyDescent="0.3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 x14ac:dyDescent="0.25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8" thickBot="1" x14ac:dyDescent="0.3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4" thickTop="1" thickBot="1" x14ac:dyDescent="0.3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2" thickTop="1" x14ac:dyDescent="0.3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5"/>
      <c r="H18" s="1416"/>
      <c r="I18" s="1417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 x14ac:dyDescent="0.25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22" t="s">
        <v>57</v>
      </c>
      <c r="L19" s="1423"/>
      <c r="M19" s="93" t="s">
        <v>61</v>
      </c>
      <c r="N19" s="1432" t="s">
        <v>57</v>
      </c>
      <c r="O19" s="1433"/>
      <c r="P19" s="262" t="s">
        <v>61</v>
      </c>
      <c r="Q19" s="1422" t="s">
        <v>57</v>
      </c>
      <c r="R19" s="1423"/>
      <c r="S19" s="131"/>
      <c r="T19" s="37"/>
      <c r="U19" s="138"/>
    </row>
    <row r="20" spans="1:22" x14ac:dyDescent="0.25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 x14ac:dyDescent="0.25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2019</v>
      </c>
      <c r="E21" s="74"/>
      <c r="F21" s="75"/>
      <c r="G21" s="76"/>
      <c r="H21" s="76"/>
      <c r="I21" s="37"/>
      <c r="J21" s="279">
        <f>HLOOKUP(D21,InflationTable,2)*$C$21</f>
        <v>21612.829578239209</v>
      </c>
      <c r="K21" s="279">
        <f>J21*$L$4</f>
        <v>0</v>
      </c>
      <c r="L21" s="280">
        <f>K21/$E$18</f>
        <v>0</v>
      </c>
      <c r="M21" s="78">
        <f>HLOOKUP($D$21,InflationTable,3)*$C$21</f>
        <v>22203.133041811565</v>
      </c>
      <c r="N21" s="27">
        <f>M21*$L$4</f>
        <v>0</v>
      </c>
      <c r="O21" s="182">
        <f>N21/$E$18</f>
        <v>0</v>
      </c>
      <c r="P21" s="298">
        <f>HLOOKUP($D$21,InflationTable,4)*$C$21</f>
        <v>22469.192589155329</v>
      </c>
      <c r="Q21" s="279">
        <f>P21*$L$4</f>
        <v>0</v>
      </c>
      <c r="R21" s="280">
        <f>Q21/$E$18</f>
        <v>0</v>
      </c>
      <c r="S21" s="127" t="s">
        <v>12</v>
      </c>
      <c r="T21" s="119" t="s">
        <v>12</v>
      </c>
      <c r="U21" s="139">
        <f>AVERAGE(L21,O21,R21)</f>
        <v>0</v>
      </c>
    </row>
    <row r="22" spans="1:22" ht="13.8" thickBot="1" x14ac:dyDescent="0.3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 x14ac:dyDescent="0.25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 x14ac:dyDescent="0.25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0</v>
      </c>
      <c r="L24" s="282">
        <f>K24/$E$18</f>
        <v>0</v>
      </c>
      <c r="M24" s="58" t="s">
        <v>12</v>
      </c>
      <c r="N24" s="69">
        <f>$I$24*($O$4+$O$5)</f>
        <v>0</v>
      </c>
      <c r="O24" s="59">
        <f>N24/$E$18</f>
        <v>0</v>
      </c>
      <c r="P24" s="263" t="s">
        <v>12</v>
      </c>
      <c r="Q24" s="281">
        <f>$I$24*($R$4+$R$5)</f>
        <v>0</v>
      </c>
      <c r="R24" s="282">
        <f>Q24/$E$18</f>
        <v>0</v>
      </c>
      <c r="S24" s="151">
        <f>AVERAGE(L24,O24,R24)</f>
        <v>0</v>
      </c>
      <c r="T24" s="119" t="s">
        <v>12</v>
      </c>
      <c r="U24" s="140" t="s">
        <v>12</v>
      </c>
    </row>
    <row r="25" spans="1:22" s="1" customFormat="1" ht="13.8" thickBot="1" x14ac:dyDescent="0.3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532.2159283641405</v>
      </c>
      <c r="K25" s="296">
        <f>J25*($L$4+$L$5)</f>
        <v>0</v>
      </c>
      <c r="L25" s="297">
        <f>K25/$E$18</f>
        <v>0</v>
      </c>
      <c r="M25" s="376">
        <f>HLOOKUP(Labor!$B$11,InflationTable,3)*$I25</f>
        <v>546.75215115460981</v>
      </c>
      <c r="N25" s="377">
        <f>M25*$L$4</f>
        <v>0</v>
      </c>
      <c r="O25" s="378">
        <f>N25/$E$18</f>
        <v>0</v>
      </c>
      <c r="P25" s="332">
        <f>HLOOKUP(Labor!$B$11,InflationTable,4)*$I25</f>
        <v>553.30386750795003</v>
      </c>
      <c r="Q25" s="296">
        <f>P25*$L$4</f>
        <v>0</v>
      </c>
      <c r="R25" s="390">
        <f>Q25/$E$18</f>
        <v>0</v>
      </c>
      <c r="S25" s="391">
        <f>AVERAGE(L25,O25,R25)</f>
        <v>0</v>
      </c>
      <c r="T25" s="218" t="s">
        <v>12</v>
      </c>
      <c r="U25" s="392" t="s">
        <v>12</v>
      </c>
    </row>
    <row r="26" spans="1:22" x14ac:dyDescent="0.25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0</v>
      </c>
      <c r="L26" s="294">
        <f>K26/$E$18</f>
        <v>0</v>
      </c>
      <c r="M26" s="61" t="s">
        <v>12</v>
      </c>
      <c r="N26" s="348">
        <f>I26*$O$4</f>
        <v>0</v>
      </c>
      <c r="O26" s="62">
        <f>N26/$E$18</f>
        <v>0</v>
      </c>
      <c r="P26" s="293" t="s">
        <v>12</v>
      </c>
      <c r="Q26" s="327">
        <f>$I26*$O$4</f>
        <v>0</v>
      </c>
      <c r="R26" s="367">
        <f>Q26/$E$18</f>
        <v>0</v>
      </c>
      <c r="S26" s="129">
        <f>AVERAGE(L26,O26,R26)</f>
        <v>0</v>
      </c>
      <c r="T26" s="136" t="s">
        <v>12</v>
      </c>
      <c r="U26" s="147" t="s">
        <v>12</v>
      </c>
    </row>
    <row r="27" spans="1:22" s="1" customFormat="1" ht="13.8" thickBot="1" x14ac:dyDescent="0.3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330.94645291678785</v>
      </c>
      <c r="K27" s="296">
        <f>J27*$L$4</f>
        <v>0</v>
      </c>
      <c r="L27" s="297">
        <f>K27/$E$18</f>
        <v>0</v>
      </c>
      <c r="M27" s="376">
        <f>HLOOKUP(Labor!$B$11,InflationTable,3)*$I27</f>
        <v>339.98547470273957</v>
      </c>
      <c r="N27" s="377">
        <f>M27*$O$4</f>
        <v>0</v>
      </c>
      <c r="O27" s="378">
        <f>N27/$E$18</f>
        <v>0</v>
      </c>
      <c r="P27" s="339">
        <f>HLOOKUP(Labor!$B$11,InflationTable,4)*$I27</f>
        <v>344.05951152144098</v>
      </c>
      <c r="Q27" s="296">
        <f>P27*$R$4</f>
        <v>0</v>
      </c>
      <c r="R27" s="297">
        <f>Q27/$E$18</f>
        <v>0</v>
      </c>
      <c r="S27" s="211">
        <f>AVERAGE(L27,O27,R27)</f>
        <v>0</v>
      </c>
      <c r="T27" s="393" t="s">
        <v>12</v>
      </c>
      <c r="U27" s="392" t="s">
        <v>12</v>
      </c>
    </row>
    <row r="28" spans="1:22" x14ac:dyDescent="0.25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0</v>
      </c>
      <c r="L28" s="286">
        <f>L24+L26</f>
        <v>0</v>
      </c>
      <c r="M28" s="44" t="s">
        <v>12</v>
      </c>
      <c r="N28" s="33">
        <f>N24+N26</f>
        <v>0</v>
      </c>
      <c r="O28" s="40">
        <f>O24+O26</f>
        <v>0</v>
      </c>
      <c r="P28" s="284" t="s">
        <v>12</v>
      </c>
      <c r="Q28" s="285">
        <f>Q24+Q26</f>
        <v>0</v>
      </c>
      <c r="R28" s="286">
        <f>R24+R26</f>
        <v>0</v>
      </c>
      <c r="S28" s="175">
        <f>AVERAGE(L28,O28,R28)</f>
        <v>0</v>
      </c>
      <c r="T28" s="136" t="s">
        <v>12</v>
      </c>
      <c r="U28" s="147" t="s">
        <v>12</v>
      </c>
    </row>
    <row r="29" spans="1:22" ht="13.8" thickBot="1" x14ac:dyDescent="0.3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863.16238128092834</v>
      </c>
      <c r="K29" s="287"/>
      <c r="L29" s="276">
        <f>L27+L25+L22+L21</f>
        <v>0</v>
      </c>
      <c r="M29" s="242">
        <f>M27+M25</f>
        <v>886.73762585734937</v>
      </c>
      <c r="N29" s="247"/>
      <c r="O29" s="243">
        <f>O27+O25+O22+O21</f>
        <v>0</v>
      </c>
      <c r="P29" s="274">
        <f>P27+P25</f>
        <v>897.36337902939101</v>
      </c>
      <c r="Q29" s="287"/>
      <c r="R29" s="276">
        <f>R27+R25+R22+R21</f>
        <v>0</v>
      </c>
      <c r="S29" s="248">
        <f>SUM(S27,S25)</f>
        <v>0</v>
      </c>
      <c r="T29" s="249" t="s">
        <v>12</v>
      </c>
      <c r="U29" s="250">
        <f>SUM(U21:U22)</f>
        <v>0</v>
      </c>
    </row>
    <row r="30" spans="1:22" ht="14.4" thickTop="1" thickBot="1" x14ac:dyDescent="0.3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2" thickTop="1" x14ac:dyDescent="0.3">
      <c r="A31" s="615"/>
      <c r="B31" s="709" t="s">
        <v>22</v>
      </c>
      <c r="C31" s="5"/>
      <c r="D31" s="5"/>
      <c r="E31" s="5"/>
      <c r="F31" s="112" t="s">
        <v>6</v>
      </c>
      <c r="G31" s="1415"/>
      <c r="H31" s="1416"/>
      <c r="I31" s="1417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 x14ac:dyDescent="0.25">
      <c r="A32" s="615"/>
      <c r="B32" s="5"/>
      <c r="C32" s="5"/>
      <c r="D32" s="5"/>
      <c r="E32" s="5"/>
      <c r="F32" s="112"/>
      <c r="G32" s="1418"/>
      <c r="H32" s="1418"/>
      <c r="I32" s="1419"/>
      <c r="J32" s="277" t="s">
        <v>61</v>
      </c>
      <c r="K32" s="1437" t="s">
        <v>57</v>
      </c>
      <c r="L32" s="1438"/>
      <c r="M32" s="57" t="s">
        <v>61</v>
      </c>
      <c r="N32" s="1432" t="s">
        <v>57</v>
      </c>
      <c r="O32" s="1433"/>
      <c r="P32" s="277" t="s">
        <v>61</v>
      </c>
      <c r="Q32" s="1422" t="s">
        <v>57</v>
      </c>
      <c r="R32" s="1423"/>
      <c r="S32" s="131"/>
      <c r="T32" s="37"/>
      <c r="U32" s="227"/>
    </row>
    <row r="33" spans="1:22" x14ac:dyDescent="0.25">
      <c r="A33" s="615"/>
      <c r="B33" s="1" t="s">
        <v>200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 x14ac:dyDescent="0.25">
      <c r="A34" s="616"/>
      <c r="B34" s="728" t="s">
        <v>18</v>
      </c>
      <c r="C34" s="458">
        <f>VLOOKUP(C$2,Monitor_Costs,4,FALSE)</f>
        <v>125</v>
      </c>
      <c r="D34" s="381">
        <f>VLOOKUP(C$2,Monitor_Costs,5,FALSE)</f>
        <v>2019</v>
      </c>
      <c r="E34" s="431"/>
      <c r="H34" s="112"/>
      <c r="I34" s="145"/>
      <c r="J34" s="748">
        <f>HLOOKUP($D$34,InflationTable,2)*$C34</f>
        <v>168.85023107999382</v>
      </c>
      <c r="K34" s="384">
        <f>J34*$L$4</f>
        <v>0</v>
      </c>
      <c r="L34" s="385">
        <f>K34</f>
        <v>0</v>
      </c>
      <c r="M34" s="446">
        <f>HLOOKUP($D$34,InflationTable,3)*$C34</f>
        <v>173.46197688915285</v>
      </c>
      <c r="N34" s="387">
        <f>M34*$O$4</f>
        <v>0</v>
      </c>
      <c r="O34" s="388">
        <f>N34</f>
        <v>0</v>
      </c>
      <c r="P34" s="384">
        <f>HLOOKUP($D$34,InflationTable,4)*$C34</f>
        <v>175.54056710277601</v>
      </c>
      <c r="Q34" s="736">
        <f>P34*$R$4</f>
        <v>0</v>
      </c>
      <c r="R34" s="385">
        <f>Q34</f>
        <v>0</v>
      </c>
      <c r="S34" s="462" t="s">
        <v>12</v>
      </c>
      <c r="T34" s="382">
        <f>AVERAGE(L34,O34,R34)</f>
        <v>0</v>
      </c>
      <c r="U34" s="511" t="s">
        <v>12</v>
      </c>
    </row>
    <row r="35" spans="1:22" s="1" customFormat="1" x14ac:dyDescent="0.25">
      <c r="A35" s="616"/>
      <c r="B35" s="740" t="str">
        <f>VLOOKUP(C$2,Monitor_Costs,10,FALSE)</f>
        <v>Carbonyl sample cartridges</v>
      </c>
      <c r="C35" s="458">
        <f>VLOOKUP(C$2,Monitor_Costs,11,FALSE)</f>
        <v>1450</v>
      </c>
      <c r="D35" s="381">
        <f>VLOOKUP(C$2,Monitor_Costs,12,FALSE)</f>
        <v>2019</v>
      </c>
      <c r="E35" s="492"/>
      <c r="F35" s="396"/>
      <c r="G35" s="112"/>
      <c r="H35" s="112"/>
      <c r="I35" s="145"/>
      <c r="J35" s="660">
        <f>HLOOKUP($D$34,InflationTable,2)*$C35</f>
        <v>1958.6626805279282</v>
      </c>
      <c r="K35" s="749">
        <f>J35*$L$4</f>
        <v>0</v>
      </c>
      <c r="L35" s="750">
        <f>K35</f>
        <v>0</v>
      </c>
      <c r="M35" s="751">
        <f>HLOOKUP($D$34,InflationTable,3)*$C35</f>
        <v>2012.1589319141731</v>
      </c>
      <c r="N35" s="752">
        <f>M35*$O$4</f>
        <v>0</v>
      </c>
      <c r="O35" s="753">
        <f>N35</f>
        <v>0</v>
      </c>
      <c r="P35" s="749">
        <f>HLOOKUP($D$34,InflationTable,4)*$C35</f>
        <v>2036.2705783922017</v>
      </c>
      <c r="Q35" s="384">
        <f>P35*$R$4</f>
        <v>0</v>
      </c>
      <c r="R35" s="385">
        <f>Q35</f>
        <v>0</v>
      </c>
      <c r="S35" s="462" t="s">
        <v>12</v>
      </c>
      <c r="T35" s="382">
        <f>AVERAGE(L35,O35,R35)</f>
        <v>0</v>
      </c>
      <c r="U35" s="511" t="s">
        <v>12</v>
      </c>
    </row>
    <row r="36" spans="1:22" s="1" customFormat="1" x14ac:dyDescent="0.25">
      <c r="A36" s="616"/>
      <c r="B36" s="742" t="str">
        <f>VLOOKUP(C$2,Monitor_Costs,19,FALSE)</f>
        <v>Supplies/reagents</v>
      </c>
      <c r="C36" s="458">
        <f>VLOOKUP(C$2,Monitor_Costs,20,FALSE)</f>
        <v>600</v>
      </c>
      <c r="D36" s="381">
        <f>VLOOKUP(C$2,Monitor_Costs,21,FALSE)</f>
        <v>2019</v>
      </c>
      <c r="E36" s="112"/>
      <c r="F36" s="396"/>
      <c r="G36" s="112"/>
      <c r="H36" s="112"/>
      <c r="I36" s="145"/>
      <c r="J36" s="748">
        <f>HLOOKUP($D$34,InflationTable,2)*$C36</f>
        <v>810.48110918397026</v>
      </c>
      <c r="K36" s="384">
        <f>J36*$L$4</f>
        <v>0</v>
      </c>
      <c r="L36" s="385">
        <f>K36</f>
        <v>0</v>
      </c>
      <c r="M36" s="446">
        <f>HLOOKUP($D$34,InflationTable,3)*$C36</f>
        <v>832.61748906793366</v>
      </c>
      <c r="N36" s="387">
        <f>M36*$O$4</f>
        <v>0</v>
      </c>
      <c r="O36" s="388">
        <f>N36</f>
        <v>0</v>
      </c>
      <c r="P36" s="384">
        <f>HLOOKUP($D$34,InflationTable,4)*$C36</f>
        <v>842.59472209332489</v>
      </c>
      <c r="Q36" s="384">
        <f>P36*$R$4</f>
        <v>0</v>
      </c>
      <c r="R36" s="750">
        <f>Q36</f>
        <v>0</v>
      </c>
      <c r="S36" s="756" t="s">
        <v>12</v>
      </c>
      <c r="T36" s="463">
        <f>AVERAGE(L36,O36,R36)</f>
        <v>0</v>
      </c>
      <c r="U36" s="516" t="s">
        <v>12</v>
      </c>
    </row>
    <row r="37" spans="1:22" s="1" customFormat="1" ht="13.8" thickBot="1" x14ac:dyDescent="0.3">
      <c r="A37" s="616"/>
      <c r="B37" s="741" t="str">
        <f>VLOOKUP(C$2,Monitor_Costs,22,FALSE)</f>
        <v>Sample analysis</v>
      </c>
      <c r="C37" s="738">
        <f>VLOOKUP(C$2,Monitor_Costs,23,FALSE)</f>
        <v>2216.5</v>
      </c>
      <c r="D37" s="739">
        <f>VLOOKUP(C$2,Monitor_Costs,24,FALSE)</f>
        <v>2019</v>
      </c>
      <c r="E37" s="737"/>
      <c r="F37" s="674"/>
      <c r="G37" s="673"/>
      <c r="H37" s="673"/>
      <c r="I37" s="639"/>
      <c r="J37" s="743">
        <f>HLOOKUP($D$34,InflationTable,2)*$C37</f>
        <v>2994.05229751045</v>
      </c>
      <c r="K37" s="743">
        <f>J37*$L$4</f>
        <v>0</v>
      </c>
      <c r="L37" s="744">
        <f>K37</f>
        <v>0</v>
      </c>
      <c r="M37" s="745">
        <f>HLOOKUP($D$34,InflationTable,3)*$C37</f>
        <v>3075.8277741984584</v>
      </c>
      <c r="N37" s="746">
        <f>M37*$O$4</f>
        <v>0</v>
      </c>
      <c r="O37" s="747">
        <f>N37</f>
        <v>0</v>
      </c>
      <c r="P37" s="743">
        <f>HLOOKUP($D$34,InflationTable,4)*$C37</f>
        <v>3112.6853358664243</v>
      </c>
      <c r="Q37" s="743">
        <f>P37*$R$4</f>
        <v>0</v>
      </c>
      <c r="R37" s="744">
        <f>Q37</f>
        <v>0</v>
      </c>
      <c r="S37" s="754" t="s">
        <v>12</v>
      </c>
      <c r="T37" s="755">
        <f>AVERAGE(L37,O37,R37)</f>
        <v>0</v>
      </c>
      <c r="U37" s="757" t="s">
        <v>12</v>
      </c>
    </row>
    <row r="38" spans="1:22" x14ac:dyDescent="0.25">
      <c r="A38" s="615"/>
      <c r="B38" s="1" t="s">
        <v>202</v>
      </c>
      <c r="C38" s="729"/>
      <c r="D38" s="729"/>
      <c r="E38" s="5"/>
      <c r="F38" s="431" t="s">
        <v>54</v>
      </c>
      <c r="G38" s="70">
        <v>5</v>
      </c>
      <c r="H38" s="5"/>
      <c r="I38" s="37"/>
      <c r="J38" s="730"/>
      <c r="K38" s="730"/>
      <c r="L38" s="731"/>
      <c r="M38" s="732"/>
      <c r="N38" s="733"/>
      <c r="O38" s="734"/>
      <c r="P38" s="735"/>
      <c r="Q38" s="730"/>
      <c r="R38" s="731"/>
      <c r="S38" s="125"/>
      <c r="T38" s="37"/>
      <c r="U38" s="227"/>
    </row>
    <row r="39" spans="1:22" s="1" customFormat="1" ht="13.8" thickBot="1" x14ac:dyDescent="0.3">
      <c r="A39" s="616"/>
      <c r="B39" s="722" t="str">
        <f>VLOOKUP(C$2,Monitor_Costs,13,FALSE)</f>
        <v>HPLC/UV with autosampler</v>
      </c>
      <c r="C39" s="720">
        <f>VLOOKUP(C$2,Monitor_Costs,14,FALSE)</f>
        <v>59000</v>
      </c>
      <c r="D39" s="373">
        <f>VLOOKUP(C$2,Monitor_Costs,15,FALSE)</f>
        <v>2019</v>
      </c>
      <c r="E39" s="673"/>
      <c r="F39" s="674"/>
      <c r="G39" s="673"/>
      <c r="H39" s="721"/>
      <c r="I39" s="363"/>
      <c r="J39" s="296">
        <f>HLOOKUP($D$34,InflationTable,2)*$C39</f>
        <v>79697.309069757073</v>
      </c>
      <c r="K39" s="296">
        <f>J39*$L$4</f>
        <v>0</v>
      </c>
      <c r="L39" s="297">
        <f>K39/$G$38</f>
        <v>0</v>
      </c>
      <c r="M39" s="450">
        <f>HLOOKUP($D$34,InflationTable,3)*$C39</f>
        <v>81874.053091680151</v>
      </c>
      <c r="N39" s="377">
        <f>M39*$O$4</f>
        <v>0</v>
      </c>
      <c r="O39" s="378">
        <f>N39/$G$38</f>
        <v>0</v>
      </c>
      <c r="P39" s="296">
        <f>HLOOKUP($D$34,InflationTable,4)*$C39</f>
        <v>82855.147672510284</v>
      </c>
      <c r="Q39" s="296">
        <f>P39*$R$4</f>
        <v>0</v>
      </c>
      <c r="R39" s="297">
        <f>Q39/$G$38</f>
        <v>0</v>
      </c>
      <c r="S39" s="472" t="s">
        <v>12</v>
      </c>
      <c r="T39" s="472" t="s">
        <v>12</v>
      </c>
      <c r="U39" s="375">
        <f>AVERAGE(L39,O39,R39)</f>
        <v>0</v>
      </c>
    </row>
    <row r="40" spans="1:22" s="1" customFormat="1" ht="13.8" thickBot="1" x14ac:dyDescent="0.3">
      <c r="A40" s="616"/>
      <c r="B40" s="722" t="str">
        <f>VLOOKUP(C$2,Monitor_Costs,16,FALSE)</f>
        <v>Equipment (auxiliary)</v>
      </c>
      <c r="C40" s="720">
        <f>VLOOKUP(C$2,Monitor_Costs,17,FALSE)</f>
        <v>1000</v>
      </c>
      <c r="D40" s="373">
        <f>VLOOKUP(C$2,Monitor_Costs,18,FALSE)</f>
        <v>2019</v>
      </c>
      <c r="E40" s="673"/>
      <c r="F40" s="674"/>
      <c r="G40" s="673"/>
      <c r="H40" s="721"/>
      <c r="I40" s="363"/>
      <c r="J40" s="296">
        <f>HLOOKUP($D$34,InflationTable,2)*$C40</f>
        <v>1350.8018486399505</v>
      </c>
      <c r="K40" s="296">
        <f>J40*$L$4</f>
        <v>0</v>
      </c>
      <c r="L40" s="297">
        <f>K40/$G$38</f>
        <v>0</v>
      </c>
      <c r="M40" s="450">
        <f>HLOOKUP($D$34,InflationTable,3)*$C40</f>
        <v>1387.6958151132228</v>
      </c>
      <c r="N40" s="377">
        <f>M40*$O$4</f>
        <v>0</v>
      </c>
      <c r="O40" s="378">
        <f>N40/$G$38</f>
        <v>0</v>
      </c>
      <c r="P40" s="296">
        <f>HLOOKUP($D$34,InflationTable,4)*$C40</f>
        <v>1404.3245368222081</v>
      </c>
      <c r="Q40" s="296">
        <f>P40*$R$4</f>
        <v>0</v>
      </c>
      <c r="R40" s="297">
        <f>Q40/$G$38</f>
        <v>0</v>
      </c>
      <c r="S40" s="472" t="s">
        <v>12</v>
      </c>
      <c r="T40" s="472" t="s">
        <v>12</v>
      </c>
      <c r="U40" s="375">
        <f>AVERAGE(L40,O40,R40)</f>
        <v>0</v>
      </c>
    </row>
    <row r="41" spans="1:22" x14ac:dyDescent="0.25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 x14ac:dyDescent="0.25">
      <c r="A42" s="615"/>
      <c r="B42" s="614" t="s">
        <v>4</v>
      </c>
      <c r="C42" s="21">
        <v>0</v>
      </c>
      <c r="D42" s="21">
        <v>16</v>
      </c>
      <c r="E42" s="21">
        <v>16</v>
      </c>
      <c r="F42" s="21">
        <v>0</v>
      </c>
      <c r="G42" s="21">
        <v>0</v>
      </c>
      <c r="H42" s="21">
        <v>0</v>
      </c>
      <c r="I42" s="48">
        <f>SUM(C42:H42)</f>
        <v>32</v>
      </c>
      <c r="J42" s="299" t="s">
        <v>12</v>
      </c>
      <c r="K42" s="281">
        <f>I42*$L$4</f>
        <v>0</v>
      </c>
      <c r="L42" s="289">
        <f>K42</f>
        <v>0</v>
      </c>
      <c r="M42" s="58" t="s">
        <v>12</v>
      </c>
      <c r="N42" s="69">
        <f>$I$42*$O$4</f>
        <v>0</v>
      </c>
      <c r="O42" s="68">
        <f>N42</f>
        <v>0</v>
      </c>
      <c r="P42" s="299" t="s">
        <v>12</v>
      </c>
      <c r="Q42" s="281">
        <f>$I$42*$R$4</f>
        <v>0</v>
      </c>
      <c r="R42" s="289">
        <f>Q42</f>
        <v>0</v>
      </c>
      <c r="S42" s="121">
        <f>AVERAGE(L42,O42,R42)</f>
        <v>0</v>
      </c>
      <c r="T42" s="119" t="s">
        <v>12</v>
      </c>
      <c r="U42" s="232" t="s">
        <v>12</v>
      </c>
    </row>
    <row r="43" spans="1:22" s="1" customFormat="1" ht="13.8" thickBot="1" x14ac:dyDescent="0.3">
      <c r="A43" s="616"/>
      <c r="B43" s="604" t="s">
        <v>8</v>
      </c>
      <c r="C43" s="373">
        <f>ROUND(C42*Labor!$D$3,0)</f>
        <v>0</v>
      </c>
      <c r="D43" s="374">
        <f>ROUND(D42*Labor!$D$4,0)</f>
        <v>654</v>
      </c>
      <c r="E43" s="374">
        <f>ROUND(E42*Labor!$D$5,0)</f>
        <v>706</v>
      </c>
      <c r="F43" s="374">
        <f>ROUND(F42*Labor!$D$6,0)</f>
        <v>0</v>
      </c>
      <c r="G43" s="374">
        <f>ROUND(G42*Labor!$D$7,0)</f>
        <v>0</v>
      </c>
      <c r="H43" s="374">
        <f>ROUND(H42*Labor!$D$8,0)</f>
        <v>0</v>
      </c>
      <c r="I43" s="375">
        <f>SUM(C43:H43)</f>
        <v>1360</v>
      </c>
      <c r="J43" s="296">
        <f>HLOOKUP(Labor!$B$11,InflationTable,2)*I43</f>
        <v>1837.0905141503326</v>
      </c>
      <c r="K43" s="296">
        <f>J43*$L$4</f>
        <v>0</v>
      </c>
      <c r="L43" s="390">
        <f>K43</f>
        <v>0</v>
      </c>
      <c r="M43" s="376">
        <f>HLOOKUP(Labor!$B$11,InflationTable,3)*I43</f>
        <v>1887.266308553983</v>
      </c>
      <c r="N43" s="377">
        <f>M43*$O$4</f>
        <v>0</v>
      </c>
      <c r="O43" s="378">
        <f>N43</f>
        <v>0</v>
      </c>
      <c r="P43" s="296">
        <f>HLOOKUP(Labor!$B$11,InflationTable,4)*$I$43</f>
        <v>1909.8813700782032</v>
      </c>
      <c r="Q43" s="296">
        <f>P43*$R$4</f>
        <v>0</v>
      </c>
      <c r="R43" s="390">
        <f>Q43</f>
        <v>0</v>
      </c>
      <c r="S43" s="211">
        <f>AVERAGE(L43,O43,R43)</f>
        <v>0</v>
      </c>
      <c r="T43" s="393" t="s">
        <v>12</v>
      </c>
      <c r="U43" s="228" t="s">
        <v>12</v>
      </c>
    </row>
    <row r="44" spans="1:22" x14ac:dyDescent="0.25">
      <c r="A44" s="615"/>
      <c r="B44" s="605" t="s">
        <v>66</v>
      </c>
      <c r="C44" s="36">
        <f t="shared" ref="C44:I44" si="3">C42</f>
        <v>0</v>
      </c>
      <c r="D44" s="36">
        <f t="shared" si="3"/>
        <v>16</v>
      </c>
      <c r="E44" s="36">
        <f t="shared" si="3"/>
        <v>16</v>
      </c>
      <c r="F44" s="36">
        <f t="shared" si="3"/>
        <v>0</v>
      </c>
      <c r="G44" s="36">
        <f t="shared" si="3"/>
        <v>0</v>
      </c>
      <c r="H44" s="36">
        <f t="shared" si="3"/>
        <v>0</v>
      </c>
      <c r="I44" s="51">
        <f t="shared" si="3"/>
        <v>32</v>
      </c>
      <c r="J44" s="307" t="s">
        <v>12</v>
      </c>
      <c r="K44" s="302">
        <f>K42</f>
        <v>0</v>
      </c>
      <c r="L44" s="303">
        <f>L42</f>
        <v>0</v>
      </c>
      <c r="M44" s="85" t="s">
        <v>12</v>
      </c>
      <c r="N44" s="82">
        <f>N42</f>
        <v>0</v>
      </c>
      <c r="O44" s="96">
        <f>O42</f>
        <v>0</v>
      </c>
      <c r="P44" s="301" t="s">
        <v>12</v>
      </c>
      <c r="Q44" s="302">
        <f>Q42</f>
        <v>0</v>
      </c>
      <c r="R44" s="303">
        <f>R42</f>
        <v>0</v>
      </c>
      <c r="S44" s="96">
        <f>S42</f>
        <v>0</v>
      </c>
      <c r="T44" s="136" t="s">
        <v>12</v>
      </c>
      <c r="U44" s="230" t="s">
        <v>12</v>
      </c>
    </row>
    <row r="45" spans="1:22" ht="13.8" thickBot="1" x14ac:dyDescent="0.3">
      <c r="A45" s="615"/>
      <c r="B45" s="606" t="s">
        <v>67</v>
      </c>
      <c r="C45" s="240">
        <f t="shared" ref="C45:H45" si="4">C44</f>
        <v>0</v>
      </c>
      <c r="D45" s="240">
        <f t="shared" si="4"/>
        <v>16</v>
      </c>
      <c r="E45" s="240">
        <f t="shared" si="4"/>
        <v>16</v>
      </c>
      <c r="F45" s="240">
        <f t="shared" si="4"/>
        <v>0</v>
      </c>
      <c r="G45" s="240">
        <f t="shared" si="4"/>
        <v>0</v>
      </c>
      <c r="H45" s="240">
        <f t="shared" si="4"/>
        <v>0</v>
      </c>
      <c r="I45" s="251">
        <f>I43+C34</f>
        <v>1485</v>
      </c>
      <c r="J45" s="305">
        <f t="shared" ref="J45:R45" si="5">J43+J34</f>
        <v>2005.9407452303265</v>
      </c>
      <c r="K45" s="305">
        <f t="shared" si="5"/>
        <v>0</v>
      </c>
      <c r="L45" s="306">
        <f t="shared" si="5"/>
        <v>0</v>
      </c>
      <c r="M45" s="252">
        <f t="shared" si="5"/>
        <v>2060.728285443136</v>
      </c>
      <c r="N45" s="253">
        <f t="shared" si="5"/>
        <v>0</v>
      </c>
      <c r="O45" s="254">
        <f t="shared" si="5"/>
        <v>0</v>
      </c>
      <c r="P45" s="304">
        <f t="shared" si="5"/>
        <v>2085.4219371809791</v>
      </c>
      <c r="Q45" s="305">
        <f t="shared" si="5"/>
        <v>0</v>
      </c>
      <c r="R45" s="306">
        <f t="shared" si="5"/>
        <v>0</v>
      </c>
      <c r="S45" s="766">
        <f>SUM(S34:S44)</f>
        <v>0</v>
      </c>
      <c r="T45" s="766">
        <f>SUM(T34:T44)</f>
        <v>0</v>
      </c>
      <c r="U45" s="766">
        <f>SUM(U34:U44)</f>
        <v>0</v>
      </c>
    </row>
    <row r="46" spans="1:22" ht="14.4" thickTop="1" thickBot="1" x14ac:dyDescent="0.3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2" thickTop="1" x14ac:dyDescent="0.3">
      <c r="A47" s="615"/>
      <c r="B47" s="181" t="s">
        <v>24</v>
      </c>
      <c r="C47" s="5"/>
      <c r="D47" s="5"/>
      <c r="E47" s="5"/>
      <c r="F47" s="112" t="s">
        <v>6</v>
      </c>
      <c r="G47" s="1415"/>
      <c r="H47" s="1416"/>
      <c r="I47" s="1417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 x14ac:dyDescent="0.25">
      <c r="A48" s="615"/>
      <c r="B48" s="5"/>
      <c r="C48" s="5"/>
      <c r="D48" s="5"/>
      <c r="E48" s="5"/>
      <c r="F48" s="112"/>
      <c r="G48" s="1418"/>
      <c r="H48" s="1418"/>
      <c r="I48" s="1419"/>
      <c r="J48" s="277" t="s">
        <v>61</v>
      </c>
      <c r="K48" s="1422" t="s">
        <v>57</v>
      </c>
      <c r="L48" s="1423"/>
      <c r="M48" s="57" t="s">
        <v>61</v>
      </c>
      <c r="N48" s="1432" t="s">
        <v>57</v>
      </c>
      <c r="O48" s="1433"/>
      <c r="P48" s="277" t="s">
        <v>61</v>
      </c>
      <c r="Q48" s="1422" t="s">
        <v>57</v>
      </c>
      <c r="R48" s="1423"/>
      <c r="S48" s="131"/>
      <c r="T48" s="37"/>
      <c r="U48" s="138"/>
    </row>
    <row r="49" spans="1:22" x14ac:dyDescent="0.25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8" thickBot="1" x14ac:dyDescent="0.3">
      <c r="A50" s="615"/>
      <c r="B50" s="361"/>
      <c r="C50" s="353">
        <f>VLOOKUP(C$2,Monitor_Costs,6,FALSE)</f>
        <v>1700</v>
      </c>
      <c r="D50" s="34">
        <f>VLOOKUP(C$2,Monitor_Costs,7,FALSE)</f>
        <v>2019</v>
      </c>
      <c r="E50" s="354"/>
      <c r="F50" s="71"/>
      <c r="G50" s="56"/>
      <c r="H50" s="56"/>
      <c r="I50" s="54"/>
      <c r="J50" s="355">
        <f>HLOOKUP(D50,InflationTable,2)*C50</f>
        <v>2296.3631426879156</v>
      </c>
      <c r="K50" s="355">
        <f>J50*$L$4</f>
        <v>0</v>
      </c>
      <c r="L50" s="308">
        <f>K50</f>
        <v>0</v>
      </c>
      <c r="M50" s="357">
        <f>HLOOKUP($D$50,InflationTable,3)*$C$50</f>
        <v>2359.0828856924786</v>
      </c>
      <c r="N50" s="357">
        <f>M50*$O$4</f>
        <v>0</v>
      </c>
      <c r="O50" s="95">
        <f>N50</f>
        <v>0</v>
      </c>
      <c r="P50" s="358">
        <f>HLOOKUP($D$50,InflationTable,4)*$C$50</f>
        <v>2387.3517125977537</v>
      </c>
      <c r="Q50" s="355">
        <f>P50*$R$4</f>
        <v>0</v>
      </c>
      <c r="R50" s="308">
        <f>Q50</f>
        <v>0</v>
      </c>
      <c r="S50" s="359" t="s">
        <v>12</v>
      </c>
      <c r="T50" s="360">
        <f>AVERAGE(L50,O50,R50)</f>
        <v>0</v>
      </c>
      <c r="U50" s="142" t="s">
        <v>12</v>
      </c>
    </row>
    <row r="51" spans="1:22" x14ac:dyDescent="0.25">
      <c r="A51" s="615"/>
      <c r="B51" s="465" t="s">
        <v>203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 x14ac:dyDescent="0.25">
      <c r="B52" s="566" t="s">
        <v>4</v>
      </c>
      <c r="C52" s="21">
        <v>0</v>
      </c>
      <c r="D52" s="21">
        <v>0</v>
      </c>
      <c r="E52" s="21">
        <v>6</v>
      </c>
      <c r="F52" s="21">
        <v>2</v>
      </c>
      <c r="G52" s="21">
        <v>0</v>
      </c>
      <c r="H52" s="21">
        <v>0</v>
      </c>
      <c r="I52" s="52">
        <f t="shared" ref="I52:I57" si="6">SUM(C52:H52)</f>
        <v>8</v>
      </c>
      <c r="J52" s="263" t="s">
        <v>12</v>
      </c>
      <c r="K52" s="281">
        <f>I52*$L$4</f>
        <v>0</v>
      </c>
      <c r="L52" s="289">
        <f t="shared" ref="L52:L57" si="7">K52</f>
        <v>0</v>
      </c>
      <c r="M52" s="58" t="s">
        <v>12</v>
      </c>
      <c r="N52" s="69">
        <f>$I$52*$O$4</f>
        <v>0</v>
      </c>
      <c r="O52" s="68">
        <f t="shared" ref="O52:O57" si="8">N52</f>
        <v>0</v>
      </c>
      <c r="P52" s="263" t="s">
        <v>12</v>
      </c>
      <c r="Q52" s="281">
        <f>$I$52*$R$4</f>
        <v>0</v>
      </c>
      <c r="R52" s="289">
        <f t="shared" ref="R52:R57" si="9">Q52</f>
        <v>0</v>
      </c>
      <c r="S52" s="121">
        <f t="shared" ref="S52:S58" si="10">AVERAGE(L52,O52,R52)</f>
        <v>0</v>
      </c>
      <c r="T52" s="119" t="s">
        <v>12</v>
      </c>
      <c r="U52" s="140" t="s">
        <v>12</v>
      </c>
    </row>
    <row r="53" spans="1:22" s="1" customFormat="1" ht="13.8" thickBot="1" x14ac:dyDescent="0.3">
      <c r="B53" s="715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265</v>
      </c>
      <c r="F53" s="374">
        <f>ROUND(F52*Labor!$D$6,0)</f>
        <v>99</v>
      </c>
      <c r="G53" s="374">
        <f>ROUND(G52*Labor!$D$7,0)</f>
        <v>0</v>
      </c>
      <c r="H53" s="374">
        <f>ROUND(H52*Labor!$D$8,0)</f>
        <v>0</v>
      </c>
      <c r="I53" s="209">
        <f t="shared" si="6"/>
        <v>364</v>
      </c>
      <c r="J53" s="339">
        <f>HLOOKUP(Labor!$B$11,InflationTable,2)*I53</f>
        <v>491.69187290494199</v>
      </c>
      <c r="K53" s="296">
        <f>J53*$L$4</f>
        <v>0</v>
      </c>
      <c r="L53" s="297">
        <f t="shared" si="7"/>
        <v>0</v>
      </c>
      <c r="M53" s="376">
        <f>HLOOKUP(Labor!$B$11,InflationTable,3)*$I$53</f>
        <v>505.12127670121311</v>
      </c>
      <c r="N53" s="377">
        <f>M53*$O$4</f>
        <v>0</v>
      </c>
      <c r="O53" s="378">
        <f t="shared" si="8"/>
        <v>0</v>
      </c>
      <c r="P53" s="332">
        <f>HLOOKUP(Labor!$B$11,InflationTable,4)*$I$53</f>
        <v>511.17413140328375</v>
      </c>
      <c r="Q53" s="296">
        <f>P53*$O$4</f>
        <v>0</v>
      </c>
      <c r="R53" s="297">
        <f t="shared" si="9"/>
        <v>0</v>
      </c>
      <c r="S53" s="211">
        <f t="shared" si="10"/>
        <v>0</v>
      </c>
      <c r="T53" s="218" t="s">
        <v>12</v>
      </c>
      <c r="U53" s="392" t="s">
        <v>12</v>
      </c>
    </row>
    <row r="54" spans="1:22" x14ac:dyDescent="0.25">
      <c r="B54" s="565" t="s">
        <v>204</v>
      </c>
      <c r="C54" s="346">
        <v>0</v>
      </c>
      <c r="D54" s="346">
        <v>2</v>
      </c>
      <c r="E54" s="346">
        <v>16</v>
      </c>
      <c r="F54" s="346">
        <v>8</v>
      </c>
      <c r="G54" s="346">
        <v>0</v>
      </c>
      <c r="H54" s="346">
        <v>0</v>
      </c>
      <c r="I54" s="347">
        <f t="shared" si="6"/>
        <v>26</v>
      </c>
      <c r="J54" s="293" t="s">
        <v>12</v>
      </c>
      <c r="K54" s="327">
        <f>I54*$L$4</f>
        <v>0</v>
      </c>
      <c r="L54" s="328">
        <f t="shared" si="7"/>
        <v>0</v>
      </c>
      <c r="M54" s="61" t="s">
        <v>12</v>
      </c>
      <c r="N54" s="348">
        <f>L54*$L$4</f>
        <v>0</v>
      </c>
      <c r="O54" s="349">
        <f t="shared" si="8"/>
        <v>0</v>
      </c>
      <c r="P54" s="293" t="s">
        <v>12</v>
      </c>
      <c r="Q54" s="327">
        <f>O54*$L$4</f>
        <v>0</v>
      </c>
      <c r="R54" s="328">
        <f t="shared" si="9"/>
        <v>0</v>
      </c>
      <c r="S54" s="129">
        <f t="shared" si="10"/>
        <v>0</v>
      </c>
      <c r="T54" s="119" t="s">
        <v>12</v>
      </c>
      <c r="U54" s="140" t="s">
        <v>12</v>
      </c>
    </row>
    <row r="55" spans="1:22" s="1" customFormat="1" ht="13.8" thickBot="1" x14ac:dyDescent="0.3">
      <c r="B55" s="714" t="s">
        <v>8</v>
      </c>
      <c r="C55" s="373">
        <f>ROUND(C54*Labor!$D$3,0)</f>
        <v>0</v>
      </c>
      <c r="D55" s="374">
        <f>ROUND(D54*Labor!$D$4,0)</f>
        <v>82</v>
      </c>
      <c r="E55" s="374">
        <f>ROUND(E54*Labor!$D$5,0)</f>
        <v>706</v>
      </c>
      <c r="F55" s="374">
        <f>ROUND(F54*Labor!$D$6,0)</f>
        <v>394</v>
      </c>
      <c r="G55" s="374">
        <f>ROUND(G54*Labor!$D$7,0)</f>
        <v>0</v>
      </c>
      <c r="H55" s="374">
        <f>ROUND(H54*Labor!$D$8,0)</f>
        <v>0</v>
      </c>
      <c r="I55" s="209">
        <f t="shared" si="6"/>
        <v>1182</v>
      </c>
      <c r="J55" s="332">
        <f>HLOOKUP(Labor!$B$11,InflationTable,2)*$I55</f>
        <v>1596.6477850924214</v>
      </c>
      <c r="K55" s="296">
        <f>J55*$L$4</f>
        <v>0</v>
      </c>
      <c r="L55" s="297">
        <f t="shared" si="7"/>
        <v>0</v>
      </c>
      <c r="M55" s="376">
        <f>HLOOKUP(Labor!$B$11,InflationTable,2)*$I55</f>
        <v>1596.6477850924214</v>
      </c>
      <c r="N55" s="377">
        <f>M55*$L$4</f>
        <v>0</v>
      </c>
      <c r="O55" s="378">
        <f t="shared" si="8"/>
        <v>0</v>
      </c>
      <c r="P55" s="332">
        <f>HLOOKUP(Labor!$B$11,InflationTable,2)*$I55</f>
        <v>1596.6477850924214</v>
      </c>
      <c r="Q55" s="296">
        <f>P55*$L$4</f>
        <v>0</v>
      </c>
      <c r="R55" s="297">
        <f t="shared" si="9"/>
        <v>0</v>
      </c>
      <c r="S55" s="391">
        <f t="shared" si="10"/>
        <v>0</v>
      </c>
      <c r="T55" s="218" t="s">
        <v>12</v>
      </c>
      <c r="U55" s="392" t="s">
        <v>12</v>
      </c>
    </row>
    <row r="56" spans="1:22" x14ac:dyDescent="0.25">
      <c r="B56" s="565" t="s">
        <v>117</v>
      </c>
      <c r="C56" s="346">
        <v>0</v>
      </c>
      <c r="D56" s="346">
        <v>0</v>
      </c>
      <c r="E56" s="346">
        <v>16</v>
      </c>
      <c r="F56" s="346">
        <v>40</v>
      </c>
      <c r="G56" s="346">
        <v>0</v>
      </c>
      <c r="H56" s="346">
        <v>0</v>
      </c>
      <c r="I56" s="347">
        <f t="shared" si="6"/>
        <v>56</v>
      </c>
      <c r="J56" s="293" t="s">
        <v>12</v>
      </c>
      <c r="K56" s="327">
        <f>I56*$L$4</f>
        <v>0</v>
      </c>
      <c r="L56" s="328">
        <f t="shared" si="7"/>
        <v>0</v>
      </c>
      <c r="M56" s="61" t="s">
        <v>12</v>
      </c>
      <c r="N56" s="348">
        <f>$I$56*$O$4</f>
        <v>0</v>
      </c>
      <c r="O56" s="349">
        <f t="shared" si="8"/>
        <v>0</v>
      </c>
      <c r="P56" s="293" t="s">
        <v>12</v>
      </c>
      <c r="Q56" s="327">
        <f>$I$56*$R$4</f>
        <v>0</v>
      </c>
      <c r="R56" s="328">
        <f t="shared" si="9"/>
        <v>0</v>
      </c>
      <c r="S56" s="129">
        <f t="shared" si="10"/>
        <v>0</v>
      </c>
      <c r="T56" s="119" t="s">
        <v>12</v>
      </c>
      <c r="U56" s="140" t="s">
        <v>12</v>
      </c>
    </row>
    <row r="57" spans="1:22" s="1" customFormat="1" ht="13.8" thickBot="1" x14ac:dyDescent="0.3">
      <c r="B57" s="714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706</v>
      </c>
      <c r="F57" s="374">
        <f>ROUND(F56*Labor!$D$6,0)</f>
        <v>1971</v>
      </c>
      <c r="G57" s="374">
        <f>ROUND(G56*Labor!$D$7,0)</f>
        <v>0</v>
      </c>
      <c r="H57" s="374">
        <f>ROUND(H56*Labor!$D$8,0)</f>
        <v>0</v>
      </c>
      <c r="I57" s="209">
        <f t="shared" si="6"/>
        <v>2677</v>
      </c>
      <c r="J57" s="332">
        <f>HLOOKUP(Labor!$B$11,InflationTable,2)*$I$57</f>
        <v>3616.0965488091474</v>
      </c>
      <c r="K57" s="296">
        <f>J57*$L$4</f>
        <v>0</v>
      </c>
      <c r="L57" s="297">
        <f t="shared" si="7"/>
        <v>0</v>
      </c>
      <c r="M57" s="376">
        <f>HLOOKUP(Labor!$B$11,InflationTable,3)*$I$57</f>
        <v>3714.8616970580974</v>
      </c>
      <c r="N57" s="377">
        <f>M57*$O$4</f>
        <v>0</v>
      </c>
      <c r="O57" s="378">
        <f t="shared" si="8"/>
        <v>0</v>
      </c>
      <c r="P57" s="332">
        <f>HLOOKUP(Labor!$B$11,InflationTable,4)*$I$57</f>
        <v>3759.376785073051</v>
      </c>
      <c r="Q57" s="296">
        <f>P57*$R$4</f>
        <v>0</v>
      </c>
      <c r="R57" s="297">
        <f t="shared" si="9"/>
        <v>0</v>
      </c>
      <c r="S57" s="391">
        <f t="shared" si="10"/>
        <v>0</v>
      </c>
      <c r="T57" s="218" t="s">
        <v>12</v>
      </c>
      <c r="U57" s="392" t="s">
        <v>12</v>
      </c>
    </row>
    <row r="58" spans="1:22" x14ac:dyDescent="0.25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22</v>
      </c>
      <c r="F58" s="36">
        <f t="shared" si="11"/>
        <v>42</v>
      </c>
      <c r="G58" s="36">
        <f t="shared" si="11"/>
        <v>0</v>
      </c>
      <c r="H58" s="36">
        <f t="shared" si="11"/>
        <v>0</v>
      </c>
      <c r="I58" s="46">
        <f t="shared" si="11"/>
        <v>64</v>
      </c>
      <c r="J58" s="301" t="s">
        <v>12</v>
      </c>
      <c r="K58" s="309">
        <f>K52+K56</f>
        <v>0</v>
      </c>
      <c r="L58" s="310">
        <f>L52+L56</f>
        <v>0</v>
      </c>
      <c r="M58" s="85" t="s">
        <v>12</v>
      </c>
      <c r="N58" s="86">
        <f>N52+N56</f>
        <v>0</v>
      </c>
      <c r="O58" s="97">
        <f>O52+O56</f>
        <v>0</v>
      </c>
      <c r="P58" s="301" t="s">
        <v>12</v>
      </c>
      <c r="Q58" s="309">
        <f>Q52+Q56</f>
        <v>0</v>
      </c>
      <c r="R58" s="310">
        <f>R52+R56</f>
        <v>0</v>
      </c>
      <c r="S58" s="121">
        <f t="shared" si="10"/>
        <v>0</v>
      </c>
      <c r="T58" s="136" t="s">
        <v>12</v>
      </c>
      <c r="U58" s="148" t="s">
        <v>12</v>
      </c>
    </row>
    <row r="59" spans="1:22" ht="13.8" thickBot="1" x14ac:dyDescent="0.3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971</v>
      </c>
      <c r="F59" s="240">
        <f t="shared" si="12"/>
        <v>2070</v>
      </c>
      <c r="G59" s="240">
        <f t="shared" si="12"/>
        <v>0</v>
      </c>
      <c r="H59" s="240">
        <f t="shared" si="12"/>
        <v>0</v>
      </c>
      <c r="I59" s="222">
        <f>I57+I53+C50+I55</f>
        <v>5923</v>
      </c>
      <c r="J59" s="306">
        <f t="shared" ref="J59:R59" si="13">J57+J53+J50+J55</f>
        <v>8000.7993494944258</v>
      </c>
      <c r="K59" s="306">
        <f t="shared" si="13"/>
        <v>0</v>
      </c>
      <c r="L59" s="306">
        <f t="shared" si="13"/>
        <v>0</v>
      </c>
      <c r="M59" s="254">
        <f t="shared" si="13"/>
        <v>8175.7136445442111</v>
      </c>
      <c r="N59" s="254">
        <f t="shared" si="13"/>
        <v>0</v>
      </c>
      <c r="O59" s="254">
        <f t="shared" si="13"/>
        <v>0</v>
      </c>
      <c r="P59" s="306">
        <f t="shared" si="13"/>
        <v>8254.5504141665097</v>
      </c>
      <c r="Q59" s="306">
        <f t="shared" si="13"/>
        <v>0</v>
      </c>
      <c r="R59" s="306">
        <f t="shared" si="13"/>
        <v>0</v>
      </c>
      <c r="S59" s="248">
        <f>S57+S53+S55</f>
        <v>0</v>
      </c>
      <c r="T59" s="251">
        <f>T50</f>
        <v>0</v>
      </c>
      <c r="U59" s="224" t="s">
        <v>12</v>
      </c>
    </row>
    <row r="60" spans="1:22" ht="14.4" thickTop="1" thickBot="1" x14ac:dyDescent="0.3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2" thickTop="1" x14ac:dyDescent="0.3">
      <c r="B61" s="652" t="s">
        <v>26</v>
      </c>
      <c r="C61" s="5"/>
      <c r="D61" s="5"/>
      <c r="E61" s="5"/>
      <c r="F61" s="112" t="s">
        <v>6</v>
      </c>
      <c r="G61" s="1415"/>
      <c r="H61" s="1416"/>
      <c r="I61" s="1417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 x14ac:dyDescent="0.25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22" t="s">
        <v>57</v>
      </c>
      <c r="L62" s="1423"/>
      <c r="M62" s="57" t="s">
        <v>61</v>
      </c>
      <c r="N62" s="1432" t="s">
        <v>57</v>
      </c>
      <c r="O62" s="1433"/>
      <c r="P62" s="277" t="s">
        <v>61</v>
      </c>
      <c r="Q62" s="1422" t="s">
        <v>57</v>
      </c>
      <c r="R62" s="1423"/>
      <c r="S62" s="131"/>
      <c r="T62" s="37"/>
      <c r="U62" s="138"/>
    </row>
    <row r="63" spans="1:22" x14ac:dyDescent="0.25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 x14ac:dyDescent="0.25">
      <c r="B64" s="566" t="s">
        <v>4</v>
      </c>
      <c r="C64" s="21">
        <v>0</v>
      </c>
      <c r="D64" s="21">
        <v>0</v>
      </c>
      <c r="E64" s="21">
        <v>6</v>
      </c>
      <c r="F64" s="21">
        <v>6</v>
      </c>
      <c r="G64" s="21">
        <v>0</v>
      </c>
      <c r="H64" s="21">
        <v>0</v>
      </c>
      <c r="I64" s="52">
        <f t="shared" ref="I64:I71" si="14">SUM(C64:H64)</f>
        <v>12</v>
      </c>
      <c r="J64" s="263" t="s">
        <v>12</v>
      </c>
      <c r="K64" s="281">
        <f>I64*$L$4</f>
        <v>0</v>
      </c>
      <c r="L64" s="289">
        <f t="shared" ref="L64:L71" si="15">K64</f>
        <v>0</v>
      </c>
      <c r="M64" s="58" t="s">
        <v>12</v>
      </c>
      <c r="N64" s="69">
        <f>$I$64*$O$4</f>
        <v>0</v>
      </c>
      <c r="O64" s="68">
        <f t="shared" ref="O64:O71" si="16">N64</f>
        <v>0</v>
      </c>
      <c r="P64" s="263" t="s">
        <v>12</v>
      </c>
      <c r="Q64" s="281">
        <f>$I$64*$R$4</f>
        <v>0</v>
      </c>
      <c r="R64" s="289">
        <f t="shared" ref="R64:R71" si="17">Q64</f>
        <v>0</v>
      </c>
      <c r="S64" s="121">
        <f t="shared" ref="S64:S73" si="18">AVERAGE(L64,O64,R64)</f>
        <v>0</v>
      </c>
      <c r="T64" s="119" t="s">
        <v>12</v>
      </c>
      <c r="U64" s="140" t="s">
        <v>12</v>
      </c>
    </row>
    <row r="65" spans="1:22" s="1" customFormat="1" ht="13.8" thickBot="1" x14ac:dyDescent="0.3">
      <c r="B65" s="715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265</v>
      </c>
      <c r="F65" s="374">
        <f>ROUND(F64*Labor!$D$6,0)</f>
        <v>296</v>
      </c>
      <c r="G65" s="374">
        <f>ROUND(G64*Labor!$D$7,0)</f>
        <v>0</v>
      </c>
      <c r="H65" s="374">
        <f>ROUND(H64*Labor!$D$8,0)</f>
        <v>0</v>
      </c>
      <c r="I65" s="209">
        <f t="shared" si="14"/>
        <v>561</v>
      </c>
      <c r="J65" s="332">
        <f>HLOOKUP(Labor!$B$11,InflationTable,2)*I65</f>
        <v>757.79983708701218</v>
      </c>
      <c r="K65" s="296">
        <f>J65*$L$4</f>
        <v>0</v>
      </c>
      <c r="L65" s="297">
        <f t="shared" si="15"/>
        <v>0</v>
      </c>
      <c r="M65" s="376">
        <f>HLOOKUP(Labor!$B$11,InflationTable,3)*$I$65</f>
        <v>778.49735227851795</v>
      </c>
      <c r="N65" s="377">
        <f>M65*$L$4</f>
        <v>0</v>
      </c>
      <c r="O65" s="378">
        <f t="shared" si="16"/>
        <v>0</v>
      </c>
      <c r="P65" s="332">
        <f>HLOOKUP(Labor!$B$11,InflationTable,4)*$I$65</f>
        <v>787.82606515725877</v>
      </c>
      <c r="Q65" s="296">
        <f>P65*$R$4</f>
        <v>0</v>
      </c>
      <c r="R65" s="297">
        <f t="shared" si="17"/>
        <v>0</v>
      </c>
      <c r="S65" s="211">
        <f t="shared" si="18"/>
        <v>0</v>
      </c>
      <c r="T65" s="218" t="s">
        <v>12</v>
      </c>
      <c r="U65" s="392" t="s">
        <v>12</v>
      </c>
    </row>
    <row r="66" spans="1:22" x14ac:dyDescent="0.25">
      <c r="B66" s="559" t="s">
        <v>114</v>
      </c>
      <c r="C66" s="346">
        <v>0</v>
      </c>
      <c r="D66" s="346">
        <v>0</v>
      </c>
      <c r="E66" s="346">
        <v>0</v>
      </c>
      <c r="F66" s="346">
        <v>4</v>
      </c>
      <c r="G66" s="767">
        <v>0.5</v>
      </c>
      <c r="H66" s="346">
        <v>0.5</v>
      </c>
      <c r="I66" s="347">
        <f t="shared" si="14"/>
        <v>5</v>
      </c>
      <c r="J66" s="293" t="s">
        <v>12</v>
      </c>
      <c r="K66" s="327">
        <f>I66*$L$4</f>
        <v>0</v>
      </c>
      <c r="L66" s="328">
        <f t="shared" si="15"/>
        <v>0</v>
      </c>
      <c r="M66" s="61" t="s">
        <v>12</v>
      </c>
      <c r="N66" s="348">
        <f>$I$66*$O$4</f>
        <v>0</v>
      </c>
      <c r="O66" s="349">
        <f t="shared" si="16"/>
        <v>0</v>
      </c>
      <c r="P66" s="293" t="s">
        <v>12</v>
      </c>
      <c r="Q66" s="327">
        <f>$I$66*$R$4</f>
        <v>0</v>
      </c>
      <c r="R66" s="328">
        <f t="shared" si="17"/>
        <v>0</v>
      </c>
      <c r="S66" s="129">
        <f t="shared" si="18"/>
        <v>0</v>
      </c>
      <c r="T66" s="136" t="s">
        <v>12</v>
      </c>
      <c r="U66" s="147" t="s">
        <v>12</v>
      </c>
    </row>
    <row r="67" spans="1:22" s="1" customFormat="1" ht="13.8" thickBot="1" x14ac:dyDescent="0.3">
      <c r="B67" s="715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197</v>
      </c>
      <c r="G67" s="374">
        <f>ROUND(G66*Labor!$D$7,0)</f>
        <v>28</v>
      </c>
      <c r="H67" s="374">
        <f>ROUND(H66*Labor!$D$8,0)</f>
        <v>29</v>
      </c>
      <c r="I67" s="209">
        <f t="shared" si="14"/>
        <v>254</v>
      </c>
      <c r="J67" s="339">
        <f>HLOOKUP(Labor!$B$11,InflationTable,2)*I67</f>
        <v>343.10366955454742</v>
      </c>
      <c r="K67" s="296">
        <f>J67*$L$4</f>
        <v>0</v>
      </c>
      <c r="L67" s="297">
        <f t="shared" si="15"/>
        <v>0</v>
      </c>
      <c r="M67" s="450">
        <f>HLOOKUP(Labor!$B$11,InflationTable,3)*I67</f>
        <v>352.47473703875858</v>
      </c>
      <c r="N67" s="377">
        <f>M67*$O$4</f>
        <v>0</v>
      </c>
      <c r="O67" s="378">
        <f t="shared" si="16"/>
        <v>0</v>
      </c>
      <c r="P67" s="332">
        <f>HLOOKUP(Labor!$B$11,InflationTable,4)*$I$67</f>
        <v>356.69843235284088</v>
      </c>
      <c r="Q67" s="296">
        <f>P67*$R$4</f>
        <v>0</v>
      </c>
      <c r="R67" s="297">
        <f t="shared" si="17"/>
        <v>0</v>
      </c>
      <c r="S67" s="211">
        <f t="shared" si="18"/>
        <v>0</v>
      </c>
      <c r="T67" s="218" t="s">
        <v>12</v>
      </c>
      <c r="U67" s="392" t="s">
        <v>12</v>
      </c>
    </row>
    <row r="68" spans="1:22" x14ac:dyDescent="0.25">
      <c r="B68" s="559" t="s">
        <v>115</v>
      </c>
      <c r="C68" s="346">
        <v>0</v>
      </c>
      <c r="D68" s="346">
        <v>0</v>
      </c>
      <c r="E68" s="346">
        <v>0</v>
      </c>
      <c r="F68" s="346">
        <v>12</v>
      </c>
      <c r="G68" s="346">
        <v>3</v>
      </c>
      <c r="H68" s="346">
        <v>0</v>
      </c>
      <c r="I68" s="347">
        <f t="shared" si="14"/>
        <v>15</v>
      </c>
      <c r="J68" s="293" t="s">
        <v>12</v>
      </c>
      <c r="K68" s="327">
        <f>I68*$L$4</f>
        <v>0</v>
      </c>
      <c r="L68" s="328">
        <f t="shared" si="15"/>
        <v>0</v>
      </c>
      <c r="M68" s="61" t="s">
        <v>12</v>
      </c>
      <c r="N68" s="348">
        <f>$I$68*$O$4</f>
        <v>0</v>
      </c>
      <c r="O68" s="349">
        <f t="shared" si="16"/>
        <v>0</v>
      </c>
      <c r="P68" s="293" t="s">
        <v>12</v>
      </c>
      <c r="Q68" s="327">
        <f>$I$68*$R$4</f>
        <v>0</v>
      </c>
      <c r="R68" s="328">
        <f t="shared" si="17"/>
        <v>0</v>
      </c>
      <c r="S68" s="129">
        <f t="shared" si="18"/>
        <v>0</v>
      </c>
      <c r="T68" s="136" t="s">
        <v>12</v>
      </c>
      <c r="U68" s="147" t="s">
        <v>12</v>
      </c>
    </row>
    <row r="69" spans="1:22" s="1" customFormat="1" ht="13.8" thickBot="1" x14ac:dyDescent="0.3">
      <c r="B69" s="715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591</v>
      </c>
      <c r="G69" s="374">
        <f>ROUND(G68*Labor!$D$7,0)</f>
        <v>166</v>
      </c>
      <c r="H69" s="374">
        <f>ROUND(H68*Labor!$D$8,0)</f>
        <v>0</v>
      </c>
      <c r="I69" s="209">
        <f t="shared" si="14"/>
        <v>757</v>
      </c>
      <c r="J69" s="339">
        <f>HLOOKUP(Labor!$B$11,InflationTable,2)*I69</f>
        <v>1022.5569994204425</v>
      </c>
      <c r="K69" s="296">
        <f>J69*$L$4</f>
        <v>0</v>
      </c>
      <c r="L69" s="297">
        <f t="shared" si="15"/>
        <v>0</v>
      </c>
      <c r="M69" s="376">
        <f>HLOOKUP(Labor!$B$11,InflationTable,3)*$I$69</f>
        <v>1050.4857320407098</v>
      </c>
      <c r="N69" s="377">
        <f>M69*$O$4</f>
        <v>0</v>
      </c>
      <c r="O69" s="378">
        <f t="shared" si="16"/>
        <v>0</v>
      </c>
      <c r="P69" s="332">
        <f>HLOOKUP(Labor!$B$11,InflationTable,4)*$I$69</f>
        <v>1063.0736743744117</v>
      </c>
      <c r="Q69" s="296">
        <f>P69*$R$4</f>
        <v>0</v>
      </c>
      <c r="R69" s="297">
        <f t="shared" si="17"/>
        <v>0</v>
      </c>
      <c r="S69" s="211">
        <f t="shared" si="18"/>
        <v>0</v>
      </c>
      <c r="T69" s="218" t="s">
        <v>12</v>
      </c>
      <c r="U69" s="392" t="s">
        <v>12</v>
      </c>
    </row>
    <row r="70" spans="1:22" x14ac:dyDescent="0.25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8" thickBot="1" x14ac:dyDescent="0.3">
      <c r="B71" s="715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 x14ac:dyDescent="0.25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6</v>
      </c>
      <c r="F72" s="36">
        <f t="shared" si="19"/>
        <v>22</v>
      </c>
      <c r="G72" s="36">
        <f t="shared" si="19"/>
        <v>3.5</v>
      </c>
      <c r="H72" s="36">
        <f t="shared" si="19"/>
        <v>0.5</v>
      </c>
      <c r="I72" s="46">
        <f t="shared" si="19"/>
        <v>32</v>
      </c>
      <c r="J72" s="301" t="s">
        <v>12</v>
      </c>
      <c r="K72" s="285">
        <f>K64+K66+K68+K70</f>
        <v>0</v>
      </c>
      <c r="L72" s="312">
        <f>L64+L66+L68+L70</f>
        <v>0</v>
      </c>
      <c r="M72" s="85" t="s">
        <v>12</v>
      </c>
      <c r="N72" s="33">
        <f>N64+N66+N68+N70</f>
        <v>0</v>
      </c>
      <c r="O72" s="99">
        <f>O64+O66+O68+O70</f>
        <v>0</v>
      </c>
      <c r="P72" s="301" t="s">
        <v>12</v>
      </c>
      <c r="Q72" s="285">
        <f>Q64+Q66+Q68+Q70</f>
        <v>0</v>
      </c>
      <c r="R72" s="312">
        <f>R64+R66+R68+R70</f>
        <v>0</v>
      </c>
      <c r="S72" s="129">
        <f t="shared" si="18"/>
        <v>0</v>
      </c>
      <c r="T72" s="136" t="s">
        <v>12</v>
      </c>
      <c r="U72" s="147" t="s">
        <v>12</v>
      </c>
    </row>
    <row r="73" spans="1:22" ht="13.8" thickBot="1" x14ac:dyDescent="0.3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265</v>
      </c>
      <c r="F73" s="240">
        <f t="shared" si="19"/>
        <v>1084</v>
      </c>
      <c r="G73" s="240">
        <f t="shared" si="19"/>
        <v>194</v>
      </c>
      <c r="H73" s="240">
        <f t="shared" si="19"/>
        <v>29</v>
      </c>
      <c r="I73" s="243">
        <f t="shared" si="19"/>
        <v>1572</v>
      </c>
      <c r="J73" s="313">
        <f>J65+J67+J69+J71</f>
        <v>2123.460506062002</v>
      </c>
      <c r="K73" s="275">
        <f>K65+K67+K69+K71</f>
        <v>0</v>
      </c>
      <c r="L73" s="276">
        <f>L65+L67+L69+L71</f>
        <v>0</v>
      </c>
      <c r="M73" s="242">
        <f>M65+M67+M69+M71</f>
        <v>2181.4578213579862</v>
      </c>
      <c r="N73" s="240">
        <f>N65+N67+N69+N71</f>
        <v>0</v>
      </c>
      <c r="O73" s="243">
        <f>O65+O67+O69+O71</f>
        <v>0</v>
      </c>
      <c r="P73" s="313">
        <f>P65+P67+P69+P71</f>
        <v>2207.5981718845114</v>
      </c>
      <c r="Q73" s="275">
        <f>Q65+Q67+Q69+Q71</f>
        <v>0</v>
      </c>
      <c r="R73" s="276">
        <f>R65+R67+R69+R71</f>
        <v>0</v>
      </c>
      <c r="S73" s="255">
        <f t="shared" si="18"/>
        <v>0</v>
      </c>
      <c r="T73" s="249" t="s">
        <v>12</v>
      </c>
      <c r="U73" s="224" t="s">
        <v>12</v>
      </c>
    </row>
    <row r="74" spans="1:22" ht="13.8" thickTop="1" x14ac:dyDescent="0.25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8" thickBot="1" x14ac:dyDescent="0.3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8.2" thickTop="1" thickBot="1" x14ac:dyDescent="0.35">
      <c r="B76" s="652" t="s">
        <v>28</v>
      </c>
      <c r="C76" s="5"/>
      <c r="D76" s="5"/>
      <c r="E76" s="5"/>
      <c r="F76" s="112" t="s">
        <v>6</v>
      </c>
      <c r="G76" s="1415"/>
      <c r="H76" s="1416"/>
      <c r="I76" s="1417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2" t="s">
        <v>79</v>
      </c>
    </row>
    <row r="77" spans="1:22" x14ac:dyDescent="0.25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22" t="s">
        <v>57</v>
      </c>
      <c r="L77" s="1423"/>
      <c r="M77" s="57" t="s">
        <v>61</v>
      </c>
      <c r="N77" s="1432" t="s">
        <v>57</v>
      </c>
      <c r="O77" s="1436"/>
      <c r="P77" s="318" t="s">
        <v>61</v>
      </c>
      <c r="Q77" s="1422" t="s">
        <v>57</v>
      </c>
      <c r="R77" s="1423"/>
      <c r="S77" s="760"/>
      <c r="T77" s="37"/>
      <c r="U77" s="37"/>
    </row>
    <row r="78" spans="1:22" x14ac:dyDescent="0.25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1"/>
      <c r="T78" s="37"/>
      <c r="U78" s="37"/>
    </row>
    <row r="79" spans="1:22" s="1" customFormat="1" ht="13.8" thickBot="1" x14ac:dyDescent="0.3">
      <c r="A79" s="616"/>
      <c r="B79" s="759" t="str">
        <f>VLOOKUP(C$2,Monitor_Costs,25,FALSE)</f>
        <v>Calibration Stds</v>
      </c>
      <c r="C79" s="720">
        <f>VLOOKUP(C$2,Monitor_Costs,26,FALSE)</f>
        <v>1500</v>
      </c>
      <c r="D79" s="373">
        <f>VLOOKUP(C$2,Monitor_Costs,15,FALSE)</f>
        <v>2019</v>
      </c>
      <c r="E79" s="673"/>
      <c r="F79" s="674"/>
      <c r="G79" s="673"/>
      <c r="H79" s="721"/>
      <c r="I79" s="363"/>
      <c r="J79" s="296">
        <f>HLOOKUP($D$34,InflationTable,2)*$C79</f>
        <v>2026.2027729599256</v>
      </c>
      <c r="K79" s="296">
        <f>J79*$L$4</f>
        <v>0</v>
      </c>
      <c r="L79" s="297">
        <f>K79</f>
        <v>0</v>
      </c>
      <c r="M79" s="450">
        <f>HLOOKUP($D$34,InflationTable,3)*$C79</f>
        <v>2081.5437226698341</v>
      </c>
      <c r="N79" s="377">
        <f>M79*$O$4</f>
        <v>0</v>
      </c>
      <c r="O79" s="378">
        <f>N79</f>
        <v>0</v>
      </c>
      <c r="P79" s="296">
        <f>HLOOKUP($D$34,InflationTable,4)*$C79</f>
        <v>2106.4868052333122</v>
      </c>
      <c r="Q79" s="296">
        <f>P79*$R$4</f>
        <v>0</v>
      </c>
      <c r="R79" s="297">
        <f>Q79</f>
        <v>0</v>
      </c>
      <c r="S79" s="472" t="s">
        <v>12</v>
      </c>
      <c r="T79" s="375">
        <f>AVERAGE(L79,O79,R79)</f>
        <v>0</v>
      </c>
      <c r="U79" s="228" t="s">
        <v>12</v>
      </c>
    </row>
    <row r="80" spans="1:22" x14ac:dyDescent="0.25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 x14ac:dyDescent="0.25">
      <c r="B81" s="557" t="s">
        <v>205</v>
      </c>
      <c r="C81" s="21">
        <v>0</v>
      </c>
      <c r="D81" s="21">
        <v>0</v>
      </c>
      <c r="E81" s="21">
        <v>1</v>
      </c>
      <c r="F81" s="21">
        <v>2.5</v>
      </c>
      <c r="G81" s="21">
        <v>0</v>
      </c>
      <c r="H81" s="21">
        <v>0</v>
      </c>
      <c r="I81" s="52">
        <f t="shared" ref="I81:I86" si="20">SUM(C81:H81)</f>
        <v>3.5</v>
      </c>
      <c r="J81" s="263" t="s">
        <v>12</v>
      </c>
      <c r="K81" s="281">
        <f>I81*$L$4</f>
        <v>0</v>
      </c>
      <c r="L81" s="289">
        <f t="shared" ref="L81:L86" si="21">K81</f>
        <v>0</v>
      </c>
      <c r="M81" s="58" t="s">
        <v>12</v>
      </c>
      <c r="N81" s="69">
        <f>$I$81*$O$4</f>
        <v>0</v>
      </c>
      <c r="O81" s="68">
        <f t="shared" ref="O81:O86" si="22">N81</f>
        <v>0</v>
      </c>
      <c r="P81" s="263" t="s">
        <v>12</v>
      </c>
      <c r="Q81" s="281">
        <f>$I$81*$O$4</f>
        <v>0</v>
      </c>
      <c r="R81" s="289">
        <f t="shared" ref="R81:R86" si="23">Q81</f>
        <v>0</v>
      </c>
      <c r="S81" s="121">
        <f t="shared" ref="S81:S86" si="24">AVERAGE(L81,O81,R81)</f>
        <v>0</v>
      </c>
      <c r="T81" s="135" t="s">
        <v>12</v>
      </c>
      <c r="U81" s="136" t="s">
        <v>12</v>
      </c>
    </row>
    <row r="82" spans="2:22" s="1" customFormat="1" ht="13.8" thickBot="1" x14ac:dyDescent="0.3">
      <c r="B82" s="714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44</v>
      </c>
      <c r="F82" s="374">
        <f>ROUND(F81*Labor!$D$6,0)</f>
        <v>123</v>
      </c>
      <c r="G82" s="374">
        <f>ROUND(G81*Labor!$D$7,0)</f>
        <v>0</v>
      </c>
      <c r="H82" s="374">
        <f>ROUND(H81*Labor!$D$8,0)</f>
        <v>0</v>
      </c>
      <c r="I82" s="209">
        <f t="shared" si="20"/>
        <v>167</v>
      </c>
      <c r="J82" s="332">
        <f>HLOOKUP(Labor!$B$11,InflationTable,2)*I82</f>
        <v>225.58390872287171</v>
      </c>
      <c r="K82" s="296">
        <f>J82*$L$4</f>
        <v>0</v>
      </c>
      <c r="L82" s="297">
        <f t="shared" si="21"/>
        <v>0</v>
      </c>
      <c r="M82" s="450">
        <f>HLOOKUP(Labor!$B$11,InflationTable,3)*$I$82</f>
        <v>231.7452011239082</v>
      </c>
      <c r="N82" s="377">
        <f>M82*$O$4</f>
        <v>0</v>
      </c>
      <c r="O82" s="378">
        <f t="shared" si="22"/>
        <v>0</v>
      </c>
      <c r="P82" s="332">
        <f>HLOOKUP(Labor!$B$11,InflationTable,4)*$I82</f>
        <v>234.52219764930877</v>
      </c>
      <c r="Q82" s="296">
        <f>P82*$R$4</f>
        <v>0</v>
      </c>
      <c r="R82" s="297">
        <f t="shared" si="23"/>
        <v>0</v>
      </c>
      <c r="S82" s="211">
        <f t="shared" si="24"/>
        <v>0</v>
      </c>
      <c r="T82" s="393" t="s">
        <v>12</v>
      </c>
      <c r="U82" s="218" t="s">
        <v>12</v>
      </c>
    </row>
    <row r="83" spans="2:22" x14ac:dyDescent="0.25">
      <c r="B83" s="559" t="s">
        <v>206</v>
      </c>
      <c r="C83" s="346">
        <v>0</v>
      </c>
      <c r="D83" s="346">
        <v>0</v>
      </c>
      <c r="E83" s="346">
        <v>2</v>
      </c>
      <c r="F83" s="346">
        <v>4</v>
      </c>
      <c r="G83" s="346">
        <v>0</v>
      </c>
      <c r="H83" s="346">
        <v>0</v>
      </c>
      <c r="I83" s="347">
        <f t="shared" si="20"/>
        <v>6</v>
      </c>
      <c r="J83" s="293" t="s">
        <v>12</v>
      </c>
      <c r="K83" s="327">
        <f>I83*$L$4</f>
        <v>0</v>
      </c>
      <c r="L83" s="328">
        <f t="shared" si="21"/>
        <v>0</v>
      </c>
      <c r="M83" s="61" t="s">
        <v>12</v>
      </c>
      <c r="N83" s="348">
        <f>$I$83*$O$4</f>
        <v>0</v>
      </c>
      <c r="O83" s="349">
        <f t="shared" si="22"/>
        <v>0</v>
      </c>
      <c r="P83" s="293" t="s">
        <v>12</v>
      </c>
      <c r="Q83" s="327">
        <f>$I$83*$O$4</f>
        <v>0</v>
      </c>
      <c r="R83" s="328">
        <f t="shared" si="23"/>
        <v>0</v>
      </c>
      <c r="S83" s="129">
        <f t="shared" si="24"/>
        <v>0</v>
      </c>
      <c r="T83" s="135" t="s">
        <v>12</v>
      </c>
      <c r="U83" s="136" t="s">
        <v>12</v>
      </c>
    </row>
    <row r="84" spans="2:22" s="1" customFormat="1" ht="13.8" thickBot="1" x14ac:dyDescent="0.3">
      <c r="B84" s="714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88</v>
      </c>
      <c r="F84" s="374">
        <f>ROUND(F83*Labor!$D$6,0)</f>
        <v>197</v>
      </c>
      <c r="G84" s="374">
        <f>ROUND(G83*Labor!$D$7,0)</f>
        <v>0</v>
      </c>
      <c r="H84" s="374">
        <f>ROUND(H83*Labor!$D$8,0)</f>
        <v>0</v>
      </c>
      <c r="I84" s="209">
        <f t="shared" si="20"/>
        <v>285</v>
      </c>
      <c r="J84" s="332">
        <f>HLOOKUP(Labor!$B$11,InflationTable,2)*I84</f>
        <v>384.97852686238588</v>
      </c>
      <c r="K84" s="296">
        <f>J84*$L$4</f>
        <v>0</v>
      </c>
      <c r="L84" s="297">
        <f t="shared" si="21"/>
        <v>0</v>
      </c>
      <c r="M84" s="450">
        <f>HLOOKUP(Labor!$B$11,InflationTable,3)*$I$84</f>
        <v>395.49330730726848</v>
      </c>
      <c r="N84" s="377">
        <f>M84*$O$4</f>
        <v>0</v>
      </c>
      <c r="O84" s="378">
        <f t="shared" si="22"/>
        <v>0</v>
      </c>
      <c r="P84" s="332">
        <f>HLOOKUP(Labor!$B$11,InflationTable,4)*$I84</f>
        <v>400.23249299432933</v>
      </c>
      <c r="Q84" s="296">
        <f>P84*$R$4</f>
        <v>0</v>
      </c>
      <c r="R84" s="297">
        <f t="shared" si="23"/>
        <v>0</v>
      </c>
      <c r="S84" s="211">
        <f t="shared" si="24"/>
        <v>0</v>
      </c>
      <c r="T84" s="393" t="s">
        <v>12</v>
      </c>
      <c r="U84" s="218" t="s">
        <v>12</v>
      </c>
    </row>
    <row r="85" spans="2:22" x14ac:dyDescent="0.25">
      <c r="B85" s="559" t="s">
        <v>109</v>
      </c>
      <c r="C85" s="346">
        <v>0</v>
      </c>
      <c r="D85" s="346">
        <v>0.5</v>
      </c>
      <c r="E85" s="346">
        <v>4</v>
      </c>
      <c r="F85" s="346">
        <v>2.5</v>
      </c>
      <c r="G85" s="346">
        <v>1</v>
      </c>
      <c r="H85" s="346">
        <v>0</v>
      </c>
      <c r="I85" s="347">
        <f t="shared" si="20"/>
        <v>8</v>
      </c>
      <c r="J85" s="293" t="s">
        <v>12</v>
      </c>
      <c r="K85" s="327">
        <f>I85*$L$4</f>
        <v>0</v>
      </c>
      <c r="L85" s="328">
        <f t="shared" si="21"/>
        <v>0</v>
      </c>
      <c r="M85" s="61" t="s">
        <v>12</v>
      </c>
      <c r="N85" s="348">
        <f>$I85*$O$4</f>
        <v>0</v>
      </c>
      <c r="O85" s="349">
        <f t="shared" si="22"/>
        <v>0</v>
      </c>
      <c r="P85" s="293" t="s">
        <v>12</v>
      </c>
      <c r="Q85" s="327">
        <f>$I85*$O$4</f>
        <v>0</v>
      </c>
      <c r="R85" s="328">
        <f t="shared" si="23"/>
        <v>0</v>
      </c>
      <c r="S85" s="129">
        <f t="shared" si="24"/>
        <v>0</v>
      </c>
      <c r="T85" s="135" t="s">
        <v>12</v>
      </c>
      <c r="U85" s="136" t="s">
        <v>12</v>
      </c>
    </row>
    <row r="86" spans="2:22" s="1" customFormat="1" ht="13.8" thickBot="1" x14ac:dyDescent="0.3">
      <c r="B86" s="714" t="s">
        <v>8</v>
      </c>
      <c r="C86" s="373">
        <f>ROUND(C85*Labor!$D$3,0)</f>
        <v>0</v>
      </c>
      <c r="D86" s="374">
        <f>ROUND(D85*Labor!$D$4,0)</f>
        <v>20</v>
      </c>
      <c r="E86" s="374">
        <f>ROUND(E85*Labor!$D$5,0)</f>
        <v>176</v>
      </c>
      <c r="F86" s="374">
        <f>ROUND(F85*Labor!$D$6,0)</f>
        <v>123</v>
      </c>
      <c r="G86" s="374">
        <f>ROUND(G85*Labor!$D$7,0)</f>
        <v>55</v>
      </c>
      <c r="H86" s="374">
        <f>ROUND(H85*Labor!$D$8,0)</f>
        <v>0</v>
      </c>
      <c r="I86" s="209">
        <f t="shared" si="20"/>
        <v>374</v>
      </c>
      <c r="J86" s="332">
        <f>HLOOKUP(Labor!$B$11,InflationTable,2)*I86</f>
        <v>505.19989139134145</v>
      </c>
      <c r="K86" s="296">
        <f>J86*$L$4</f>
        <v>0</v>
      </c>
      <c r="L86" s="297">
        <f t="shared" si="21"/>
        <v>0</v>
      </c>
      <c r="M86" s="450">
        <f>HLOOKUP(Labor!$B$11,InflationTable,3)*$I86</f>
        <v>518.99823485234538</v>
      </c>
      <c r="N86" s="377">
        <f>M86*$O$4</f>
        <v>0</v>
      </c>
      <c r="O86" s="378">
        <f t="shared" si="22"/>
        <v>0</v>
      </c>
      <c r="P86" s="332">
        <f>HLOOKUP(Labor!$B$11,InflationTable,4)*$I86</f>
        <v>525.21737677150588</v>
      </c>
      <c r="Q86" s="296">
        <f>P86*$R$4</f>
        <v>0</v>
      </c>
      <c r="R86" s="297">
        <f t="shared" si="23"/>
        <v>0</v>
      </c>
      <c r="S86" s="446">
        <f t="shared" si="24"/>
        <v>0</v>
      </c>
      <c r="T86" s="444" t="s">
        <v>12</v>
      </c>
      <c r="U86" s="380" t="s">
        <v>12</v>
      </c>
    </row>
    <row r="87" spans="2:22" x14ac:dyDescent="0.25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 x14ac:dyDescent="0.25">
      <c r="B88" s="558" t="s">
        <v>4</v>
      </c>
      <c r="C88" s="21">
        <v>0</v>
      </c>
      <c r="D88" s="21">
        <v>0</v>
      </c>
      <c r="E88" s="21">
        <v>0</v>
      </c>
      <c r="F88" s="21">
        <v>3</v>
      </c>
      <c r="G88" s="21">
        <v>1.5</v>
      </c>
      <c r="H88" s="21">
        <v>0</v>
      </c>
      <c r="I88" s="52">
        <f>SUM(C88:H88)</f>
        <v>4.5</v>
      </c>
      <c r="J88" s="263" t="s">
        <v>12</v>
      </c>
      <c r="K88" s="281">
        <f>I88*$L$4</f>
        <v>0</v>
      </c>
      <c r="L88" s="289">
        <f>K88</f>
        <v>0</v>
      </c>
      <c r="M88" s="58" t="s">
        <v>12</v>
      </c>
      <c r="N88" s="69">
        <f>$I88*$O$4</f>
        <v>0</v>
      </c>
      <c r="O88" s="68">
        <f>N88</f>
        <v>0</v>
      </c>
      <c r="P88" s="263" t="s">
        <v>12</v>
      </c>
      <c r="Q88" s="281">
        <f>$I88*$O$4</f>
        <v>0</v>
      </c>
      <c r="R88" s="289">
        <f>Q88</f>
        <v>0</v>
      </c>
      <c r="S88" s="121">
        <f>AVERAGE(L88,O88,R88)</f>
        <v>0</v>
      </c>
      <c r="T88" s="135" t="s">
        <v>12</v>
      </c>
      <c r="U88" s="136" t="s">
        <v>12</v>
      </c>
    </row>
    <row r="89" spans="2:22" s="1" customFormat="1" ht="13.8" thickBot="1" x14ac:dyDescent="0.3">
      <c r="B89" s="714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148</v>
      </c>
      <c r="G89" s="374">
        <f>ROUND(G88*Labor!$D$7,0)</f>
        <v>83</v>
      </c>
      <c r="H89" s="374">
        <f>ROUND(H88*Labor!$D$8,0)</f>
        <v>0</v>
      </c>
      <c r="I89" s="209">
        <f>SUM(C89:H89)</f>
        <v>231</v>
      </c>
      <c r="J89" s="332">
        <f>HLOOKUP(Labor!$B$11,InflationTable,2)*I89</f>
        <v>312.03522703582854</v>
      </c>
      <c r="K89" s="296">
        <f>J89*$L$4</f>
        <v>0</v>
      </c>
      <c r="L89" s="297">
        <f>K89</f>
        <v>0</v>
      </c>
      <c r="M89" s="450">
        <f>HLOOKUP(Labor!$B$11,InflationTable,3)*$I89</f>
        <v>320.55773329115448</v>
      </c>
      <c r="N89" s="377">
        <f>M89*$O$4</f>
        <v>0</v>
      </c>
      <c r="O89" s="378">
        <f>N89</f>
        <v>0</v>
      </c>
      <c r="P89" s="332">
        <f>HLOOKUP(Labor!$B$11,InflationTable,4)*$I89</f>
        <v>324.3989680059301</v>
      </c>
      <c r="Q89" s="296">
        <f>P89*$R$4</f>
        <v>0</v>
      </c>
      <c r="R89" s="297">
        <f>Q89</f>
        <v>0</v>
      </c>
      <c r="S89" s="211">
        <f>AVERAGE(L89,O89,R89)</f>
        <v>0</v>
      </c>
      <c r="T89" s="393" t="s">
        <v>12</v>
      </c>
      <c r="U89" s="218" t="s">
        <v>12</v>
      </c>
    </row>
    <row r="90" spans="2:22" x14ac:dyDescent="0.25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34" t="s">
        <v>57</v>
      </c>
      <c r="O90" s="1435"/>
      <c r="P90" s="259" t="s">
        <v>55</v>
      </c>
      <c r="Q90" s="1431" t="s">
        <v>57</v>
      </c>
      <c r="R90" s="1439"/>
      <c r="S90" s="170"/>
      <c r="T90" s="133"/>
      <c r="U90" s="37"/>
    </row>
    <row r="91" spans="2:22" x14ac:dyDescent="0.25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0</v>
      </c>
      <c r="L91" s="282">
        <f>K91/$E$90</f>
        <v>0</v>
      </c>
      <c r="M91" s="58" t="s">
        <v>12</v>
      </c>
      <c r="N91" s="60">
        <f>$I$91*$M$5</f>
        <v>0</v>
      </c>
      <c r="O91" s="59">
        <f>N91/$E$90</f>
        <v>0</v>
      </c>
      <c r="P91" s="263" t="s">
        <v>12</v>
      </c>
      <c r="Q91" s="283">
        <f>$I$91*$P$5</f>
        <v>0</v>
      </c>
      <c r="R91" s="282">
        <f>Q91/$E$90</f>
        <v>0</v>
      </c>
      <c r="S91" s="121">
        <f>AVERAGE(L91,O91,R91)</f>
        <v>0</v>
      </c>
      <c r="T91" s="135" t="s">
        <v>12</v>
      </c>
      <c r="U91" s="136" t="s">
        <v>12</v>
      </c>
    </row>
    <row r="92" spans="2:22" s="1" customFormat="1" ht="13.8" thickBot="1" x14ac:dyDescent="0.3">
      <c r="B92" s="715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798.32389254621069</v>
      </c>
      <c r="K92" s="296">
        <f>J92*$J$5</f>
        <v>0</v>
      </c>
      <c r="L92" s="297">
        <f>K92/$E$90</f>
        <v>0</v>
      </c>
      <c r="M92" s="445">
        <f>HLOOKUP(Labor!$B$11,InflationTable,3)*$I92</f>
        <v>820.12822673191465</v>
      </c>
      <c r="N92" s="377">
        <f>M92*$M$5</f>
        <v>0</v>
      </c>
      <c r="O92" s="378">
        <f>N92/$E$90</f>
        <v>0</v>
      </c>
      <c r="P92" s="339">
        <f>HLOOKUP(Labor!$B$11,InflationTable,4)*$I92</f>
        <v>829.95580126192499</v>
      </c>
      <c r="Q92" s="296">
        <f>P92*$P$5</f>
        <v>0</v>
      </c>
      <c r="R92" s="297">
        <f>Q92/$E$90</f>
        <v>0</v>
      </c>
      <c r="S92" s="211">
        <f>AVERAGE(L92,O92,R92)</f>
        <v>0</v>
      </c>
      <c r="T92" s="393" t="s">
        <v>12</v>
      </c>
      <c r="U92" s="218" t="s">
        <v>12</v>
      </c>
    </row>
    <row r="93" spans="2:22" x14ac:dyDescent="0.25">
      <c r="B93" s="560" t="s">
        <v>66</v>
      </c>
      <c r="C93" s="42">
        <f t="shared" ref="C93:I94" si="25">C81+C83+C88+C85+C91</f>
        <v>0</v>
      </c>
      <c r="D93" s="42">
        <f t="shared" si="25"/>
        <v>0.5</v>
      </c>
      <c r="E93" s="42">
        <f t="shared" si="25"/>
        <v>7</v>
      </c>
      <c r="F93" s="42">
        <f t="shared" si="25"/>
        <v>24</v>
      </c>
      <c r="G93" s="42">
        <f t="shared" si="25"/>
        <v>2.5</v>
      </c>
      <c r="H93" s="42">
        <f t="shared" si="25"/>
        <v>0</v>
      </c>
      <c r="I93" s="42">
        <f t="shared" si="25"/>
        <v>34</v>
      </c>
      <c r="J93" s="293" t="s">
        <v>12</v>
      </c>
      <c r="K93" s="315" t="s">
        <v>12</v>
      </c>
      <c r="L93" s="315">
        <f>L81+L83+L88+L85+L91</f>
        <v>0</v>
      </c>
      <c r="M93" s="92" t="s">
        <v>12</v>
      </c>
      <c r="N93" s="42" t="s">
        <v>12</v>
      </c>
      <c r="O93" s="42">
        <f>O81+O83+O88+O85+O91</f>
        <v>0</v>
      </c>
      <c r="P93" s="758" t="s">
        <v>12</v>
      </c>
      <c r="Q93" s="315" t="s">
        <v>12</v>
      </c>
      <c r="R93" s="315">
        <f>R81+R83+R88+R85+R91</f>
        <v>0</v>
      </c>
      <c r="S93" s="150">
        <f>AVERAGE(L93,O93,R93)</f>
        <v>0</v>
      </c>
      <c r="T93" s="133"/>
      <c r="U93" s="37"/>
    </row>
    <row r="94" spans="2:22" ht="13.8" thickBot="1" x14ac:dyDescent="0.3">
      <c r="B94" s="561" t="s">
        <v>67</v>
      </c>
      <c r="C94" s="240">
        <f t="shared" si="25"/>
        <v>0</v>
      </c>
      <c r="D94" s="240">
        <f t="shared" si="25"/>
        <v>20</v>
      </c>
      <c r="E94" s="240">
        <f t="shared" si="25"/>
        <v>308</v>
      </c>
      <c r="F94" s="240">
        <f t="shared" si="25"/>
        <v>1182</v>
      </c>
      <c r="G94" s="240">
        <f t="shared" si="25"/>
        <v>138</v>
      </c>
      <c r="H94" s="240">
        <f t="shared" si="25"/>
        <v>0</v>
      </c>
      <c r="I94" s="240">
        <f t="shared" si="25"/>
        <v>1648</v>
      </c>
      <c r="J94" s="275">
        <f>J82+J84+J89+J86+J92</f>
        <v>2226.1214465586381</v>
      </c>
      <c r="K94" s="275">
        <f>K82+K84+K89+K86+K92</f>
        <v>0</v>
      </c>
      <c r="L94" s="275">
        <f>L82+L84+L89+L86+L92</f>
        <v>0</v>
      </c>
      <c r="M94" s="240">
        <f>M82+M84+M89+M86+M92</f>
        <v>2286.9227033065913</v>
      </c>
      <c r="N94" s="240">
        <f>N82+N84+N89+N86+N92</f>
        <v>0</v>
      </c>
      <c r="O94" s="240">
        <f>O82+O84+O89+O86+O92</f>
        <v>0</v>
      </c>
      <c r="P94" s="275">
        <f>P82+P84+P89+P86+P92</f>
        <v>2314.3268366829989</v>
      </c>
      <c r="Q94" s="275">
        <f>Q82+Q84+Q89+Q86+Q92</f>
        <v>0</v>
      </c>
      <c r="R94" s="275">
        <f>R82+R84+R89+R86+R92</f>
        <v>0</v>
      </c>
      <c r="S94" s="248">
        <f>AVERAGE(L94,O94,R94)</f>
        <v>0</v>
      </c>
      <c r="T94" s="763">
        <f>T79</f>
        <v>0</v>
      </c>
      <c r="U94" s="764" t="s">
        <v>12</v>
      </c>
    </row>
    <row r="95" spans="2:22" ht="14.4" thickTop="1" thickBot="1" x14ac:dyDescent="0.3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2" thickTop="1" x14ac:dyDescent="0.3">
      <c r="B96" s="562" t="s">
        <v>30</v>
      </c>
      <c r="C96" s="5"/>
      <c r="D96" s="5"/>
      <c r="E96" s="5"/>
      <c r="F96" s="112" t="s">
        <v>6</v>
      </c>
      <c r="G96" s="1415"/>
      <c r="H96" s="1416"/>
      <c r="I96" s="1417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 x14ac:dyDescent="0.25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22" t="s">
        <v>57</v>
      </c>
      <c r="L97" s="1423"/>
      <c r="M97" s="57" t="s">
        <v>61</v>
      </c>
      <c r="N97" s="1432" t="s">
        <v>57</v>
      </c>
      <c r="O97" s="1436"/>
      <c r="P97" s="318" t="s">
        <v>61</v>
      </c>
      <c r="Q97" s="1431" t="s">
        <v>57</v>
      </c>
      <c r="R97" s="1439"/>
      <c r="S97" s="131"/>
      <c r="T97" s="133"/>
      <c r="U97" s="37"/>
    </row>
    <row r="98" spans="1:22" x14ac:dyDescent="0.25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 x14ac:dyDescent="0.25">
      <c r="B99" s="566" t="s">
        <v>4</v>
      </c>
      <c r="C99" s="21">
        <v>0</v>
      </c>
      <c r="D99" s="21">
        <v>0</v>
      </c>
      <c r="E99" s="21">
        <v>0</v>
      </c>
      <c r="F99" s="21">
        <v>6</v>
      </c>
      <c r="G99" s="21">
        <v>3</v>
      </c>
      <c r="H99" s="21">
        <v>0</v>
      </c>
      <c r="I99" s="52">
        <f>SUM(C99:H99)</f>
        <v>9</v>
      </c>
      <c r="J99" s="263" t="s">
        <v>12</v>
      </c>
      <c r="K99" s="281">
        <f>I99*$L$4</f>
        <v>0</v>
      </c>
      <c r="L99" s="289">
        <f>K99</f>
        <v>0</v>
      </c>
      <c r="M99" s="58" t="s">
        <v>12</v>
      </c>
      <c r="N99" s="69">
        <f>$I99*O$4</f>
        <v>0</v>
      </c>
      <c r="O99" s="59">
        <f>N99</f>
        <v>0</v>
      </c>
      <c r="P99" s="263" t="s">
        <v>12</v>
      </c>
      <c r="Q99" s="281">
        <f>$I99*R$4</f>
        <v>0</v>
      </c>
      <c r="R99" s="289">
        <f>Q99</f>
        <v>0</v>
      </c>
      <c r="S99" s="173">
        <f t="shared" ref="S99:S104" si="26">AVERAGE(L99,O99,R99)</f>
        <v>0</v>
      </c>
      <c r="T99" s="135" t="s">
        <v>12</v>
      </c>
      <c r="U99" s="136" t="s">
        <v>12</v>
      </c>
    </row>
    <row r="100" spans="1:22" ht="13.8" thickBot="1" x14ac:dyDescent="0.3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296</v>
      </c>
      <c r="G100" s="35">
        <f>ROUND(G99*Labor!$D$7,0)</f>
        <v>166</v>
      </c>
      <c r="H100" s="35">
        <f>ROUND(H99*Labor!$D$8,0)</f>
        <v>0</v>
      </c>
      <c r="I100" s="39">
        <f>SUM(C100:H100)</f>
        <v>462</v>
      </c>
      <c r="J100" s="268">
        <f>HLOOKUP(Labor!$B$11,InflationTable,2)*I100</f>
        <v>624.07045407165708</v>
      </c>
      <c r="K100" s="269">
        <f>J100*$L$4</f>
        <v>0</v>
      </c>
      <c r="L100" s="308">
        <f>K100</f>
        <v>0</v>
      </c>
      <c r="M100" s="84">
        <f>HLOOKUP(Labor!$B$11,InflationTable,3)*$I100</f>
        <v>641.11546658230895</v>
      </c>
      <c r="N100" s="63">
        <f>M100*O$4</f>
        <v>0</v>
      </c>
      <c r="O100" s="64">
        <f>N100</f>
        <v>0</v>
      </c>
      <c r="P100" s="268">
        <f>HLOOKUP(Labor!$B$11,InflationTable,4)*$I100</f>
        <v>648.7979360118602</v>
      </c>
      <c r="Q100" s="269">
        <f>P100*R$4</f>
        <v>0</v>
      </c>
      <c r="R100" s="308">
        <f>Q100</f>
        <v>0</v>
      </c>
      <c r="S100" s="171">
        <f t="shared" si="26"/>
        <v>0</v>
      </c>
      <c r="T100" s="137" t="s">
        <v>12</v>
      </c>
      <c r="U100" s="149" t="s">
        <v>12</v>
      </c>
    </row>
    <row r="101" spans="1:22" x14ac:dyDescent="0.25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6</v>
      </c>
      <c r="H101" s="346">
        <v>3</v>
      </c>
      <c r="I101" s="347">
        <f>SUM(C101:H101)</f>
        <v>9</v>
      </c>
      <c r="J101" s="293" t="s">
        <v>12</v>
      </c>
      <c r="K101" s="327">
        <f>I101*$L$4</f>
        <v>0</v>
      </c>
      <c r="L101" s="328">
        <f>K101</f>
        <v>0</v>
      </c>
      <c r="M101" s="61" t="s">
        <v>12</v>
      </c>
      <c r="N101" s="348">
        <f>$I101*O$4</f>
        <v>0</v>
      </c>
      <c r="O101" s="349">
        <f>N101</f>
        <v>0</v>
      </c>
      <c r="P101" s="293" t="s">
        <v>12</v>
      </c>
      <c r="Q101" s="327">
        <f>$I101*R$4</f>
        <v>0</v>
      </c>
      <c r="R101" s="328">
        <f>Q101</f>
        <v>0</v>
      </c>
      <c r="S101" s="173">
        <f t="shared" si="26"/>
        <v>0</v>
      </c>
      <c r="T101" s="135" t="s">
        <v>12</v>
      </c>
      <c r="U101" s="136" t="s">
        <v>12</v>
      </c>
    </row>
    <row r="102" spans="1:22" ht="13.8" thickBot="1" x14ac:dyDescent="0.3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333</v>
      </c>
      <c r="H102" s="35">
        <f>ROUND(H101*Labor!$D$8,0)</f>
        <v>176</v>
      </c>
      <c r="I102" s="39">
        <f>SUM(C102:H102)</f>
        <v>509</v>
      </c>
      <c r="J102" s="268">
        <f>HLOOKUP(Labor!$B$11,InflationTable,2)*I102</f>
        <v>687.55814095773474</v>
      </c>
      <c r="K102" s="269">
        <f>J102*$L$4</f>
        <v>0</v>
      </c>
      <c r="L102" s="300">
        <f>K102</f>
        <v>0</v>
      </c>
      <c r="M102" s="84">
        <f>HLOOKUP(Labor!$B$11,InflationTable,3)*$I102</f>
        <v>706.33716989263041</v>
      </c>
      <c r="N102" s="63">
        <f>M102*O$4</f>
        <v>0</v>
      </c>
      <c r="O102" s="64">
        <f>N102</f>
        <v>0</v>
      </c>
      <c r="P102" s="292">
        <f>HLOOKUP(Labor!$B$11,InflationTable,4)*$I102</f>
        <v>714.80118924250394</v>
      </c>
      <c r="Q102" s="269">
        <f>P102*R$4</f>
        <v>0</v>
      </c>
      <c r="R102" s="300">
        <f>Q102</f>
        <v>0</v>
      </c>
      <c r="S102" s="128">
        <f t="shared" si="26"/>
        <v>0</v>
      </c>
      <c r="T102" s="137" t="s">
        <v>12</v>
      </c>
      <c r="U102" s="149" t="s">
        <v>12</v>
      </c>
    </row>
    <row r="103" spans="1:22" x14ac:dyDescent="0.25">
      <c r="A103" t="s">
        <v>208</v>
      </c>
      <c r="B103" s="560" t="s">
        <v>66</v>
      </c>
      <c r="C103" s="36">
        <f t="shared" ref="C103:I104" si="27">C99+C101</f>
        <v>0</v>
      </c>
      <c r="D103" s="36">
        <f t="shared" si="27"/>
        <v>0</v>
      </c>
      <c r="E103" s="36">
        <f t="shared" si="27"/>
        <v>0</v>
      </c>
      <c r="F103" s="36">
        <f t="shared" si="27"/>
        <v>6</v>
      </c>
      <c r="G103" s="36">
        <f t="shared" si="27"/>
        <v>9</v>
      </c>
      <c r="H103" s="36">
        <f t="shared" si="27"/>
        <v>3</v>
      </c>
      <c r="I103" s="46">
        <f t="shared" si="27"/>
        <v>18</v>
      </c>
      <c r="J103" s="301" t="s">
        <v>12</v>
      </c>
      <c r="K103" s="320">
        <f>K99+K101</f>
        <v>0</v>
      </c>
      <c r="L103" s="321">
        <f>L99+L101</f>
        <v>0</v>
      </c>
      <c r="M103" s="85" t="s">
        <v>12</v>
      </c>
      <c r="N103" s="36">
        <f>N99+N101</f>
        <v>0</v>
      </c>
      <c r="O103" s="100">
        <f>O99+O101</f>
        <v>0</v>
      </c>
      <c r="P103" s="301" t="s">
        <v>12</v>
      </c>
      <c r="Q103" s="320">
        <f>Q99+Q101</f>
        <v>0</v>
      </c>
      <c r="R103" s="322">
        <f>R99+R101</f>
        <v>0</v>
      </c>
      <c r="S103" s="121">
        <f t="shared" si="26"/>
        <v>0</v>
      </c>
      <c r="T103" s="135" t="s">
        <v>12</v>
      </c>
      <c r="U103" s="136" t="s">
        <v>12</v>
      </c>
    </row>
    <row r="104" spans="1:22" ht="13.8" thickBot="1" x14ac:dyDescent="0.3">
      <c r="B104" s="561" t="s">
        <v>67</v>
      </c>
      <c r="C104" s="240">
        <f t="shared" si="27"/>
        <v>0</v>
      </c>
      <c r="D104" s="240">
        <f t="shared" si="27"/>
        <v>0</v>
      </c>
      <c r="E104" s="240">
        <f t="shared" si="27"/>
        <v>0</v>
      </c>
      <c r="F104" s="240">
        <f t="shared" si="27"/>
        <v>296</v>
      </c>
      <c r="G104" s="240">
        <f t="shared" si="27"/>
        <v>499</v>
      </c>
      <c r="H104" s="240">
        <f t="shared" si="27"/>
        <v>176</v>
      </c>
      <c r="I104" s="243">
        <f t="shared" si="27"/>
        <v>971</v>
      </c>
      <c r="J104" s="274">
        <f>J100+J102</f>
        <v>1311.6285950293918</v>
      </c>
      <c r="K104" s="275">
        <f>K100+K102</f>
        <v>0</v>
      </c>
      <c r="L104" s="276">
        <f>L100+L102</f>
        <v>0</v>
      </c>
      <c r="M104" s="242">
        <f>M100+M102</f>
        <v>1347.4526364749395</v>
      </c>
      <c r="N104" s="240">
        <f>N100+N102</f>
        <v>0</v>
      </c>
      <c r="O104" s="243">
        <f>O100+O102</f>
        <v>0</v>
      </c>
      <c r="P104" s="313">
        <f>P100+P102</f>
        <v>1363.599125254364</v>
      </c>
      <c r="Q104" s="275">
        <f>Q100+Q102</f>
        <v>0</v>
      </c>
      <c r="R104" s="276">
        <f>R100+R102</f>
        <v>0</v>
      </c>
      <c r="S104" s="257">
        <f t="shared" si="26"/>
        <v>0</v>
      </c>
      <c r="T104" s="258" t="s">
        <v>12</v>
      </c>
      <c r="U104" s="249" t="s">
        <v>12</v>
      </c>
    </row>
    <row r="105" spans="1:22" ht="14.4" thickTop="1" thickBot="1" x14ac:dyDescent="0.3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8.600000000000001" thickTop="1" thickBot="1" x14ac:dyDescent="0.35">
      <c r="B106" s="556" t="s">
        <v>121</v>
      </c>
      <c r="C106" s="647" t="str">
        <f>C2</f>
        <v>PAMSHalfD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0</v>
      </c>
      <c r="L106" s="83"/>
      <c r="M106" s="79" t="str">
        <f>M2</f>
        <v>Year 2</v>
      </c>
      <c r="N106" s="79">
        <f>N2</f>
        <v>1</v>
      </c>
      <c r="O106" s="41"/>
      <c r="P106" s="233" t="str">
        <f>P2</f>
        <v>Year 3</v>
      </c>
      <c r="Q106" s="233">
        <f>Q2</f>
        <v>2</v>
      </c>
      <c r="R106" s="83"/>
      <c r="S106" s="152"/>
      <c r="T106" s="130"/>
      <c r="U106" s="570"/>
    </row>
    <row r="107" spans="1:22" ht="13.8" thickBot="1" x14ac:dyDescent="0.3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 x14ac:dyDescent="0.25">
      <c r="B108" s="572" t="s">
        <v>97</v>
      </c>
      <c r="C108" s="196">
        <f t="shared" ref="C108:S108" si="28">C15</f>
        <v>0</v>
      </c>
      <c r="D108" s="184">
        <f t="shared" si="28"/>
        <v>0</v>
      </c>
      <c r="E108" s="184">
        <f t="shared" si="28"/>
        <v>0</v>
      </c>
      <c r="F108" s="184">
        <f t="shared" si="28"/>
        <v>0</v>
      </c>
      <c r="G108" s="184">
        <f t="shared" si="28"/>
        <v>0</v>
      </c>
      <c r="H108" s="184">
        <f t="shared" si="28"/>
        <v>0</v>
      </c>
      <c r="I108" s="185">
        <f t="shared" si="28"/>
        <v>0</v>
      </c>
      <c r="J108" s="326" t="str">
        <f t="shared" si="28"/>
        <v>NA</v>
      </c>
      <c r="K108" s="327">
        <f t="shared" si="28"/>
        <v>0</v>
      </c>
      <c r="L108" s="328">
        <f t="shared" si="28"/>
        <v>0</v>
      </c>
      <c r="M108" s="186" t="str">
        <f t="shared" si="28"/>
        <v>NA</v>
      </c>
      <c r="N108" s="184">
        <f t="shared" si="28"/>
        <v>0</v>
      </c>
      <c r="O108" s="185">
        <f t="shared" si="28"/>
        <v>0</v>
      </c>
      <c r="P108" s="326" t="str">
        <f t="shared" si="28"/>
        <v>NA</v>
      </c>
      <c r="Q108" s="327">
        <f t="shared" si="28"/>
        <v>0</v>
      </c>
      <c r="R108" s="328">
        <f t="shared" si="28"/>
        <v>0</v>
      </c>
      <c r="S108" s="185">
        <f t="shared" si="28"/>
        <v>0</v>
      </c>
      <c r="T108" s="37"/>
      <c r="U108" s="138"/>
    </row>
    <row r="109" spans="1:22" ht="13.8" thickBot="1" x14ac:dyDescent="0.3">
      <c r="B109" s="573" t="s">
        <v>76</v>
      </c>
      <c r="C109" s="203">
        <f t="shared" ref="C109:S109" si="29">C16</f>
        <v>0</v>
      </c>
      <c r="D109" s="204">
        <f t="shared" si="29"/>
        <v>0</v>
      </c>
      <c r="E109" s="204">
        <f t="shared" si="29"/>
        <v>0</v>
      </c>
      <c r="F109" s="204">
        <f t="shared" si="29"/>
        <v>0</v>
      </c>
      <c r="G109" s="204">
        <f t="shared" si="29"/>
        <v>0</v>
      </c>
      <c r="H109" s="204">
        <f t="shared" si="29"/>
        <v>0</v>
      </c>
      <c r="I109" s="205">
        <f t="shared" si="29"/>
        <v>0</v>
      </c>
      <c r="J109" s="329">
        <f t="shared" si="29"/>
        <v>0</v>
      </c>
      <c r="K109" s="330">
        <f t="shared" si="29"/>
        <v>0</v>
      </c>
      <c r="L109" s="331">
        <f t="shared" si="29"/>
        <v>0</v>
      </c>
      <c r="M109" s="203">
        <f t="shared" si="29"/>
        <v>0</v>
      </c>
      <c r="N109" s="204">
        <f t="shared" si="29"/>
        <v>0</v>
      </c>
      <c r="O109" s="205">
        <f t="shared" si="29"/>
        <v>0</v>
      </c>
      <c r="P109" s="329">
        <f t="shared" si="29"/>
        <v>0</v>
      </c>
      <c r="Q109" s="330">
        <f t="shared" si="29"/>
        <v>0</v>
      </c>
      <c r="R109" s="331">
        <f t="shared" si="29"/>
        <v>0</v>
      </c>
      <c r="S109" s="205">
        <f t="shared" si="29"/>
        <v>0</v>
      </c>
      <c r="T109" s="206" t="str">
        <f>T16</f>
        <v>NA</v>
      </c>
      <c r="U109" s="392" t="s">
        <v>12</v>
      </c>
    </row>
    <row r="110" spans="1:22" x14ac:dyDescent="0.25">
      <c r="B110" s="574" t="s">
        <v>98</v>
      </c>
      <c r="C110" s="196">
        <f t="shared" ref="C110:S110" si="30">C28</f>
        <v>0</v>
      </c>
      <c r="D110" s="184">
        <f t="shared" si="30"/>
        <v>6</v>
      </c>
      <c r="E110" s="184">
        <f t="shared" si="30"/>
        <v>0</v>
      </c>
      <c r="F110" s="184">
        <f t="shared" si="30"/>
        <v>8</v>
      </c>
      <c r="G110" s="184">
        <f t="shared" si="30"/>
        <v>0</v>
      </c>
      <c r="H110" s="184">
        <f t="shared" si="30"/>
        <v>0</v>
      </c>
      <c r="I110" s="185">
        <f t="shared" si="30"/>
        <v>14</v>
      </c>
      <c r="J110" s="326" t="str">
        <f t="shared" si="30"/>
        <v>NA</v>
      </c>
      <c r="K110" s="327">
        <f t="shared" si="30"/>
        <v>0</v>
      </c>
      <c r="L110" s="328">
        <f t="shared" si="30"/>
        <v>0</v>
      </c>
      <c r="M110" s="186" t="str">
        <f t="shared" si="30"/>
        <v>NA</v>
      </c>
      <c r="N110" s="184">
        <f t="shared" si="30"/>
        <v>0</v>
      </c>
      <c r="O110" s="185">
        <f t="shared" si="30"/>
        <v>0</v>
      </c>
      <c r="P110" s="326" t="str">
        <f t="shared" si="30"/>
        <v>NA</v>
      </c>
      <c r="Q110" s="327">
        <f t="shared" si="30"/>
        <v>0</v>
      </c>
      <c r="R110" s="328">
        <f t="shared" si="30"/>
        <v>0</v>
      </c>
      <c r="S110" s="185">
        <f t="shared" si="30"/>
        <v>0</v>
      </c>
      <c r="T110" s="37"/>
      <c r="U110" s="138"/>
    </row>
    <row r="111" spans="1:22" ht="13.8" thickBot="1" x14ac:dyDescent="0.3">
      <c r="B111" s="573" t="s">
        <v>76</v>
      </c>
      <c r="C111" s="207">
        <f t="shared" ref="C111:S111" si="31">C29</f>
        <v>0</v>
      </c>
      <c r="D111" s="208">
        <f t="shared" si="31"/>
        <v>245</v>
      </c>
      <c r="E111" s="208">
        <f t="shared" si="31"/>
        <v>0</v>
      </c>
      <c r="F111" s="208">
        <f t="shared" si="31"/>
        <v>394</v>
      </c>
      <c r="G111" s="208">
        <f t="shared" si="31"/>
        <v>0</v>
      </c>
      <c r="H111" s="208">
        <f t="shared" si="31"/>
        <v>0</v>
      </c>
      <c r="I111" s="209">
        <f t="shared" si="31"/>
        <v>639</v>
      </c>
      <c r="J111" s="332">
        <f t="shared" si="31"/>
        <v>863.16238128092834</v>
      </c>
      <c r="K111" s="296">
        <f t="shared" si="31"/>
        <v>0</v>
      </c>
      <c r="L111" s="297">
        <f t="shared" si="31"/>
        <v>0</v>
      </c>
      <c r="M111" s="207">
        <f t="shared" si="31"/>
        <v>886.73762585734937</v>
      </c>
      <c r="N111" s="208">
        <f t="shared" si="31"/>
        <v>0</v>
      </c>
      <c r="O111" s="209">
        <f t="shared" si="31"/>
        <v>0</v>
      </c>
      <c r="P111" s="332">
        <f t="shared" si="31"/>
        <v>897.36337902939101</v>
      </c>
      <c r="Q111" s="296">
        <f t="shared" si="31"/>
        <v>0</v>
      </c>
      <c r="R111" s="297">
        <f t="shared" si="31"/>
        <v>0</v>
      </c>
      <c r="S111" s="209">
        <f t="shared" si="31"/>
        <v>0</v>
      </c>
      <c r="T111" s="210" t="str">
        <f>T29</f>
        <v>NA</v>
      </c>
      <c r="U111" s="765">
        <f>U29</f>
        <v>0</v>
      </c>
    </row>
    <row r="112" spans="1:22" x14ac:dyDescent="0.25">
      <c r="B112" s="574" t="s">
        <v>96</v>
      </c>
      <c r="C112" s="197">
        <f t="shared" ref="C112:S112" si="32">C44</f>
        <v>0</v>
      </c>
      <c r="D112" s="25">
        <f t="shared" si="32"/>
        <v>16</v>
      </c>
      <c r="E112" s="25">
        <f t="shared" si="32"/>
        <v>16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198">
        <f t="shared" si="32"/>
        <v>32</v>
      </c>
      <c r="J112" s="333" t="str">
        <f t="shared" si="32"/>
        <v>NA</v>
      </c>
      <c r="K112" s="334">
        <f t="shared" si="32"/>
        <v>0</v>
      </c>
      <c r="L112" s="335">
        <f t="shared" si="32"/>
        <v>0</v>
      </c>
      <c r="M112" s="199" t="str">
        <f t="shared" si="32"/>
        <v>NA</v>
      </c>
      <c r="N112" s="25">
        <f t="shared" si="32"/>
        <v>0</v>
      </c>
      <c r="O112" s="198">
        <f t="shared" si="32"/>
        <v>0</v>
      </c>
      <c r="P112" s="333" t="str">
        <f t="shared" si="32"/>
        <v>NA</v>
      </c>
      <c r="Q112" s="334">
        <f t="shared" si="32"/>
        <v>0</v>
      </c>
      <c r="R112" s="335">
        <f t="shared" si="32"/>
        <v>0</v>
      </c>
      <c r="S112" s="198">
        <f t="shared" si="32"/>
        <v>0</v>
      </c>
      <c r="T112" s="200" t="str">
        <f>T21</f>
        <v>NA</v>
      </c>
      <c r="U112" s="147" t="s">
        <v>12</v>
      </c>
    </row>
    <row r="113" spans="2:21" ht="13.8" thickBot="1" x14ac:dyDescent="0.3">
      <c r="B113" s="573" t="s">
        <v>76</v>
      </c>
      <c r="C113" s="211">
        <f t="shared" ref="C113:S113" si="33">C45</f>
        <v>0</v>
      </c>
      <c r="D113" s="208">
        <f t="shared" si="33"/>
        <v>16</v>
      </c>
      <c r="E113" s="208">
        <f t="shared" si="33"/>
        <v>16</v>
      </c>
      <c r="F113" s="208">
        <f t="shared" si="33"/>
        <v>0</v>
      </c>
      <c r="G113" s="208">
        <f t="shared" si="33"/>
        <v>0</v>
      </c>
      <c r="H113" s="208">
        <f t="shared" si="33"/>
        <v>0</v>
      </c>
      <c r="I113" s="209">
        <f t="shared" si="33"/>
        <v>1485</v>
      </c>
      <c r="J113" s="332">
        <f t="shared" si="33"/>
        <v>2005.9407452303265</v>
      </c>
      <c r="K113" s="296">
        <f t="shared" si="33"/>
        <v>0</v>
      </c>
      <c r="L113" s="297">
        <f t="shared" si="33"/>
        <v>0</v>
      </c>
      <c r="M113" s="207">
        <f t="shared" si="33"/>
        <v>2060.728285443136</v>
      </c>
      <c r="N113" s="208">
        <f t="shared" si="33"/>
        <v>0</v>
      </c>
      <c r="O113" s="209">
        <f t="shared" si="33"/>
        <v>0</v>
      </c>
      <c r="P113" s="332">
        <f t="shared" si="33"/>
        <v>2085.4219371809791</v>
      </c>
      <c r="Q113" s="296">
        <f t="shared" si="33"/>
        <v>0</v>
      </c>
      <c r="R113" s="297">
        <f t="shared" si="33"/>
        <v>0</v>
      </c>
      <c r="S113" s="209">
        <f t="shared" si="33"/>
        <v>0</v>
      </c>
      <c r="T113" s="209">
        <f>T45</f>
        <v>0</v>
      </c>
      <c r="U113" s="765">
        <f>U45</f>
        <v>0</v>
      </c>
    </row>
    <row r="114" spans="2:21" x14ac:dyDescent="0.25">
      <c r="B114" s="574" t="s">
        <v>99</v>
      </c>
      <c r="C114" s="197">
        <f t="shared" ref="C114:S114" si="34">C58</f>
        <v>0</v>
      </c>
      <c r="D114" s="25">
        <f t="shared" si="34"/>
        <v>0</v>
      </c>
      <c r="E114" s="25">
        <f t="shared" si="34"/>
        <v>22</v>
      </c>
      <c r="F114" s="25">
        <f t="shared" si="34"/>
        <v>42</v>
      </c>
      <c r="G114" s="25">
        <f t="shared" si="34"/>
        <v>0</v>
      </c>
      <c r="H114" s="25">
        <f t="shared" si="34"/>
        <v>0</v>
      </c>
      <c r="I114" s="198">
        <f t="shared" si="34"/>
        <v>64</v>
      </c>
      <c r="J114" s="333" t="str">
        <f t="shared" si="34"/>
        <v>NA</v>
      </c>
      <c r="K114" s="334">
        <f t="shared" si="34"/>
        <v>0</v>
      </c>
      <c r="L114" s="335">
        <f t="shared" si="34"/>
        <v>0</v>
      </c>
      <c r="M114" s="199" t="str">
        <f t="shared" si="34"/>
        <v>NA</v>
      </c>
      <c r="N114" s="25">
        <f t="shared" si="34"/>
        <v>0</v>
      </c>
      <c r="O114" s="198">
        <f t="shared" si="34"/>
        <v>0</v>
      </c>
      <c r="P114" s="333" t="str">
        <f t="shared" si="34"/>
        <v>NA</v>
      </c>
      <c r="Q114" s="334">
        <f t="shared" si="34"/>
        <v>0</v>
      </c>
      <c r="R114" s="335">
        <f t="shared" si="34"/>
        <v>0</v>
      </c>
      <c r="S114" s="198">
        <f t="shared" si="34"/>
        <v>0</v>
      </c>
      <c r="T114" s="37"/>
      <c r="U114" s="138"/>
    </row>
    <row r="115" spans="2:21" ht="13.8" thickBot="1" x14ac:dyDescent="0.3">
      <c r="B115" s="573" t="s">
        <v>76</v>
      </c>
      <c r="C115" s="207">
        <f t="shared" ref="C115:S115" si="35">C59</f>
        <v>0</v>
      </c>
      <c r="D115" s="208">
        <f t="shared" si="35"/>
        <v>0</v>
      </c>
      <c r="E115" s="208">
        <f t="shared" si="35"/>
        <v>971</v>
      </c>
      <c r="F115" s="208">
        <f t="shared" si="35"/>
        <v>2070</v>
      </c>
      <c r="G115" s="208">
        <f t="shared" si="35"/>
        <v>0</v>
      </c>
      <c r="H115" s="208">
        <f t="shared" si="35"/>
        <v>0</v>
      </c>
      <c r="I115" s="209">
        <f t="shared" si="35"/>
        <v>5923</v>
      </c>
      <c r="J115" s="332">
        <f t="shared" si="35"/>
        <v>8000.7993494944258</v>
      </c>
      <c r="K115" s="296">
        <f t="shared" si="35"/>
        <v>0</v>
      </c>
      <c r="L115" s="297">
        <f t="shared" si="35"/>
        <v>0</v>
      </c>
      <c r="M115" s="211">
        <f t="shared" si="35"/>
        <v>8175.7136445442111</v>
      </c>
      <c r="N115" s="208">
        <f t="shared" si="35"/>
        <v>0</v>
      </c>
      <c r="O115" s="209">
        <f t="shared" si="35"/>
        <v>0</v>
      </c>
      <c r="P115" s="332">
        <f t="shared" si="35"/>
        <v>8254.5504141665097</v>
      </c>
      <c r="Q115" s="296">
        <f t="shared" si="35"/>
        <v>0</v>
      </c>
      <c r="R115" s="297">
        <f t="shared" si="35"/>
        <v>0</v>
      </c>
      <c r="S115" s="209">
        <f t="shared" si="35"/>
        <v>0</v>
      </c>
      <c r="T115" s="209">
        <f>T59</f>
        <v>0</v>
      </c>
      <c r="U115" s="576" t="s">
        <v>12</v>
      </c>
    </row>
    <row r="116" spans="2:21" x14ac:dyDescent="0.25">
      <c r="B116" s="574" t="s">
        <v>100</v>
      </c>
      <c r="C116" s="197">
        <f t="shared" ref="C116:U116" si="36">C72</f>
        <v>0</v>
      </c>
      <c r="D116" s="25">
        <f t="shared" si="36"/>
        <v>0</v>
      </c>
      <c r="E116" s="25">
        <f t="shared" si="36"/>
        <v>6</v>
      </c>
      <c r="F116" s="25">
        <f t="shared" si="36"/>
        <v>22</v>
      </c>
      <c r="G116" s="25">
        <f t="shared" si="36"/>
        <v>3.5</v>
      </c>
      <c r="H116" s="25">
        <f t="shared" si="36"/>
        <v>0.5</v>
      </c>
      <c r="I116" s="198">
        <f t="shared" si="36"/>
        <v>32</v>
      </c>
      <c r="J116" s="333" t="str">
        <f t="shared" si="36"/>
        <v>NA</v>
      </c>
      <c r="K116" s="334">
        <f t="shared" si="36"/>
        <v>0</v>
      </c>
      <c r="L116" s="335">
        <f t="shared" si="36"/>
        <v>0</v>
      </c>
      <c r="M116" s="199" t="str">
        <f t="shared" si="36"/>
        <v>NA</v>
      </c>
      <c r="N116" s="25">
        <f t="shared" si="36"/>
        <v>0</v>
      </c>
      <c r="O116" s="198">
        <f t="shared" si="36"/>
        <v>0</v>
      </c>
      <c r="P116" s="333" t="str">
        <f t="shared" si="36"/>
        <v>NA</v>
      </c>
      <c r="Q116" s="334">
        <f t="shared" si="36"/>
        <v>0</v>
      </c>
      <c r="R116" s="335">
        <f t="shared" si="36"/>
        <v>0</v>
      </c>
      <c r="S116" s="198">
        <f t="shared" si="36"/>
        <v>0</v>
      </c>
      <c r="T116" s="212" t="str">
        <f t="shared" si="36"/>
        <v>NA</v>
      </c>
      <c r="U116" s="577" t="str">
        <f t="shared" si="36"/>
        <v>NA</v>
      </c>
    </row>
    <row r="117" spans="2:21" ht="13.8" thickBot="1" x14ac:dyDescent="0.3">
      <c r="B117" s="573" t="s">
        <v>76</v>
      </c>
      <c r="C117" s="207">
        <f t="shared" ref="C117:T117" si="37">C73</f>
        <v>0</v>
      </c>
      <c r="D117" s="208">
        <f t="shared" si="37"/>
        <v>0</v>
      </c>
      <c r="E117" s="208">
        <f t="shared" si="37"/>
        <v>265</v>
      </c>
      <c r="F117" s="208">
        <f t="shared" si="37"/>
        <v>1084</v>
      </c>
      <c r="G117" s="208">
        <f t="shared" si="37"/>
        <v>194</v>
      </c>
      <c r="H117" s="208">
        <f t="shared" si="37"/>
        <v>29</v>
      </c>
      <c r="I117" s="209">
        <f t="shared" si="37"/>
        <v>1572</v>
      </c>
      <c r="J117" s="332">
        <f t="shared" si="37"/>
        <v>2123.460506062002</v>
      </c>
      <c r="K117" s="296">
        <f t="shared" si="37"/>
        <v>0</v>
      </c>
      <c r="L117" s="297">
        <f t="shared" si="37"/>
        <v>0</v>
      </c>
      <c r="M117" s="207">
        <f t="shared" si="37"/>
        <v>2181.4578213579862</v>
      </c>
      <c r="N117" s="208">
        <f t="shared" si="37"/>
        <v>0</v>
      </c>
      <c r="O117" s="209">
        <f t="shared" si="37"/>
        <v>0</v>
      </c>
      <c r="P117" s="339">
        <f t="shared" si="37"/>
        <v>2207.5981718845114</v>
      </c>
      <c r="Q117" s="296">
        <f t="shared" si="37"/>
        <v>0</v>
      </c>
      <c r="R117" s="297">
        <f t="shared" si="37"/>
        <v>0</v>
      </c>
      <c r="S117" s="209">
        <f t="shared" si="37"/>
        <v>0</v>
      </c>
      <c r="T117" s="210" t="str">
        <f t="shared" si="37"/>
        <v>NA</v>
      </c>
      <c r="U117" s="392" t="s">
        <v>12</v>
      </c>
    </row>
    <row r="118" spans="2:21" x14ac:dyDescent="0.25">
      <c r="B118" s="574" t="s">
        <v>101</v>
      </c>
      <c r="C118" s="213">
        <f t="shared" ref="C118:S118" si="38">C93</f>
        <v>0</v>
      </c>
      <c r="D118" s="214">
        <f t="shared" si="38"/>
        <v>0.5</v>
      </c>
      <c r="E118" s="214">
        <f t="shared" si="38"/>
        <v>7</v>
      </c>
      <c r="F118" s="214">
        <f t="shared" si="38"/>
        <v>24</v>
      </c>
      <c r="G118" s="214">
        <f t="shared" si="38"/>
        <v>2.5</v>
      </c>
      <c r="H118" s="214">
        <f t="shared" si="38"/>
        <v>0</v>
      </c>
      <c r="I118" s="215">
        <f t="shared" si="38"/>
        <v>34</v>
      </c>
      <c r="J118" s="336" t="str">
        <f t="shared" si="38"/>
        <v>NA</v>
      </c>
      <c r="K118" s="337" t="str">
        <f t="shared" si="38"/>
        <v>NA</v>
      </c>
      <c r="L118" s="294">
        <f t="shared" si="38"/>
        <v>0</v>
      </c>
      <c r="M118" s="216" t="str">
        <f t="shared" si="38"/>
        <v>NA</v>
      </c>
      <c r="N118" s="217" t="str">
        <f t="shared" si="38"/>
        <v>NA</v>
      </c>
      <c r="O118" s="215">
        <f t="shared" si="38"/>
        <v>0</v>
      </c>
      <c r="P118" s="336" t="str">
        <f t="shared" si="38"/>
        <v>NA</v>
      </c>
      <c r="Q118" s="337" t="str">
        <f t="shared" si="38"/>
        <v>NA</v>
      </c>
      <c r="R118" s="294">
        <f t="shared" si="38"/>
        <v>0</v>
      </c>
      <c r="S118" s="215">
        <f t="shared" si="38"/>
        <v>0</v>
      </c>
      <c r="T118" s="136" t="s">
        <v>12</v>
      </c>
      <c r="U118" s="147" t="s">
        <v>12</v>
      </c>
    </row>
    <row r="119" spans="2:21" ht="13.8" thickBot="1" x14ac:dyDescent="0.3">
      <c r="B119" s="573" t="s">
        <v>76</v>
      </c>
      <c r="C119" s="207">
        <f t="shared" ref="C119:S119" si="39">C94</f>
        <v>0</v>
      </c>
      <c r="D119" s="208">
        <f t="shared" si="39"/>
        <v>20</v>
      </c>
      <c r="E119" s="208">
        <f t="shared" si="39"/>
        <v>308</v>
      </c>
      <c r="F119" s="208">
        <f t="shared" si="39"/>
        <v>1182</v>
      </c>
      <c r="G119" s="208">
        <f t="shared" si="39"/>
        <v>138</v>
      </c>
      <c r="H119" s="208">
        <f t="shared" si="39"/>
        <v>0</v>
      </c>
      <c r="I119" s="209">
        <f t="shared" si="39"/>
        <v>1648</v>
      </c>
      <c r="J119" s="332">
        <f t="shared" si="39"/>
        <v>2226.1214465586381</v>
      </c>
      <c r="K119" s="338">
        <f t="shared" si="39"/>
        <v>0</v>
      </c>
      <c r="L119" s="297">
        <f t="shared" si="39"/>
        <v>0</v>
      </c>
      <c r="M119" s="211">
        <f t="shared" si="39"/>
        <v>2286.9227033065913</v>
      </c>
      <c r="N119" s="219">
        <f t="shared" si="39"/>
        <v>0</v>
      </c>
      <c r="O119" s="209">
        <f t="shared" si="39"/>
        <v>0</v>
      </c>
      <c r="P119" s="332">
        <f t="shared" si="39"/>
        <v>2314.3268366829989</v>
      </c>
      <c r="Q119" s="338">
        <f t="shared" si="39"/>
        <v>0</v>
      </c>
      <c r="R119" s="297">
        <f t="shared" si="39"/>
        <v>0</v>
      </c>
      <c r="S119" s="209">
        <f t="shared" si="39"/>
        <v>0</v>
      </c>
      <c r="T119" s="209">
        <f>T94</f>
        <v>0</v>
      </c>
      <c r="U119" s="392" t="s">
        <v>12</v>
      </c>
    </row>
    <row r="120" spans="2:21" x14ac:dyDescent="0.25">
      <c r="B120" s="574" t="s">
        <v>102</v>
      </c>
      <c r="C120" s="197">
        <f t="shared" ref="C120:S120" si="40">C103</f>
        <v>0</v>
      </c>
      <c r="D120" s="25">
        <f t="shared" si="40"/>
        <v>0</v>
      </c>
      <c r="E120" s="25">
        <f t="shared" si="40"/>
        <v>0</v>
      </c>
      <c r="F120" s="25">
        <f t="shared" si="40"/>
        <v>6</v>
      </c>
      <c r="G120" s="25">
        <f t="shared" si="40"/>
        <v>9</v>
      </c>
      <c r="H120" s="25">
        <f t="shared" si="40"/>
        <v>3</v>
      </c>
      <c r="I120" s="198">
        <f t="shared" si="40"/>
        <v>18</v>
      </c>
      <c r="J120" s="333" t="str">
        <f t="shared" si="40"/>
        <v>NA</v>
      </c>
      <c r="K120" s="334">
        <f t="shared" si="40"/>
        <v>0</v>
      </c>
      <c r="L120" s="335">
        <f t="shared" si="40"/>
        <v>0</v>
      </c>
      <c r="M120" s="199" t="str">
        <f t="shared" si="40"/>
        <v>NA</v>
      </c>
      <c r="N120" s="25">
        <f t="shared" si="40"/>
        <v>0</v>
      </c>
      <c r="O120" s="198">
        <f t="shared" si="40"/>
        <v>0</v>
      </c>
      <c r="P120" s="333" t="str">
        <f t="shared" si="40"/>
        <v>NA</v>
      </c>
      <c r="Q120" s="334">
        <f t="shared" si="40"/>
        <v>0</v>
      </c>
      <c r="R120" s="335">
        <f t="shared" si="40"/>
        <v>0</v>
      </c>
      <c r="S120" s="198">
        <f t="shared" si="40"/>
        <v>0</v>
      </c>
      <c r="T120" s="136" t="s">
        <v>12</v>
      </c>
      <c r="U120" s="147" t="s">
        <v>12</v>
      </c>
    </row>
    <row r="121" spans="2:21" ht="13.8" thickBot="1" x14ac:dyDescent="0.3">
      <c r="B121" s="578" t="s">
        <v>76</v>
      </c>
      <c r="C121" s="220">
        <f t="shared" ref="C121:S121" si="41">C104</f>
        <v>0</v>
      </c>
      <c r="D121" s="221">
        <f t="shared" si="41"/>
        <v>0</v>
      </c>
      <c r="E121" s="221">
        <f t="shared" si="41"/>
        <v>0</v>
      </c>
      <c r="F121" s="221">
        <f t="shared" si="41"/>
        <v>296</v>
      </c>
      <c r="G121" s="221">
        <f t="shared" si="41"/>
        <v>499</v>
      </c>
      <c r="H121" s="221">
        <f t="shared" si="41"/>
        <v>176</v>
      </c>
      <c r="I121" s="222">
        <f t="shared" si="41"/>
        <v>971</v>
      </c>
      <c r="J121" s="304">
        <f t="shared" si="41"/>
        <v>1311.6285950293918</v>
      </c>
      <c r="K121" s="305">
        <f t="shared" si="41"/>
        <v>0</v>
      </c>
      <c r="L121" s="306">
        <f t="shared" si="41"/>
        <v>0</v>
      </c>
      <c r="M121" s="220">
        <f t="shared" si="41"/>
        <v>1347.4526364749395</v>
      </c>
      <c r="N121" s="221">
        <f t="shared" si="41"/>
        <v>0</v>
      </c>
      <c r="O121" s="222">
        <f t="shared" si="41"/>
        <v>0</v>
      </c>
      <c r="P121" s="311">
        <f t="shared" si="41"/>
        <v>1363.599125254364</v>
      </c>
      <c r="Q121" s="305">
        <f t="shared" si="41"/>
        <v>0</v>
      </c>
      <c r="R121" s="306">
        <f t="shared" si="41"/>
        <v>0</v>
      </c>
      <c r="S121" s="222">
        <f t="shared" si="41"/>
        <v>0</v>
      </c>
      <c r="T121" s="223" t="str">
        <f>T104</f>
        <v>NA</v>
      </c>
      <c r="U121" s="224" t="s">
        <v>12</v>
      </c>
    </row>
    <row r="122" spans="2:21" ht="18" thickTop="1" x14ac:dyDescent="0.3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 x14ac:dyDescent="0.25">
      <c r="B123" s="580" t="s">
        <v>75</v>
      </c>
      <c r="C123" s="195">
        <f t="shared" ref="C123:I124" si="42">C108+C110+C112+C114+C116+C118+C120</f>
        <v>0</v>
      </c>
      <c r="D123" s="101">
        <f t="shared" si="42"/>
        <v>22.5</v>
      </c>
      <c r="E123" s="101">
        <f t="shared" si="42"/>
        <v>51</v>
      </c>
      <c r="F123" s="101">
        <f t="shared" si="42"/>
        <v>102</v>
      </c>
      <c r="G123" s="101">
        <f t="shared" si="42"/>
        <v>15</v>
      </c>
      <c r="H123" s="101">
        <f t="shared" si="42"/>
        <v>3.5</v>
      </c>
      <c r="I123" s="102">
        <f t="shared" si="42"/>
        <v>194</v>
      </c>
      <c r="J123" s="340" t="s">
        <v>12</v>
      </c>
      <c r="K123" s="281">
        <f>K108+K110+K112+K114+K116+K120</f>
        <v>0</v>
      </c>
      <c r="L123" s="289">
        <f>L108+L110+L112+L114+L116+L118+L120</f>
        <v>0</v>
      </c>
      <c r="M123" s="103" t="s">
        <v>12</v>
      </c>
      <c r="N123" s="101">
        <f>N108+N110+N112+N114+N116+N120</f>
        <v>0</v>
      </c>
      <c r="O123" s="102">
        <f>O108+O110+O112+O114+O116+O118+O120</f>
        <v>0</v>
      </c>
      <c r="P123" s="340" t="s">
        <v>12</v>
      </c>
      <c r="Q123" s="281">
        <f>Q108+Q110+Q112+Q114+Q116+Q120</f>
        <v>0</v>
      </c>
      <c r="R123" s="289">
        <f>R108+R110+R112+R114+R116+R118+R120</f>
        <v>0</v>
      </c>
      <c r="S123" s="174">
        <f>S108+S110+S112+S114+S116+S118+S120</f>
        <v>0</v>
      </c>
      <c r="T123" s="102"/>
      <c r="U123" s="140" t="s">
        <v>12</v>
      </c>
    </row>
    <row r="124" spans="2:21" s="235" customFormat="1" ht="16.2" thickBot="1" x14ac:dyDescent="0.35">
      <c r="B124" s="581" t="s">
        <v>76</v>
      </c>
      <c r="C124" s="582">
        <f t="shared" si="42"/>
        <v>0</v>
      </c>
      <c r="D124" s="583">
        <f t="shared" si="42"/>
        <v>281</v>
      </c>
      <c r="E124" s="583">
        <f t="shared" si="42"/>
        <v>1560</v>
      </c>
      <c r="F124" s="583">
        <f t="shared" si="42"/>
        <v>5026</v>
      </c>
      <c r="G124" s="583">
        <f t="shared" si="42"/>
        <v>831</v>
      </c>
      <c r="H124" s="583">
        <f t="shared" si="42"/>
        <v>205</v>
      </c>
      <c r="I124" s="584">
        <f t="shared" si="42"/>
        <v>12238</v>
      </c>
      <c r="J124" s="585">
        <f>J109+J111+J113+J115+J117+J119+J121</f>
        <v>16531.113023655711</v>
      </c>
      <c r="K124" s="586">
        <f>K109+K111+K113+K115+K117+K121</f>
        <v>0</v>
      </c>
      <c r="L124" s="587">
        <f>L109+L111+L113+L115+L117+L119+L121</f>
        <v>0</v>
      </c>
      <c r="M124" s="582">
        <f>M109+M111+M113+M115+M117+M119+M121</f>
        <v>16939.012716984213</v>
      </c>
      <c r="N124" s="588">
        <f>N109+N111+N113+N115+N117+N121</f>
        <v>0</v>
      </c>
      <c r="O124" s="584">
        <f>O109+O111+O113+O115+O117+O119+O121</f>
        <v>0</v>
      </c>
      <c r="P124" s="589">
        <f>P109+P111+P113+P115+P117+P119+P121</f>
        <v>17122.859864198752</v>
      </c>
      <c r="Q124" s="586">
        <f>Q109+Q111+Q113+Q115+Q117+Q121</f>
        <v>0</v>
      </c>
      <c r="R124" s="587">
        <f>R109+R111+R113+R115+R117+R119+R121</f>
        <v>0</v>
      </c>
      <c r="S124" s="590">
        <f>S109+S111+S113+S115+S117+S119+S121</f>
        <v>0</v>
      </c>
      <c r="T124" s="584">
        <f>SUM(T109,T111,T113,T115,T117,T119,T121)</f>
        <v>0</v>
      </c>
      <c r="U124" s="591">
        <f>SUM(U109,U111,U113,U115,U117,U119,U121)</f>
        <v>0</v>
      </c>
    </row>
  </sheetData>
  <mergeCells count="35">
    <mergeCell ref="Q97:R97"/>
    <mergeCell ref="Q32:R32"/>
    <mergeCell ref="Q48:R48"/>
    <mergeCell ref="Q62:R62"/>
    <mergeCell ref="Q90:R90"/>
    <mergeCell ref="Q77:R77"/>
    <mergeCell ref="G76:I76"/>
    <mergeCell ref="N90:O90"/>
    <mergeCell ref="K97:L97"/>
    <mergeCell ref="N32:O32"/>
    <mergeCell ref="N48:O48"/>
    <mergeCell ref="N77:O77"/>
    <mergeCell ref="N97:O97"/>
    <mergeCell ref="N62:O62"/>
    <mergeCell ref="K32:L32"/>
    <mergeCell ref="G96:I96"/>
    <mergeCell ref="K77:L77"/>
    <mergeCell ref="K62:L62"/>
    <mergeCell ref="G61:I61"/>
    <mergeCell ref="G32:I32"/>
    <mergeCell ref="K48:L48"/>
    <mergeCell ref="G18:I18"/>
    <mergeCell ref="G31:I31"/>
    <mergeCell ref="G48:I48"/>
    <mergeCell ref="G47:I47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disablePrompts="1" count="1">
    <dataValidation allowBlank="1" showInputMessage="1" showErrorMessage="1" sqref="D79 D39:D40 D21 D34:D37" xr:uid="{00000000-0002-0000-11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3"/>
  <sheetViews>
    <sheetView zoomScaleNormal="100" workbookViewId="0">
      <selection activeCell="K20" sqref="K20"/>
    </sheetView>
  </sheetViews>
  <sheetFormatPr defaultRowHeight="13.2" x14ac:dyDescent="0.25"/>
  <cols>
    <col min="1" max="1" width="1.109375" customWidth="1"/>
    <col min="2" max="2" width="31.44140625" customWidth="1"/>
    <col min="3" max="3" width="12.88671875" customWidth="1"/>
    <col min="4" max="4" width="10.441406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66406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2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2" ht="18" thickTop="1" x14ac:dyDescent="0.3">
      <c r="A2" s="615"/>
      <c r="B2" s="596" t="s">
        <v>0</v>
      </c>
      <c r="C2" s="593" t="s">
        <v>291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554" t="s">
        <v>79</v>
      </c>
    </row>
    <row r="3" spans="1:22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22</v>
      </c>
      <c r="U3" s="37"/>
    </row>
    <row r="4" spans="1:22" x14ac:dyDescent="0.25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27</v>
      </c>
      <c r="M4" s="396" t="s">
        <v>71</v>
      </c>
      <c r="N4" s="431" t="s">
        <v>69</v>
      </c>
      <c r="O4" s="20">
        <v>27</v>
      </c>
      <c r="P4" s="425" t="s">
        <v>71</v>
      </c>
      <c r="Q4" s="429" t="s">
        <v>69</v>
      </c>
      <c r="R4" s="20">
        <v>27</v>
      </c>
      <c r="S4" s="115" t="s">
        <v>69</v>
      </c>
      <c r="T4" s="106">
        <f>AVERAGE(L4,O4,R4)</f>
        <v>27</v>
      </c>
      <c r="U4" s="37"/>
    </row>
    <row r="5" spans="1:22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630">
        <v>22</v>
      </c>
      <c r="K5" s="342" t="s">
        <v>70</v>
      </c>
      <c r="L5" s="343">
        <f>L4*$I$4</f>
        <v>0</v>
      </c>
      <c r="M5" s="631">
        <v>22</v>
      </c>
      <c r="N5" s="344" t="s">
        <v>70</v>
      </c>
      <c r="O5" s="345">
        <f>O4*$I$4</f>
        <v>0</v>
      </c>
      <c r="P5" s="630">
        <v>22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2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2" ht="15.6" x14ac:dyDescent="0.3">
      <c r="A7" s="615"/>
      <c r="B7" s="599" t="s">
        <v>3</v>
      </c>
      <c r="C7" s="549"/>
      <c r="D7" s="431"/>
      <c r="F7" s="112" t="s">
        <v>6</v>
      </c>
      <c r="G7" s="1424"/>
      <c r="H7" s="1425"/>
      <c r="I7" s="1426"/>
      <c r="J7" s="88" t="s">
        <v>3</v>
      </c>
      <c r="K7" s="179"/>
      <c r="L7" s="802"/>
      <c r="M7" s="88" t="s">
        <v>3</v>
      </c>
      <c r="N7" s="803"/>
      <c r="O7" s="802"/>
      <c r="P7" s="806" t="s">
        <v>3</v>
      </c>
      <c r="Q7" s="803"/>
      <c r="R7" s="802"/>
      <c r="S7" s="939"/>
      <c r="T7" s="117"/>
      <c r="U7" s="141"/>
    </row>
    <row r="8" spans="1:22" ht="13.8" thickBot="1" x14ac:dyDescent="0.3">
      <c r="A8" s="615"/>
      <c r="B8" s="936" t="s">
        <v>290</v>
      </c>
      <c r="C8" s="4"/>
      <c r="D8" s="4"/>
      <c r="E8" s="4"/>
      <c r="F8" s="4"/>
      <c r="G8" s="4"/>
      <c r="H8" s="4"/>
      <c r="I8" s="54"/>
      <c r="J8" s="4"/>
      <c r="K8" s="4"/>
      <c r="L8" s="41"/>
      <c r="M8" s="4"/>
      <c r="N8" s="4"/>
      <c r="O8" s="41"/>
      <c r="P8" s="4"/>
      <c r="Q8" s="4"/>
      <c r="R8" s="41"/>
      <c r="S8" s="4"/>
      <c r="T8" s="130"/>
      <c r="U8" s="937"/>
      <c r="V8" s="555"/>
    </row>
    <row r="9" spans="1:22" x14ac:dyDescent="0.25">
      <c r="A9" s="615"/>
      <c r="B9" s="605" t="s">
        <v>66</v>
      </c>
      <c r="C9" s="9"/>
      <c r="D9" s="72"/>
      <c r="E9" s="72"/>
      <c r="F9" s="72"/>
      <c r="G9" s="72"/>
      <c r="H9" s="72"/>
      <c r="I9" s="73"/>
      <c r="J9" s="284" t="s">
        <v>12</v>
      </c>
      <c r="K9" s="285" t="s">
        <v>12</v>
      </c>
      <c r="L9" s="286" t="s">
        <v>12</v>
      </c>
      <c r="M9" s="44" t="s">
        <v>12</v>
      </c>
      <c r="N9" s="33" t="s">
        <v>12</v>
      </c>
      <c r="O9" s="40" t="s">
        <v>12</v>
      </c>
      <c r="P9" s="284" t="s">
        <v>12</v>
      </c>
      <c r="Q9" s="285" t="s">
        <v>12</v>
      </c>
      <c r="R9" s="286" t="s">
        <v>12</v>
      </c>
      <c r="S9" s="44" t="s">
        <v>12</v>
      </c>
      <c r="T9" s="99" t="s">
        <v>12</v>
      </c>
      <c r="U9" s="938" t="s">
        <v>12</v>
      </c>
    </row>
    <row r="10" spans="1:22" s="1" customFormat="1" ht="13.8" thickBot="1" x14ac:dyDescent="0.3">
      <c r="A10" s="616"/>
      <c r="B10" s="606" t="s">
        <v>67</v>
      </c>
      <c r="C10"/>
      <c r="D10"/>
      <c r="E10"/>
      <c r="F10"/>
      <c r="G10"/>
      <c r="H10"/>
      <c r="I10" s="236"/>
      <c r="J10" s="950" t="s">
        <v>12</v>
      </c>
      <c r="K10" s="951" t="s">
        <v>12</v>
      </c>
      <c r="L10" s="952" t="s">
        <v>12</v>
      </c>
      <c r="M10" s="940" t="s">
        <v>12</v>
      </c>
      <c r="N10" s="942" t="s">
        <v>12</v>
      </c>
      <c r="O10" s="941" t="s">
        <v>12</v>
      </c>
      <c r="P10" s="953" t="s">
        <v>12</v>
      </c>
      <c r="Q10" s="954" t="s">
        <v>12</v>
      </c>
      <c r="R10" s="955" t="s">
        <v>12</v>
      </c>
      <c r="S10" s="945" t="s">
        <v>12</v>
      </c>
      <c r="T10" s="944" t="s">
        <v>12</v>
      </c>
      <c r="U10" s="946" t="s">
        <v>12</v>
      </c>
    </row>
    <row r="11" spans="1:22" ht="14.4" thickTop="1" thickBot="1" x14ac:dyDescent="0.3">
      <c r="A11" s="615"/>
      <c r="B11" s="617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410"/>
      <c r="O11" s="618"/>
      <c r="P11" s="410"/>
      <c r="Q11" s="410"/>
      <c r="R11" s="410"/>
      <c r="S11" s="410"/>
      <c r="T11" s="410"/>
      <c r="U11" s="620"/>
    </row>
    <row r="12" spans="1:22" ht="16.2" thickTop="1" x14ac:dyDescent="0.3">
      <c r="A12" s="615"/>
      <c r="B12" s="181" t="s">
        <v>16</v>
      </c>
      <c r="C12" s="72"/>
      <c r="D12" s="431"/>
      <c r="F12" s="112" t="s">
        <v>6</v>
      </c>
      <c r="G12" s="1415"/>
      <c r="H12" s="1416"/>
      <c r="I12" s="1417"/>
      <c r="J12" s="947" t="s">
        <v>16</v>
      </c>
      <c r="K12" s="948"/>
      <c r="L12" s="949"/>
      <c r="M12" s="181" t="s">
        <v>16</v>
      </c>
      <c r="N12" s="426"/>
      <c r="O12" s="67"/>
      <c r="P12" s="181" t="s">
        <v>16</v>
      </c>
      <c r="Q12" s="426"/>
      <c r="R12" s="180"/>
      <c r="S12" s="225"/>
      <c r="T12" s="37"/>
      <c r="U12" s="138"/>
    </row>
    <row r="13" spans="1:22" ht="13.8" thickBot="1" x14ac:dyDescent="0.3">
      <c r="A13" s="615"/>
      <c r="B13" s="936" t="s">
        <v>290</v>
      </c>
      <c r="C13" s="4"/>
      <c r="D13" s="4"/>
      <c r="E13" s="4"/>
      <c r="F13" s="4"/>
      <c r="G13" s="4"/>
      <c r="H13" s="4"/>
      <c r="I13" s="54"/>
      <c r="J13" s="4"/>
      <c r="K13" s="4"/>
      <c r="L13" s="41"/>
      <c r="M13" s="4"/>
      <c r="N13" s="4"/>
      <c r="O13" s="41"/>
      <c r="P13" s="4"/>
      <c r="Q13" s="4"/>
      <c r="R13" s="41"/>
      <c r="S13" s="4"/>
      <c r="T13" s="130"/>
      <c r="U13" s="937"/>
      <c r="V13" s="555"/>
    </row>
    <row r="14" spans="1:22" x14ac:dyDescent="0.25">
      <c r="A14" s="615"/>
      <c r="B14" s="605" t="s">
        <v>66</v>
      </c>
      <c r="C14" s="9"/>
      <c r="D14" s="72"/>
      <c r="E14" s="72"/>
      <c r="F14" s="72"/>
      <c r="G14" s="72"/>
      <c r="H14" s="72"/>
      <c r="I14" s="73"/>
      <c r="J14" s="284" t="s">
        <v>12</v>
      </c>
      <c r="K14" s="285" t="s">
        <v>12</v>
      </c>
      <c r="L14" s="286" t="s">
        <v>12</v>
      </c>
      <c r="M14" s="44" t="s">
        <v>12</v>
      </c>
      <c r="N14" s="33" t="s">
        <v>12</v>
      </c>
      <c r="O14" s="40" t="s">
        <v>12</v>
      </c>
      <c r="P14" s="284" t="s">
        <v>12</v>
      </c>
      <c r="Q14" s="285" t="s">
        <v>12</v>
      </c>
      <c r="R14" s="286" t="s">
        <v>12</v>
      </c>
      <c r="S14" s="44" t="s">
        <v>12</v>
      </c>
      <c r="T14" s="99" t="s">
        <v>12</v>
      </c>
      <c r="U14" s="938" t="s">
        <v>12</v>
      </c>
    </row>
    <row r="15" spans="1:22" s="1" customFormat="1" ht="13.8" thickBot="1" x14ac:dyDescent="0.3">
      <c r="A15" s="616"/>
      <c r="B15" s="606" t="s">
        <v>67</v>
      </c>
      <c r="C15"/>
      <c r="D15"/>
      <c r="E15"/>
      <c r="F15"/>
      <c r="G15"/>
      <c r="H15"/>
      <c r="I15" s="236"/>
      <c r="J15" s="950" t="s">
        <v>12</v>
      </c>
      <c r="K15" s="951" t="s">
        <v>12</v>
      </c>
      <c r="L15" s="952" t="s">
        <v>12</v>
      </c>
      <c r="M15" s="940" t="s">
        <v>12</v>
      </c>
      <c r="N15" s="942" t="s">
        <v>12</v>
      </c>
      <c r="O15" s="941" t="s">
        <v>12</v>
      </c>
      <c r="P15" s="953" t="s">
        <v>12</v>
      </c>
      <c r="Q15" s="954" t="s">
        <v>12</v>
      </c>
      <c r="R15" s="955" t="s">
        <v>12</v>
      </c>
      <c r="S15" s="945" t="s">
        <v>12</v>
      </c>
      <c r="T15" s="944" t="s">
        <v>12</v>
      </c>
      <c r="U15" s="946" t="s">
        <v>12</v>
      </c>
    </row>
    <row r="16" spans="1:22" ht="14.4" thickTop="1" thickBot="1" x14ac:dyDescent="0.3">
      <c r="A16" s="615"/>
      <c r="B16" s="5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20"/>
    </row>
    <row r="17" spans="1:22" ht="16.2" thickTop="1" x14ac:dyDescent="0.3">
      <c r="A17" s="615"/>
      <c r="B17" s="613" t="s">
        <v>22</v>
      </c>
      <c r="C17" s="5"/>
      <c r="D17" s="5"/>
      <c r="E17" s="5"/>
      <c r="F17" s="112" t="s">
        <v>6</v>
      </c>
      <c r="G17" s="1415"/>
      <c r="H17" s="1416"/>
      <c r="I17" s="1417"/>
      <c r="J17" s="244" t="s">
        <v>22</v>
      </c>
      <c r="K17" s="426"/>
      <c r="L17" s="180"/>
      <c r="M17" s="244" t="s">
        <v>22</v>
      </c>
      <c r="N17" s="426"/>
      <c r="O17" s="67"/>
      <c r="P17" s="244" t="s">
        <v>22</v>
      </c>
      <c r="Q17" s="426"/>
      <c r="R17" s="67"/>
      <c r="S17" s="225"/>
      <c r="T17" s="37"/>
      <c r="U17" s="138"/>
    </row>
    <row r="18" spans="1:22" x14ac:dyDescent="0.25">
      <c r="A18" s="615"/>
      <c r="B18" s="5"/>
      <c r="C18" s="5"/>
      <c r="D18" s="5"/>
      <c r="E18" s="5"/>
      <c r="F18" s="112"/>
      <c r="G18" s="1418"/>
      <c r="H18" s="1418"/>
      <c r="I18" s="1419"/>
      <c r="J18" s="277" t="s">
        <v>61</v>
      </c>
      <c r="K18" s="1437" t="s">
        <v>57</v>
      </c>
      <c r="L18" s="1438"/>
      <c r="M18" s="57" t="s">
        <v>61</v>
      </c>
      <c r="N18" s="1432" t="s">
        <v>57</v>
      </c>
      <c r="O18" s="1433"/>
      <c r="P18" s="277" t="s">
        <v>61</v>
      </c>
      <c r="Q18" s="1422" t="s">
        <v>57</v>
      </c>
      <c r="R18" s="1423"/>
      <c r="S18" s="131"/>
      <c r="T18" s="37"/>
      <c r="U18" s="138"/>
    </row>
    <row r="19" spans="1:22" x14ac:dyDescent="0.25">
      <c r="A19" s="615"/>
      <c r="B19" s="611" t="s">
        <v>18</v>
      </c>
      <c r="C19" s="23" t="s">
        <v>60</v>
      </c>
      <c r="D19" s="23" t="s">
        <v>62</v>
      </c>
      <c r="E19" s="9"/>
      <c r="F19" s="72"/>
      <c r="G19" s="72"/>
      <c r="H19" s="72"/>
      <c r="I19" s="37"/>
      <c r="J19" s="261" t="s">
        <v>56</v>
      </c>
      <c r="K19" s="261" t="s">
        <v>13</v>
      </c>
      <c r="L19" s="262" t="s">
        <v>68</v>
      </c>
      <c r="M19" s="77" t="s">
        <v>56</v>
      </c>
      <c r="N19" s="24" t="s">
        <v>13</v>
      </c>
      <c r="O19" s="38" t="s">
        <v>68</v>
      </c>
      <c r="P19" s="260" t="s">
        <v>56</v>
      </c>
      <c r="Q19" s="261" t="s">
        <v>13</v>
      </c>
      <c r="R19" s="262" t="s">
        <v>68</v>
      </c>
      <c r="S19" s="123"/>
      <c r="T19" s="37"/>
      <c r="U19" s="138"/>
    </row>
    <row r="20" spans="1:22" ht="13.8" thickBot="1" x14ac:dyDescent="0.3">
      <c r="A20" s="615"/>
      <c r="B20" s="921" t="str">
        <f>VLOOKUP(C$2,Monitor_Costs,10,FALSE)</f>
        <v>Analysis (grant to RO)</v>
      </c>
      <c r="C20" s="920">
        <f>VLOOKUP(C$2,Monitor_Costs,11,FALSE)</f>
        <v>129385</v>
      </c>
      <c r="D20" s="34">
        <f>VLOOKUP(C$2,Monitor_Costs,12,FALSE)</f>
        <v>2019</v>
      </c>
      <c r="E20" s="4"/>
      <c r="F20" s="12"/>
      <c r="G20" s="4"/>
      <c r="H20" s="361"/>
      <c r="I20" s="363"/>
      <c r="J20" s="355">
        <f>HLOOKUP($D$20,InflationTable,2)*$C$20</f>
        <v>174773.49718628</v>
      </c>
      <c r="K20" s="355">
        <f>J20*J$5</f>
        <v>3845016.9380981601</v>
      </c>
      <c r="L20" s="308">
        <f>K20</f>
        <v>3845016.9380981601</v>
      </c>
      <c r="M20" s="171">
        <f>HLOOKUP($D$20,InflationTable,3)*$C$20</f>
        <v>179547.02303842435</v>
      </c>
      <c r="N20" s="357">
        <f>M20*M$5</f>
        <v>3950034.5068453355</v>
      </c>
      <c r="O20" s="95">
        <f>N20</f>
        <v>3950034.5068453355</v>
      </c>
      <c r="P20" s="355">
        <f>HLOOKUP($D$20,InflationTable,4)*$C$20</f>
        <v>181698.5301967414</v>
      </c>
      <c r="Q20" s="355">
        <f>P20*P$5</f>
        <v>3997367.6643283106</v>
      </c>
      <c r="R20" s="308">
        <f>Q20</f>
        <v>3997367.6643283106</v>
      </c>
      <c r="S20" s="989" t="s">
        <v>12</v>
      </c>
      <c r="T20" s="137" t="s">
        <v>12</v>
      </c>
      <c r="U20" s="990">
        <f>AVERAGE(L20,O20,R20)</f>
        <v>3930806.3697572686</v>
      </c>
    </row>
    <row r="21" spans="1:22" x14ac:dyDescent="0.25">
      <c r="A21" s="615"/>
      <c r="B21" s="605" t="s">
        <v>66</v>
      </c>
      <c r="F21"/>
      <c r="J21" s="307" t="s">
        <v>12</v>
      </c>
      <c r="K21" s="307" t="s">
        <v>12</v>
      </c>
      <c r="L21" s="307" t="s">
        <v>12</v>
      </c>
      <c r="M21" s="85" t="s">
        <v>12</v>
      </c>
      <c r="N21" s="85" t="s">
        <v>12</v>
      </c>
      <c r="O21" s="85" t="s">
        <v>12</v>
      </c>
      <c r="P21" s="301" t="s">
        <v>12</v>
      </c>
      <c r="Q21" s="301" t="s">
        <v>12</v>
      </c>
      <c r="R21" s="301" t="s">
        <v>12</v>
      </c>
      <c r="S21" s="991" t="s">
        <v>12</v>
      </c>
      <c r="T21" s="136" t="s">
        <v>12</v>
      </c>
      <c r="U21" s="147" t="s">
        <v>12</v>
      </c>
    </row>
    <row r="22" spans="1:22" ht="13.8" thickBot="1" x14ac:dyDescent="0.3">
      <c r="A22" s="615"/>
      <c r="B22" s="606" t="s">
        <v>67</v>
      </c>
      <c r="F22"/>
      <c r="J22" s="305">
        <f t="shared" ref="J22:U22" si="0">J20</f>
        <v>174773.49718628</v>
      </c>
      <c r="K22" s="305">
        <f t="shared" si="0"/>
        <v>3845016.9380981601</v>
      </c>
      <c r="L22" s="305">
        <f t="shared" si="0"/>
        <v>3845016.9380981601</v>
      </c>
      <c r="M22" s="253">
        <f t="shared" si="0"/>
        <v>179547.02303842435</v>
      </c>
      <c r="N22" s="253">
        <f t="shared" si="0"/>
        <v>3950034.5068453355</v>
      </c>
      <c r="O22" s="253">
        <f t="shared" si="0"/>
        <v>3950034.5068453355</v>
      </c>
      <c r="P22" s="305">
        <f t="shared" si="0"/>
        <v>181698.5301967414</v>
      </c>
      <c r="Q22" s="305">
        <f t="shared" si="0"/>
        <v>3997367.6643283106</v>
      </c>
      <c r="R22" s="988">
        <f t="shared" si="0"/>
        <v>3997367.6643283106</v>
      </c>
      <c r="S22" s="981" t="str">
        <f t="shared" si="0"/>
        <v>NA</v>
      </c>
      <c r="T22" s="874" t="str">
        <f t="shared" si="0"/>
        <v>NA</v>
      </c>
      <c r="U22" s="224">
        <f t="shared" si="0"/>
        <v>3930806.3697572686</v>
      </c>
    </row>
    <row r="23" spans="1:22" ht="14.4" thickTop="1" thickBot="1" x14ac:dyDescent="0.3">
      <c r="A23" s="615"/>
      <c r="B23" s="617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7"/>
      <c r="O23" s="618"/>
      <c r="P23" s="618"/>
      <c r="Q23" s="618"/>
      <c r="R23" s="618"/>
      <c r="S23" s="618"/>
      <c r="T23" s="618"/>
      <c r="U23" s="620"/>
    </row>
    <row r="24" spans="1:22" ht="16.2" thickTop="1" x14ac:dyDescent="0.3">
      <c r="A24" s="615"/>
      <c r="B24" s="80" t="s">
        <v>24</v>
      </c>
      <c r="C24" s="5"/>
      <c r="D24" s="5"/>
      <c r="E24" s="5"/>
      <c r="F24" s="112" t="s">
        <v>6</v>
      </c>
      <c r="G24" s="1415"/>
      <c r="H24" s="1416"/>
      <c r="I24" s="1417"/>
      <c r="J24" s="181" t="s">
        <v>24</v>
      </c>
      <c r="K24" s="426"/>
      <c r="L24" s="67"/>
      <c r="M24" s="181" t="s">
        <v>24</v>
      </c>
      <c r="N24" s="426"/>
      <c r="O24" s="67"/>
      <c r="P24" s="181" t="s">
        <v>24</v>
      </c>
      <c r="Q24" s="426"/>
      <c r="R24" s="67"/>
      <c r="S24" s="225"/>
      <c r="T24" s="37"/>
      <c r="U24" s="138"/>
    </row>
    <row r="25" spans="1:22" ht="13.8" thickBot="1" x14ac:dyDescent="0.3">
      <c r="A25" s="615"/>
      <c r="B25" s="936" t="s">
        <v>290</v>
      </c>
      <c r="C25" s="4"/>
      <c r="D25" s="4"/>
      <c r="E25" s="4"/>
      <c r="F25" s="4"/>
      <c r="G25" s="4"/>
      <c r="H25" s="4"/>
      <c r="I25" s="54"/>
      <c r="J25" s="4"/>
      <c r="K25" s="4"/>
      <c r="L25" s="41"/>
      <c r="M25" s="4"/>
      <c r="N25" s="4"/>
      <c r="O25" s="41"/>
      <c r="P25" s="4"/>
      <c r="Q25" s="4"/>
      <c r="R25" s="41"/>
      <c r="S25" s="4"/>
      <c r="T25" s="130"/>
      <c r="U25" s="937"/>
      <c r="V25" s="555"/>
    </row>
    <row r="26" spans="1:22" x14ac:dyDescent="0.25">
      <c r="A26" s="615"/>
      <c r="B26" s="605" t="s">
        <v>66</v>
      </c>
      <c r="C26" s="9"/>
      <c r="D26" s="72"/>
      <c r="E26" s="72"/>
      <c r="F26" s="72"/>
      <c r="G26" s="72"/>
      <c r="H26" s="72"/>
      <c r="I26" s="73"/>
      <c r="J26" s="284" t="s">
        <v>12</v>
      </c>
      <c r="K26" s="285" t="s">
        <v>12</v>
      </c>
      <c r="L26" s="286" t="s">
        <v>12</v>
      </c>
      <c r="M26" s="44" t="s">
        <v>12</v>
      </c>
      <c r="N26" s="33" t="s">
        <v>12</v>
      </c>
      <c r="O26" s="40" t="s">
        <v>12</v>
      </c>
      <c r="P26" s="284" t="s">
        <v>12</v>
      </c>
      <c r="Q26" s="285" t="s">
        <v>12</v>
      </c>
      <c r="R26" s="286" t="s">
        <v>12</v>
      </c>
      <c r="S26" s="44" t="s">
        <v>12</v>
      </c>
      <c r="T26" s="99" t="s">
        <v>12</v>
      </c>
      <c r="U26" s="938" t="s">
        <v>12</v>
      </c>
    </row>
    <row r="27" spans="1:22" s="1" customFormat="1" ht="13.8" thickBot="1" x14ac:dyDescent="0.3">
      <c r="A27" s="616"/>
      <c r="B27" s="606" t="s">
        <v>67</v>
      </c>
      <c r="C27"/>
      <c r="D27"/>
      <c r="E27"/>
      <c r="F27"/>
      <c r="G27"/>
      <c r="H27"/>
      <c r="I27" s="236"/>
      <c r="J27" s="950" t="s">
        <v>12</v>
      </c>
      <c r="K27" s="951" t="s">
        <v>12</v>
      </c>
      <c r="L27" s="952" t="s">
        <v>12</v>
      </c>
      <c r="M27" s="940" t="s">
        <v>12</v>
      </c>
      <c r="N27" s="942" t="s">
        <v>12</v>
      </c>
      <c r="O27" s="941" t="s">
        <v>12</v>
      </c>
      <c r="P27" s="953" t="s">
        <v>12</v>
      </c>
      <c r="Q27" s="954" t="s">
        <v>12</v>
      </c>
      <c r="R27" s="955" t="s">
        <v>12</v>
      </c>
      <c r="S27" s="945" t="s">
        <v>12</v>
      </c>
      <c r="T27" s="944" t="s">
        <v>12</v>
      </c>
      <c r="U27" s="946" t="s">
        <v>12</v>
      </c>
    </row>
    <row r="28" spans="1:22" ht="14.4" thickTop="1" thickBot="1" x14ac:dyDescent="0.3">
      <c r="A28" s="615"/>
      <c r="B28" s="5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20"/>
    </row>
    <row r="29" spans="1:22" ht="16.2" thickTop="1" x14ac:dyDescent="0.3">
      <c r="A29" s="615"/>
      <c r="B29" s="613" t="s">
        <v>26</v>
      </c>
      <c r="C29" s="5"/>
      <c r="D29" s="5"/>
      <c r="E29" s="5"/>
      <c r="F29" s="112" t="s">
        <v>6</v>
      </c>
      <c r="G29" s="1415"/>
      <c r="H29" s="1416"/>
      <c r="I29" s="1417"/>
      <c r="J29" s="181" t="s">
        <v>26</v>
      </c>
      <c r="K29" s="426"/>
      <c r="L29" s="67"/>
      <c r="M29" s="960" t="s">
        <v>26</v>
      </c>
      <c r="N29" s="426"/>
      <c r="O29" s="426"/>
      <c r="P29" s="562" t="s">
        <v>26</v>
      </c>
      <c r="Q29" s="426"/>
      <c r="R29" s="67"/>
      <c r="S29" s="225"/>
      <c r="T29" s="37"/>
      <c r="U29" s="138"/>
    </row>
    <row r="30" spans="1:22" ht="13.8" thickBot="1" x14ac:dyDescent="0.3">
      <c r="A30" s="615"/>
      <c r="B30" s="673" t="s">
        <v>290</v>
      </c>
      <c r="C30" s="4"/>
      <c r="D30" s="4"/>
      <c r="E30" s="4"/>
      <c r="F30" s="4"/>
      <c r="G30" s="4"/>
      <c r="H30" s="4"/>
      <c r="I30" s="54"/>
      <c r="J30" s="4"/>
      <c r="K30" s="4"/>
      <c r="L30" s="41"/>
      <c r="M30" s="4"/>
      <c r="N30" s="4"/>
      <c r="O30" s="41"/>
      <c r="P30" s="937"/>
      <c r="Q30" s="4"/>
      <c r="R30" s="41"/>
      <c r="S30" s="4"/>
      <c r="T30" s="130"/>
      <c r="U30" s="937"/>
      <c r="V30" s="555"/>
    </row>
    <row r="31" spans="1:22" x14ac:dyDescent="0.25">
      <c r="A31" s="615"/>
      <c r="B31" s="605" t="s">
        <v>66</v>
      </c>
      <c r="C31" s="9"/>
      <c r="D31" s="72"/>
      <c r="E31" s="72"/>
      <c r="F31" s="72"/>
      <c r="G31" s="72"/>
      <c r="H31" s="72"/>
      <c r="I31" s="73"/>
      <c r="J31" s="284" t="s">
        <v>12</v>
      </c>
      <c r="K31" s="285" t="s">
        <v>12</v>
      </c>
      <c r="L31" s="286" t="s">
        <v>12</v>
      </c>
      <c r="M31" s="44" t="s">
        <v>12</v>
      </c>
      <c r="N31" s="33" t="s">
        <v>12</v>
      </c>
      <c r="O31" s="40" t="s">
        <v>12</v>
      </c>
      <c r="P31" s="284" t="s">
        <v>12</v>
      </c>
      <c r="Q31" s="285" t="s">
        <v>12</v>
      </c>
      <c r="R31" s="286" t="s">
        <v>12</v>
      </c>
      <c r="S31" s="44" t="s">
        <v>12</v>
      </c>
      <c r="T31" s="99" t="s">
        <v>12</v>
      </c>
      <c r="U31" s="938" t="s">
        <v>12</v>
      </c>
    </row>
    <row r="32" spans="1:22" s="1" customFormat="1" ht="13.8" thickBot="1" x14ac:dyDescent="0.3">
      <c r="A32" s="616"/>
      <c r="B32" s="606" t="s">
        <v>67</v>
      </c>
      <c r="C32"/>
      <c r="D32"/>
      <c r="E32"/>
      <c r="F32"/>
      <c r="G32"/>
      <c r="H32"/>
      <c r="I32" s="236"/>
      <c r="J32" s="953" t="s">
        <v>12</v>
      </c>
      <c r="K32" s="954" t="s">
        <v>12</v>
      </c>
      <c r="L32" s="952" t="s">
        <v>12</v>
      </c>
      <c r="M32" s="943" t="s">
        <v>12</v>
      </c>
      <c r="N32" s="942" t="s">
        <v>12</v>
      </c>
      <c r="O32" s="944" t="s">
        <v>12</v>
      </c>
      <c r="P32" s="953" t="s">
        <v>12</v>
      </c>
      <c r="Q32" s="954" t="s">
        <v>12</v>
      </c>
      <c r="R32" s="955" t="s">
        <v>12</v>
      </c>
      <c r="S32" s="945" t="s">
        <v>12</v>
      </c>
      <c r="T32" s="944" t="s">
        <v>12</v>
      </c>
      <c r="U32" s="946" t="s">
        <v>12</v>
      </c>
    </row>
    <row r="33" spans="1:22" ht="13.8" thickTop="1" x14ac:dyDescent="0.25">
      <c r="B33" s="624"/>
      <c r="C33" s="621"/>
      <c r="D33" s="621"/>
      <c r="E33" s="621"/>
      <c r="F33" s="621"/>
      <c r="G33" s="621"/>
      <c r="H33" s="621"/>
      <c r="I33" s="622"/>
      <c r="J33" s="622"/>
      <c r="K33" s="622"/>
      <c r="L33" s="622"/>
      <c r="M33" s="622"/>
      <c r="N33" s="622"/>
      <c r="O33" s="622"/>
      <c r="P33" s="622"/>
      <c r="Q33" s="622"/>
      <c r="R33" s="622"/>
      <c r="S33" s="625"/>
      <c r="T33" s="626"/>
      <c r="U33" s="627"/>
      <c r="V33" s="5"/>
    </row>
    <row r="34" spans="1:22" ht="13.8" thickBot="1" x14ac:dyDescent="0.3"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5"/>
    </row>
    <row r="35" spans="1:22" ht="28.2" thickTop="1" thickBot="1" x14ac:dyDescent="0.35">
      <c r="A35" s="615"/>
      <c r="B35" s="613" t="s">
        <v>28</v>
      </c>
      <c r="C35" s="5"/>
      <c r="D35" s="5"/>
      <c r="E35" s="5"/>
      <c r="F35" s="112" t="s">
        <v>6</v>
      </c>
      <c r="G35" s="1415"/>
      <c r="H35" s="1416"/>
      <c r="I35" s="1417"/>
      <c r="J35" s="181" t="s">
        <v>28</v>
      </c>
      <c r="K35" s="426"/>
      <c r="L35" s="67"/>
      <c r="M35" s="181" t="s">
        <v>28</v>
      </c>
      <c r="N35" s="426"/>
      <c r="O35" s="67"/>
      <c r="P35" s="181" t="s">
        <v>28</v>
      </c>
      <c r="Q35" s="426"/>
      <c r="R35" s="67"/>
      <c r="S35" s="546" t="s">
        <v>17</v>
      </c>
      <c r="T35" s="547" t="s">
        <v>103</v>
      </c>
      <c r="U35" s="628" t="s">
        <v>79</v>
      </c>
    </row>
    <row r="36" spans="1:22" ht="13.8" thickBot="1" x14ac:dyDescent="0.3">
      <c r="A36" s="615"/>
      <c r="B36" s="673" t="s">
        <v>290</v>
      </c>
      <c r="C36" s="4"/>
      <c r="D36" s="4"/>
      <c r="E36" s="4"/>
      <c r="F36" s="4"/>
      <c r="G36" s="4"/>
      <c r="H36" s="4"/>
      <c r="I36" s="54"/>
      <c r="J36" s="4"/>
      <c r="K36" s="4"/>
      <c r="L36" s="41"/>
      <c r="M36" s="4"/>
      <c r="N36" s="4"/>
      <c r="O36" s="41"/>
      <c r="P36" s="4"/>
      <c r="Q36" s="4"/>
      <c r="R36" s="41"/>
      <c r="S36" s="4"/>
      <c r="T36" s="130"/>
      <c r="U36" s="937"/>
      <c r="V36" s="555"/>
    </row>
    <row r="37" spans="1:22" x14ac:dyDescent="0.25">
      <c r="A37" s="615"/>
      <c r="B37" s="605" t="s">
        <v>66</v>
      </c>
      <c r="C37" s="9"/>
      <c r="D37" s="72"/>
      <c r="E37" s="72"/>
      <c r="F37" s="72"/>
      <c r="G37" s="72"/>
      <c r="H37" s="72"/>
      <c r="I37" s="73"/>
      <c r="J37" s="284" t="s">
        <v>12</v>
      </c>
      <c r="K37" s="285" t="s">
        <v>12</v>
      </c>
      <c r="L37" s="286" t="s">
        <v>12</v>
      </c>
      <c r="M37" s="44" t="s">
        <v>12</v>
      </c>
      <c r="N37" s="33" t="s">
        <v>12</v>
      </c>
      <c r="O37" s="40" t="s">
        <v>12</v>
      </c>
      <c r="P37" s="284" t="s">
        <v>12</v>
      </c>
      <c r="Q37" s="285" t="s">
        <v>12</v>
      </c>
      <c r="R37" s="286" t="s">
        <v>12</v>
      </c>
      <c r="S37" s="44" t="s">
        <v>12</v>
      </c>
      <c r="T37" s="99" t="s">
        <v>12</v>
      </c>
      <c r="U37" s="938" t="s">
        <v>12</v>
      </c>
    </row>
    <row r="38" spans="1:22" s="1" customFormat="1" ht="13.8" thickBot="1" x14ac:dyDescent="0.3">
      <c r="A38" s="616"/>
      <c r="B38" s="606" t="s">
        <v>67</v>
      </c>
      <c r="C38"/>
      <c r="D38"/>
      <c r="E38"/>
      <c r="F38"/>
      <c r="G38"/>
      <c r="H38"/>
      <c r="I38" s="236"/>
      <c r="J38" s="950" t="s">
        <v>12</v>
      </c>
      <c r="K38" s="951" t="s">
        <v>12</v>
      </c>
      <c r="L38" s="952" t="s">
        <v>12</v>
      </c>
      <c r="M38" s="940" t="s">
        <v>12</v>
      </c>
      <c r="N38" s="942" t="s">
        <v>12</v>
      </c>
      <c r="O38" s="941" t="s">
        <v>12</v>
      </c>
      <c r="P38" s="953" t="s">
        <v>12</v>
      </c>
      <c r="Q38" s="954" t="s">
        <v>12</v>
      </c>
      <c r="R38" s="955" t="s">
        <v>12</v>
      </c>
      <c r="S38" s="945" t="s">
        <v>12</v>
      </c>
      <c r="T38" s="944" t="s">
        <v>12</v>
      </c>
      <c r="U38" s="946" t="s">
        <v>12</v>
      </c>
    </row>
    <row r="39" spans="1:22" ht="14.4" thickTop="1" thickBot="1" x14ac:dyDescent="0.3">
      <c r="A39" s="615"/>
      <c r="B39" s="618"/>
      <c r="C39" s="618"/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20"/>
    </row>
    <row r="40" spans="1:22" ht="16.2" thickTop="1" x14ac:dyDescent="0.3">
      <c r="A40" s="615"/>
      <c r="B40" s="181" t="s">
        <v>30</v>
      </c>
      <c r="C40" s="5"/>
      <c r="D40" s="5"/>
      <c r="E40" s="5"/>
      <c r="F40" s="112" t="s">
        <v>6</v>
      </c>
      <c r="G40" s="1415"/>
      <c r="H40" s="1416"/>
      <c r="I40" s="1417"/>
      <c r="J40" s="181" t="s">
        <v>30</v>
      </c>
      <c r="K40" s="426"/>
      <c r="L40" s="67"/>
      <c r="M40" s="181" t="s">
        <v>30</v>
      </c>
      <c r="N40" s="426"/>
      <c r="O40" s="67"/>
      <c r="P40" s="181" t="s">
        <v>30</v>
      </c>
      <c r="Q40" s="319"/>
      <c r="R40" s="180"/>
      <c r="S40" s="225"/>
      <c r="T40" s="133"/>
      <c r="U40" s="37"/>
    </row>
    <row r="41" spans="1:22" ht="13.8" thickBot="1" x14ac:dyDescent="0.3">
      <c r="A41" s="615"/>
      <c r="B41" s="673" t="s">
        <v>290</v>
      </c>
      <c r="C41" s="4"/>
      <c r="D41" s="4"/>
      <c r="E41" s="4"/>
      <c r="F41" s="4"/>
      <c r="G41" s="4"/>
      <c r="H41" s="4"/>
      <c r="I41" s="54"/>
      <c r="J41" s="4"/>
      <c r="K41" s="4"/>
      <c r="L41" s="41"/>
      <c r="M41" s="4"/>
      <c r="N41" s="4"/>
      <c r="O41" s="41"/>
      <c r="P41" s="4"/>
      <c r="Q41" s="4"/>
      <c r="R41" s="41"/>
      <c r="S41" s="4"/>
      <c r="T41" s="130"/>
      <c r="U41" s="937"/>
      <c r="V41" s="555"/>
    </row>
    <row r="42" spans="1:22" x14ac:dyDescent="0.25">
      <c r="A42" s="615"/>
      <c r="B42" s="605" t="s">
        <v>66</v>
      </c>
      <c r="C42" s="9"/>
      <c r="D42" s="72"/>
      <c r="E42" s="72"/>
      <c r="F42" s="72"/>
      <c r="G42" s="72"/>
      <c r="H42" s="72"/>
      <c r="I42" s="73"/>
      <c r="J42" s="284" t="s">
        <v>12</v>
      </c>
      <c r="K42" s="285" t="s">
        <v>12</v>
      </c>
      <c r="L42" s="286" t="s">
        <v>12</v>
      </c>
      <c r="M42" s="44" t="s">
        <v>12</v>
      </c>
      <c r="N42" s="33" t="s">
        <v>12</v>
      </c>
      <c r="O42" s="40" t="s">
        <v>12</v>
      </c>
      <c r="P42" s="284" t="s">
        <v>12</v>
      </c>
      <c r="Q42" s="285" t="s">
        <v>12</v>
      </c>
      <c r="R42" s="286" t="s">
        <v>12</v>
      </c>
      <c r="S42" s="44" t="s">
        <v>12</v>
      </c>
      <c r="T42" s="99" t="s">
        <v>12</v>
      </c>
      <c r="U42" s="938" t="s">
        <v>12</v>
      </c>
    </row>
    <row r="43" spans="1:22" s="1" customFormat="1" ht="13.8" thickBot="1" x14ac:dyDescent="0.3">
      <c r="A43" s="616"/>
      <c r="B43" s="606" t="s">
        <v>67</v>
      </c>
      <c r="C43" s="956"/>
      <c r="D43"/>
      <c r="E43"/>
      <c r="F43"/>
      <c r="G43"/>
      <c r="H43"/>
      <c r="I43" s="236"/>
      <c r="J43" s="950" t="s">
        <v>12</v>
      </c>
      <c r="K43" s="951" t="s">
        <v>12</v>
      </c>
      <c r="L43" s="952" t="s">
        <v>12</v>
      </c>
      <c r="M43" s="940" t="s">
        <v>12</v>
      </c>
      <c r="N43" s="942" t="s">
        <v>12</v>
      </c>
      <c r="O43" s="941" t="s">
        <v>12</v>
      </c>
      <c r="P43" s="953" t="s">
        <v>12</v>
      </c>
      <c r="Q43" s="954" t="s">
        <v>12</v>
      </c>
      <c r="R43" s="955" t="s">
        <v>12</v>
      </c>
      <c r="S43" s="945" t="s">
        <v>12</v>
      </c>
      <c r="T43" s="944" t="s">
        <v>12</v>
      </c>
      <c r="U43" s="946" t="s">
        <v>12</v>
      </c>
    </row>
    <row r="44" spans="1:22" ht="14.4" thickTop="1" thickBot="1" x14ac:dyDescent="0.3">
      <c r="B44" s="555"/>
      <c r="C44" s="5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20"/>
    </row>
    <row r="45" spans="1:22" ht="18.600000000000001" thickTop="1" thickBot="1" x14ac:dyDescent="0.35">
      <c r="B45" s="556" t="s">
        <v>121</v>
      </c>
      <c r="C45" s="234" t="str">
        <f>C2</f>
        <v>NATTS</v>
      </c>
      <c r="D45" s="5"/>
      <c r="E45" s="4"/>
      <c r="F45" s="12"/>
      <c r="G45" s="4"/>
      <c r="H45" s="4"/>
      <c r="I45" s="41"/>
      <c r="J45" s="233" t="str">
        <f>J2</f>
        <v>Year 1</v>
      </c>
      <c r="K45" s="233">
        <f>K2</f>
        <v>2019</v>
      </c>
      <c r="L45" s="83"/>
      <c r="M45" s="79" t="str">
        <f>M2</f>
        <v>Year 2</v>
      </c>
      <c r="N45" s="79">
        <f>N2</f>
        <v>2020</v>
      </c>
      <c r="O45" s="41"/>
      <c r="P45" s="233" t="str">
        <f>P2</f>
        <v>Year 3</v>
      </c>
      <c r="Q45" s="233">
        <f>Q2</f>
        <v>2021</v>
      </c>
      <c r="R45" s="83"/>
      <c r="S45" s="152"/>
      <c r="T45" s="130"/>
      <c r="U45" s="570"/>
    </row>
    <row r="46" spans="1:22" ht="13.8" thickBot="1" x14ac:dyDescent="0.3">
      <c r="B46" s="555"/>
      <c r="C46" s="194" t="s">
        <v>45</v>
      </c>
      <c r="D46" s="190" t="s">
        <v>46</v>
      </c>
      <c r="E46" s="187" t="s">
        <v>47</v>
      </c>
      <c r="F46" s="202" t="s">
        <v>48</v>
      </c>
      <c r="G46" s="201" t="s">
        <v>49</v>
      </c>
      <c r="H46" s="187" t="s">
        <v>50</v>
      </c>
      <c r="I46" s="188" t="s">
        <v>13</v>
      </c>
      <c r="J46" s="323" t="s">
        <v>56</v>
      </c>
      <c r="K46" s="324" t="s">
        <v>13</v>
      </c>
      <c r="L46" s="325" t="s">
        <v>68</v>
      </c>
      <c r="M46" s="189" t="s">
        <v>56</v>
      </c>
      <c r="N46" s="190" t="s">
        <v>13</v>
      </c>
      <c r="O46" s="191" t="s">
        <v>68</v>
      </c>
      <c r="P46" s="323" t="s">
        <v>56</v>
      </c>
      <c r="Q46" s="324" t="s">
        <v>13</v>
      </c>
      <c r="R46" s="325" t="s">
        <v>68</v>
      </c>
      <c r="S46" s="192"/>
      <c r="T46" s="193"/>
      <c r="U46" s="571"/>
      <c r="V46" s="5"/>
    </row>
    <row r="47" spans="1:22" x14ac:dyDescent="0.25">
      <c r="B47" s="572" t="s">
        <v>97</v>
      </c>
      <c r="C47" s="196">
        <f t="shared" ref="C47:S47" si="1">C9</f>
        <v>0</v>
      </c>
      <c r="D47" s="184">
        <f t="shared" si="1"/>
        <v>0</v>
      </c>
      <c r="E47" s="184">
        <f t="shared" si="1"/>
        <v>0</v>
      </c>
      <c r="F47" s="184">
        <f t="shared" si="1"/>
        <v>0</v>
      </c>
      <c r="G47" s="184">
        <f t="shared" si="1"/>
        <v>0</v>
      </c>
      <c r="H47" s="184">
        <f t="shared" si="1"/>
        <v>0</v>
      </c>
      <c r="I47" s="185">
        <f t="shared" si="1"/>
        <v>0</v>
      </c>
      <c r="J47" s="326" t="str">
        <f t="shared" si="1"/>
        <v>NA</v>
      </c>
      <c r="K47" s="965" t="str">
        <f t="shared" si="1"/>
        <v>NA</v>
      </c>
      <c r="L47" s="966" t="str">
        <f t="shared" si="1"/>
        <v>NA</v>
      </c>
      <c r="M47" s="186" t="str">
        <f t="shared" si="1"/>
        <v>NA</v>
      </c>
      <c r="N47" s="975" t="str">
        <f t="shared" si="1"/>
        <v>NA</v>
      </c>
      <c r="O47" s="135" t="str">
        <f t="shared" si="1"/>
        <v>NA</v>
      </c>
      <c r="P47" s="326" t="str">
        <f t="shared" si="1"/>
        <v>NA</v>
      </c>
      <c r="Q47" s="965" t="str">
        <f t="shared" si="1"/>
        <v>NA</v>
      </c>
      <c r="R47" s="966" t="str">
        <f t="shared" si="1"/>
        <v>NA</v>
      </c>
      <c r="S47" s="135" t="str">
        <f t="shared" si="1"/>
        <v>NA</v>
      </c>
      <c r="T47" s="986"/>
      <c r="U47" s="838"/>
    </row>
    <row r="48" spans="1:22" ht="13.8" thickBot="1" x14ac:dyDescent="0.3">
      <c r="B48" s="573" t="s">
        <v>76</v>
      </c>
      <c r="C48" s="203">
        <f t="shared" ref="C48:S48" si="2">C10</f>
        <v>0</v>
      </c>
      <c r="D48" s="204">
        <f t="shared" si="2"/>
        <v>0</v>
      </c>
      <c r="E48" s="204">
        <f t="shared" si="2"/>
        <v>0</v>
      </c>
      <c r="F48" s="204">
        <f t="shared" si="2"/>
        <v>0</v>
      </c>
      <c r="G48" s="204">
        <f t="shared" si="2"/>
        <v>0</v>
      </c>
      <c r="H48" s="204">
        <f t="shared" si="2"/>
        <v>0</v>
      </c>
      <c r="I48" s="205">
        <f t="shared" si="2"/>
        <v>0</v>
      </c>
      <c r="J48" s="962" t="str">
        <f t="shared" si="2"/>
        <v>NA</v>
      </c>
      <c r="K48" s="963" t="str">
        <f t="shared" si="2"/>
        <v>NA</v>
      </c>
      <c r="L48" s="964" t="str">
        <f t="shared" si="2"/>
        <v>NA</v>
      </c>
      <c r="M48" s="976" t="str">
        <f t="shared" si="2"/>
        <v>NA</v>
      </c>
      <c r="N48" s="977" t="str">
        <f t="shared" si="2"/>
        <v>NA</v>
      </c>
      <c r="O48" s="206" t="str">
        <f t="shared" si="2"/>
        <v>NA</v>
      </c>
      <c r="P48" s="962" t="str">
        <f t="shared" si="2"/>
        <v>NA</v>
      </c>
      <c r="Q48" s="963" t="str">
        <f t="shared" si="2"/>
        <v>NA</v>
      </c>
      <c r="R48" s="964" t="str">
        <f t="shared" si="2"/>
        <v>NA</v>
      </c>
      <c r="S48" s="206" t="str">
        <f t="shared" si="2"/>
        <v>NA</v>
      </c>
      <c r="T48" s="206" t="str">
        <f>T10</f>
        <v>NA</v>
      </c>
      <c r="U48" s="392" t="s">
        <v>12</v>
      </c>
    </row>
    <row r="49" spans="2:21" x14ac:dyDescent="0.25">
      <c r="B49" s="574" t="s">
        <v>98</v>
      </c>
      <c r="C49" s="196">
        <f t="shared" ref="C49:S49" si="3">C14</f>
        <v>0</v>
      </c>
      <c r="D49" s="184">
        <f t="shared" si="3"/>
        <v>0</v>
      </c>
      <c r="E49" s="184">
        <f t="shared" si="3"/>
        <v>0</v>
      </c>
      <c r="F49" s="184">
        <f t="shared" si="3"/>
        <v>0</v>
      </c>
      <c r="G49" s="184">
        <f t="shared" si="3"/>
        <v>0</v>
      </c>
      <c r="H49" s="184">
        <f t="shared" si="3"/>
        <v>0</v>
      </c>
      <c r="I49" s="185">
        <f t="shared" si="3"/>
        <v>0</v>
      </c>
      <c r="J49" s="326" t="str">
        <f t="shared" si="3"/>
        <v>NA</v>
      </c>
      <c r="K49" s="965" t="str">
        <f t="shared" si="3"/>
        <v>NA</v>
      </c>
      <c r="L49" s="966" t="str">
        <f t="shared" si="3"/>
        <v>NA</v>
      </c>
      <c r="M49" s="186" t="str">
        <f t="shared" si="3"/>
        <v>NA</v>
      </c>
      <c r="N49" s="975" t="str">
        <f t="shared" si="3"/>
        <v>NA</v>
      </c>
      <c r="O49" s="135" t="str">
        <f t="shared" si="3"/>
        <v>NA</v>
      </c>
      <c r="P49" s="326" t="str">
        <f t="shared" si="3"/>
        <v>NA</v>
      </c>
      <c r="Q49" s="965" t="str">
        <f t="shared" si="3"/>
        <v>NA</v>
      </c>
      <c r="R49" s="966" t="str">
        <f t="shared" si="3"/>
        <v>NA</v>
      </c>
      <c r="S49" s="135" t="str">
        <f t="shared" si="3"/>
        <v>NA</v>
      </c>
      <c r="T49" s="986"/>
      <c r="U49" s="838"/>
    </row>
    <row r="50" spans="2:21" ht="13.8" thickBot="1" x14ac:dyDescent="0.3">
      <c r="B50" s="573" t="s">
        <v>76</v>
      </c>
      <c r="C50" s="207">
        <f t="shared" ref="C50:S50" si="4">C15</f>
        <v>0</v>
      </c>
      <c r="D50" s="208">
        <f t="shared" si="4"/>
        <v>0</v>
      </c>
      <c r="E50" s="208">
        <f t="shared" si="4"/>
        <v>0</v>
      </c>
      <c r="F50" s="208">
        <f t="shared" si="4"/>
        <v>0</v>
      </c>
      <c r="G50" s="208">
        <f t="shared" si="4"/>
        <v>0</v>
      </c>
      <c r="H50" s="208">
        <f t="shared" si="4"/>
        <v>0</v>
      </c>
      <c r="I50" s="209">
        <f t="shared" si="4"/>
        <v>0</v>
      </c>
      <c r="J50" s="967" t="str">
        <f t="shared" si="4"/>
        <v>NA</v>
      </c>
      <c r="K50" s="338" t="str">
        <f t="shared" si="4"/>
        <v>NA</v>
      </c>
      <c r="L50" s="968" t="str">
        <f t="shared" si="4"/>
        <v>NA</v>
      </c>
      <c r="M50" s="978" t="str">
        <f t="shared" si="4"/>
        <v>NA</v>
      </c>
      <c r="N50" s="219" t="str">
        <f t="shared" si="4"/>
        <v>NA</v>
      </c>
      <c r="O50" s="210" t="str">
        <f t="shared" si="4"/>
        <v>NA</v>
      </c>
      <c r="P50" s="967" t="str">
        <f t="shared" si="4"/>
        <v>NA</v>
      </c>
      <c r="Q50" s="338" t="str">
        <f t="shared" si="4"/>
        <v>NA</v>
      </c>
      <c r="R50" s="968" t="str">
        <f t="shared" si="4"/>
        <v>NA</v>
      </c>
      <c r="S50" s="210" t="str">
        <f t="shared" si="4"/>
        <v>NA</v>
      </c>
      <c r="T50" s="210" t="str">
        <f>T15</f>
        <v>NA</v>
      </c>
      <c r="U50" s="987" t="str">
        <f>U15</f>
        <v>NA</v>
      </c>
    </row>
    <row r="51" spans="2:21" x14ac:dyDescent="0.25">
      <c r="B51" s="574" t="s">
        <v>96</v>
      </c>
      <c r="C51" s="197">
        <f t="shared" ref="C51:T51" si="5">C21</f>
        <v>0</v>
      </c>
      <c r="D51" s="25">
        <f t="shared" si="5"/>
        <v>0</v>
      </c>
      <c r="E51" s="25">
        <f t="shared" si="5"/>
        <v>0</v>
      </c>
      <c r="F51" s="25">
        <f t="shared" si="5"/>
        <v>0</v>
      </c>
      <c r="G51" s="25">
        <f t="shared" si="5"/>
        <v>0</v>
      </c>
      <c r="H51" s="25">
        <f t="shared" si="5"/>
        <v>0</v>
      </c>
      <c r="I51" s="198">
        <f t="shared" si="5"/>
        <v>0</v>
      </c>
      <c r="J51" s="333" t="str">
        <f t="shared" si="5"/>
        <v>NA</v>
      </c>
      <c r="K51" s="969" t="str">
        <f t="shared" si="5"/>
        <v>NA</v>
      </c>
      <c r="L51" s="970" t="str">
        <f t="shared" si="5"/>
        <v>NA</v>
      </c>
      <c r="M51" s="199" t="str">
        <f t="shared" si="5"/>
        <v>NA</v>
      </c>
      <c r="N51" s="447" t="str">
        <f t="shared" si="5"/>
        <v>NA</v>
      </c>
      <c r="O51" s="979" t="str">
        <f t="shared" si="5"/>
        <v>NA</v>
      </c>
      <c r="P51" s="333" t="str">
        <f t="shared" si="5"/>
        <v>NA</v>
      </c>
      <c r="Q51" s="969" t="str">
        <f t="shared" si="5"/>
        <v>NA</v>
      </c>
      <c r="R51" s="970" t="str">
        <f t="shared" si="5"/>
        <v>NA</v>
      </c>
      <c r="S51" s="979" t="str">
        <f t="shared" si="5"/>
        <v>NA</v>
      </c>
      <c r="T51" s="979" t="str">
        <f t="shared" si="5"/>
        <v>NA</v>
      </c>
      <c r="U51" s="147" t="s">
        <v>12</v>
      </c>
    </row>
    <row r="52" spans="2:21" ht="13.8" thickBot="1" x14ac:dyDescent="0.3">
      <c r="B52" s="573" t="s">
        <v>76</v>
      </c>
      <c r="C52" s="211">
        <f t="shared" ref="C52:S52" si="6">C22</f>
        <v>0</v>
      </c>
      <c r="D52" s="208">
        <f t="shared" si="6"/>
        <v>0</v>
      </c>
      <c r="E52" s="208">
        <f t="shared" si="6"/>
        <v>0</v>
      </c>
      <c r="F52" s="208">
        <f t="shared" si="6"/>
        <v>0</v>
      </c>
      <c r="G52" s="208">
        <f t="shared" si="6"/>
        <v>0</v>
      </c>
      <c r="H52" s="208">
        <f t="shared" si="6"/>
        <v>0</v>
      </c>
      <c r="I52" s="209">
        <f t="shared" si="6"/>
        <v>0</v>
      </c>
      <c r="J52" s="332">
        <f t="shared" si="6"/>
        <v>174773.49718628</v>
      </c>
      <c r="K52" s="296">
        <f t="shared" si="6"/>
        <v>3845016.9380981601</v>
      </c>
      <c r="L52" s="297">
        <f t="shared" si="6"/>
        <v>3845016.9380981601</v>
      </c>
      <c r="M52" s="207">
        <f t="shared" si="6"/>
        <v>179547.02303842435</v>
      </c>
      <c r="N52" s="208">
        <f t="shared" si="6"/>
        <v>3950034.5068453355</v>
      </c>
      <c r="O52" s="209">
        <f t="shared" si="6"/>
        <v>3950034.5068453355</v>
      </c>
      <c r="P52" s="332">
        <f t="shared" si="6"/>
        <v>181698.5301967414</v>
      </c>
      <c r="Q52" s="296">
        <f t="shared" si="6"/>
        <v>3997367.6643283106</v>
      </c>
      <c r="R52" s="297">
        <f t="shared" si="6"/>
        <v>3997367.6643283106</v>
      </c>
      <c r="S52" s="210" t="str">
        <f t="shared" si="6"/>
        <v>NA</v>
      </c>
      <c r="T52" s="210" t="str">
        <f>T22</f>
        <v>NA</v>
      </c>
      <c r="U52" s="392">
        <f>U22</f>
        <v>3930806.3697572686</v>
      </c>
    </row>
    <row r="53" spans="2:21" x14ac:dyDescent="0.25">
      <c r="B53" s="574" t="s">
        <v>99</v>
      </c>
      <c r="C53" s="197">
        <f t="shared" ref="C53:S53" si="7">C26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  <c r="H53" s="25">
        <f t="shared" si="7"/>
        <v>0</v>
      </c>
      <c r="I53" s="198">
        <f t="shared" si="7"/>
        <v>0</v>
      </c>
      <c r="J53" s="333" t="str">
        <f t="shared" si="7"/>
        <v>NA</v>
      </c>
      <c r="K53" s="969" t="str">
        <f t="shared" si="7"/>
        <v>NA</v>
      </c>
      <c r="L53" s="970" t="str">
        <f t="shared" si="7"/>
        <v>NA</v>
      </c>
      <c r="M53" s="199" t="str">
        <f t="shared" si="7"/>
        <v>NA</v>
      </c>
      <c r="N53" s="447" t="str">
        <f t="shared" si="7"/>
        <v>NA</v>
      </c>
      <c r="O53" s="979" t="str">
        <f t="shared" si="7"/>
        <v>NA</v>
      </c>
      <c r="P53" s="333" t="str">
        <f t="shared" si="7"/>
        <v>NA</v>
      </c>
      <c r="Q53" s="969" t="str">
        <f t="shared" si="7"/>
        <v>NA</v>
      </c>
      <c r="R53" s="970" t="str">
        <f t="shared" si="7"/>
        <v>NA</v>
      </c>
      <c r="S53" s="979" t="str">
        <f t="shared" si="7"/>
        <v>NA</v>
      </c>
      <c r="T53" s="986"/>
      <c r="U53" s="838"/>
    </row>
    <row r="54" spans="2:21" ht="13.8" thickBot="1" x14ac:dyDescent="0.3">
      <c r="B54" s="573" t="s">
        <v>76</v>
      </c>
      <c r="C54" s="207">
        <f t="shared" ref="C54:S54" si="8">C27</f>
        <v>0</v>
      </c>
      <c r="D54" s="208">
        <f t="shared" si="8"/>
        <v>0</v>
      </c>
      <c r="E54" s="208">
        <f t="shared" si="8"/>
        <v>0</v>
      </c>
      <c r="F54" s="208">
        <f t="shared" si="8"/>
        <v>0</v>
      </c>
      <c r="G54" s="208">
        <f t="shared" si="8"/>
        <v>0</v>
      </c>
      <c r="H54" s="208">
        <f t="shared" si="8"/>
        <v>0</v>
      </c>
      <c r="I54" s="209">
        <f t="shared" si="8"/>
        <v>0</v>
      </c>
      <c r="J54" s="967" t="str">
        <f t="shared" si="8"/>
        <v>NA</v>
      </c>
      <c r="K54" s="338" t="str">
        <f t="shared" si="8"/>
        <v>NA</v>
      </c>
      <c r="L54" s="968" t="str">
        <f t="shared" si="8"/>
        <v>NA</v>
      </c>
      <c r="M54" s="980" t="str">
        <f t="shared" si="8"/>
        <v>NA</v>
      </c>
      <c r="N54" s="219" t="str">
        <f t="shared" si="8"/>
        <v>NA</v>
      </c>
      <c r="O54" s="210" t="str">
        <f t="shared" si="8"/>
        <v>NA</v>
      </c>
      <c r="P54" s="967" t="str">
        <f t="shared" si="8"/>
        <v>NA</v>
      </c>
      <c r="Q54" s="338" t="str">
        <f t="shared" si="8"/>
        <v>NA</v>
      </c>
      <c r="R54" s="968" t="str">
        <f t="shared" si="8"/>
        <v>NA</v>
      </c>
      <c r="S54" s="210" t="str">
        <f t="shared" si="8"/>
        <v>NA</v>
      </c>
      <c r="T54" s="210" t="str">
        <f>T27</f>
        <v>NA</v>
      </c>
      <c r="U54" s="576" t="s">
        <v>12</v>
      </c>
    </row>
    <row r="55" spans="2:21" x14ac:dyDescent="0.25">
      <c r="B55" s="574" t="s">
        <v>100</v>
      </c>
      <c r="C55" s="197">
        <f t="shared" ref="C55:U55" si="9">C31</f>
        <v>0</v>
      </c>
      <c r="D55" s="25">
        <f t="shared" si="9"/>
        <v>0</v>
      </c>
      <c r="E55" s="25">
        <f t="shared" si="9"/>
        <v>0</v>
      </c>
      <c r="F55" s="25">
        <f t="shared" si="9"/>
        <v>0</v>
      </c>
      <c r="G55" s="25">
        <f t="shared" si="9"/>
        <v>0</v>
      </c>
      <c r="H55" s="25">
        <f t="shared" si="9"/>
        <v>0</v>
      </c>
      <c r="I55" s="198">
        <f t="shared" si="9"/>
        <v>0</v>
      </c>
      <c r="J55" s="333" t="str">
        <f t="shared" si="9"/>
        <v>NA</v>
      </c>
      <c r="K55" s="969" t="str">
        <f t="shared" si="9"/>
        <v>NA</v>
      </c>
      <c r="L55" s="970" t="str">
        <f t="shared" si="9"/>
        <v>NA</v>
      </c>
      <c r="M55" s="199" t="str">
        <f t="shared" si="9"/>
        <v>NA</v>
      </c>
      <c r="N55" s="447" t="str">
        <f t="shared" si="9"/>
        <v>NA</v>
      </c>
      <c r="O55" s="979" t="str">
        <f t="shared" si="9"/>
        <v>NA</v>
      </c>
      <c r="P55" s="333" t="str">
        <f t="shared" si="9"/>
        <v>NA</v>
      </c>
      <c r="Q55" s="969" t="str">
        <f t="shared" si="9"/>
        <v>NA</v>
      </c>
      <c r="R55" s="970" t="str">
        <f t="shared" si="9"/>
        <v>NA</v>
      </c>
      <c r="S55" s="979" t="str">
        <f t="shared" si="9"/>
        <v>NA</v>
      </c>
      <c r="T55" s="212" t="str">
        <f t="shared" si="9"/>
        <v>NA</v>
      </c>
      <c r="U55" s="577" t="str">
        <f t="shared" si="9"/>
        <v>NA</v>
      </c>
    </row>
    <row r="56" spans="2:21" ht="13.8" thickBot="1" x14ac:dyDescent="0.3">
      <c r="B56" s="573" t="s">
        <v>76</v>
      </c>
      <c r="C56" s="207">
        <f t="shared" ref="C56:T56" si="10">C32</f>
        <v>0</v>
      </c>
      <c r="D56" s="208">
        <f t="shared" si="10"/>
        <v>0</v>
      </c>
      <c r="E56" s="208">
        <f t="shared" si="10"/>
        <v>0</v>
      </c>
      <c r="F56" s="208">
        <f t="shared" si="10"/>
        <v>0</v>
      </c>
      <c r="G56" s="208">
        <f t="shared" si="10"/>
        <v>0</v>
      </c>
      <c r="H56" s="208">
        <f t="shared" si="10"/>
        <v>0</v>
      </c>
      <c r="I56" s="209">
        <f t="shared" si="10"/>
        <v>0</v>
      </c>
      <c r="J56" s="967" t="str">
        <f t="shared" si="10"/>
        <v>NA</v>
      </c>
      <c r="K56" s="338" t="str">
        <f t="shared" si="10"/>
        <v>NA</v>
      </c>
      <c r="L56" s="968" t="str">
        <f t="shared" si="10"/>
        <v>NA</v>
      </c>
      <c r="M56" s="978" t="str">
        <f t="shared" si="10"/>
        <v>NA</v>
      </c>
      <c r="N56" s="219" t="str">
        <f t="shared" si="10"/>
        <v>NA</v>
      </c>
      <c r="O56" s="210" t="str">
        <f t="shared" si="10"/>
        <v>NA</v>
      </c>
      <c r="P56" s="984" t="str">
        <f t="shared" si="10"/>
        <v>NA</v>
      </c>
      <c r="Q56" s="338" t="str">
        <f t="shared" si="10"/>
        <v>NA</v>
      </c>
      <c r="R56" s="968" t="str">
        <f t="shared" si="10"/>
        <v>NA</v>
      </c>
      <c r="S56" s="210" t="str">
        <f t="shared" si="10"/>
        <v>NA</v>
      </c>
      <c r="T56" s="210" t="str">
        <f t="shared" si="10"/>
        <v>NA</v>
      </c>
      <c r="U56" s="392" t="s">
        <v>12</v>
      </c>
    </row>
    <row r="57" spans="2:21" x14ac:dyDescent="0.25">
      <c r="B57" s="574" t="s">
        <v>101</v>
      </c>
      <c r="C57" s="213">
        <f t="shared" ref="C57:S57" si="11">C37</f>
        <v>0</v>
      </c>
      <c r="D57" s="214">
        <f t="shared" si="11"/>
        <v>0</v>
      </c>
      <c r="E57" s="214">
        <f t="shared" si="11"/>
        <v>0</v>
      </c>
      <c r="F57" s="214">
        <f t="shared" si="11"/>
        <v>0</v>
      </c>
      <c r="G57" s="214">
        <f t="shared" si="11"/>
        <v>0</v>
      </c>
      <c r="H57" s="214">
        <f t="shared" si="11"/>
        <v>0</v>
      </c>
      <c r="I57" s="215">
        <f t="shared" si="11"/>
        <v>0</v>
      </c>
      <c r="J57" s="336" t="str">
        <f t="shared" si="11"/>
        <v>NA</v>
      </c>
      <c r="K57" s="337" t="str">
        <f t="shared" si="11"/>
        <v>NA</v>
      </c>
      <c r="L57" s="971" t="str">
        <f t="shared" si="11"/>
        <v>NA</v>
      </c>
      <c r="M57" s="216" t="str">
        <f t="shared" si="11"/>
        <v>NA</v>
      </c>
      <c r="N57" s="217" t="str">
        <f t="shared" si="11"/>
        <v>NA</v>
      </c>
      <c r="O57" s="886" t="str">
        <f t="shared" si="11"/>
        <v>NA</v>
      </c>
      <c r="P57" s="336" t="str">
        <f t="shared" si="11"/>
        <v>NA</v>
      </c>
      <c r="Q57" s="337" t="str">
        <f t="shared" si="11"/>
        <v>NA</v>
      </c>
      <c r="R57" s="971" t="str">
        <f t="shared" si="11"/>
        <v>NA</v>
      </c>
      <c r="S57" s="886" t="str">
        <f t="shared" si="11"/>
        <v>NA</v>
      </c>
      <c r="T57" s="136" t="s">
        <v>12</v>
      </c>
      <c r="U57" s="147" t="s">
        <v>12</v>
      </c>
    </row>
    <row r="58" spans="2:21" ht="13.8" thickBot="1" x14ac:dyDescent="0.3">
      <c r="B58" s="573" t="s">
        <v>76</v>
      </c>
      <c r="C58" s="207">
        <f t="shared" ref="C58:S58" si="12">C38</f>
        <v>0</v>
      </c>
      <c r="D58" s="208">
        <f t="shared" si="12"/>
        <v>0</v>
      </c>
      <c r="E58" s="208">
        <f t="shared" si="12"/>
        <v>0</v>
      </c>
      <c r="F58" s="208">
        <f t="shared" si="12"/>
        <v>0</v>
      </c>
      <c r="G58" s="208">
        <f t="shared" si="12"/>
        <v>0</v>
      </c>
      <c r="H58" s="208">
        <f t="shared" si="12"/>
        <v>0</v>
      </c>
      <c r="I58" s="209">
        <f t="shared" si="12"/>
        <v>0</v>
      </c>
      <c r="J58" s="967" t="str">
        <f t="shared" si="12"/>
        <v>NA</v>
      </c>
      <c r="K58" s="338" t="str">
        <f t="shared" si="12"/>
        <v>NA</v>
      </c>
      <c r="L58" s="968" t="str">
        <f t="shared" si="12"/>
        <v>NA</v>
      </c>
      <c r="M58" s="980" t="str">
        <f t="shared" si="12"/>
        <v>NA</v>
      </c>
      <c r="N58" s="219" t="str">
        <f t="shared" si="12"/>
        <v>NA</v>
      </c>
      <c r="O58" s="210" t="str">
        <f t="shared" si="12"/>
        <v>NA</v>
      </c>
      <c r="P58" s="967" t="str">
        <f t="shared" si="12"/>
        <v>NA</v>
      </c>
      <c r="Q58" s="338" t="str">
        <f t="shared" si="12"/>
        <v>NA</v>
      </c>
      <c r="R58" s="968" t="str">
        <f t="shared" si="12"/>
        <v>NA</v>
      </c>
      <c r="S58" s="210" t="str">
        <f t="shared" si="12"/>
        <v>NA</v>
      </c>
      <c r="T58" s="210" t="str">
        <f>T38</f>
        <v>NA</v>
      </c>
      <c r="U58" s="392" t="s">
        <v>12</v>
      </c>
    </row>
    <row r="59" spans="2:21" x14ac:dyDescent="0.25">
      <c r="B59" s="574" t="s">
        <v>102</v>
      </c>
      <c r="C59" s="197">
        <f t="shared" ref="C59:S59" si="13">C42</f>
        <v>0</v>
      </c>
      <c r="D59" s="25">
        <f t="shared" si="13"/>
        <v>0</v>
      </c>
      <c r="E59" s="25">
        <f t="shared" si="13"/>
        <v>0</v>
      </c>
      <c r="F59" s="25">
        <f t="shared" si="13"/>
        <v>0</v>
      </c>
      <c r="G59" s="25">
        <f t="shared" si="13"/>
        <v>0</v>
      </c>
      <c r="H59" s="25">
        <f t="shared" si="13"/>
        <v>0</v>
      </c>
      <c r="I59" s="198">
        <f t="shared" si="13"/>
        <v>0</v>
      </c>
      <c r="J59" s="333" t="str">
        <f t="shared" si="13"/>
        <v>NA</v>
      </c>
      <c r="K59" s="969" t="str">
        <f t="shared" si="13"/>
        <v>NA</v>
      </c>
      <c r="L59" s="970" t="str">
        <f t="shared" si="13"/>
        <v>NA</v>
      </c>
      <c r="M59" s="199" t="str">
        <f t="shared" si="13"/>
        <v>NA</v>
      </c>
      <c r="N59" s="447" t="str">
        <f t="shared" si="13"/>
        <v>NA</v>
      </c>
      <c r="O59" s="979" t="str">
        <f t="shared" si="13"/>
        <v>NA</v>
      </c>
      <c r="P59" s="333" t="str">
        <f t="shared" si="13"/>
        <v>NA</v>
      </c>
      <c r="Q59" s="969" t="str">
        <f t="shared" si="13"/>
        <v>NA</v>
      </c>
      <c r="R59" s="970" t="str">
        <f t="shared" si="13"/>
        <v>NA</v>
      </c>
      <c r="S59" s="979" t="str">
        <f t="shared" si="13"/>
        <v>NA</v>
      </c>
      <c r="T59" s="136" t="s">
        <v>12</v>
      </c>
      <c r="U59" s="147" t="s">
        <v>12</v>
      </c>
    </row>
    <row r="60" spans="2:21" ht="13.8" thickBot="1" x14ac:dyDescent="0.3">
      <c r="B60" s="578" t="s">
        <v>76</v>
      </c>
      <c r="C60" s="220">
        <f t="shared" ref="C60:S60" si="14">C43</f>
        <v>0</v>
      </c>
      <c r="D60" s="221">
        <f t="shared" si="14"/>
        <v>0</v>
      </c>
      <c r="E60" s="221">
        <f t="shared" si="14"/>
        <v>0</v>
      </c>
      <c r="F60" s="221">
        <f t="shared" si="14"/>
        <v>0</v>
      </c>
      <c r="G60" s="221">
        <f t="shared" si="14"/>
        <v>0</v>
      </c>
      <c r="H60" s="221">
        <f t="shared" si="14"/>
        <v>0</v>
      </c>
      <c r="I60" s="222">
        <f t="shared" si="14"/>
        <v>0</v>
      </c>
      <c r="J60" s="972" t="str">
        <f t="shared" si="14"/>
        <v>NA</v>
      </c>
      <c r="K60" s="973" t="str">
        <f t="shared" si="14"/>
        <v>NA</v>
      </c>
      <c r="L60" s="974" t="str">
        <f t="shared" si="14"/>
        <v>NA</v>
      </c>
      <c r="M60" s="981" t="str">
        <f t="shared" si="14"/>
        <v>NA</v>
      </c>
      <c r="N60" s="982" t="str">
        <f t="shared" si="14"/>
        <v>NA</v>
      </c>
      <c r="O60" s="983" t="str">
        <f t="shared" si="14"/>
        <v>NA</v>
      </c>
      <c r="P60" s="985" t="str">
        <f t="shared" si="14"/>
        <v>NA</v>
      </c>
      <c r="Q60" s="973" t="str">
        <f t="shared" si="14"/>
        <v>NA</v>
      </c>
      <c r="R60" s="974" t="str">
        <f t="shared" si="14"/>
        <v>NA</v>
      </c>
      <c r="S60" s="983" t="str">
        <f t="shared" si="14"/>
        <v>NA</v>
      </c>
      <c r="T60" s="223" t="str">
        <f>T43</f>
        <v>NA</v>
      </c>
      <c r="U60" s="224" t="s">
        <v>12</v>
      </c>
    </row>
    <row r="61" spans="2:21" ht="18" thickTop="1" x14ac:dyDescent="0.3">
      <c r="B61" s="579" t="s">
        <v>13</v>
      </c>
      <c r="C61" s="183" t="s">
        <v>45</v>
      </c>
      <c r="D61" s="108" t="s">
        <v>46</v>
      </c>
      <c r="E61" s="107" t="s">
        <v>47</v>
      </c>
      <c r="F61" s="107" t="s">
        <v>48</v>
      </c>
      <c r="G61" s="107" t="s">
        <v>49</v>
      </c>
      <c r="H61" s="107" t="s">
        <v>50</v>
      </c>
      <c r="I61" s="109" t="s">
        <v>13</v>
      </c>
      <c r="J61" s="110" t="s">
        <v>56</v>
      </c>
      <c r="K61" s="108" t="s">
        <v>13</v>
      </c>
      <c r="L61" s="111" t="s">
        <v>68</v>
      </c>
      <c r="M61" s="110" t="s">
        <v>56</v>
      </c>
      <c r="N61" s="108" t="s">
        <v>13</v>
      </c>
      <c r="O61" s="111" t="s">
        <v>68</v>
      </c>
      <c r="P61" s="110" t="s">
        <v>56</v>
      </c>
      <c r="Q61" s="108" t="s">
        <v>13</v>
      </c>
      <c r="R61" s="111" t="s">
        <v>68</v>
      </c>
      <c r="S61" s="111"/>
      <c r="T61" s="37"/>
      <c r="U61" s="138"/>
    </row>
    <row r="62" spans="2:21" x14ac:dyDescent="0.25">
      <c r="B62" s="580" t="s">
        <v>75</v>
      </c>
      <c r="C62" s="195">
        <f t="shared" ref="C62:I63" si="15">C47+C49+C51+C53+C55+C57+C59</f>
        <v>0</v>
      </c>
      <c r="D62" s="101">
        <f t="shared" si="15"/>
        <v>0</v>
      </c>
      <c r="E62" s="101">
        <f t="shared" si="15"/>
        <v>0</v>
      </c>
      <c r="F62" s="101">
        <f t="shared" si="15"/>
        <v>0</v>
      </c>
      <c r="G62" s="101">
        <f t="shared" si="15"/>
        <v>0</v>
      </c>
      <c r="H62" s="101">
        <f t="shared" si="15"/>
        <v>0</v>
      </c>
      <c r="I62" s="102">
        <f t="shared" si="15"/>
        <v>0</v>
      </c>
      <c r="J62" s="340" t="s">
        <v>12</v>
      </c>
      <c r="K62" s="340" t="s">
        <v>12</v>
      </c>
      <c r="L62" s="340" t="s">
        <v>12</v>
      </c>
      <c r="M62" s="103" t="s">
        <v>12</v>
      </c>
      <c r="N62" s="103" t="s">
        <v>12</v>
      </c>
      <c r="O62" s="103" t="s">
        <v>12</v>
      </c>
      <c r="P62" s="961" t="s">
        <v>12</v>
      </c>
      <c r="Q62" s="961" t="s">
        <v>12</v>
      </c>
      <c r="R62" s="961" t="s">
        <v>12</v>
      </c>
      <c r="S62" s="103" t="s">
        <v>12</v>
      </c>
      <c r="T62" s="103" t="s">
        <v>12</v>
      </c>
      <c r="U62" s="140" t="s">
        <v>12</v>
      </c>
    </row>
    <row r="63" spans="2:21" s="235" customFormat="1" ht="16.2" thickBot="1" x14ac:dyDescent="0.35">
      <c r="B63" s="581" t="s">
        <v>76</v>
      </c>
      <c r="C63" s="582">
        <f t="shared" si="15"/>
        <v>0</v>
      </c>
      <c r="D63" s="583">
        <f t="shared" si="15"/>
        <v>0</v>
      </c>
      <c r="E63" s="583">
        <f t="shared" si="15"/>
        <v>0</v>
      </c>
      <c r="F63" s="583">
        <f t="shared" si="15"/>
        <v>0</v>
      </c>
      <c r="G63" s="583">
        <f t="shared" si="15"/>
        <v>0</v>
      </c>
      <c r="H63" s="583">
        <f t="shared" si="15"/>
        <v>0</v>
      </c>
      <c r="I63" s="584">
        <f t="shared" si="15"/>
        <v>0</v>
      </c>
      <c r="J63" s="585">
        <f>J52</f>
        <v>174773.49718628</v>
      </c>
      <c r="K63" s="585">
        <f>K52</f>
        <v>3845016.9380981601</v>
      </c>
      <c r="L63" s="585">
        <f>L52</f>
        <v>3845016.9380981601</v>
      </c>
      <c r="M63" s="582">
        <f>M52</f>
        <v>179547.02303842435</v>
      </c>
      <c r="N63" s="582">
        <f t="shared" ref="N63:T63" si="16">N52</f>
        <v>3950034.5068453355</v>
      </c>
      <c r="O63" s="582">
        <f t="shared" si="16"/>
        <v>3950034.5068453355</v>
      </c>
      <c r="P63" s="585">
        <f t="shared" si="16"/>
        <v>181698.5301967414</v>
      </c>
      <c r="Q63" s="585">
        <f t="shared" si="16"/>
        <v>3997367.6643283106</v>
      </c>
      <c r="R63" s="585">
        <f t="shared" si="16"/>
        <v>3997367.6643283106</v>
      </c>
      <c r="S63" s="992" t="str">
        <f t="shared" si="16"/>
        <v>NA</v>
      </c>
      <c r="T63" s="992" t="str">
        <f t="shared" si="16"/>
        <v>NA</v>
      </c>
      <c r="U63" s="591">
        <f>SUM(U48,U50,U52,U54,U56,U58,U60)</f>
        <v>3930806.3697572686</v>
      </c>
    </row>
  </sheetData>
  <sheetProtection sheet="1" objects="1" scenarios="1"/>
  <mergeCells count="14">
    <mergeCell ref="G40:I40"/>
    <mergeCell ref="G29:I29"/>
    <mergeCell ref="G35:I35"/>
    <mergeCell ref="G24:I24"/>
    <mergeCell ref="C5:I5"/>
    <mergeCell ref="G12:I12"/>
    <mergeCell ref="G17:I17"/>
    <mergeCell ref="S2:T2"/>
    <mergeCell ref="G7:I7"/>
    <mergeCell ref="F2:G2"/>
    <mergeCell ref="Q18:R18"/>
    <mergeCell ref="N18:O18"/>
    <mergeCell ref="K18:L18"/>
    <mergeCell ref="G18:I18"/>
  </mergeCells>
  <phoneticPr fontId="2" type="noConversion"/>
  <dataValidations count="1">
    <dataValidation allowBlank="1" showInputMessage="1" showErrorMessage="1" sqref="D20" xr:uid="{00000000-0002-0000-1200-000000000000}"/>
  </dataValidations>
  <pageMargins left="0.25" right="0.28000000000000003" top="0.64" bottom="0.47" header="0.5" footer="0.44"/>
  <pageSetup scale="46" fitToHeight="2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"/>
  <sheetViews>
    <sheetView workbookViewId="0">
      <selection activeCell="Y3" sqref="Y3"/>
    </sheetView>
  </sheetViews>
  <sheetFormatPr defaultRowHeight="13.2" x14ac:dyDescent="0.25"/>
  <cols>
    <col min="1" max="1" width="1.44140625" customWidth="1"/>
    <col min="2" max="2" width="22.5546875" bestFit="1" customWidth="1"/>
    <col min="3" max="9" width="5" bestFit="1" customWidth="1"/>
    <col min="10" max="18" width="5.5546875" bestFit="1" customWidth="1"/>
    <col min="19" max="27" width="5.5546875" customWidth="1"/>
    <col min="28" max="28" width="32.88671875" bestFit="1" customWidth="1"/>
  </cols>
  <sheetData>
    <row r="1" spans="2:28" x14ac:dyDescent="0.25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2:28" x14ac:dyDescent="0.25">
      <c r="B2" s="26" t="s">
        <v>9</v>
      </c>
      <c r="C2" s="26">
        <v>1997</v>
      </c>
      <c r="D2" s="26">
        <v>1998</v>
      </c>
      <c r="E2" s="26">
        <v>1999</v>
      </c>
      <c r="F2" s="26">
        <v>2000</v>
      </c>
      <c r="G2" s="26">
        <v>2001</v>
      </c>
      <c r="H2" s="26">
        <v>2002</v>
      </c>
      <c r="I2" s="26">
        <v>2003</v>
      </c>
      <c r="J2" s="23">
        <v>2004</v>
      </c>
      <c r="K2" s="23">
        <v>2005</v>
      </c>
      <c r="L2" s="23">
        <v>2006</v>
      </c>
      <c r="M2" s="23">
        <v>2007</v>
      </c>
      <c r="N2" s="23">
        <v>2008</v>
      </c>
      <c r="O2" s="23">
        <v>2009</v>
      </c>
      <c r="P2" s="23">
        <v>2010</v>
      </c>
      <c r="Q2" s="23">
        <v>2011</v>
      </c>
      <c r="R2" s="23">
        <v>2012</v>
      </c>
      <c r="S2" s="400">
        <v>2013</v>
      </c>
      <c r="T2" s="400">
        <v>2014</v>
      </c>
      <c r="U2" s="400">
        <v>2015</v>
      </c>
      <c r="V2" s="400">
        <v>2016</v>
      </c>
      <c r="W2" s="400">
        <v>2017</v>
      </c>
      <c r="X2" s="400">
        <v>2018</v>
      </c>
      <c r="Y2" s="400">
        <v>2019</v>
      </c>
      <c r="Z2" s="400">
        <v>2020</v>
      </c>
      <c r="AA2" s="400">
        <v>2021</v>
      </c>
      <c r="AB2" s="400" t="s">
        <v>6</v>
      </c>
    </row>
    <row r="3" spans="2:28" x14ac:dyDescent="0.25">
      <c r="B3" s="26" t="s">
        <v>5</v>
      </c>
      <c r="C3" s="797"/>
      <c r="D3" s="797">
        <v>1.1579999999999999</v>
      </c>
      <c r="E3" s="797"/>
      <c r="F3" s="797"/>
      <c r="G3" s="797"/>
      <c r="H3" s="797"/>
      <c r="I3" s="797"/>
      <c r="J3" s="401">
        <v>1.0448</v>
      </c>
      <c r="K3" s="402">
        <v>1.0319</v>
      </c>
      <c r="L3" s="402">
        <f>K3*1.02</f>
        <v>1.052538</v>
      </c>
      <c r="M3" s="402">
        <f>L3*1.02</f>
        <v>1.07358876</v>
      </c>
      <c r="N3" s="402">
        <v>1.0864</v>
      </c>
      <c r="O3" s="402">
        <f>N3*1.02</f>
        <v>1.108128</v>
      </c>
      <c r="P3" s="402">
        <f>O3*1.02</f>
        <v>1.1302905599999999</v>
      </c>
      <c r="Q3" s="402">
        <f t="shared" ref="Q3:S4" si="0">P3*1.02</f>
        <v>1.1528963712</v>
      </c>
      <c r="R3" s="402">
        <f t="shared" si="0"/>
        <v>1.1759542986239999</v>
      </c>
      <c r="S3" s="402">
        <f t="shared" si="0"/>
        <v>1.19947338459648</v>
      </c>
      <c r="T3" s="402">
        <f>+S3*1.02</f>
        <v>1.2234628522884097</v>
      </c>
      <c r="U3" s="402">
        <f t="shared" ref="U3:AA3" si="1">+T3*1.02</f>
        <v>1.247932109334178</v>
      </c>
      <c r="V3" s="402">
        <f t="shared" si="1"/>
        <v>1.2728907515208616</v>
      </c>
      <c r="W3" s="402">
        <f t="shared" si="1"/>
        <v>1.2983485665512788</v>
      </c>
      <c r="X3" s="402">
        <f t="shared" si="1"/>
        <v>1.3243155378823044</v>
      </c>
      <c r="Y3" s="402">
        <f t="shared" si="1"/>
        <v>1.3508018486399505</v>
      </c>
      <c r="Z3" s="402">
        <f t="shared" si="1"/>
        <v>1.3778178856127494</v>
      </c>
      <c r="AA3" s="402">
        <f t="shared" si="1"/>
        <v>1.4053742433250045</v>
      </c>
      <c r="AB3" s="2"/>
    </row>
    <row r="4" spans="2:28" x14ac:dyDescent="0.25">
      <c r="B4" s="26" t="s">
        <v>10</v>
      </c>
      <c r="C4" s="167"/>
      <c r="D4" s="167">
        <v>1.1802999999999999</v>
      </c>
      <c r="E4" s="167"/>
      <c r="F4" s="167"/>
      <c r="G4" s="167"/>
      <c r="H4" s="167"/>
      <c r="I4" s="167"/>
      <c r="J4" s="402">
        <v>1.0648</v>
      </c>
      <c r="K4" s="402">
        <v>1.0517000000000001</v>
      </c>
      <c r="L4" s="402">
        <f t="shared" ref="L4:Q4" si="2">K4*1.02</f>
        <v>1.0727340000000001</v>
      </c>
      <c r="M4" s="402">
        <f t="shared" si="2"/>
        <v>1.09418868</v>
      </c>
      <c r="N4" s="402">
        <f t="shared" si="2"/>
        <v>1.1160724536</v>
      </c>
      <c r="O4" s="402">
        <f t="shared" si="2"/>
        <v>1.138393902672</v>
      </c>
      <c r="P4" s="402">
        <f t="shared" si="2"/>
        <v>1.16116178072544</v>
      </c>
      <c r="Q4" s="402">
        <f t="shared" si="2"/>
        <v>1.1843850163399487</v>
      </c>
      <c r="R4" s="402">
        <f t="shared" si="0"/>
        <v>1.2080727166667478</v>
      </c>
      <c r="S4" s="402">
        <f t="shared" si="0"/>
        <v>1.2322341710000828</v>
      </c>
      <c r="T4" s="402">
        <f t="shared" ref="T4:AA4" si="3">+S4*1.02</f>
        <v>1.2568788544200844</v>
      </c>
      <c r="U4" s="402">
        <f t="shared" si="3"/>
        <v>1.2820164315084861</v>
      </c>
      <c r="V4" s="402">
        <f t="shared" si="3"/>
        <v>1.3076567601386559</v>
      </c>
      <c r="W4" s="402">
        <f t="shared" si="3"/>
        <v>1.333809895341429</v>
      </c>
      <c r="X4" s="402">
        <f t="shared" si="3"/>
        <v>1.3604860932482576</v>
      </c>
      <c r="Y4" s="402">
        <f t="shared" si="3"/>
        <v>1.3876958151132228</v>
      </c>
      <c r="Z4" s="402">
        <f t="shared" si="3"/>
        <v>1.4154497314154872</v>
      </c>
      <c r="AA4" s="402">
        <f t="shared" si="3"/>
        <v>1.443758726043797</v>
      </c>
      <c r="AB4" s="2"/>
    </row>
    <row r="5" spans="2:28" x14ac:dyDescent="0.25">
      <c r="B5" s="398" t="s">
        <v>11</v>
      </c>
      <c r="C5" s="725"/>
      <c r="D5" s="725">
        <v>1.2041999999999999</v>
      </c>
      <c r="E5" s="725"/>
      <c r="F5" s="725"/>
      <c r="G5" s="725"/>
      <c r="H5" s="725"/>
      <c r="I5" s="725"/>
      <c r="J5" s="402">
        <v>1.0864</v>
      </c>
      <c r="K5" s="402">
        <v>1.073</v>
      </c>
      <c r="L5" s="402">
        <f t="shared" ref="L5:Q5" si="4">K5*1.02</f>
        <v>1.09446</v>
      </c>
      <c r="M5" s="402">
        <f t="shared" si="4"/>
        <v>1.1163491999999999</v>
      </c>
      <c r="N5" s="402">
        <f t="shared" si="4"/>
        <v>1.1386761839999999</v>
      </c>
      <c r="O5" s="402">
        <f t="shared" si="4"/>
        <v>1.1614497076799999</v>
      </c>
      <c r="P5" s="402">
        <f t="shared" si="4"/>
        <v>1.1846787018335998</v>
      </c>
      <c r="Q5" s="402">
        <f t="shared" si="4"/>
        <v>1.2083722758702717</v>
      </c>
      <c r="R5" s="402">
        <v>1.2230000000000001</v>
      </c>
      <c r="S5" s="402">
        <v>1.2470000000000001</v>
      </c>
      <c r="T5" s="402">
        <f t="shared" ref="T5:AA5" si="5">+S5*1.02</f>
        <v>1.2719400000000001</v>
      </c>
      <c r="U5" s="402">
        <f t="shared" si="5"/>
        <v>1.2973788000000002</v>
      </c>
      <c r="V5" s="402">
        <f t="shared" si="5"/>
        <v>1.3233263760000002</v>
      </c>
      <c r="W5" s="402">
        <f t="shared" si="5"/>
        <v>1.3497929035200003</v>
      </c>
      <c r="X5" s="402">
        <f t="shared" si="5"/>
        <v>1.3767887615904002</v>
      </c>
      <c r="Y5" s="402">
        <f t="shared" si="5"/>
        <v>1.4043245368222081</v>
      </c>
      <c r="Z5" s="402">
        <f t="shared" si="5"/>
        <v>1.4324110275586523</v>
      </c>
      <c r="AA5" s="402">
        <f t="shared" si="5"/>
        <v>1.4610592481098255</v>
      </c>
      <c r="AB5" s="2"/>
    </row>
    <row r="8" spans="2:28" x14ac:dyDescent="0.25">
      <c r="K8" s="1375" t="s">
        <v>374</v>
      </c>
    </row>
  </sheetData>
  <phoneticPr fontId="2" type="noConversion"/>
  <pageMargins left="0.75" right="0.75" top="1" bottom="1" header="0.5" footer="0.5"/>
  <pageSetup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03"/>
  <sheetViews>
    <sheetView topLeftCell="A49" zoomScaleNormal="100" workbookViewId="0">
      <selection activeCell="I19" sqref="I19"/>
    </sheetView>
  </sheetViews>
  <sheetFormatPr defaultRowHeight="13.2" x14ac:dyDescent="0.25"/>
  <cols>
    <col min="1" max="1" width="1.109375" customWidth="1"/>
    <col min="2" max="2" width="31.44140625" customWidth="1"/>
    <col min="3" max="3" width="12.88671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5.6640625" customWidth="1"/>
    <col min="12" max="12" width="14.6640625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4.109375" bestFit="1" customWidth="1"/>
    <col min="22" max="22" width="3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8" thickTop="1" x14ac:dyDescent="0.3">
      <c r="A2" s="615"/>
      <c r="B2" s="596" t="s">
        <v>0</v>
      </c>
      <c r="C2" s="644" t="s">
        <v>247</v>
      </c>
      <c r="D2" s="5"/>
      <c r="F2" s="431" t="s">
        <v>31</v>
      </c>
      <c r="G2" s="1456">
        <v>43331</v>
      </c>
      <c r="H2" s="1457"/>
      <c r="I2" s="1458"/>
      <c r="J2" s="594" t="s">
        <v>5</v>
      </c>
      <c r="K2" s="595">
        <v>2019</v>
      </c>
      <c r="L2" s="426"/>
      <c r="M2" s="592" t="s">
        <v>10</v>
      </c>
      <c r="N2" s="596">
        <f>K2+1</f>
        <v>2020</v>
      </c>
      <c r="O2" s="5"/>
      <c r="P2" s="1189" t="s">
        <v>11</v>
      </c>
      <c r="Q2" s="1190">
        <f>N2+1</f>
        <v>2021</v>
      </c>
      <c r="R2" s="67"/>
      <c r="S2" s="1459" t="s">
        <v>77</v>
      </c>
      <c r="T2" s="1460"/>
      <c r="U2" s="1191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AVERAGE(J11,M11,P11)</f>
        <v>168</v>
      </c>
      <c r="U3" s="22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37"/>
      <c r="K4" s="823" t="s">
        <v>242</v>
      </c>
      <c r="L4" s="822">
        <v>1789</v>
      </c>
      <c r="N4" s="823" t="s">
        <v>242</v>
      </c>
      <c r="O4" s="822">
        <v>1789</v>
      </c>
      <c r="Q4" s="823" t="s">
        <v>242</v>
      </c>
      <c r="R4" s="822">
        <v>1789</v>
      </c>
      <c r="S4" s="115" t="s">
        <v>69</v>
      </c>
      <c r="T4" s="106">
        <f>AVERAGE(L4,O4,R4)</f>
        <v>1789</v>
      </c>
      <c r="U4" s="227"/>
    </row>
    <row r="5" spans="1:21" x14ac:dyDescent="0.25">
      <c r="A5" s="615"/>
      <c r="B5" s="5"/>
      <c r="C5" s="5"/>
      <c r="D5" s="5"/>
      <c r="E5" s="5"/>
      <c r="F5" s="7"/>
      <c r="G5" s="5"/>
      <c r="H5" s="5"/>
      <c r="I5" s="820"/>
      <c r="J5" s="425"/>
      <c r="K5" s="823" t="s">
        <v>243</v>
      </c>
      <c r="L5" s="798">
        <v>444</v>
      </c>
      <c r="M5" s="396"/>
      <c r="N5" s="823" t="s">
        <v>243</v>
      </c>
      <c r="O5" s="798">
        <v>444</v>
      </c>
      <c r="P5" s="425"/>
      <c r="Q5" s="823" t="s">
        <v>243</v>
      </c>
      <c r="R5" s="798">
        <v>444</v>
      </c>
      <c r="S5" s="115"/>
      <c r="T5" s="160"/>
      <c r="U5" s="227"/>
    </row>
    <row r="6" spans="1:21" x14ac:dyDescent="0.25">
      <c r="A6" s="615"/>
      <c r="B6" s="5"/>
      <c r="C6" s="5"/>
      <c r="D6" s="5"/>
      <c r="E6" s="5"/>
      <c r="F6" s="7"/>
      <c r="G6" s="5"/>
      <c r="H6" s="5"/>
      <c r="I6" s="820"/>
      <c r="J6" s="425"/>
      <c r="K6" s="824" t="s">
        <v>245</v>
      </c>
      <c r="L6" s="799">
        <f>SUM(L4:L5)</f>
        <v>2233</v>
      </c>
      <c r="M6" s="396"/>
      <c r="N6" s="824" t="s">
        <v>245</v>
      </c>
      <c r="O6" s="799">
        <f>SUM(O4:O5)</f>
        <v>2233</v>
      </c>
      <c r="P6" s="425"/>
      <c r="Q6" s="824" t="s">
        <v>245</v>
      </c>
      <c r="R6" s="799">
        <f>SUM(R4:R5)</f>
        <v>2233</v>
      </c>
      <c r="S6" s="115"/>
      <c r="T6" s="160"/>
      <c r="U6" s="227"/>
    </row>
    <row r="7" spans="1:21" x14ac:dyDescent="0.25">
      <c r="A7" s="615"/>
      <c r="B7" s="5"/>
      <c r="C7" s="5"/>
      <c r="D7" s="5"/>
      <c r="E7" s="5"/>
      <c r="F7" s="7"/>
      <c r="G7" s="5"/>
      <c r="H7" s="5"/>
      <c r="I7" s="820"/>
      <c r="J7" s="425"/>
      <c r="K7" s="823" t="s">
        <v>244</v>
      </c>
      <c r="L7" s="798">
        <v>0</v>
      </c>
      <c r="M7" s="396"/>
      <c r="N7" s="823" t="s">
        <v>244</v>
      </c>
      <c r="O7" s="798">
        <v>0</v>
      </c>
      <c r="P7" s="425"/>
      <c r="Q7" s="823" t="s">
        <v>244</v>
      </c>
      <c r="R7" s="798">
        <v>0</v>
      </c>
      <c r="S7" s="115"/>
      <c r="T7" s="160"/>
      <c r="U7" s="227"/>
    </row>
    <row r="8" spans="1:21" x14ac:dyDescent="0.25">
      <c r="A8" s="615"/>
      <c r="B8" s="5"/>
      <c r="C8" s="5"/>
      <c r="D8" s="5"/>
      <c r="E8" s="5"/>
      <c r="F8" s="7"/>
      <c r="G8" s="5"/>
      <c r="H8" s="5"/>
      <c r="I8" s="820"/>
      <c r="J8" s="425"/>
      <c r="K8" s="823" t="s">
        <v>89</v>
      </c>
      <c r="L8" s="799">
        <f>L6+L7</f>
        <v>2233</v>
      </c>
      <c r="M8" s="396"/>
      <c r="N8" s="823" t="s">
        <v>89</v>
      </c>
      <c r="O8" s="799">
        <f>O6+O7</f>
        <v>2233</v>
      </c>
      <c r="P8" s="425"/>
      <c r="Q8" s="823" t="s">
        <v>89</v>
      </c>
      <c r="R8" s="799">
        <f>R6+R7</f>
        <v>2233</v>
      </c>
      <c r="S8" s="115"/>
      <c r="T8" s="160"/>
      <c r="U8" s="227"/>
    </row>
    <row r="9" spans="1:21" x14ac:dyDescent="0.25">
      <c r="A9" s="615"/>
      <c r="B9" s="5"/>
      <c r="C9" s="5"/>
      <c r="D9" s="5"/>
      <c r="E9" s="5"/>
      <c r="F9" s="7"/>
      <c r="G9" s="5"/>
      <c r="H9" s="5"/>
      <c r="I9" s="820"/>
      <c r="J9" s="425"/>
      <c r="K9" s="429"/>
      <c r="L9" s="775"/>
      <c r="M9" s="396"/>
      <c r="N9" s="431"/>
      <c r="P9" s="867"/>
      <c r="Q9" s="429"/>
      <c r="S9" s="115"/>
      <c r="T9" s="160"/>
      <c r="U9" s="227"/>
    </row>
    <row r="10" spans="1:21" x14ac:dyDescent="0.25">
      <c r="A10" s="615"/>
      <c r="B10" s="5"/>
      <c r="C10" s="5"/>
      <c r="D10" s="5"/>
      <c r="E10" s="5"/>
      <c r="F10" s="7"/>
      <c r="G10" s="5"/>
      <c r="H10" s="5"/>
      <c r="I10" s="821"/>
      <c r="J10" s="425" t="s">
        <v>71</v>
      </c>
      <c r="K10" s="429"/>
      <c r="L10" s="865" t="s">
        <v>271</v>
      </c>
      <c r="M10" s="396" t="s">
        <v>71</v>
      </c>
      <c r="N10" s="431"/>
      <c r="O10" s="865" t="s">
        <v>271</v>
      </c>
      <c r="P10" s="425" t="s">
        <v>71</v>
      </c>
      <c r="Q10" s="429"/>
      <c r="R10" s="865" t="s">
        <v>271</v>
      </c>
      <c r="S10" s="115"/>
      <c r="T10" s="160"/>
      <c r="U10" s="227"/>
    </row>
    <row r="11" spans="1:21" ht="12.75" customHeight="1" thickBot="1" x14ac:dyDescent="0.3">
      <c r="A11" s="615"/>
      <c r="B11" s="597" t="s">
        <v>2</v>
      </c>
      <c r="C11" s="1429"/>
      <c r="D11" s="1430"/>
      <c r="E11" s="1430"/>
      <c r="F11" s="1430"/>
      <c r="G11" s="1430"/>
      <c r="H11" s="1430"/>
      <c r="I11" s="1446"/>
      <c r="J11" s="819">
        <v>168</v>
      </c>
      <c r="K11" s="342"/>
      <c r="L11" s="866">
        <v>156</v>
      </c>
      <c r="M11" s="631">
        <v>168</v>
      </c>
      <c r="N11" s="344"/>
      <c r="O11" s="866">
        <v>156</v>
      </c>
      <c r="P11" s="630">
        <v>168</v>
      </c>
      <c r="Q11" s="342"/>
      <c r="R11" s="866">
        <v>156</v>
      </c>
      <c r="S11" s="237"/>
      <c r="T11" s="238"/>
      <c r="U11" s="227"/>
    </row>
    <row r="12" spans="1:21" ht="30" customHeight="1" thickTop="1" thickBot="1" x14ac:dyDescent="0.35">
      <c r="A12" s="615"/>
      <c r="B12" s="598" t="s">
        <v>73</v>
      </c>
      <c r="C12" s="4"/>
      <c r="D12" s="4"/>
      <c r="E12" s="4"/>
      <c r="F12" s="12"/>
      <c r="G12" s="4"/>
      <c r="H12" s="4"/>
      <c r="I12" s="4"/>
      <c r="J12" s="1156"/>
      <c r="K12" s="87"/>
      <c r="L12" s="87"/>
      <c r="M12" s="1155"/>
      <c r="N12" s="4"/>
      <c r="O12" s="548"/>
      <c r="P12" s="544"/>
      <c r="Q12" s="87"/>
      <c r="R12" s="1154"/>
      <c r="S12" s="546" t="s">
        <v>17</v>
      </c>
      <c r="T12" s="547" t="s">
        <v>103</v>
      </c>
      <c r="U12" s="1188"/>
    </row>
    <row r="13" spans="1:21" ht="15.6" x14ac:dyDescent="0.3">
      <c r="A13" s="615"/>
      <c r="B13" s="55" t="s">
        <v>3</v>
      </c>
      <c r="C13" s="239"/>
      <c r="D13" s="431" t="s">
        <v>54</v>
      </c>
      <c r="E13" s="28">
        <v>7</v>
      </c>
      <c r="F13" s="112" t="s">
        <v>6</v>
      </c>
      <c r="G13" s="1424"/>
      <c r="H13" s="1425"/>
      <c r="I13" s="1426"/>
      <c r="J13" s="88" t="s">
        <v>3</v>
      </c>
      <c r="K13" s="179"/>
      <c r="L13" s="180"/>
      <c r="M13" s="88" t="s">
        <v>3</v>
      </c>
      <c r="N13" s="803"/>
      <c r="O13" s="802"/>
      <c r="P13" s="806" t="s">
        <v>3</v>
      </c>
      <c r="Q13" s="803"/>
      <c r="R13" s="802"/>
      <c r="S13" s="124"/>
      <c r="T13" s="117"/>
      <c r="U13" s="515"/>
    </row>
    <row r="14" spans="1:21" x14ac:dyDescent="0.25">
      <c r="A14" s="615"/>
      <c r="B14" s="790" t="s">
        <v>235</v>
      </c>
      <c r="C14" s="76"/>
      <c r="D14" s="76"/>
      <c r="E14" s="76"/>
      <c r="F14" s="75"/>
      <c r="G14" s="76"/>
      <c r="H14" s="76"/>
      <c r="I14" s="47"/>
      <c r="J14" s="800"/>
      <c r="K14" s="648"/>
      <c r="L14" s="804" t="s">
        <v>57</v>
      </c>
      <c r="M14" s="76"/>
      <c r="N14" s="648"/>
      <c r="O14" s="807" t="s">
        <v>57</v>
      </c>
      <c r="P14" s="72"/>
      <c r="Q14" s="197"/>
      <c r="R14" s="795" t="s">
        <v>57</v>
      </c>
      <c r="S14" s="125"/>
      <c r="T14" s="145"/>
      <c r="U14" s="538"/>
    </row>
    <row r="15" spans="1:21" x14ac:dyDescent="0.25">
      <c r="A15" s="615"/>
      <c r="B15" s="786" t="s">
        <v>236</v>
      </c>
      <c r="C15" s="72"/>
      <c r="D15" s="72"/>
      <c r="E15" s="72"/>
      <c r="F15" s="789"/>
      <c r="G15" s="72"/>
      <c r="H15" s="796" t="s">
        <v>241</v>
      </c>
      <c r="I15" s="810">
        <v>1998</v>
      </c>
      <c r="J15" s="76"/>
      <c r="K15" s="648"/>
      <c r="L15" s="356" t="s">
        <v>56</v>
      </c>
      <c r="M15" s="76"/>
      <c r="N15" s="648"/>
      <c r="O15" s="111" t="s">
        <v>56</v>
      </c>
      <c r="P15" s="76"/>
      <c r="Q15" s="648"/>
      <c r="R15" s="259" t="s">
        <v>56</v>
      </c>
      <c r="S15" s="122"/>
      <c r="T15" s="37"/>
      <c r="U15" s="227"/>
    </row>
    <row r="16" spans="1:21" x14ac:dyDescent="0.25">
      <c r="A16" s="615"/>
      <c r="B16" s="788" t="s">
        <v>237</v>
      </c>
      <c r="C16" s="5"/>
      <c r="D16" s="5"/>
      <c r="E16" s="5"/>
      <c r="F16" s="5"/>
      <c r="G16" s="5"/>
      <c r="H16" s="614" t="s">
        <v>238</v>
      </c>
      <c r="I16" s="811">
        <v>35000</v>
      </c>
      <c r="J16" s="76"/>
      <c r="K16" s="648"/>
      <c r="L16" s="805">
        <f>I16</f>
        <v>35000</v>
      </c>
      <c r="M16" s="76"/>
      <c r="N16" s="648"/>
      <c r="O16" s="808">
        <f>I16</f>
        <v>35000</v>
      </c>
      <c r="P16" s="76"/>
      <c r="Q16" s="648"/>
      <c r="R16" s="785">
        <f>I16</f>
        <v>35000</v>
      </c>
      <c r="S16" s="121">
        <f t="shared" ref="S16:S21" si="0">AVERAGE(L16,O16,R16)</f>
        <v>35000</v>
      </c>
      <c r="T16" s="119" t="s">
        <v>12</v>
      </c>
      <c r="U16" s="232" t="s">
        <v>12</v>
      </c>
    </row>
    <row r="17" spans="1:22" s="1" customFormat="1" ht="13.8" thickBot="1" x14ac:dyDescent="0.3">
      <c r="A17" s="616"/>
      <c r="B17" s="787"/>
      <c r="C17" s="72"/>
      <c r="D17" s="72"/>
      <c r="E17" s="72"/>
      <c r="F17" s="72"/>
      <c r="G17" s="72"/>
      <c r="H17" s="603" t="s">
        <v>239</v>
      </c>
      <c r="I17" s="812">
        <f>1052498</f>
        <v>1052498</v>
      </c>
      <c r="J17" s="460"/>
      <c r="K17" s="607"/>
      <c r="L17" s="297">
        <f>HLOOKUP($I$15,InflationTable,2)*$I17</f>
        <v>1218792.6839999999</v>
      </c>
      <c r="M17" s="76"/>
      <c r="N17" s="648"/>
      <c r="O17" s="388">
        <f>HLOOKUP($I$15,InflationTable,3)*$I17</f>
        <v>1242263.3894</v>
      </c>
      <c r="P17" s="76"/>
      <c r="Q17" s="648"/>
      <c r="R17" s="332">
        <f>HLOOKUP($I$15,InflationTable,4)*$I17</f>
        <v>1267418.0915999999</v>
      </c>
      <c r="S17" s="379">
        <f t="shared" si="0"/>
        <v>1242824.7216666667</v>
      </c>
      <c r="T17" s="380" t="s">
        <v>12</v>
      </c>
      <c r="U17" s="511" t="s">
        <v>12</v>
      </c>
    </row>
    <row r="18" spans="1:22" x14ac:dyDescent="0.25">
      <c r="A18" s="615"/>
      <c r="B18" s="112" t="s">
        <v>240</v>
      </c>
      <c r="F18"/>
      <c r="H18" s="614" t="s">
        <v>238</v>
      </c>
      <c r="I18" s="811">
        <v>21475</v>
      </c>
      <c r="J18" s="76"/>
      <c r="K18" s="648"/>
      <c r="L18" s="805">
        <f>I18</f>
        <v>21475</v>
      </c>
      <c r="M18" s="76"/>
      <c r="N18" s="648"/>
      <c r="O18" s="809">
        <f>I18</f>
        <v>21475</v>
      </c>
      <c r="P18" s="76"/>
      <c r="Q18" s="648"/>
      <c r="R18" s="785">
        <f>I18</f>
        <v>21475</v>
      </c>
      <c r="S18" s="121">
        <f t="shared" si="0"/>
        <v>21475</v>
      </c>
      <c r="T18" s="119" t="s">
        <v>12</v>
      </c>
      <c r="U18" s="232" t="s">
        <v>12</v>
      </c>
    </row>
    <row r="19" spans="1:22" s="1" customFormat="1" ht="13.8" thickBot="1" x14ac:dyDescent="0.3">
      <c r="A19" s="616"/>
      <c r="B19" s="787"/>
      <c r="C19" s="72"/>
      <c r="D19" s="72"/>
      <c r="E19" s="72"/>
      <c r="F19" s="72"/>
      <c r="G19" s="72"/>
      <c r="H19" s="603" t="s">
        <v>239</v>
      </c>
      <c r="I19" s="812">
        <f>828343</f>
        <v>828343</v>
      </c>
      <c r="J19" s="460"/>
      <c r="K19" s="607"/>
      <c r="L19" s="297">
        <f>HLOOKUP($I$15,InflationTable,2)*$I19</f>
        <v>959221.1939999999</v>
      </c>
      <c r="M19" s="76"/>
      <c r="N19" s="648"/>
      <c r="O19" s="388">
        <f>HLOOKUP($I$15,InflationTable,3)*$I19</f>
        <v>977693.24289999995</v>
      </c>
      <c r="P19" s="76"/>
      <c r="Q19" s="648"/>
      <c r="R19" s="332">
        <f>HLOOKUP($I$15,InflationTable,4)*$I19</f>
        <v>997490.64059999993</v>
      </c>
      <c r="S19" s="379">
        <f t="shared" si="0"/>
        <v>978135.02583333326</v>
      </c>
      <c r="T19" s="380" t="s">
        <v>12</v>
      </c>
      <c r="U19" s="511" t="s">
        <v>12</v>
      </c>
    </row>
    <row r="20" spans="1:22" ht="13.8" thickBot="1" x14ac:dyDescent="0.3">
      <c r="A20" s="615"/>
      <c r="B20" s="112" t="s">
        <v>256</v>
      </c>
      <c r="D20" s="1" t="s">
        <v>241</v>
      </c>
      <c r="E20">
        <v>2005</v>
      </c>
      <c r="F20" s="72"/>
      <c r="G20" s="72"/>
      <c r="H20" s="603" t="s">
        <v>239</v>
      </c>
      <c r="I20" s="812">
        <f>4345772/1.0319</f>
        <v>4211427.4639015403</v>
      </c>
      <c r="J20" s="460"/>
      <c r="K20" s="607"/>
      <c r="L20" s="297">
        <f>HLOOKUP($E$20,InflationTable,2)*$I20</f>
        <v>4345772</v>
      </c>
      <c r="M20" s="76"/>
      <c r="N20" s="648"/>
      <c r="O20" s="378">
        <f>HLOOKUP($E$20,InflationTable,3)*$I20</f>
        <v>4429158.2637852505</v>
      </c>
      <c r="P20" s="76"/>
      <c r="Q20" s="648"/>
      <c r="R20" s="297">
        <f>HLOOKUP($E$20,InflationTable,4)*$I20</f>
        <v>4518861.6687663523</v>
      </c>
      <c r="T20" s="380" t="s">
        <v>12</v>
      </c>
      <c r="U20" s="509">
        <f>AVERAGE(L20,O20,R20)</f>
        <v>4431263.9775172016</v>
      </c>
    </row>
    <row r="21" spans="1:22" x14ac:dyDescent="0.25">
      <c r="A21" s="615"/>
      <c r="B21" s="791" t="s">
        <v>66</v>
      </c>
      <c r="C21" s="793"/>
      <c r="D21" s="793"/>
      <c r="E21" s="793"/>
      <c r="F21" s="793"/>
      <c r="G21" s="793"/>
      <c r="H21" s="792"/>
      <c r="I21" s="40">
        <f>I16+I18</f>
        <v>56475</v>
      </c>
      <c r="J21" s="76"/>
      <c r="K21" s="648"/>
      <c r="L21" s="805">
        <f>I21</f>
        <v>56475</v>
      </c>
      <c r="M21" s="76"/>
      <c r="N21" s="648"/>
      <c r="O21" s="809">
        <f>I21</f>
        <v>56475</v>
      </c>
      <c r="P21" s="76"/>
      <c r="Q21" s="648"/>
      <c r="R21" s="785">
        <f>I21</f>
        <v>56475</v>
      </c>
      <c r="S21" s="121">
        <f t="shared" si="0"/>
        <v>56475</v>
      </c>
      <c r="T21" s="119" t="s">
        <v>12</v>
      </c>
      <c r="U21" s="232" t="s">
        <v>12</v>
      </c>
    </row>
    <row r="22" spans="1:22" ht="13.8" thickBot="1" x14ac:dyDescent="0.3">
      <c r="A22" s="615"/>
      <c r="B22" s="794" t="s">
        <v>67</v>
      </c>
      <c r="C22" s="691"/>
      <c r="D22" s="691"/>
      <c r="E22" s="691"/>
      <c r="F22" s="691"/>
      <c r="G22" s="691"/>
      <c r="H22" s="242"/>
      <c r="I22" s="241">
        <f>I20+I19+I17</f>
        <v>6092268.4639015403</v>
      </c>
      <c r="K22" s="801"/>
      <c r="L22" s="241">
        <f>+L20</f>
        <v>4345772</v>
      </c>
      <c r="N22" s="801"/>
      <c r="O22" s="241">
        <f>+O20</f>
        <v>4429158.2637852505</v>
      </c>
      <c r="P22" s="410"/>
      <c r="Q22" s="801"/>
      <c r="R22" s="241">
        <f>+R20</f>
        <v>4518861.6687663523</v>
      </c>
      <c r="S22" s="255">
        <f>SUM(S20+S17+S19)</f>
        <v>2220959.7475000001</v>
      </c>
      <c r="T22" s="249" t="s">
        <v>12</v>
      </c>
      <c r="U22" s="1192">
        <f>U20</f>
        <v>4431263.9775172016</v>
      </c>
      <c r="V22" s="288"/>
    </row>
    <row r="23" spans="1:22" ht="14.4" thickTop="1" thickBot="1" x14ac:dyDescent="0.3">
      <c r="A23" s="5"/>
      <c r="B23" s="618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410"/>
      <c r="O23" s="410"/>
      <c r="P23" s="410"/>
      <c r="Q23" s="410"/>
      <c r="R23" s="410"/>
      <c r="S23" s="410"/>
      <c r="T23" s="410"/>
      <c r="U23" s="236"/>
    </row>
    <row r="24" spans="1:22" ht="16.2" thickTop="1" x14ac:dyDescent="0.3">
      <c r="A24" s="615"/>
      <c r="B24" s="181" t="s">
        <v>16</v>
      </c>
      <c r="F24" s="112" t="s">
        <v>6</v>
      </c>
      <c r="G24" s="1415"/>
      <c r="H24" s="1416"/>
      <c r="I24" s="1417"/>
      <c r="J24" s="181" t="s">
        <v>16</v>
      </c>
      <c r="K24" s="426"/>
      <c r="L24" s="180"/>
      <c r="M24" s="181" t="s">
        <v>16</v>
      </c>
      <c r="N24" s="426"/>
      <c r="O24" s="67"/>
      <c r="P24" s="181" t="s">
        <v>16</v>
      </c>
      <c r="Q24" s="426"/>
      <c r="R24" s="180"/>
      <c r="S24" s="225"/>
      <c r="T24" s="37"/>
      <c r="U24" s="508"/>
    </row>
    <row r="25" spans="1:22" x14ac:dyDescent="0.25">
      <c r="A25" s="615"/>
      <c r="H25" s="6"/>
      <c r="I25" s="43"/>
      <c r="J25" s="277" t="s">
        <v>61</v>
      </c>
      <c r="K25" s="1422" t="s">
        <v>57</v>
      </c>
      <c r="L25" s="1423"/>
      <c r="M25" s="93" t="s">
        <v>61</v>
      </c>
      <c r="N25" s="1432" t="s">
        <v>57</v>
      </c>
      <c r="O25" s="1433"/>
      <c r="P25" s="262" t="s">
        <v>61</v>
      </c>
      <c r="Q25" s="1422" t="s">
        <v>57</v>
      </c>
      <c r="R25" s="1423"/>
      <c r="S25" s="131"/>
      <c r="T25" s="37"/>
      <c r="U25" s="227"/>
    </row>
    <row r="26" spans="1:22" x14ac:dyDescent="0.25">
      <c r="A26" s="615"/>
      <c r="B26" s="607" t="s">
        <v>58</v>
      </c>
      <c r="C26" s="23" t="s">
        <v>60</v>
      </c>
      <c r="D26" s="23" t="s">
        <v>62</v>
      </c>
      <c r="E26" s="72"/>
      <c r="F26" s="431" t="s">
        <v>54</v>
      </c>
      <c r="G26" s="70">
        <v>7</v>
      </c>
      <c r="H26" s="72"/>
      <c r="I26" s="73"/>
      <c r="J26" s="260" t="s">
        <v>56</v>
      </c>
      <c r="K26" s="261" t="s">
        <v>13</v>
      </c>
      <c r="L26" s="262" t="s">
        <v>68</v>
      </c>
      <c r="M26" s="77" t="s">
        <v>56</v>
      </c>
      <c r="N26" s="24" t="s">
        <v>13</v>
      </c>
      <c r="O26" s="38" t="s">
        <v>68</v>
      </c>
      <c r="P26" s="260" t="s">
        <v>56</v>
      </c>
      <c r="Q26" s="261" t="s">
        <v>13</v>
      </c>
      <c r="R26" s="262" t="s">
        <v>68</v>
      </c>
      <c r="S26" s="123"/>
      <c r="T26" s="37"/>
      <c r="U26" s="227"/>
    </row>
    <row r="27" spans="1:22" s="1" customFormat="1" x14ac:dyDescent="0.25">
      <c r="A27" s="616"/>
      <c r="B27" s="1193" t="str">
        <f>VLOOKUP($C$2,Monitor_Costs,10,FALSE)</f>
        <v>Multigas calibrator</v>
      </c>
      <c r="C27" s="458">
        <f>VLOOKUP($C$2,Monitor_Costs,11,FALSE)</f>
        <v>14000</v>
      </c>
      <c r="D27" s="877">
        <f>VLOOKUP($C$2,Monitor_Costs,12,FALSE)</f>
        <v>2019</v>
      </c>
      <c r="E27" s="459"/>
      <c r="F27" s="93"/>
      <c r="G27" s="460"/>
      <c r="H27" s="460"/>
      <c r="I27" s="461"/>
      <c r="J27" s="384">
        <f>HLOOKUP(D27,InflationTable,2)*$C27</f>
        <v>18911.225880959308</v>
      </c>
      <c r="K27" s="384">
        <f>J27*$L$6</f>
        <v>42228767.392182134</v>
      </c>
      <c r="L27" s="385">
        <f>K27/$G$26</f>
        <v>6032681.0560260192</v>
      </c>
      <c r="M27" s="467">
        <f>HLOOKUP($D$27,InflationTable,3)*$C$27</f>
        <v>19427.741411585121</v>
      </c>
      <c r="N27" s="468">
        <f>M27*O$6</f>
        <v>43382146.572069578</v>
      </c>
      <c r="O27" s="671">
        <f>N27/$G$26</f>
        <v>6197449.5102956537</v>
      </c>
      <c r="P27" s="383">
        <f>HLOOKUP($D$27,InflationTable,4)*$C$27</f>
        <v>19660.543515510915</v>
      </c>
      <c r="Q27" s="384">
        <f>P27*$L$6</f>
        <v>43901993.670135871</v>
      </c>
      <c r="R27" s="385">
        <f>Q27/$G$26</f>
        <v>6271713.3814479811</v>
      </c>
      <c r="S27" s="462" t="s">
        <v>12</v>
      </c>
      <c r="T27" s="380" t="s">
        <v>12</v>
      </c>
      <c r="U27" s="509">
        <f>AVERAGE(L27,O27,R27)</f>
        <v>6167281.3159232177</v>
      </c>
    </row>
    <row r="28" spans="1:22" s="1" customFormat="1" x14ac:dyDescent="0.25">
      <c r="A28" s="616"/>
      <c r="B28" s="1193" t="str">
        <f>VLOOKUP($C$2,Monitor_Costs,13,FALSE)</f>
        <v>Zero air supply</v>
      </c>
      <c r="C28" s="458">
        <f>VLOOKUP($C$2,Monitor_Costs,14,FALSE)</f>
        <v>5980</v>
      </c>
      <c r="D28" s="877">
        <f>VLOOKUP($C$2,Monitor_Costs,15,FALSE)</f>
        <v>2019</v>
      </c>
      <c r="E28" s="459"/>
      <c r="F28" s="93"/>
      <c r="G28" s="460"/>
      <c r="H28" s="460"/>
      <c r="I28" s="1157"/>
      <c r="J28" s="384">
        <f>HLOOKUP(D28,InflationTable,2)*$C28</f>
        <v>8077.7950548669041</v>
      </c>
      <c r="K28" s="384">
        <f>J28*$L$6</f>
        <v>18037716.357517797</v>
      </c>
      <c r="L28" s="385">
        <f>K28/$G$26</f>
        <v>2576816.6225025426</v>
      </c>
      <c r="M28" s="467">
        <f>HLOOKUP($D$27,InflationTable,3)*$C28</f>
        <v>8298.4209743770716</v>
      </c>
      <c r="N28" s="468">
        <f>M28*O$6</f>
        <v>18530374.035784002</v>
      </c>
      <c r="O28" s="671">
        <f>N28/$G$26</f>
        <v>2647196.2908262862</v>
      </c>
      <c r="P28" s="383">
        <f>HLOOKUP($D$27,InflationTable,4)*$C28</f>
        <v>8397.8607301968041</v>
      </c>
      <c r="Q28" s="384">
        <f>P28*$L$6</f>
        <v>18752423.010529462</v>
      </c>
      <c r="R28" s="385">
        <f>Q28/$G$26</f>
        <v>2678917.5729327803</v>
      </c>
      <c r="S28" s="462" t="s">
        <v>12</v>
      </c>
      <c r="T28" s="380" t="s">
        <v>12</v>
      </c>
      <c r="U28" s="509">
        <f>AVERAGE(L28,O28,R28)</f>
        <v>2634310.1620872025</v>
      </c>
    </row>
    <row r="29" spans="1:22" s="1" customFormat="1" x14ac:dyDescent="0.25">
      <c r="A29" s="616"/>
      <c r="B29" s="1193" t="str">
        <f>VLOOKUP($C$2,Monitor_Costs,16,FALSE)</f>
        <v>Ambient air intake manifold assembly</v>
      </c>
      <c r="C29" s="458">
        <f>VLOOKUP($C$2,Monitor_Costs,17,FALSE)</f>
        <v>1500</v>
      </c>
      <c r="D29" s="877">
        <f>VLOOKUP($C$2,Monitor_Costs,18,FALSE)</f>
        <v>2019</v>
      </c>
      <c r="E29" s="459"/>
      <c r="F29" s="93"/>
      <c r="G29" s="460"/>
      <c r="H29" s="460"/>
      <c r="I29" s="1157"/>
      <c r="J29" s="384">
        <f>HLOOKUP(D29,InflationTable,2)*$C29</f>
        <v>2026.2027729599256</v>
      </c>
      <c r="K29" s="384">
        <f>J29*$L$6</f>
        <v>4524510.7920195134</v>
      </c>
      <c r="L29" s="385">
        <f>K29/$G$26</f>
        <v>646358.68457421625</v>
      </c>
      <c r="M29" s="467">
        <f>HLOOKUP($D$27,InflationTable,3)*$C29</f>
        <v>2081.5437226698341</v>
      </c>
      <c r="N29" s="468">
        <f>M29*O$6</f>
        <v>4648087.1327217398</v>
      </c>
      <c r="O29" s="671">
        <f>N29/$G$26</f>
        <v>664012.44753167708</v>
      </c>
      <c r="P29" s="383">
        <f>HLOOKUP($D$27,InflationTable,4)*$C29</f>
        <v>2106.4868052333122</v>
      </c>
      <c r="Q29" s="384">
        <f>P29*$L$6</f>
        <v>4703785.0360859865</v>
      </c>
      <c r="R29" s="385">
        <f>Q29/$G$26</f>
        <v>671969.29086942668</v>
      </c>
      <c r="S29" s="462" t="s">
        <v>12</v>
      </c>
      <c r="T29" s="380" t="s">
        <v>12</v>
      </c>
      <c r="U29" s="509">
        <f>AVERAGE(L29,O29,R29)</f>
        <v>660780.14099177334</v>
      </c>
    </row>
    <row r="30" spans="1:22" s="1" customFormat="1" x14ac:dyDescent="0.25">
      <c r="A30" s="616"/>
      <c r="B30" s="1194" t="s">
        <v>246</v>
      </c>
      <c r="C30" s="107" t="s">
        <v>60</v>
      </c>
      <c r="D30" s="23" t="s">
        <v>62</v>
      </c>
      <c r="E30" s="1114"/>
      <c r="F30" s="431" t="s">
        <v>54</v>
      </c>
      <c r="G30" s="1158">
        <v>10</v>
      </c>
      <c r="H30" s="1114"/>
      <c r="I30" s="1157"/>
      <c r="J30" s="260" t="s">
        <v>56</v>
      </c>
      <c r="K30" s="261" t="s">
        <v>13</v>
      </c>
      <c r="L30" s="262" t="s">
        <v>68</v>
      </c>
      <c r="M30" s="77" t="s">
        <v>56</v>
      </c>
      <c r="N30" s="24" t="s">
        <v>13</v>
      </c>
      <c r="O30" s="38" t="s">
        <v>68</v>
      </c>
      <c r="P30" s="260" t="s">
        <v>56</v>
      </c>
      <c r="Q30" s="261" t="s">
        <v>13</v>
      </c>
      <c r="R30" s="262" t="s">
        <v>68</v>
      </c>
      <c r="S30" s="123"/>
      <c r="T30" s="466"/>
      <c r="U30" s="1184"/>
    </row>
    <row r="31" spans="1:22" s="1" customFormat="1" x14ac:dyDescent="0.25">
      <c r="A31" s="616"/>
      <c r="B31" s="1193" t="str">
        <f>VLOOKUP($C$2,Monitor_Costs,19,FALSE)</f>
        <v>Shelter (large, temp controlled)</v>
      </c>
      <c r="C31" s="458">
        <f>VLOOKUP($C$2,Monitor_Costs,20,FALSE)</f>
        <v>30000</v>
      </c>
      <c r="D31" s="877">
        <f>VLOOKUP($C$2,Monitor_Costs,21,FALSE)</f>
        <v>2019</v>
      </c>
      <c r="E31" s="459"/>
      <c r="F31" s="93"/>
      <c r="G31" s="460"/>
      <c r="H31" s="460"/>
      <c r="I31" s="466"/>
      <c r="J31" s="384">
        <f>HLOOKUP(D31,InflationTable,2)*$C31</f>
        <v>40524.055459198513</v>
      </c>
      <c r="K31" s="384">
        <f>J31*L$5</f>
        <v>17992680.623884141</v>
      </c>
      <c r="L31" s="385">
        <f>K31/$G$30</f>
        <v>1799268.0623884141</v>
      </c>
      <c r="M31" s="467">
        <f>HLOOKUP($D$27,InflationTable,3)*$C31</f>
        <v>41630.874453396682</v>
      </c>
      <c r="N31" s="387">
        <f>M31*O$5</f>
        <v>18484108.257308125</v>
      </c>
      <c r="O31" s="388">
        <f>N31/$G$30</f>
        <v>1848410.8257308125</v>
      </c>
      <c r="P31" s="383">
        <f>HLOOKUP($D$27,InflationTable,4)*$C31</f>
        <v>42129.736104666241</v>
      </c>
      <c r="Q31" s="384">
        <f>P31*R$5</f>
        <v>18705602.83047181</v>
      </c>
      <c r="R31" s="385">
        <f>Q31/$G$30</f>
        <v>1870560.2830471811</v>
      </c>
      <c r="S31" s="462" t="s">
        <v>12</v>
      </c>
      <c r="T31" s="380" t="s">
        <v>12</v>
      </c>
      <c r="U31" s="509">
        <f>AVERAGE(L31,O31,R31)</f>
        <v>1839413.0570554689</v>
      </c>
    </row>
    <row r="32" spans="1:22" s="1" customFormat="1" x14ac:dyDescent="0.25">
      <c r="A32" s="616"/>
      <c r="B32" s="1193" t="str">
        <f>VLOOKUP($C$2,Monitor_Costs,22,FALSE)</f>
        <v>Shelter (small, temp controlled)</v>
      </c>
      <c r="C32" s="458">
        <f>VLOOKUP($C$2,Monitor_Costs,23,FALSE)</f>
        <v>13000</v>
      </c>
      <c r="D32" s="877">
        <f>VLOOKUP($C$2,Monitor_Costs,24,FALSE)</f>
        <v>2019</v>
      </c>
      <c r="E32" s="459"/>
      <c r="F32" s="93"/>
      <c r="G32" s="460"/>
      <c r="H32" s="460"/>
      <c r="I32" s="1159"/>
      <c r="J32" s="384">
        <f>HLOOKUP(D32,InflationTable,2)*$C32</f>
        <v>17560.424032319355</v>
      </c>
      <c r="K32" s="384">
        <f>J32*L$4</f>
        <v>31415598.593819328</v>
      </c>
      <c r="L32" s="385">
        <f>K32/$G$30</f>
        <v>3141559.8593819328</v>
      </c>
      <c r="M32" s="467">
        <f>HLOOKUP($D$27,InflationTable,3)*$C32</f>
        <v>18040.045596471897</v>
      </c>
      <c r="N32" s="387">
        <f>M32*O$4</f>
        <v>32273641.572088223</v>
      </c>
      <c r="O32" s="388">
        <f>N32/$G$30</f>
        <v>3227364.1572088222</v>
      </c>
      <c r="P32" s="383">
        <f>HLOOKUP($D$27,InflationTable,4)*$C32</f>
        <v>18256.218978688707</v>
      </c>
      <c r="Q32" s="384">
        <f>P32*R$4</f>
        <v>32660375.752874095</v>
      </c>
      <c r="R32" s="385">
        <f>Q32/$G$30</f>
        <v>3266037.5752874096</v>
      </c>
      <c r="S32" s="462" t="s">
        <v>12</v>
      </c>
      <c r="T32" s="380" t="s">
        <v>12</v>
      </c>
      <c r="U32" s="509">
        <f>AVERAGE(L32,O32,R32)</f>
        <v>3211653.8639593883</v>
      </c>
    </row>
    <row r="33" spans="1:21" s="1" customFormat="1" x14ac:dyDescent="0.25">
      <c r="A33" s="616"/>
      <c r="B33" s="1193" t="str">
        <f>VLOOKUP($C$2,Monitor_Costs,25,FALSE)</f>
        <v>Shelter delivery charges</v>
      </c>
      <c r="C33" s="458">
        <f>VLOOKUP($C$2,Monitor_Costs,26,FALSE)</f>
        <v>1500</v>
      </c>
      <c r="D33" s="877">
        <f>VLOOKUP($C$2,Monitor_Costs,27,FALSE)</f>
        <v>2019</v>
      </c>
      <c r="E33" s="459"/>
      <c r="F33" s="93"/>
      <c r="G33" s="460"/>
      <c r="H33" s="460"/>
      <c r="I33" s="461"/>
      <c r="J33" s="384">
        <f>HLOOKUP(D33,InflationTable,2)*$C33</f>
        <v>2026.2027729599256</v>
      </c>
      <c r="K33" s="384">
        <f>J33*L$6</f>
        <v>4524510.7920195134</v>
      </c>
      <c r="L33" s="385">
        <f>K33/$G$30</f>
        <v>452451.07920195133</v>
      </c>
      <c r="M33" s="467">
        <f>HLOOKUP($D$27,InflationTable,3)*$C33</f>
        <v>2081.5437226698341</v>
      </c>
      <c r="N33" s="387">
        <f>M33*O$6</f>
        <v>4648087.1327217398</v>
      </c>
      <c r="O33" s="388">
        <f>N33/$G$30</f>
        <v>464808.71327217401</v>
      </c>
      <c r="P33" s="383">
        <f>HLOOKUP($D$27,InflationTable,4)*$C33</f>
        <v>2106.4868052333122</v>
      </c>
      <c r="Q33" s="384">
        <f>P33*R$6</f>
        <v>4703785.0360859865</v>
      </c>
      <c r="R33" s="385">
        <f>Q33/$G$30</f>
        <v>470378.50360859866</v>
      </c>
      <c r="S33" s="462" t="s">
        <v>12</v>
      </c>
      <c r="T33" s="380" t="s">
        <v>12</v>
      </c>
      <c r="U33" s="509">
        <f>AVERAGE(L33,O33,R33)</f>
        <v>462546.09869424131</v>
      </c>
    </row>
    <row r="34" spans="1:21" s="1" customFormat="1" x14ac:dyDescent="0.25">
      <c r="A34" s="616"/>
      <c r="B34" s="1193" t="str">
        <f>VLOOKUP($C$2,Monitor_Costs,28,FALSE)</f>
        <v>Other shelter equipment/accessories</v>
      </c>
      <c r="C34" s="458">
        <f>VLOOKUP($C$2,Monitor_Costs,29,FALSE)</f>
        <v>5000</v>
      </c>
      <c r="D34" s="877">
        <f>VLOOKUP($C$2,Monitor_Costs,30,FALSE)</f>
        <v>2019</v>
      </c>
      <c r="E34" s="459"/>
      <c r="F34" s="93"/>
      <c r="G34" s="460"/>
      <c r="H34" s="460"/>
      <c r="I34" s="466"/>
      <c r="J34" s="384">
        <f>HLOOKUP(D34,InflationTable,2)*$C34</f>
        <v>6754.0092431997518</v>
      </c>
      <c r="K34" s="384">
        <f>J34*L$6</f>
        <v>15081702.640065046</v>
      </c>
      <c r="L34" s="385">
        <f>K34/$G$30</f>
        <v>1508170.2640065046</v>
      </c>
      <c r="M34" s="467">
        <f>HLOOKUP($D$27,InflationTable,3)*$C34</f>
        <v>6938.4790755661143</v>
      </c>
      <c r="N34" s="387">
        <f>M34*O$6</f>
        <v>15493623.775739133</v>
      </c>
      <c r="O34" s="388">
        <f>N34/$G$30</f>
        <v>1549362.3775739134</v>
      </c>
      <c r="P34" s="383">
        <f>HLOOKUP($D$27,InflationTable,4)*$C34</f>
        <v>7021.6226841110411</v>
      </c>
      <c r="Q34" s="384">
        <f>P34*R$6</f>
        <v>15679283.453619955</v>
      </c>
      <c r="R34" s="385">
        <f>Q34/$G$30</f>
        <v>1567928.3453619955</v>
      </c>
      <c r="S34" s="462" t="s">
        <v>12</v>
      </c>
      <c r="T34" s="380" t="s">
        <v>12</v>
      </c>
      <c r="U34" s="509">
        <f>AVERAGE(L34,O34,R34)</f>
        <v>1541820.3289808044</v>
      </c>
    </row>
    <row r="35" spans="1:21" s="1" customFormat="1" x14ac:dyDescent="0.25">
      <c r="A35" s="616"/>
      <c r="B35" s="816" t="s">
        <v>152</v>
      </c>
      <c r="C35" s="1111"/>
      <c r="D35" s="1160"/>
      <c r="E35" s="1113"/>
      <c r="F35" s="159"/>
      <c r="G35" s="1114"/>
      <c r="H35" s="1114"/>
      <c r="I35" s="1159"/>
      <c r="J35" s="1118"/>
      <c r="K35" s="749"/>
      <c r="L35" s="750"/>
      <c r="M35" s="1115"/>
      <c r="N35" s="752"/>
      <c r="O35" s="753"/>
      <c r="P35" s="1118"/>
      <c r="Q35" s="749"/>
      <c r="R35" s="750"/>
      <c r="S35" s="1161"/>
      <c r="T35" s="665"/>
      <c r="U35" s="1185"/>
    </row>
    <row r="36" spans="1:21" s="1" customFormat="1" x14ac:dyDescent="0.25">
      <c r="A36" s="616"/>
      <c r="B36" s="1193" t="str">
        <f>VLOOKUP($C$2,Monitor_Costs,31,FALSE)</f>
        <v>Site preparation</v>
      </c>
      <c r="C36" s="458">
        <f>VLOOKUP($C$2,Monitor_Costs,32,FALSE)</f>
        <v>4500</v>
      </c>
      <c r="D36" s="877">
        <f>VLOOKUP($C$2,Monitor_Costs,33,FALSE)</f>
        <v>2019</v>
      </c>
      <c r="E36" s="459"/>
      <c r="F36" s="93"/>
      <c r="G36" s="460"/>
      <c r="H36" s="460"/>
      <c r="I36" s="1159"/>
      <c r="J36" s="384">
        <f>HLOOKUP(D36,InflationTable,2)*$C36</f>
        <v>6078.6083188797775</v>
      </c>
      <c r="K36" s="384">
        <f>J36*L$8</f>
        <v>13573532.376058543</v>
      </c>
      <c r="L36" s="385">
        <f>K36/$G$26</f>
        <v>1939076.0537226491</v>
      </c>
      <c r="M36" s="467">
        <f>HLOOKUP($D$27,InflationTable,3)*$C36</f>
        <v>6244.6311680095023</v>
      </c>
      <c r="N36" s="387">
        <f>M36*O$8</f>
        <v>13944261.398165219</v>
      </c>
      <c r="O36" s="388">
        <f>N36/$G$26</f>
        <v>1992037.3425950313</v>
      </c>
      <c r="P36" s="383">
        <f>HLOOKUP($D$27,InflationTable,4)*$C36</f>
        <v>6319.4604156999367</v>
      </c>
      <c r="Q36" s="384">
        <f>P36*R$8</f>
        <v>14111355.108257959</v>
      </c>
      <c r="R36" s="385">
        <f>Q36/$G$26</f>
        <v>2015907.8726082798</v>
      </c>
      <c r="S36" s="462" t="s">
        <v>12</v>
      </c>
      <c r="T36" s="380" t="s">
        <v>12</v>
      </c>
      <c r="U36" s="509">
        <f>AVERAGE(L36,O36,R36)</f>
        <v>1982340.4229753201</v>
      </c>
    </row>
    <row r="37" spans="1:21" s="1" customFormat="1" x14ac:dyDescent="0.25">
      <c r="A37" s="616"/>
      <c r="B37" s="1193" t="str">
        <f>VLOOKUP($C$2,Monitor_Costs,34,FALSE)</f>
        <v>Power drop</v>
      </c>
      <c r="C37" s="458">
        <f>VLOOKUP($C$2,Monitor_Costs,35,FALSE)</f>
        <v>800</v>
      </c>
      <c r="D37" s="877">
        <f>VLOOKUP($C$2,Monitor_Costs,36,FALSE)</f>
        <v>2019</v>
      </c>
      <c r="E37" s="459"/>
      <c r="F37" s="93"/>
      <c r="G37" s="460"/>
      <c r="H37" s="460"/>
      <c r="I37" s="1159"/>
      <c r="J37" s="384">
        <f>HLOOKUP(D37,InflationTable,2)*$C37</f>
        <v>1080.6414789119603</v>
      </c>
      <c r="K37" s="384">
        <f>J37*L$8</f>
        <v>2413072.4224104076</v>
      </c>
      <c r="L37" s="385">
        <f>K37/$G$26</f>
        <v>344724.63177291537</v>
      </c>
      <c r="M37" s="467">
        <f>HLOOKUP($D$27,InflationTable,3)*$C37</f>
        <v>1110.1566520905783</v>
      </c>
      <c r="N37" s="387">
        <f>M37*O$8</f>
        <v>2478979.8041182612</v>
      </c>
      <c r="O37" s="388">
        <f>N37/$G$26</f>
        <v>354139.97201689443</v>
      </c>
      <c r="P37" s="383">
        <f>HLOOKUP($D$27,InflationTable,4)*$C37</f>
        <v>1123.4596294577666</v>
      </c>
      <c r="Q37" s="384">
        <f>P37*R$8</f>
        <v>2508685.3525791927</v>
      </c>
      <c r="R37" s="385">
        <f>Q37/$G$26</f>
        <v>358383.62179702753</v>
      </c>
      <c r="S37" s="462" t="s">
        <v>12</v>
      </c>
      <c r="T37" s="380" t="s">
        <v>12</v>
      </c>
      <c r="U37" s="509">
        <f>AVERAGE(L37,O37,R37)</f>
        <v>352416.07519561244</v>
      </c>
    </row>
    <row r="38" spans="1:21" s="1" customFormat="1" x14ac:dyDescent="0.25">
      <c r="A38" s="616"/>
      <c r="B38" s="1193" t="str">
        <f>VLOOKUP($C$2,Monitor_Costs,37,FALSE)</f>
        <v>Land/Lease</v>
      </c>
      <c r="C38" s="458">
        <f>VLOOKUP($C$2,Monitor_Costs,38,FALSE)</f>
        <v>4000</v>
      </c>
      <c r="D38" s="877">
        <f>VLOOKUP($C$2,Monitor_Costs,39,FALSE)</f>
        <v>2019</v>
      </c>
      <c r="E38" s="459"/>
      <c r="F38" s="93"/>
      <c r="G38" s="460"/>
      <c r="H38" s="460"/>
      <c r="I38" s="1159"/>
      <c r="J38" s="384">
        <f>HLOOKUP(D38,InflationTable,2)*$C38</f>
        <v>5403.2073945598022</v>
      </c>
      <c r="K38" s="384">
        <f>J38*L$8</f>
        <v>12065362.112052038</v>
      </c>
      <c r="L38" s="385">
        <f>K38</f>
        <v>12065362.112052038</v>
      </c>
      <c r="M38" s="467">
        <f>HLOOKUP($D$27,InflationTable,3)*$C38</f>
        <v>5550.7832604528912</v>
      </c>
      <c r="N38" s="387">
        <f>M38*O$8</f>
        <v>12394899.020591306</v>
      </c>
      <c r="O38" s="388">
        <f>N38</f>
        <v>12394899.020591306</v>
      </c>
      <c r="P38" s="383">
        <f>HLOOKUP($D$27,InflationTable,4)*$C38</f>
        <v>5617.2981472888323</v>
      </c>
      <c r="Q38" s="384">
        <f>P38*R$8</f>
        <v>12543426.762895962</v>
      </c>
      <c r="R38" s="385">
        <f>Q38</f>
        <v>12543426.762895962</v>
      </c>
      <c r="S38" s="462" t="s">
        <v>12</v>
      </c>
      <c r="T38" s="380" t="s">
        <v>12</v>
      </c>
      <c r="U38" s="509">
        <f>AVERAGE(L38,O38,R38)</f>
        <v>12334562.631846435</v>
      </c>
    </row>
    <row r="39" spans="1:21" s="1" customFormat="1" x14ac:dyDescent="0.25">
      <c r="A39" s="616"/>
      <c r="B39" s="1193" t="str">
        <f>VLOOKUP($C$2,Monitor_Costs,40,FALSE)</f>
        <v>Rent</v>
      </c>
      <c r="C39" s="458">
        <f>VLOOKUP($C$2,Monitor_Costs,41,FALSE)</f>
        <v>283.84991394148022</v>
      </c>
      <c r="D39" s="877">
        <f>VLOOKUP($C$2,Monitor_Costs,42,FALSE)</f>
        <v>2019</v>
      </c>
      <c r="E39" s="459"/>
      <c r="F39" s="93"/>
      <c r="G39" s="460"/>
      <c r="H39" s="460"/>
      <c r="I39" s="461"/>
      <c r="J39" s="384">
        <f>HLOOKUP(D39,InflationTable,2)*$C39</f>
        <v>383.42498848844235</v>
      </c>
      <c r="K39" s="384">
        <f>J39*L$8</f>
        <v>856187.99929469172</v>
      </c>
      <c r="L39" s="385">
        <f>K39</f>
        <v>856187.99929469172</v>
      </c>
      <c r="M39" s="467">
        <f>HLOOKUP($D$27,InflationTable,3)*$C39</f>
        <v>393.89733769684057</v>
      </c>
      <c r="N39" s="387">
        <f>M39*O$8</f>
        <v>879572.75507704495</v>
      </c>
      <c r="O39" s="388">
        <f>N39</f>
        <v>879572.75507704495</v>
      </c>
      <c r="P39" s="383">
        <f>HLOOKUP($D$27,InflationTable,4)*$C39</f>
        <v>398.61739892289285</v>
      </c>
      <c r="Q39" s="384">
        <f>P39*R$8</f>
        <v>890112.65179481974</v>
      </c>
      <c r="R39" s="385">
        <f>Q39</f>
        <v>890112.65179481974</v>
      </c>
      <c r="S39" s="462" t="s">
        <v>12</v>
      </c>
      <c r="T39" s="380" t="s">
        <v>12</v>
      </c>
      <c r="U39" s="509">
        <f>AVERAGE(L39,O39,R39)</f>
        <v>875291.1353888521</v>
      </c>
    </row>
    <row r="40" spans="1:21" x14ac:dyDescent="0.25">
      <c r="A40" s="615"/>
      <c r="B40" s="605" t="s">
        <v>66</v>
      </c>
      <c r="C40" s="5"/>
      <c r="D40" s="5"/>
      <c r="E40" s="5"/>
      <c r="F40" s="112"/>
      <c r="G40" s="783"/>
      <c r="H40" s="783"/>
      <c r="I40" s="784"/>
      <c r="J40" s="832">
        <v>0</v>
      </c>
      <c r="K40" s="833">
        <v>0</v>
      </c>
      <c r="L40" s="834">
        <v>0</v>
      </c>
      <c r="M40" s="835">
        <v>0</v>
      </c>
      <c r="N40" s="836">
        <v>0</v>
      </c>
      <c r="O40" s="837">
        <v>0</v>
      </c>
      <c r="P40" s="832">
        <v>0</v>
      </c>
      <c r="Q40" s="833">
        <v>0</v>
      </c>
      <c r="R40" s="834">
        <v>0</v>
      </c>
      <c r="S40" s="131">
        <v>0</v>
      </c>
      <c r="T40" s="37">
        <v>0</v>
      </c>
      <c r="U40" s="1186" t="s">
        <v>12</v>
      </c>
    </row>
    <row r="41" spans="1:21" ht="13.8" thickBot="1" x14ac:dyDescent="0.3">
      <c r="A41" s="615"/>
      <c r="B41" s="606" t="s">
        <v>67</v>
      </c>
      <c r="C41" s="247"/>
      <c r="D41" s="869"/>
      <c r="E41" s="691"/>
      <c r="F41" s="691"/>
      <c r="G41" s="691"/>
      <c r="H41" s="691"/>
      <c r="I41" s="241"/>
      <c r="J41" s="274"/>
      <c r="K41" s="287">
        <f>SUM(K27:K39)</f>
        <v>162713642.10132319</v>
      </c>
      <c r="L41" s="287">
        <f>SUM(L27:L39)</f>
        <v>31362656.424923878</v>
      </c>
      <c r="M41" s="408"/>
      <c r="N41" s="243">
        <f>SUM(N27:N39)</f>
        <v>167157781.45638439</v>
      </c>
      <c r="O41" s="243">
        <f>SUM(O27:O39)</f>
        <v>32219253.412719611</v>
      </c>
      <c r="P41" s="274"/>
      <c r="Q41" s="287">
        <f>SUM(Q27:Q39)</f>
        <v>169160828.66533113</v>
      </c>
      <c r="R41" s="287">
        <f>SUM(R27:R39)</f>
        <v>32605335.861651465</v>
      </c>
      <c r="S41" s="818" t="s">
        <v>12</v>
      </c>
      <c r="T41" s="249" t="s">
        <v>12</v>
      </c>
      <c r="U41" s="1187">
        <f>SUM(U27:U39)</f>
        <v>32062415.233098317</v>
      </c>
    </row>
    <row r="42" spans="1:21" ht="14.4" thickTop="1" thickBot="1" x14ac:dyDescent="0.3">
      <c r="A42" s="615"/>
      <c r="B42" s="5"/>
      <c r="C42" s="618"/>
      <c r="D42" s="618"/>
      <c r="E42" s="618"/>
      <c r="F42" s="618"/>
      <c r="G42" s="618"/>
      <c r="H42" s="410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20"/>
    </row>
    <row r="43" spans="1:21" ht="16.2" thickTop="1" x14ac:dyDescent="0.3">
      <c r="A43" s="615"/>
      <c r="B43" s="709" t="s">
        <v>155</v>
      </c>
      <c r="C43" s="5"/>
      <c r="D43" s="5"/>
      <c r="E43" s="5"/>
      <c r="F43" s="112" t="s">
        <v>6</v>
      </c>
      <c r="G43" s="1415"/>
      <c r="H43" s="1416"/>
      <c r="I43" s="1417"/>
      <c r="J43" s="244" t="s">
        <v>22</v>
      </c>
      <c r="K43" s="426"/>
      <c r="L43" s="180"/>
      <c r="M43" s="244" t="s">
        <v>22</v>
      </c>
      <c r="N43" s="426"/>
      <c r="O43" s="67"/>
      <c r="P43" s="244" t="s">
        <v>22</v>
      </c>
      <c r="Q43" s="426"/>
      <c r="R43" s="67"/>
      <c r="S43" s="225"/>
      <c r="T43" s="37"/>
      <c r="U43" s="508"/>
    </row>
    <row r="44" spans="1:21" x14ac:dyDescent="0.25">
      <c r="A44" s="615"/>
      <c r="B44" s="5"/>
      <c r="C44" s="5"/>
      <c r="D44" s="5"/>
      <c r="E44" s="5"/>
      <c r="F44" s="112"/>
      <c r="G44" s="1418"/>
      <c r="H44" s="1418"/>
      <c r="I44" s="1419"/>
      <c r="J44" s="277" t="s">
        <v>61</v>
      </c>
      <c r="K44" s="1437" t="s">
        <v>57</v>
      </c>
      <c r="L44" s="1438"/>
      <c r="M44" s="57" t="s">
        <v>61</v>
      </c>
      <c r="N44" s="1432" t="s">
        <v>57</v>
      </c>
      <c r="O44" s="1433"/>
      <c r="P44" s="277" t="s">
        <v>61</v>
      </c>
      <c r="Q44" s="1422" t="s">
        <v>57</v>
      </c>
      <c r="R44" s="1423"/>
      <c r="S44" s="131"/>
      <c r="T44" s="37"/>
      <c r="U44" s="227"/>
    </row>
    <row r="45" spans="1:21" x14ac:dyDescent="0.25">
      <c r="A45" s="615"/>
      <c r="B45" s="611" t="s">
        <v>18</v>
      </c>
      <c r="C45" s="23" t="s">
        <v>60</v>
      </c>
      <c r="D45" s="23" t="s">
        <v>62</v>
      </c>
      <c r="E45" s="9"/>
      <c r="F45" s="72"/>
      <c r="G45" s="72"/>
      <c r="H45" s="72"/>
      <c r="I45" s="37"/>
      <c r="J45" s="261" t="s">
        <v>56</v>
      </c>
      <c r="K45" s="261" t="s">
        <v>13</v>
      </c>
      <c r="L45" s="262" t="s">
        <v>68</v>
      </c>
      <c r="M45" s="77" t="s">
        <v>56</v>
      </c>
      <c r="N45" s="24" t="s">
        <v>13</v>
      </c>
      <c r="O45" s="38" t="s">
        <v>68</v>
      </c>
      <c r="P45" s="260" t="s">
        <v>56</v>
      </c>
      <c r="Q45" s="261" t="s">
        <v>13</v>
      </c>
      <c r="R45" s="262" t="s">
        <v>68</v>
      </c>
      <c r="S45" s="123"/>
      <c r="T45" s="37"/>
      <c r="U45" s="227"/>
    </row>
    <row r="46" spans="1:21" s="1" customFormat="1" x14ac:dyDescent="0.25">
      <c r="A46" s="616"/>
      <c r="B46" s="875" t="str">
        <f>VLOOKUP($C$2,Monitor_Costs,46,FALSE)</f>
        <v>Utilities</v>
      </c>
      <c r="C46" s="876">
        <f>VLOOKUP($C$2,Monitor_Costs,47,FALSE)</f>
        <v>1500</v>
      </c>
      <c r="D46" s="877">
        <f>VLOOKUP($C$2,Monitor_Costs,48,FALSE)</f>
        <v>2019</v>
      </c>
      <c r="E46" s="460"/>
      <c r="F46" s="93"/>
      <c r="G46" s="460"/>
      <c r="H46" s="460"/>
      <c r="I46" s="461"/>
      <c r="J46" s="383">
        <f>HLOOKUP(D46,InflationTable,2)*$C46</f>
        <v>2026.2027729599256</v>
      </c>
      <c r="K46" s="384">
        <f>$J46*L8</f>
        <v>4524510.7920195134</v>
      </c>
      <c r="L46" s="385">
        <f>K46</f>
        <v>4524510.7920195134</v>
      </c>
      <c r="M46" s="467">
        <f>HLOOKUP($D$27,InflationTable,3)*$C46</f>
        <v>2081.5437226698341</v>
      </c>
      <c r="N46" s="387">
        <f>M46*O8</f>
        <v>4648087.1327217398</v>
      </c>
      <c r="O46" s="388">
        <f>N46</f>
        <v>4648087.1327217398</v>
      </c>
      <c r="P46" s="383">
        <f>HLOOKUP($D$27,InflationTable,4)*$C46</f>
        <v>2106.4868052333122</v>
      </c>
      <c r="Q46" s="384">
        <f>P46*R8</f>
        <v>4703785.0360859865</v>
      </c>
      <c r="R46" s="385">
        <f>Q46</f>
        <v>4703785.0360859865</v>
      </c>
      <c r="S46" s="462" t="s">
        <v>12</v>
      </c>
      <c r="T46" s="382">
        <f>AVERAGE(L46,O46,R46)</f>
        <v>4625460.9869424133</v>
      </c>
      <c r="U46" s="538" t="s">
        <v>12</v>
      </c>
    </row>
    <row r="47" spans="1:21" s="1" customFormat="1" ht="13.8" thickBot="1" x14ac:dyDescent="0.3">
      <c r="A47" s="616"/>
      <c r="B47" s="878" t="str">
        <f>VLOOKUP($C$2,Monitor_Costs,49,FALSE)</f>
        <v>Vehicle</v>
      </c>
      <c r="C47" s="879">
        <f>VLOOKUP($C$2,Monitor_Costs,50,FALSE)</f>
        <v>75000</v>
      </c>
      <c r="D47" s="880">
        <f>VLOOKUP($C$2,Monitor_Costs,51,FALSE)</f>
        <v>2019</v>
      </c>
      <c r="E47" s="469"/>
      <c r="F47" s="470"/>
      <c r="G47" s="469"/>
      <c r="H47" s="469"/>
      <c r="I47" s="461"/>
      <c r="J47" s="383">
        <f>HLOOKUP(D47,InflationTable,2)*$C47</f>
        <v>101310.13864799628</v>
      </c>
      <c r="K47" s="384">
        <f>J47</f>
        <v>101310.13864799628</v>
      </c>
      <c r="L47" s="385">
        <f>K47</f>
        <v>101310.13864799628</v>
      </c>
      <c r="M47" s="467">
        <f>HLOOKUP($D$27,InflationTable,3)*$C47</f>
        <v>104077.1861334917</v>
      </c>
      <c r="N47" s="387">
        <f>M47</f>
        <v>104077.1861334917</v>
      </c>
      <c r="O47" s="388">
        <f>N47</f>
        <v>104077.1861334917</v>
      </c>
      <c r="P47" s="748">
        <f>HLOOKUP($D$27,InflationTable,4)*$C$47</f>
        <v>105324.34026166561</v>
      </c>
      <c r="Q47" s="384">
        <f>P47</f>
        <v>105324.34026166561</v>
      </c>
      <c r="R47" s="385">
        <f>Q47</f>
        <v>105324.34026166561</v>
      </c>
      <c r="S47" s="462" t="s">
        <v>12</v>
      </c>
      <c r="T47" s="382">
        <f>AVERAGE(L47,O47,R47)</f>
        <v>103570.55501438452</v>
      </c>
      <c r="U47" s="538" t="s">
        <v>12</v>
      </c>
    </row>
    <row r="48" spans="1:21" s="1" customFormat="1" ht="13.8" thickBot="1" x14ac:dyDescent="0.3">
      <c r="A48" s="616"/>
      <c r="B48" s="872" t="s">
        <v>275</v>
      </c>
      <c r="C48" s="881">
        <f>SUM(C46:C47)</f>
        <v>76500</v>
      </c>
      <c r="D48" s="882"/>
      <c r="E48" s="883"/>
      <c r="F48" s="884"/>
      <c r="G48" s="883"/>
      <c r="H48" s="883"/>
      <c r="I48" s="1164"/>
      <c r="J48" s="1165">
        <f t="shared" ref="J48:R48" si="1">SUM(J46:J47)</f>
        <v>103336.3414209562</v>
      </c>
      <c r="K48" s="1165">
        <f t="shared" si="1"/>
        <v>4625820.9306675093</v>
      </c>
      <c r="L48" s="1166">
        <f t="shared" si="1"/>
        <v>4625820.9306675093</v>
      </c>
      <c r="M48" s="1167">
        <f t="shared" si="1"/>
        <v>106158.72985616155</v>
      </c>
      <c r="N48" s="1167">
        <f t="shared" si="1"/>
        <v>4752164.3188552316</v>
      </c>
      <c r="O48" s="1168">
        <f t="shared" si="1"/>
        <v>4752164.3188552316</v>
      </c>
      <c r="P48" s="1165">
        <f t="shared" si="1"/>
        <v>107430.82706689893</v>
      </c>
      <c r="Q48" s="1165">
        <f t="shared" si="1"/>
        <v>4809109.3763476517</v>
      </c>
      <c r="R48" s="1165">
        <f t="shared" si="1"/>
        <v>4809109.3763476517</v>
      </c>
      <c r="S48" s="754" t="s">
        <v>12</v>
      </c>
      <c r="T48" s="755">
        <f>SUM(T46:T47)</f>
        <v>4729031.5419567982</v>
      </c>
      <c r="U48" s="229">
        <f>SUM(U46:U47)</f>
        <v>0</v>
      </c>
    </row>
    <row r="49" spans="1:22" x14ac:dyDescent="0.25">
      <c r="A49" s="615"/>
      <c r="B49" s="788" t="s">
        <v>272</v>
      </c>
      <c r="C49" s="5"/>
      <c r="D49" s="5"/>
      <c r="E49" s="5"/>
      <c r="F49" s="5"/>
      <c r="G49" s="5"/>
      <c r="H49" s="614" t="s">
        <v>238</v>
      </c>
      <c r="I49" s="870">
        <v>2610</v>
      </c>
      <c r="J49" s="1174"/>
      <c r="K49" s="873">
        <f>I49</f>
        <v>2610</v>
      </c>
      <c r="L49" s="871">
        <f>K49</f>
        <v>2610</v>
      </c>
      <c r="M49" s="1172"/>
      <c r="N49" s="1171">
        <f>L49</f>
        <v>2610</v>
      </c>
      <c r="O49" s="1170">
        <f>N49</f>
        <v>2610</v>
      </c>
      <c r="P49" s="1174"/>
      <c r="Q49" s="873">
        <f>O49</f>
        <v>2610</v>
      </c>
      <c r="R49" s="871">
        <f>Q49</f>
        <v>2610</v>
      </c>
      <c r="S49" s="129">
        <f>AVERAGE(L49,O49,R49)</f>
        <v>2610</v>
      </c>
      <c r="T49" s="136" t="s">
        <v>12</v>
      </c>
      <c r="U49" s="230" t="s">
        <v>12</v>
      </c>
    </row>
    <row r="50" spans="1:22" s="1" customFormat="1" ht="13.8" thickBot="1" x14ac:dyDescent="0.3">
      <c r="A50" s="616"/>
      <c r="B50" s="787"/>
      <c r="C50" s="72"/>
      <c r="D50" s="72"/>
      <c r="E50" s="72"/>
      <c r="F50" s="72"/>
      <c r="G50" s="72"/>
      <c r="H50" s="603" t="s">
        <v>239</v>
      </c>
      <c r="I50" s="812">
        <v>108460</v>
      </c>
      <c r="J50" s="1175"/>
      <c r="K50" s="1180">
        <f>HLOOKUP($I$15,InflationTable,2)*$I50</f>
        <v>125596.68</v>
      </c>
      <c r="L50" s="297">
        <f>K50</f>
        <v>125596.68</v>
      </c>
      <c r="M50" s="1162"/>
      <c r="N50" s="377">
        <f>HLOOKUP($I$15,InflationTable,3)*$I50</f>
        <v>128015.33799999999</v>
      </c>
      <c r="O50" s="1163">
        <f>N50</f>
        <v>128015.33799999999</v>
      </c>
      <c r="P50" s="1176"/>
      <c r="Q50" s="1173">
        <f>HLOOKUP($I$15,InflationTable,4)*$I50</f>
        <v>130607.53199999999</v>
      </c>
      <c r="R50" s="1177">
        <f>Q50</f>
        <v>130607.53199999999</v>
      </c>
      <c r="S50" s="211">
        <f>AVERAGE(K50,O50,R50)</f>
        <v>128073.18333333333</v>
      </c>
      <c r="T50" s="218" t="s">
        <v>12</v>
      </c>
      <c r="U50" s="228" t="s">
        <v>12</v>
      </c>
    </row>
    <row r="51" spans="1:22" x14ac:dyDescent="0.25">
      <c r="A51" s="615"/>
      <c r="B51" s="465" t="s">
        <v>23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2"/>
      <c r="K51" s="352"/>
      <c r="L51" s="356"/>
      <c r="M51" s="110"/>
      <c r="N51" s="108"/>
      <c r="O51" s="111"/>
      <c r="P51" s="351"/>
      <c r="Q51" s="352"/>
      <c r="R51" s="356"/>
      <c r="S51" s="123"/>
      <c r="T51" s="37"/>
      <c r="U51" s="227"/>
    </row>
    <row r="52" spans="1:22" x14ac:dyDescent="0.25">
      <c r="A52" s="615"/>
      <c r="B52" s="614" t="s">
        <v>4</v>
      </c>
      <c r="C52" s="21">
        <v>0</v>
      </c>
      <c r="D52" s="21">
        <v>0</v>
      </c>
      <c r="E52" s="21">
        <v>0</v>
      </c>
      <c r="F52" s="21">
        <v>0</v>
      </c>
      <c r="G52" s="21">
        <v>1.6</v>
      </c>
      <c r="H52" s="21">
        <v>1.6</v>
      </c>
      <c r="I52" s="48">
        <f>SUM(C52:H52)</f>
        <v>3.2</v>
      </c>
      <c r="J52" s="299">
        <f>I52</f>
        <v>3.2</v>
      </c>
      <c r="K52" s="281">
        <f>$I52*L$8</f>
        <v>7145.6</v>
      </c>
      <c r="L52" s="289">
        <f>K52</f>
        <v>7145.6</v>
      </c>
      <c r="M52" s="58">
        <f>I52</f>
        <v>3.2</v>
      </c>
      <c r="N52" s="69">
        <f>$I52*O$8</f>
        <v>7145.6</v>
      </c>
      <c r="O52" s="68">
        <f>N52</f>
        <v>7145.6</v>
      </c>
      <c r="P52" s="263">
        <f>I52</f>
        <v>3.2</v>
      </c>
      <c r="Q52" s="281">
        <f>$I52*R$8</f>
        <v>7145.6</v>
      </c>
      <c r="R52" s="289">
        <f>Q52</f>
        <v>7145.6</v>
      </c>
      <c r="S52" s="121">
        <f>AVERAGE(L52,O52,R52)</f>
        <v>7145.6000000000013</v>
      </c>
      <c r="T52" s="119" t="s">
        <v>12</v>
      </c>
      <c r="U52" s="232" t="s">
        <v>12</v>
      </c>
    </row>
    <row r="53" spans="1:22" s="1" customFormat="1" ht="13.8" thickBot="1" x14ac:dyDescent="0.3">
      <c r="A53" s="616"/>
      <c r="B53" s="604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0</v>
      </c>
      <c r="F53" s="374">
        <f>ROUND(F52*Labor!$D$6,0)</f>
        <v>0</v>
      </c>
      <c r="G53" s="374">
        <f>ROUND(G52*Labor!$D$7,0)</f>
        <v>89</v>
      </c>
      <c r="H53" s="374">
        <f>ROUND(H52*Labor!$D$8,0)</f>
        <v>94</v>
      </c>
      <c r="I53" s="375">
        <f>SUM(C53:H53)</f>
        <v>183</v>
      </c>
      <c r="J53" s="296">
        <f>HLOOKUP(Labor!$B$11,InflationTable,2)*I53</f>
        <v>247.19673830111094</v>
      </c>
      <c r="K53" s="296">
        <f>J53*L$8</f>
        <v>551990.31662638078</v>
      </c>
      <c r="L53" s="390">
        <f>K53</f>
        <v>551990.31662638078</v>
      </c>
      <c r="M53" s="376">
        <f>HLOOKUP(Labor!$B$11,InflationTable,3)*I53</f>
        <v>253.94833416571979</v>
      </c>
      <c r="N53" s="377">
        <f>M53*O$8</f>
        <v>567066.63019205222</v>
      </c>
      <c r="O53" s="378">
        <f>N53</f>
        <v>567066.63019205222</v>
      </c>
      <c r="P53" s="332">
        <f>HLOOKUP(Labor!$B$11,InflationTable,4)*$I$53</f>
        <v>256.99139023846408</v>
      </c>
      <c r="Q53" s="296">
        <f>P53*R$8</f>
        <v>573861.77440249023</v>
      </c>
      <c r="R53" s="297">
        <f>Q53</f>
        <v>573861.77440249023</v>
      </c>
      <c r="S53" s="211">
        <f>AVERAGE(L53,O53,R53)</f>
        <v>564306.24040697434</v>
      </c>
      <c r="T53" s="218" t="s">
        <v>12</v>
      </c>
      <c r="U53" s="228" t="s">
        <v>12</v>
      </c>
    </row>
    <row r="54" spans="1:22" x14ac:dyDescent="0.25">
      <c r="A54" s="615"/>
      <c r="B54" s="605" t="s">
        <v>66</v>
      </c>
      <c r="C54" s="36">
        <f t="shared" ref="C54:J54" si="2">C52</f>
        <v>0</v>
      </c>
      <c r="D54" s="36">
        <f t="shared" si="2"/>
        <v>0</v>
      </c>
      <c r="E54" s="36">
        <f t="shared" si="2"/>
        <v>0</v>
      </c>
      <c r="F54" s="36">
        <f t="shared" si="2"/>
        <v>0</v>
      </c>
      <c r="G54" s="36">
        <f t="shared" si="2"/>
        <v>1.6</v>
      </c>
      <c r="H54" s="36">
        <f t="shared" si="2"/>
        <v>1.6</v>
      </c>
      <c r="I54" s="51">
        <f t="shared" si="2"/>
        <v>3.2</v>
      </c>
      <c r="J54" s="1179">
        <f t="shared" si="2"/>
        <v>3.2</v>
      </c>
      <c r="K54" s="1178">
        <f>K52+K49</f>
        <v>9755.6</v>
      </c>
      <c r="L54" s="303">
        <f>L52+L49</f>
        <v>9755.6</v>
      </c>
      <c r="M54" s="1182">
        <f>M52</f>
        <v>3.2</v>
      </c>
      <c r="N54" s="1181">
        <f>N52+N49</f>
        <v>9755.6</v>
      </c>
      <c r="O54" s="90">
        <f>O52+O49</f>
        <v>9755.6</v>
      </c>
      <c r="P54" s="852">
        <f>P52</f>
        <v>3.2</v>
      </c>
      <c r="Q54" s="1178">
        <f>Q52+Q49</f>
        <v>9755.6</v>
      </c>
      <c r="R54" s="302">
        <f>R52+R49</f>
        <v>9755.6</v>
      </c>
      <c r="S54" s="1169">
        <f>AVERAGE(L54,O54,R54)</f>
        <v>9755.6</v>
      </c>
      <c r="T54" s="136" t="s">
        <v>12</v>
      </c>
      <c r="U54" s="230" t="s">
        <v>12</v>
      </c>
    </row>
    <row r="55" spans="1:22" ht="13.8" thickBot="1" x14ac:dyDescent="0.3">
      <c r="A55" s="615"/>
      <c r="B55" s="606" t="s">
        <v>67</v>
      </c>
      <c r="C55" s="240">
        <f t="shared" ref="C55:H55" si="3">C54</f>
        <v>0</v>
      </c>
      <c r="D55" s="240">
        <f t="shared" si="3"/>
        <v>0</v>
      </c>
      <c r="E55" s="240">
        <f t="shared" si="3"/>
        <v>0</v>
      </c>
      <c r="F55" s="240">
        <f t="shared" si="3"/>
        <v>0</v>
      </c>
      <c r="G55" s="240">
        <f t="shared" si="3"/>
        <v>1.6</v>
      </c>
      <c r="H55" s="240">
        <f t="shared" si="3"/>
        <v>1.6</v>
      </c>
      <c r="I55" s="251">
        <f>I53</f>
        <v>183</v>
      </c>
      <c r="J55" s="305">
        <f>J53</f>
        <v>247.19673830111094</v>
      </c>
      <c r="K55" s="305">
        <f>K53+K50</f>
        <v>677586.99662638083</v>
      </c>
      <c r="L55" s="306">
        <f>L53+L50</f>
        <v>677586.99662638083</v>
      </c>
      <c r="M55" s="252">
        <f>M53</f>
        <v>253.94833416571979</v>
      </c>
      <c r="N55" s="253">
        <f>N53+N50</f>
        <v>695081.96819205221</v>
      </c>
      <c r="O55" s="254">
        <f>O53+O50</f>
        <v>695081.96819205221</v>
      </c>
      <c r="P55" s="311">
        <f>P53</f>
        <v>256.99139023846408</v>
      </c>
      <c r="Q55" s="305">
        <f>Q53+Q50</f>
        <v>704469.30640249024</v>
      </c>
      <c r="R55" s="305">
        <f>R53+R50</f>
        <v>704469.30640249024</v>
      </c>
      <c r="S55" s="255">
        <f>AVERAGE(L55,O55,R55)</f>
        <v>692379.42374030768</v>
      </c>
      <c r="T55" s="874" t="s">
        <v>12</v>
      </c>
      <c r="U55" s="1183" t="s">
        <v>12</v>
      </c>
    </row>
    <row r="56" spans="1:22" ht="14.4" thickTop="1" thickBot="1" x14ac:dyDescent="0.3">
      <c r="A56" s="5"/>
      <c r="B56" s="618"/>
      <c r="C56" s="618"/>
      <c r="D56" s="618"/>
      <c r="E56" s="618"/>
      <c r="F56" s="618"/>
      <c r="G56" s="618"/>
      <c r="H56" s="618"/>
      <c r="I56" s="618"/>
      <c r="J56" s="618"/>
      <c r="K56" s="618"/>
      <c r="L56" s="618"/>
      <c r="M56" s="618"/>
      <c r="N56" s="618"/>
      <c r="O56" s="618"/>
      <c r="P56" s="618"/>
      <c r="Q56" s="618"/>
      <c r="R56" s="618"/>
      <c r="S56" s="618"/>
      <c r="T56" s="618"/>
      <c r="U56" s="618"/>
      <c r="V56" s="5"/>
    </row>
    <row r="57" spans="1:22" ht="16.2" thickTop="1" x14ac:dyDescent="0.3">
      <c r="A57" s="831"/>
      <c r="B57" s="181" t="s">
        <v>265</v>
      </c>
      <c r="C57" s="5"/>
      <c r="D57" s="5"/>
      <c r="E57" s="5"/>
      <c r="F57" s="112" t="s">
        <v>6</v>
      </c>
      <c r="G57" s="1415"/>
      <c r="H57" s="1416"/>
      <c r="I57" s="1417"/>
      <c r="J57" s="181" t="s">
        <v>24</v>
      </c>
      <c r="K57" s="426"/>
      <c r="L57" s="180"/>
      <c r="M57" s="181" t="s">
        <v>24</v>
      </c>
      <c r="N57" s="319"/>
      <c r="O57" s="67"/>
      <c r="P57" s="181" t="s">
        <v>24</v>
      </c>
      <c r="Q57" s="426"/>
      <c r="R57" s="67"/>
      <c r="S57" s="225"/>
      <c r="T57" s="37"/>
      <c r="U57" s="138"/>
    </row>
    <row r="58" spans="1:22" x14ac:dyDescent="0.25">
      <c r="A58" s="615"/>
      <c r="B58" s="5"/>
      <c r="C58" s="5"/>
      <c r="D58" s="5"/>
      <c r="E58" s="5"/>
      <c r="F58" s="112"/>
      <c r="G58" s="1418"/>
      <c r="H58" s="1418"/>
      <c r="I58" s="1419"/>
      <c r="J58" s="277" t="s">
        <v>61</v>
      </c>
      <c r="K58" s="1422" t="s">
        <v>57</v>
      </c>
      <c r="L58" s="1423"/>
      <c r="M58" s="57" t="s">
        <v>61</v>
      </c>
      <c r="N58" s="1432" t="s">
        <v>57</v>
      </c>
      <c r="O58" s="1433"/>
      <c r="P58" s="277" t="s">
        <v>61</v>
      </c>
      <c r="Q58" s="1422" t="s">
        <v>57</v>
      </c>
      <c r="R58" s="1423"/>
      <c r="S58" s="131"/>
      <c r="T58" s="37"/>
      <c r="U58" s="138"/>
    </row>
    <row r="59" spans="1:22" x14ac:dyDescent="0.25">
      <c r="A59" s="615"/>
      <c r="B59" s="1196" t="s">
        <v>66</v>
      </c>
      <c r="C59" s="76"/>
      <c r="D59" s="76"/>
      <c r="E59" s="76"/>
      <c r="F59" s="460"/>
      <c r="G59" s="1195"/>
      <c r="H59" s="1195"/>
      <c r="I59" s="784"/>
      <c r="J59" s="832">
        <v>0</v>
      </c>
      <c r="K59" s="833">
        <v>0</v>
      </c>
      <c r="L59" s="834">
        <v>0</v>
      </c>
      <c r="M59" s="835">
        <v>0</v>
      </c>
      <c r="N59" s="836">
        <v>0</v>
      </c>
      <c r="O59" s="837">
        <v>0</v>
      </c>
      <c r="P59" s="832">
        <v>0</v>
      </c>
      <c r="Q59" s="833">
        <v>0</v>
      </c>
      <c r="R59" s="834">
        <v>0</v>
      </c>
      <c r="S59" s="131">
        <v>0</v>
      </c>
      <c r="T59" s="37">
        <v>0</v>
      </c>
      <c r="U59" s="838" t="s">
        <v>12</v>
      </c>
    </row>
    <row r="60" spans="1:22" ht="13.8" thickBot="1" x14ac:dyDescent="0.3">
      <c r="A60" s="615"/>
      <c r="B60" s="794" t="s">
        <v>67</v>
      </c>
      <c r="C60" s="691"/>
      <c r="D60" s="691"/>
      <c r="E60" s="869"/>
      <c r="F60" s="691"/>
      <c r="G60" s="691"/>
      <c r="H60" s="691"/>
      <c r="I60" s="251"/>
      <c r="J60" s="311">
        <v>0</v>
      </c>
      <c r="K60" s="305">
        <v>0</v>
      </c>
      <c r="L60" s="306">
        <v>0</v>
      </c>
      <c r="M60" s="252">
        <v>0</v>
      </c>
      <c r="N60" s="253">
        <v>0</v>
      </c>
      <c r="O60" s="254">
        <v>0</v>
      </c>
      <c r="P60" s="311">
        <v>0</v>
      </c>
      <c r="Q60" s="305">
        <v>0</v>
      </c>
      <c r="R60" s="306">
        <v>0</v>
      </c>
      <c r="S60" s="257">
        <v>0</v>
      </c>
      <c r="T60" s="251">
        <v>0</v>
      </c>
      <c r="U60" s="224" t="s">
        <v>12</v>
      </c>
    </row>
    <row r="61" spans="1:22" ht="14.4" thickTop="1" thickBot="1" x14ac:dyDescent="0.3">
      <c r="B61" s="555"/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18"/>
      <c r="S61" s="618"/>
      <c r="T61" s="618"/>
      <c r="U61" s="618"/>
      <c r="V61" s="5"/>
    </row>
    <row r="62" spans="1:22" ht="16.2" thickTop="1" x14ac:dyDescent="0.3">
      <c r="B62" s="652" t="s">
        <v>26</v>
      </c>
      <c r="C62" s="5"/>
      <c r="D62" s="5"/>
      <c r="E62" s="5"/>
      <c r="F62" s="112" t="s">
        <v>6</v>
      </c>
      <c r="G62" s="1415"/>
      <c r="H62" s="1416"/>
      <c r="I62" s="1417"/>
      <c r="J62" s="181" t="s">
        <v>26</v>
      </c>
      <c r="K62" s="426"/>
      <c r="L62" s="67"/>
      <c r="M62" s="245" t="s">
        <v>26</v>
      </c>
      <c r="N62" s="426"/>
      <c r="O62" s="426"/>
      <c r="P62" s="245" t="s">
        <v>26</v>
      </c>
      <c r="Q62" s="426"/>
      <c r="R62" s="67"/>
      <c r="S62" s="225"/>
      <c r="T62" s="37"/>
      <c r="U62" s="138"/>
    </row>
    <row r="63" spans="1:22" x14ac:dyDescent="0.25">
      <c r="B63" s="555"/>
      <c r="C63" s="5"/>
      <c r="D63" s="5"/>
      <c r="E63" s="5"/>
      <c r="F63" s="7"/>
      <c r="G63" s="5"/>
      <c r="H63" s="5"/>
      <c r="I63" s="45" t="s">
        <v>61</v>
      </c>
      <c r="J63" s="277" t="s">
        <v>61</v>
      </c>
      <c r="K63" s="1422" t="s">
        <v>57</v>
      </c>
      <c r="L63" s="1423"/>
      <c r="M63" s="57" t="s">
        <v>61</v>
      </c>
      <c r="N63" s="1432" t="s">
        <v>57</v>
      </c>
      <c r="O63" s="1433"/>
      <c r="P63" s="277" t="s">
        <v>61</v>
      </c>
      <c r="Q63" s="1422" t="s">
        <v>57</v>
      </c>
      <c r="R63" s="1423"/>
      <c r="S63" s="131"/>
      <c r="T63" s="37"/>
      <c r="U63" s="138"/>
    </row>
    <row r="64" spans="1:22" x14ac:dyDescent="0.25">
      <c r="B64" s="563" t="s">
        <v>264</v>
      </c>
      <c r="C64" s="23" t="s">
        <v>45</v>
      </c>
      <c r="D64" s="24" t="s">
        <v>46</v>
      </c>
      <c r="E64" s="23" t="s">
        <v>47</v>
      </c>
      <c r="F64" s="23" t="s">
        <v>48</v>
      </c>
      <c r="G64" s="23" t="s">
        <v>49</v>
      </c>
      <c r="H64" s="23" t="s">
        <v>50</v>
      </c>
      <c r="I64" s="45" t="s">
        <v>13</v>
      </c>
      <c r="J64" s="260" t="s">
        <v>56</v>
      </c>
      <c r="K64" s="261" t="s">
        <v>13</v>
      </c>
      <c r="L64" s="262" t="s">
        <v>68</v>
      </c>
      <c r="M64" s="77" t="s">
        <v>56</v>
      </c>
      <c r="N64" s="24" t="s">
        <v>13</v>
      </c>
      <c r="O64" s="38" t="s">
        <v>68</v>
      </c>
      <c r="P64" s="260" t="s">
        <v>56</v>
      </c>
      <c r="Q64" s="261" t="s">
        <v>13</v>
      </c>
      <c r="R64" s="262" t="s">
        <v>68</v>
      </c>
      <c r="S64" s="123"/>
      <c r="T64" s="37"/>
      <c r="U64" s="138"/>
    </row>
    <row r="65" spans="1:22" x14ac:dyDescent="0.25">
      <c r="B65" s="566" t="s">
        <v>4</v>
      </c>
      <c r="C65" s="21">
        <v>0</v>
      </c>
      <c r="D65" s="21">
        <v>0</v>
      </c>
      <c r="E65" s="21">
        <v>1040</v>
      </c>
      <c r="F65" s="21">
        <v>0</v>
      </c>
      <c r="G65" s="21">
        <v>0</v>
      </c>
      <c r="H65" s="21">
        <v>0</v>
      </c>
      <c r="I65" s="52">
        <f>SUM(C65:H65)</f>
        <v>1040</v>
      </c>
      <c r="J65" s="263">
        <f>I65</f>
        <v>1040</v>
      </c>
      <c r="K65" s="281">
        <f>$I65*J$11</f>
        <v>174720</v>
      </c>
      <c r="L65" s="289">
        <f>K65</f>
        <v>174720</v>
      </c>
      <c r="M65" s="826">
        <f>I65</f>
        <v>1040</v>
      </c>
      <c r="N65" s="89">
        <f>$I65*M$11</f>
        <v>174720</v>
      </c>
      <c r="O65" s="827">
        <f>N65</f>
        <v>174720</v>
      </c>
      <c r="P65" s="263">
        <f>I65</f>
        <v>1040</v>
      </c>
      <c r="Q65" s="281">
        <f>$I65*P$11</f>
        <v>174720</v>
      </c>
      <c r="R65" s="289">
        <f>Q65</f>
        <v>174720</v>
      </c>
      <c r="S65" s="121">
        <f>AVERAGE(L65,O65,R65)</f>
        <v>174720</v>
      </c>
      <c r="T65" s="119" t="s">
        <v>12</v>
      </c>
      <c r="U65" s="140" t="s">
        <v>12</v>
      </c>
    </row>
    <row r="66" spans="1:22" ht="13.8" thickBot="1" x14ac:dyDescent="0.3">
      <c r="B66" s="567" t="s">
        <v>8</v>
      </c>
      <c r="C66" s="34">
        <f>ROUND(C65*Labor!$D$3,0)</f>
        <v>0</v>
      </c>
      <c r="D66" s="35">
        <f>ROUND(D65*Labor!$D$4,0)</f>
        <v>0</v>
      </c>
      <c r="E66" s="35">
        <f>ROUND(E65*Labor!$D$5,0)</f>
        <v>45885</v>
      </c>
      <c r="F66" s="35">
        <f>ROUND(F65*Labor!$D$6,0)</f>
        <v>0</v>
      </c>
      <c r="G66" s="35">
        <f>ROUND(G65*Labor!$D$7,0)</f>
        <v>0</v>
      </c>
      <c r="H66" s="35">
        <f>ROUND(H65*Labor!$D$8,0)</f>
        <v>0</v>
      </c>
      <c r="I66" s="39">
        <f>SUM(C66:H66)</f>
        <v>45885</v>
      </c>
      <c r="J66" s="268">
        <f>HLOOKUP(Labor!$B$11,InflationTable,2)*I66</f>
        <v>61981.542824844124</v>
      </c>
      <c r="K66" s="830">
        <f>J66*J$11</f>
        <v>10412899.194573812</v>
      </c>
      <c r="L66" s="308">
        <f>K66</f>
        <v>10412899.194573812</v>
      </c>
      <c r="M66" s="825">
        <f>HLOOKUP(Labor!$B$11,InflationTable,3)*$I$66</f>
        <v>63674.42247647023</v>
      </c>
      <c r="N66" s="829">
        <f>M66*M$11</f>
        <v>10697302.976046998</v>
      </c>
      <c r="O66" s="828">
        <f>N66</f>
        <v>10697302.976046998</v>
      </c>
      <c r="P66" s="268">
        <f>HLOOKUP(Labor!$B$11,InflationTable,4)*$I$66</f>
        <v>64437.43137208702</v>
      </c>
      <c r="Q66" s="281">
        <f>P66*P$11</f>
        <v>10825488.470510619</v>
      </c>
      <c r="R66" s="308">
        <f>Q66</f>
        <v>10825488.470510619</v>
      </c>
      <c r="S66" s="128">
        <f>AVERAGE(L66,O66,R66)</f>
        <v>10645230.213710478</v>
      </c>
      <c r="T66" s="149" t="s">
        <v>12</v>
      </c>
      <c r="U66" s="142" t="s">
        <v>12</v>
      </c>
    </row>
    <row r="67" spans="1:22" x14ac:dyDescent="0.25">
      <c r="B67" s="560" t="s">
        <v>66</v>
      </c>
      <c r="C67" s="36">
        <f>C65</f>
        <v>0</v>
      </c>
      <c r="D67" s="36">
        <f t="shared" ref="D67:I67" si="4">D65</f>
        <v>0</v>
      </c>
      <c r="E67" s="36">
        <f t="shared" si="4"/>
        <v>1040</v>
      </c>
      <c r="F67" s="36">
        <f t="shared" si="4"/>
        <v>0</v>
      </c>
      <c r="G67" s="36">
        <f t="shared" si="4"/>
        <v>0</v>
      </c>
      <c r="H67" s="36">
        <f t="shared" si="4"/>
        <v>0</v>
      </c>
      <c r="I67" s="36">
        <f t="shared" si="4"/>
        <v>1040</v>
      </c>
      <c r="J67" s="285">
        <f t="shared" ref="J67:R67" si="5">J65</f>
        <v>1040</v>
      </c>
      <c r="K67" s="285">
        <f t="shared" si="5"/>
        <v>174720</v>
      </c>
      <c r="L67" s="285">
        <f t="shared" si="5"/>
        <v>174720</v>
      </c>
      <c r="M67" s="33">
        <f t="shared" si="5"/>
        <v>1040</v>
      </c>
      <c r="N67" s="33">
        <f t="shared" si="5"/>
        <v>174720</v>
      </c>
      <c r="O67" s="33">
        <f t="shared" si="5"/>
        <v>174720</v>
      </c>
      <c r="P67" s="285">
        <f t="shared" si="5"/>
        <v>1040</v>
      </c>
      <c r="Q67" s="285">
        <f t="shared" si="5"/>
        <v>174720</v>
      </c>
      <c r="R67" s="285">
        <f t="shared" si="5"/>
        <v>174720</v>
      </c>
      <c r="S67" s="129">
        <f>AVERAGE(L67,O67,R67)</f>
        <v>174720</v>
      </c>
      <c r="T67" s="136" t="s">
        <v>12</v>
      </c>
      <c r="U67" s="147" t="s">
        <v>12</v>
      </c>
    </row>
    <row r="68" spans="1:22" ht="13.8" thickBot="1" x14ac:dyDescent="0.3">
      <c r="B68" s="561" t="s">
        <v>67</v>
      </c>
      <c r="C68" s="240">
        <f>C66</f>
        <v>0</v>
      </c>
      <c r="D68" s="240">
        <f t="shared" ref="D68:I68" si="6">D66</f>
        <v>0</v>
      </c>
      <c r="E68" s="240">
        <f t="shared" si="6"/>
        <v>45885</v>
      </c>
      <c r="F68" s="240">
        <f t="shared" si="6"/>
        <v>0</v>
      </c>
      <c r="G68" s="240">
        <f t="shared" si="6"/>
        <v>0</v>
      </c>
      <c r="H68" s="240">
        <f t="shared" si="6"/>
        <v>0</v>
      </c>
      <c r="I68" s="240">
        <f t="shared" si="6"/>
        <v>45885</v>
      </c>
      <c r="J68" s="275">
        <f t="shared" ref="J68:R68" si="7">J66</f>
        <v>61981.542824844124</v>
      </c>
      <c r="K68" s="275">
        <f t="shared" si="7"/>
        <v>10412899.194573812</v>
      </c>
      <c r="L68" s="275">
        <f t="shared" si="7"/>
        <v>10412899.194573812</v>
      </c>
      <c r="M68" s="240">
        <f t="shared" si="7"/>
        <v>63674.42247647023</v>
      </c>
      <c r="N68" s="240">
        <f t="shared" si="7"/>
        <v>10697302.976046998</v>
      </c>
      <c r="O68" s="240">
        <f t="shared" si="7"/>
        <v>10697302.976046998</v>
      </c>
      <c r="P68" s="275">
        <f t="shared" si="7"/>
        <v>64437.43137208702</v>
      </c>
      <c r="Q68" s="275">
        <f t="shared" si="7"/>
        <v>10825488.470510619</v>
      </c>
      <c r="R68" s="275">
        <f t="shared" si="7"/>
        <v>10825488.470510619</v>
      </c>
      <c r="S68" s="255">
        <f>AVERAGE(L68,O68,R68)</f>
        <v>10645230.213710478</v>
      </c>
      <c r="T68" s="249" t="s">
        <v>12</v>
      </c>
      <c r="U68" s="224" t="s">
        <v>12</v>
      </c>
    </row>
    <row r="69" spans="1:22" ht="13.8" thickTop="1" x14ac:dyDescent="0.25">
      <c r="B69" s="624"/>
      <c r="C69" s="621"/>
      <c r="D69" s="621"/>
      <c r="E69" s="621"/>
      <c r="F69" s="621"/>
      <c r="G69" s="621"/>
      <c r="H69" s="621"/>
      <c r="I69" s="622"/>
      <c r="J69" s="622"/>
      <c r="K69" s="622"/>
      <c r="L69" s="622"/>
      <c r="M69" s="622"/>
      <c r="N69" s="622"/>
      <c r="O69" s="622"/>
      <c r="P69" s="622"/>
      <c r="Q69" s="622"/>
      <c r="R69" s="622"/>
      <c r="S69" s="625"/>
      <c r="T69" s="626"/>
      <c r="U69" s="627"/>
      <c r="V69" s="5"/>
    </row>
    <row r="70" spans="1:22" ht="13.8" thickBot="1" x14ac:dyDescent="0.3"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5"/>
    </row>
    <row r="71" spans="1:22" ht="28.2" thickTop="1" thickBot="1" x14ac:dyDescent="0.35">
      <c r="A71" s="868"/>
      <c r="B71" s="652" t="s">
        <v>28</v>
      </c>
      <c r="C71" s="5"/>
      <c r="D71" s="5"/>
      <c r="E71" s="5"/>
      <c r="F71" s="112" t="s">
        <v>6</v>
      </c>
      <c r="G71" s="1415"/>
      <c r="H71" s="1416"/>
      <c r="I71" s="1417"/>
      <c r="J71" s="181" t="s">
        <v>28</v>
      </c>
      <c r="K71" s="426"/>
      <c r="L71" s="67"/>
      <c r="M71" s="181" t="s">
        <v>28</v>
      </c>
      <c r="N71" s="426"/>
      <c r="O71" s="67"/>
      <c r="P71" s="181" t="s">
        <v>28</v>
      </c>
      <c r="Q71" s="426"/>
      <c r="R71" s="180"/>
      <c r="S71" s="546" t="s">
        <v>17</v>
      </c>
      <c r="T71" s="547" t="s">
        <v>103</v>
      </c>
      <c r="U71" s="628" t="s">
        <v>79</v>
      </c>
    </row>
    <row r="72" spans="1:22" x14ac:dyDescent="0.25">
      <c r="B72" s="555"/>
      <c r="C72" s="72"/>
      <c r="D72" s="72"/>
      <c r="E72" s="5"/>
      <c r="F72" s="7"/>
      <c r="G72" s="76"/>
      <c r="H72" s="5"/>
      <c r="I72" s="43"/>
      <c r="J72" s="277" t="s">
        <v>61</v>
      </c>
      <c r="K72" s="1422" t="s">
        <v>57</v>
      </c>
      <c r="L72" s="1423"/>
      <c r="M72" s="57" t="s">
        <v>61</v>
      </c>
      <c r="N72" s="1432" t="s">
        <v>57</v>
      </c>
      <c r="O72" s="1436"/>
      <c r="P72" s="318" t="s">
        <v>61</v>
      </c>
      <c r="Q72" s="1422" t="s">
        <v>57</v>
      </c>
      <c r="R72" s="1423"/>
      <c r="S72" s="1198"/>
      <c r="T72" s="198"/>
      <c r="U72" s="73"/>
    </row>
    <row r="73" spans="1:22" x14ac:dyDescent="0.25">
      <c r="B73" s="563" t="s">
        <v>79</v>
      </c>
      <c r="C73" s="670" t="s">
        <v>60</v>
      </c>
      <c r="D73" s="863" t="s">
        <v>62</v>
      </c>
      <c r="E73" s="72"/>
      <c r="F73" s="861" t="s">
        <v>54</v>
      </c>
      <c r="G73" s="70">
        <v>7</v>
      </c>
      <c r="H73" s="72"/>
      <c r="I73" s="73"/>
      <c r="J73" s="260" t="s">
        <v>56</v>
      </c>
      <c r="K73" s="261" t="s">
        <v>13</v>
      </c>
      <c r="L73" s="262" t="s">
        <v>68</v>
      </c>
      <c r="M73" s="77" t="s">
        <v>56</v>
      </c>
      <c r="N73" s="24" t="s">
        <v>13</v>
      </c>
      <c r="O73" s="38" t="s">
        <v>68</v>
      </c>
      <c r="P73" s="260" t="s">
        <v>56</v>
      </c>
      <c r="Q73" s="261" t="s">
        <v>13</v>
      </c>
      <c r="R73" s="262" t="s">
        <v>68</v>
      </c>
      <c r="S73" s="77"/>
      <c r="T73" s="133"/>
      <c r="U73" s="37"/>
    </row>
    <row r="74" spans="1:22" x14ac:dyDescent="0.25">
      <c r="A74" s="615"/>
      <c r="B74" s="680" t="str">
        <f>VLOOKUP($C$2,Monitor_Costs,10,FALSE)</f>
        <v>Multigas calibrator</v>
      </c>
      <c r="C74" s="864">
        <f>VLOOKUP($C$2,Monitor_Costs,11,FALSE)</f>
        <v>14000</v>
      </c>
      <c r="D74" s="815">
        <f>VLOOKUP($C$2,Monitor_Costs,12,FALSE)</f>
        <v>2019</v>
      </c>
      <c r="E74" s="76"/>
      <c r="F74" s="75"/>
      <c r="G74" s="76"/>
      <c r="H74" s="76"/>
      <c r="I74" s="862"/>
      <c r="J74" s="298">
        <f>HLOOKUP(D74,InflationTable,2)*$C74</f>
        <v>18911.225880959308</v>
      </c>
      <c r="K74" s="279">
        <f>J74*L$11</f>
        <v>2950151.2374296519</v>
      </c>
      <c r="L74" s="280">
        <f>K74/$G$73</f>
        <v>421450.17677566456</v>
      </c>
      <c r="M74" s="78">
        <f>HLOOKUP($D$27,InflationTable,3)*$C$27</f>
        <v>19427.741411585121</v>
      </c>
      <c r="N74" s="706">
        <f>M74*O$11</f>
        <v>3030727.660207279</v>
      </c>
      <c r="O74" s="707">
        <f>N74/$G$73</f>
        <v>432961.09431532555</v>
      </c>
      <c r="P74" s="298">
        <f>HLOOKUP($D$27,InflationTable,4)*$C$27</f>
        <v>19660.543515510915</v>
      </c>
      <c r="Q74" s="279">
        <f>P74*R$11</f>
        <v>3067044.788419703</v>
      </c>
      <c r="R74" s="280">
        <f>Q74/$G$73</f>
        <v>438149.25548852899</v>
      </c>
      <c r="S74" s="103" t="s">
        <v>12</v>
      </c>
      <c r="T74" s="119" t="s">
        <v>12</v>
      </c>
      <c r="U74" s="139">
        <f>AVERAGE(L74,O74,R74)</f>
        <v>430853.50885983976</v>
      </c>
    </row>
    <row r="75" spans="1:22" x14ac:dyDescent="0.25">
      <c r="A75" s="615"/>
      <c r="B75" s="680" t="str">
        <f>VLOOKUP($C$2,Monitor_Costs,13,FALSE)</f>
        <v>Zero air supply</v>
      </c>
      <c r="C75" s="163">
        <f>VLOOKUP($C$2,Monitor_Costs,14,FALSE)</f>
        <v>5980</v>
      </c>
      <c r="D75" s="815">
        <f>VLOOKUP($C$2,Monitor_Costs,15,FALSE)</f>
        <v>2019</v>
      </c>
      <c r="E75" s="74"/>
      <c r="F75" s="75"/>
      <c r="G75" s="76"/>
      <c r="H75" s="76"/>
      <c r="I75" s="862"/>
      <c r="J75" s="279">
        <f>HLOOKUP(D75,InflationTable,2)*$C75</f>
        <v>8077.7950548669041</v>
      </c>
      <c r="K75" s="279">
        <f>J75*L$11</f>
        <v>1260136.028559237</v>
      </c>
      <c r="L75" s="280">
        <f>K75/$G$73</f>
        <v>180019.43265131957</v>
      </c>
      <c r="M75" s="78">
        <f>HLOOKUP($D$27,InflationTable,3)*$C75</f>
        <v>8298.4209743770716</v>
      </c>
      <c r="N75" s="706">
        <f>M75*O$11</f>
        <v>1294553.6720028231</v>
      </c>
      <c r="O75" s="707">
        <f>N75/$G$73</f>
        <v>184936.23885754615</v>
      </c>
      <c r="P75" s="298">
        <f>HLOOKUP($D$27,InflationTable,4)*$C75</f>
        <v>8397.8607301968041</v>
      </c>
      <c r="Q75" s="279">
        <f>P75*R$11</f>
        <v>1310066.2739107015</v>
      </c>
      <c r="R75" s="280">
        <f>Q75/$G$73</f>
        <v>187152.32484438593</v>
      </c>
      <c r="S75" s="103" t="s">
        <v>12</v>
      </c>
      <c r="T75" s="119" t="s">
        <v>12</v>
      </c>
      <c r="U75" s="139">
        <f>AVERAGE(L75,O75,R75)</f>
        <v>184035.9987844172</v>
      </c>
    </row>
    <row r="76" spans="1:22" ht="13.8" thickBot="1" x14ac:dyDescent="0.3">
      <c r="A76" s="615"/>
      <c r="B76" s="857" t="str">
        <f>VLOOKUP($C$2,Monitor_Costs,43,FALSE)</f>
        <v>Miscellaneous equipment</v>
      </c>
      <c r="C76" s="353">
        <f>VLOOKUP($C$2,Monitor_Costs,44,FALSE)</f>
        <v>2500</v>
      </c>
      <c r="D76" s="858">
        <f>VLOOKUP($C$2,Monitor_Costs,45,FALSE)</f>
        <v>2019</v>
      </c>
      <c r="E76" s="641"/>
      <c r="F76" s="12"/>
      <c r="G76" s="4"/>
      <c r="H76" s="4"/>
      <c r="I76" s="41"/>
      <c r="J76" s="424">
        <f>HLOOKUP(D76,InflationTable,2)*$C76</f>
        <v>3377.0046215998759</v>
      </c>
      <c r="K76" s="355">
        <f>J76*L$11</f>
        <v>526812.7209695807</v>
      </c>
      <c r="L76" s="308">
        <f>K76/$G$73</f>
        <v>75258.960138511524</v>
      </c>
      <c r="M76" s="78">
        <f>HLOOKUP($D$27,InflationTable,3)*$C76</f>
        <v>3469.2395377830571</v>
      </c>
      <c r="N76" s="357">
        <f>M76*O$11</f>
        <v>541201.36789415695</v>
      </c>
      <c r="O76" s="95">
        <f>N76/$G$73</f>
        <v>77314.481127736712</v>
      </c>
      <c r="P76" s="841">
        <f>HLOOKUP($D$27,InflationTable,4)*$C76</f>
        <v>3510.8113420555205</v>
      </c>
      <c r="Q76" s="279">
        <f>P76*R$11</f>
        <v>547686.5693606612</v>
      </c>
      <c r="R76" s="300">
        <f>Q76/$G$73</f>
        <v>78240.938480094454</v>
      </c>
      <c r="S76" s="103" t="s">
        <v>12</v>
      </c>
      <c r="T76" s="137" t="s">
        <v>12</v>
      </c>
      <c r="U76" s="372">
        <f>AVERAGE(L76,O76,R76)</f>
        <v>76938.12658211423</v>
      </c>
    </row>
    <row r="77" spans="1:22" x14ac:dyDescent="0.25">
      <c r="B77" s="560" t="s">
        <v>66</v>
      </c>
      <c r="C77" s="859"/>
      <c r="D77" s="239"/>
      <c r="E77" s="239"/>
      <c r="F77" s="239"/>
      <c r="G77" s="239"/>
      <c r="H77" s="239"/>
      <c r="I77" s="860"/>
      <c r="J77" s="293">
        <v>0</v>
      </c>
      <c r="K77" s="315">
        <v>0</v>
      </c>
      <c r="L77" s="316">
        <v>0</v>
      </c>
      <c r="M77" s="92">
        <v>0</v>
      </c>
      <c r="N77" s="42">
        <v>0</v>
      </c>
      <c r="O77" s="90">
        <v>0</v>
      </c>
      <c r="P77" s="758">
        <v>0</v>
      </c>
      <c r="Q77" s="856">
        <v>0</v>
      </c>
      <c r="R77" s="303">
        <v>0</v>
      </c>
      <c r="S77" s="1197">
        <f>AVERAGE(L77,O77,R77)</f>
        <v>0</v>
      </c>
      <c r="T77" s="133"/>
      <c r="U77" s="37"/>
    </row>
    <row r="78" spans="1:22" ht="13.8" thickBot="1" x14ac:dyDescent="0.3">
      <c r="B78" s="561" t="s">
        <v>67</v>
      </c>
      <c r="F78"/>
      <c r="I78" s="236"/>
      <c r="J78" s="274">
        <f>SUM(J74:J76)</f>
        <v>30366.025557426088</v>
      </c>
      <c r="K78" s="274">
        <f t="shared" ref="K78:R78" si="8">SUM(K74:K76)</f>
        <v>4737099.9869584702</v>
      </c>
      <c r="L78" s="276">
        <f t="shared" si="8"/>
        <v>676728.56956549559</v>
      </c>
      <c r="M78" s="242">
        <f t="shared" si="8"/>
        <v>31195.401923745248</v>
      </c>
      <c r="N78" s="242">
        <f t="shared" si="8"/>
        <v>4866482.700104259</v>
      </c>
      <c r="O78" s="243">
        <f t="shared" si="8"/>
        <v>695211.81430060847</v>
      </c>
      <c r="P78" s="274">
        <f t="shared" si="8"/>
        <v>31569.215587763239</v>
      </c>
      <c r="Q78" s="274">
        <f t="shared" si="8"/>
        <v>4924797.6316910656</v>
      </c>
      <c r="R78" s="1200">
        <f t="shared" si="8"/>
        <v>703542.51881300937</v>
      </c>
      <c r="S78" s="1199"/>
      <c r="T78" s="1201"/>
      <c r="U78" s="257">
        <f>SUM(U74:U76)</f>
        <v>691827.63422637118</v>
      </c>
    </row>
    <row r="79" spans="1:22" ht="14.4" thickTop="1" thickBot="1" x14ac:dyDescent="0.3">
      <c r="B79" s="619"/>
      <c r="C79" s="618"/>
      <c r="D79" s="618"/>
      <c r="E79" s="618"/>
      <c r="F79" s="618"/>
      <c r="G79" s="618"/>
      <c r="H79" s="618"/>
      <c r="I79" s="618"/>
      <c r="J79" s="618"/>
      <c r="K79" s="618"/>
      <c r="L79" s="618"/>
      <c r="M79" s="618"/>
      <c r="N79" s="618"/>
      <c r="O79" s="618"/>
      <c r="P79" s="618"/>
      <c r="Q79" s="618"/>
      <c r="R79" s="618"/>
      <c r="S79" s="618"/>
      <c r="T79" s="618"/>
      <c r="U79" s="618"/>
      <c r="V79" s="5"/>
    </row>
    <row r="80" spans="1:22" ht="16.2" thickTop="1" x14ac:dyDescent="0.3">
      <c r="B80" s="562" t="s">
        <v>266</v>
      </c>
      <c r="C80" s="5"/>
      <c r="D80" s="5"/>
      <c r="E80" s="5"/>
      <c r="F80" s="112" t="s">
        <v>6</v>
      </c>
      <c r="G80" s="1415"/>
      <c r="H80" s="1416"/>
      <c r="I80" s="1417"/>
      <c r="J80" s="181" t="s">
        <v>30</v>
      </c>
      <c r="K80" s="426"/>
      <c r="L80" s="67"/>
      <c r="M80" s="181" t="s">
        <v>30</v>
      </c>
      <c r="N80" s="426"/>
      <c r="O80" s="67"/>
      <c r="P80" s="181" t="s">
        <v>30</v>
      </c>
      <c r="Q80" s="319"/>
      <c r="R80" s="180"/>
      <c r="S80" s="225"/>
      <c r="T80" s="133"/>
      <c r="U80" s="37"/>
    </row>
    <row r="81" spans="2:22" ht="13.8" thickBot="1" x14ac:dyDescent="0.3">
      <c r="B81" s="855"/>
      <c r="C81" s="72"/>
      <c r="D81" s="72"/>
      <c r="E81" s="72"/>
      <c r="F81" s="789"/>
      <c r="G81" s="72"/>
      <c r="H81" s="197"/>
      <c r="I81" s="45" t="s">
        <v>61</v>
      </c>
      <c r="J81" s="277" t="s">
        <v>61</v>
      </c>
      <c r="K81" s="1422" t="s">
        <v>57</v>
      </c>
      <c r="L81" s="1423"/>
      <c r="M81" s="57" t="s">
        <v>61</v>
      </c>
      <c r="N81" s="1432" t="s">
        <v>57</v>
      </c>
      <c r="O81" s="1436"/>
      <c r="P81" s="318" t="s">
        <v>61</v>
      </c>
      <c r="Q81" s="1431" t="s">
        <v>57</v>
      </c>
      <c r="R81" s="1439"/>
      <c r="S81" s="131"/>
      <c r="T81" s="133"/>
      <c r="U81" s="37"/>
    </row>
    <row r="82" spans="2:22" x14ac:dyDescent="0.25">
      <c r="B82" s="560" t="s">
        <v>66</v>
      </c>
      <c r="C82" s="74"/>
      <c r="D82" s="76"/>
      <c r="E82" s="76"/>
      <c r="F82" s="76"/>
      <c r="G82" s="76"/>
      <c r="H82" s="648"/>
      <c r="I82" s="46">
        <v>0</v>
      </c>
      <c r="J82" s="301">
        <v>0</v>
      </c>
      <c r="K82" s="320">
        <v>0</v>
      </c>
      <c r="L82" s="321">
        <v>0</v>
      </c>
      <c r="M82" s="85">
        <v>0</v>
      </c>
      <c r="N82" s="36">
        <v>0</v>
      </c>
      <c r="O82" s="100">
        <v>0</v>
      </c>
      <c r="P82" s="301">
        <v>0</v>
      </c>
      <c r="Q82" s="320">
        <v>0</v>
      </c>
      <c r="R82" s="322">
        <v>0</v>
      </c>
      <c r="S82" s="121">
        <f>AVERAGE(L82,O82,R82)</f>
        <v>0</v>
      </c>
      <c r="T82" s="135" t="s">
        <v>12</v>
      </c>
      <c r="U82" s="136" t="s">
        <v>12</v>
      </c>
    </row>
    <row r="83" spans="2:22" ht="13.8" thickBot="1" x14ac:dyDescent="0.3">
      <c r="B83" s="561" t="s">
        <v>67</v>
      </c>
      <c r="F83"/>
      <c r="I83" s="243">
        <v>0</v>
      </c>
      <c r="J83" s="274">
        <v>0</v>
      </c>
      <c r="K83" s="275">
        <v>0</v>
      </c>
      <c r="L83" s="276">
        <v>0</v>
      </c>
      <c r="M83" s="242">
        <v>0</v>
      </c>
      <c r="N83" s="240">
        <v>0</v>
      </c>
      <c r="O83" s="243">
        <v>0</v>
      </c>
      <c r="P83" s="313">
        <v>0</v>
      </c>
      <c r="Q83" s="275">
        <v>0</v>
      </c>
      <c r="R83" s="276">
        <v>0</v>
      </c>
      <c r="S83" s="257">
        <f>AVERAGE(L83,O83,R83)</f>
        <v>0</v>
      </c>
      <c r="T83" s="258" t="s">
        <v>12</v>
      </c>
      <c r="U83" s="249" t="s">
        <v>12</v>
      </c>
    </row>
    <row r="84" spans="2:22" ht="14.4" thickTop="1" thickBot="1" x14ac:dyDescent="0.3">
      <c r="B84" s="555"/>
      <c r="C84" s="618"/>
      <c r="D84" s="618"/>
      <c r="E84" s="618"/>
      <c r="F84" s="618"/>
      <c r="G84" s="618"/>
      <c r="H84" s="618"/>
      <c r="I84" s="618"/>
      <c r="J84" s="618"/>
      <c r="K84" s="618"/>
      <c r="L84" s="618"/>
      <c r="M84" s="618"/>
      <c r="N84" s="618"/>
      <c r="O84" s="618"/>
      <c r="P84" s="618"/>
      <c r="Q84" s="618"/>
      <c r="R84" s="618"/>
      <c r="S84" s="618"/>
      <c r="T84" s="618"/>
      <c r="U84" s="620"/>
    </row>
    <row r="85" spans="2:22" ht="18.600000000000001" thickTop="1" thickBot="1" x14ac:dyDescent="0.35">
      <c r="B85" s="933" t="s">
        <v>121</v>
      </c>
      <c r="C85" s="647" t="str">
        <f>C2</f>
        <v>Generic Network</v>
      </c>
      <c r="D85" s="5"/>
      <c r="E85" s="4"/>
      <c r="F85" s="12"/>
      <c r="G85" s="4"/>
      <c r="H85" s="4"/>
      <c r="I85" s="41"/>
      <c r="J85" s="233" t="str">
        <f>J2</f>
        <v>Year 1</v>
      </c>
      <c r="K85" s="233">
        <f>K2</f>
        <v>2019</v>
      </c>
      <c r="L85" s="83"/>
      <c r="M85" s="79" t="str">
        <f>M2</f>
        <v>Year 2</v>
      </c>
      <c r="N85" s="79">
        <f>N2</f>
        <v>2020</v>
      </c>
      <c r="O85" s="41"/>
      <c r="P85" s="233" t="str">
        <f>P2</f>
        <v>Year 3</v>
      </c>
      <c r="Q85" s="233">
        <f>Q2</f>
        <v>2021</v>
      </c>
      <c r="R85" s="83"/>
      <c r="S85" s="152"/>
      <c r="T85" s="130"/>
      <c r="U85" s="570"/>
    </row>
    <row r="86" spans="2:22" ht="13.8" thickBot="1" x14ac:dyDescent="0.3">
      <c r="B86" s="555"/>
      <c r="C86" s="194" t="s">
        <v>45</v>
      </c>
      <c r="D86" s="190" t="s">
        <v>46</v>
      </c>
      <c r="E86" s="187" t="s">
        <v>47</v>
      </c>
      <c r="F86" s="202" t="s">
        <v>48</v>
      </c>
      <c r="G86" s="201" t="s">
        <v>49</v>
      </c>
      <c r="H86" s="187" t="s">
        <v>50</v>
      </c>
      <c r="I86" s="188" t="s">
        <v>13</v>
      </c>
      <c r="J86" s="323" t="s">
        <v>56</v>
      </c>
      <c r="K86" s="324" t="s">
        <v>13</v>
      </c>
      <c r="L86" s="325" t="s">
        <v>68</v>
      </c>
      <c r="M86" s="189" t="s">
        <v>56</v>
      </c>
      <c r="N86" s="190" t="s">
        <v>13</v>
      </c>
      <c r="O86" s="191" t="s">
        <v>68</v>
      </c>
      <c r="P86" s="323" t="s">
        <v>56</v>
      </c>
      <c r="Q86" s="324" t="s">
        <v>13</v>
      </c>
      <c r="R86" s="325" t="s">
        <v>68</v>
      </c>
      <c r="S86" s="192"/>
      <c r="T86" s="193"/>
      <c r="U86" s="571"/>
      <c r="V86" s="5"/>
    </row>
    <row r="87" spans="2:22" x14ac:dyDescent="0.25">
      <c r="B87" s="572" t="s">
        <v>97</v>
      </c>
      <c r="C87" s="196">
        <f t="shared" ref="C87:S87" si="9">C21</f>
        <v>0</v>
      </c>
      <c r="D87" s="184">
        <f t="shared" si="9"/>
        <v>0</v>
      </c>
      <c r="E87" s="184">
        <f t="shared" si="9"/>
        <v>0</v>
      </c>
      <c r="F87" s="184">
        <f t="shared" si="9"/>
        <v>0</v>
      </c>
      <c r="G87" s="184">
        <f t="shared" si="9"/>
        <v>0</v>
      </c>
      <c r="H87" s="184">
        <f t="shared" si="9"/>
        <v>0</v>
      </c>
      <c r="I87" s="185">
        <f t="shared" si="9"/>
        <v>56475</v>
      </c>
      <c r="J87" s="326">
        <f>L21</f>
        <v>56475</v>
      </c>
      <c r="K87" s="327"/>
      <c r="L87" s="328"/>
      <c r="M87" s="186">
        <f t="shared" si="9"/>
        <v>0</v>
      </c>
      <c r="N87" s="184">
        <f t="shared" si="9"/>
        <v>0</v>
      </c>
      <c r="O87" s="185">
        <f t="shared" si="9"/>
        <v>56475</v>
      </c>
      <c r="P87" s="326">
        <f t="shared" si="9"/>
        <v>0</v>
      </c>
      <c r="Q87" s="327">
        <f t="shared" si="9"/>
        <v>0</v>
      </c>
      <c r="R87" s="328">
        <f t="shared" si="9"/>
        <v>56475</v>
      </c>
      <c r="S87" s="185">
        <f t="shared" si="9"/>
        <v>56475</v>
      </c>
      <c r="T87" s="37"/>
      <c r="U87" s="138"/>
    </row>
    <row r="88" spans="2:22" ht="13.8" thickBot="1" x14ac:dyDescent="0.3">
      <c r="B88" s="573" t="s">
        <v>76</v>
      </c>
      <c r="C88" s="203">
        <f t="shared" ref="C88:S88" si="10">C22</f>
        <v>0</v>
      </c>
      <c r="D88" s="204">
        <f t="shared" si="10"/>
        <v>0</v>
      </c>
      <c r="E88" s="204">
        <f t="shared" si="10"/>
        <v>0</v>
      </c>
      <c r="F88" s="204">
        <f t="shared" si="10"/>
        <v>0</v>
      </c>
      <c r="G88" s="204">
        <f t="shared" si="10"/>
        <v>0</v>
      </c>
      <c r="H88" s="204">
        <f t="shared" si="10"/>
        <v>0</v>
      </c>
      <c r="I88" s="205">
        <f t="shared" si="10"/>
        <v>6092268.4639015403</v>
      </c>
      <c r="J88" s="329">
        <f>L22</f>
        <v>4345772</v>
      </c>
      <c r="K88" s="330"/>
      <c r="L88" s="331"/>
      <c r="M88" s="203">
        <f t="shared" si="10"/>
        <v>0</v>
      </c>
      <c r="N88" s="204">
        <f t="shared" si="10"/>
        <v>0</v>
      </c>
      <c r="O88" s="205">
        <f t="shared" si="10"/>
        <v>4429158.2637852505</v>
      </c>
      <c r="P88" s="329">
        <f t="shared" si="10"/>
        <v>0</v>
      </c>
      <c r="Q88" s="330">
        <f t="shared" si="10"/>
        <v>0</v>
      </c>
      <c r="R88" s="331">
        <f t="shared" si="10"/>
        <v>4518861.6687663523</v>
      </c>
      <c r="S88" s="205">
        <f t="shared" si="10"/>
        <v>2220959.7475000001</v>
      </c>
      <c r="T88" s="206" t="str">
        <f>T22</f>
        <v>NA</v>
      </c>
      <c r="U88" s="392">
        <f>U22</f>
        <v>4431263.9775172016</v>
      </c>
    </row>
    <row r="89" spans="2:22" x14ac:dyDescent="0.25">
      <c r="B89" s="574" t="s">
        <v>98</v>
      </c>
      <c r="C89" s="847">
        <f t="shared" ref="C89:S90" si="11">C40</f>
        <v>0</v>
      </c>
      <c r="D89" s="848">
        <f t="shared" si="11"/>
        <v>0</v>
      </c>
      <c r="E89" s="848">
        <f t="shared" si="11"/>
        <v>0</v>
      </c>
      <c r="F89" s="848">
        <f t="shared" si="11"/>
        <v>0</v>
      </c>
      <c r="G89" s="848">
        <f t="shared" si="11"/>
        <v>0</v>
      </c>
      <c r="H89" s="848">
        <f t="shared" si="11"/>
        <v>0</v>
      </c>
      <c r="I89" s="851">
        <f t="shared" si="11"/>
        <v>0</v>
      </c>
      <c r="J89" s="852">
        <f t="shared" si="11"/>
        <v>0</v>
      </c>
      <c r="K89" s="853">
        <f t="shared" si="11"/>
        <v>0</v>
      </c>
      <c r="L89" s="854">
        <f t="shared" si="11"/>
        <v>0</v>
      </c>
      <c r="M89" s="847">
        <f t="shared" si="11"/>
        <v>0</v>
      </c>
      <c r="N89" s="848">
        <f t="shared" si="11"/>
        <v>0</v>
      </c>
      <c r="O89" s="851">
        <f t="shared" si="11"/>
        <v>0</v>
      </c>
      <c r="P89" s="852">
        <f t="shared" si="11"/>
        <v>0</v>
      </c>
      <c r="Q89" s="853">
        <f t="shared" si="11"/>
        <v>0</v>
      </c>
      <c r="R89" s="303">
        <f t="shared" si="11"/>
        <v>0</v>
      </c>
      <c r="S89" s="844">
        <f t="shared" si="11"/>
        <v>0</v>
      </c>
      <c r="T89" s="842"/>
      <c r="U89" s="842"/>
    </row>
    <row r="90" spans="2:22" ht="13.8" thickBot="1" x14ac:dyDescent="0.3">
      <c r="B90" s="573" t="s">
        <v>76</v>
      </c>
      <c r="C90" s="849">
        <f t="shared" si="11"/>
        <v>0</v>
      </c>
      <c r="D90" s="850">
        <f t="shared" si="11"/>
        <v>0</v>
      </c>
      <c r="E90" s="850">
        <f t="shared" si="11"/>
        <v>0</v>
      </c>
      <c r="F90" s="850">
        <f t="shared" si="11"/>
        <v>0</v>
      </c>
      <c r="G90" s="850">
        <f t="shared" si="11"/>
        <v>0</v>
      </c>
      <c r="H90" s="850">
        <f t="shared" si="11"/>
        <v>0</v>
      </c>
      <c r="I90" s="675">
        <f t="shared" si="11"/>
        <v>0</v>
      </c>
      <c r="J90" s="846">
        <f t="shared" si="11"/>
        <v>0</v>
      </c>
      <c r="K90" s="743">
        <f t="shared" si="11"/>
        <v>162713642.10132319</v>
      </c>
      <c r="L90" s="744">
        <f t="shared" si="11"/>
        <v>31362656.424923878</v>
      </c>
      <c r="M90" s="849">
        <f t="shared" si="11"/>
        <v>0</v>
      </c>
      <c r="N90" s="850">
        <f t="shared" si="11"/>
        <v>167157781.45638439</v>
      </c>
      <c r="O90" s="675">
        <f t="shared" si="11"/>
        <v>32219253.412719611</v>
      </c>
      <c r="P90" s="846">
        <f t="shared" si="11"/>
        <v>0</v>
      </c>
      <c r="Q90" s="743">
        <f t="shared" si="11"/>
        <v>169160828.66533113</v>
      </c>
      <c r="R90" s="744">
        <f t="shared" si="11"/>
        <v>32605335.861651465</v>
      </c>
      <c r="S90" s="675" t="str">
        <f t="shared" si="11"/>
        <v>NA</v>
      </c>
      <c r="T90" s="845" t="str">
        <f>T41</f>
        <v>NA</v>
      </c>
      <c r="U90" s="843">
        <f>U41</f>
        <v>32062415.233098317</v>
      </c>
    </row>
    <row r="91" spans="2:22" x14ac:dyDescent="0.25">
      <c r="B91" s="574" t="s">
        <v>156</v>
      </c>
      <c r="C91" s="197">
        <f t="shared" ref="C91:S91" si="12">C54</f>
        <v>0</v>
      </c>
      <c r="D91" s="25">
        <f t="shared" si="12"/>
        <v>0</v>
      </c>
      <c r="E91" s="25">
        <f t="shared" si="12"/>
        <v>0</v>
      </c>
      <c r="F91" s="25">
        <f t="shared" si="12"/>
        <v>0</v>
      </c>
      <c r="G91" s="25">
        <f t="shared" si="12"/>
        <v>1.6</v>
      </c>
      <c r="H91" s="25">
        <f t="shared" si="12"/>
        <v>1.6</v>
      </c>
      <c r="I91" s="198">
        <f t="shared" si="12"/>
        <v>3.2</v>
      </c>
      <c r="J91" s="333">
        <f t="shared" si="12"/>
        <v>3.2</v>
      </c>
      <c r="K91" s="327">
        <f t="shared" si="12"/>
        <v>9755.6</v>
      </c>
      <c r="L91" s="328">
        <f t="shared" si="12"/>
        <v>9755.6</v>
      </c>
      <c r="M91" s="199">
        <f t="shared" si="12"/>
        <v>3.2</v>
      </c>
      <c r="N91" s="184">
        <f t="shared" si="12"/>
        <v>9755.6</v>
      </c>
      <c r="O91" s="185">
        <f t="shared" si="12"/>
        <v>9755.6</v>
      </c>
      <c r="P91" s="333">
        <f t="shared" si="12"/>
        <v>3.2</v>
      </c>
      <c r="Q91" s="327">
        <f t="shared" si="12"/>
        <v>9755.6</v>
      </c>
      <c r="R91" s="328">
        <f t="shared" si="12"/>
        <v>9755.6</v>
      </c>
      <c r="S91" s="198">
        <f t="shared" si="12"/>
        <v>9755.6</v>
      </c>
      <c r="T91" s="200" t="str">
        <f>T27</f>
        <v>NA</v>
      </c>
      <c r="U91" s="885" t="str">
        <f>U55</f>
        <v>NA</v>
      </c>
    </row>
    <row r="92" spans="2:22" ht="13.8" thickBot="1" x14ac:dyDescent="0.3">
      <c r="B92" s="573" t="s">
        <v>76</v>
      </c>
      <c r="C92" s="211">
        <f t="shared" ref="C92:S92" si="13">C55</f>
        <v>0</v>
      </c>
      <c r="D92" s="208">
        <f t="shared" si="13"/>
        <v>0</v>
      </c>
      <c r="E92" s="208">
        <f t="shared" si="13"/>
        <v>0</v>
      </c>
      <c r="F92" s="208">
        <f t="shared" si="13"/>
        <v>0</v>
      </c>
      <c r="G92" s="208">
        <f t="shared" si="13"/>
        <v>1.6</v>
      </c>
      <c r="H92" s="208">
        <f t="shared" si="13"/>
        <v>1.6</v>
      </c>
      <c r="I92" s="209">
        <f>I55</f>
        <v>183</v>
      </c>
      <c r="J92" s="332">
        <f t="shared" si="13"/>
        <v>247.19673830111094</v>
      </c>
      <c r="K92" s="297">
        <f t="shared" si="13"/>
        <v>677586.99662638083</v>
      </c>
      <c r="L92" s="297">
        <f t="shared" si="13"/>
        <v>677586.99662638083</v>
      </c>
      <c r="M92" s="207">
        <f t="shared" si="13"/>
        <v>253.94833416571979</v>
      </c>
      <c r="N92" s="208">
        <f t="shared" si="13"/>
        <v>695081.96819205221</v>
      </c>
      <c r="O92" s="209">
        <f t="shared" si="13"/>
        <v>695081.96819205221</v>
      </c>
      <c r="P92" s="332">
        <f t="shared" si="13"/>
        <v>256.99139023846408</v>
      </c>
      <c r="Q92" s="296">
        <f t="shared" si="13"/>
        <v>704469.30640249024</v>
      </c>
      <c r="R92" s="297">
        <f t="shared" si="13"/>
        <v>704469.30640249024</v>
      </c>
      <c r="S92" s="209">
        <f t="shared" si="13"/>
        <v>692379.42374030768</v>
      </c>
      <c r="T92" s="209">
        <f>T48</f>
        <v>4729031.5419567982</v>
      </c>
      <c r="U92" s="392" t="s">
        <v>12</v>
      </c>
    </row>
    <row r="93" spans="2:22" ht="13.8" thickBot="1" x14ac:dyDescent="0.3">
      <c r="B93" s="574" t="s">
        <v>99</v>
      </c>
      <c r="C93" s="839">
        <f t="shared" ref="C93:S94" si="14">C59</f>
        <v>0</v>
      </c>
      <c r="D93" s="839">
        <f t="shared" si="14"/>
        <v>0</v>
      </c>
      <c r="E93" s="839">
        <f t="shared" si="14"/>
        <v>0</v>
      </c>
      <c r="F93" s="839">
        <f t="shared" si="14"/>
        <v>0</v>
      </c>
      <c r="G93" s="839">
        <f t="shared" si="14"/>
        <v>0</v>
      </c>
      <c r="H93" s="839">
        <f t="shared" si="14"/>
        <v>0</v>
      </c>
      <c r="I93" s="839">
        <f t="shared" si="14"/>
        <v>0</v>
      </c>
      <c r="J93" s="840">
        <f t="shared" si="14"/>
        <v>0</v>
      </c>
      <c r="K93" s="840">
        <f t="shared" si="14"/>
        <v>0</v>
      </c>
      <c r="L93" s="840">
        <f t="shared" si="14"/>
        <v>0</v>
      </c>
      <c r="M93" s="839">
        <f t="shared" si="14"/>
        <v>0</v>
      </c>
      <c r="N93" s="839">
        <f t="shared" si="14"/>
        <v>0</v>
      </c>
      <c r="O93" s="839">
        <f t="shared" si="14"/>
        <v>0</v>
      </c>
      <c r="P93" s="840">
        <f t="shared" si="14"/>
        <v>0</v>
      </c>
      <c r="Q93" s="840">
        <f t="shared" si="14"/>
        <v>0</v>
      </c>
      <c r="R93" s="840">
        <f t="shared" si="14"/>
        <v>0</v>
      </c>
      <c r="S93" s="839">
        <f t="shared" si="14"/>
        <v>0</v>
      </c>
      <c r="T93" s="37"/>
      <c r="U93" s="138"/>
    </row>
    <row r="94" spans="2:22" ht="13.8" thickBot="1" x14ac:dyDescent="0.3">
      <c r="B94" s="573" t="s">
        <v>76</v>
      </c>
      <c r="C94" s="207">
        <f t="shared" si="14"/>
        <v>0</v>
      </c>
      <c r="D94" s="208">
        <f t="shared" si="14"/>
        <v>0</v>
      </c>
      <c r="E94" s="208">
        <f t="shared" si="14"/>
        <v>0</v>
      </c>
      <c r="F94" s="208">
        <f t="shared" si="14"/>
        <v>0</v>
      </c>
      <c r="G94" s="208">
        <f t="shared" si="14"/>
        <v>0</v>
      </c>
      <c r="H94" s="208">
        <f t="shared" si="14"/>
        <v>0</v>
      </c>
      <c r="I94" s="209">
        <f t="shared" si="14"/>
        <v>0</v>
      </c>
      <c r="J94" s="332">
        <f t="shared" si="14"/>
        <v>0</v>
      </c>
      <c r="K94" s="296">
        <f t="shared" si="14"/>
        <v>0</v>
      </c>
      <c r="L94" s="297">
        <f t="shared" si="14"/>
        <v>0</v>
      </c>
      <c r="M94" s="211">
        <f t="shared" si="14"/>
        <v>0</v>
      </c>
      <c r="N94" s="208">
        <f t="shared" si="14"/>
        <v>0</v>
      </c>
      <c r="O94" s="209">
        <f t="shared" si="14"/>
        <v>0</v>
      </c>
      <c r="P94" s="332">
        <f t="shared" si="14"/>
        <v>0</v>
      </c>
      <c r="Q94" s="296">
        <f t="shared" si="14"/>
        <v>0</v>
      </c>
      <c r="R94" s="297">
        <f t="shared" si="14"/>
        <v>0</v>
      </c>
      <c r="S94" s="209">
        <f t="shared" si="14"/>
        <v>0</v>
      </c>
      <c r="T94" s="209">
        <f>T60</f>
        <v>0</v>
      </c>
      <c r="U94" s="576" t="s">
        <v>12</v>
      </c>
    </row>
    <row r="95" spans="2:22" x14ac:dyDescent="0.25">
      <c r="B95" s="574" t="s">
        <v>100</v>
      </c>
      <c r="C95" s="197">
        <f t="shared" ref="C95:U95" si="15">C67</f>
        <v>0</v>
      </c>
      <c r="D95" s="25">
        <f t="shared" si="15"/>
        <v>0</v>
      </c>
      <c r="E95" s="25">
        <f t="shared" si="15"/>
        <v>1040</v>
      </c>
      <c r="F95" s="25">
        <f t="shared" si="15"/>
        <v>0</v>
      </c>
      <c r="G95" s="25">
        <f t="shared" si="15"/>
        <v>0</v>
      </c>
      <c r="H95" s="25">
        <f t="shared" si="15"/>
        <v>0</v>
      </c>
      <c r="I95" s="198">
        <f t="shared" si="15"/>
        <v>1040</v>
      </c>
      <c r="J95" s="333">
        <f t="shared" si="15"/>
        <v>1040</v>
      </c>
      <c r="K95" s="327">
        <f t="shared" si="15"/>
        <v>174720</v>
      </c>
      <c r="L95" s="328">
        <f t="shared" si="15"/>
        <v>174720</v>
      </c>
      <c r="M95" s="199">
        <f t="shared" si="15"/>
        <v>1040</v>
      </c>
      <c r="N95" s="184">
        <f t="shared" si="15"/>
        <v>174720</v>
      </c>
      <c r="O95" s="185">
        <f t="shared" si="15"/>
        <v>174720</v>
      </c>
      <c r="P95" s="333">
        <f t="shared" si="15"/>
        <v>1040</v>
      </c>
      <c r="Q95" s="327">
        <f t="shared" si="15"/>
        <v>174720</v>
      </c>
      <c r="R95" s="328">
        <f t="shared" si="15"/>
        <v>174720</v>
      </c>
      <c r="S95" s="198">
        <f t="shared" si="15"/>
        <v>174720</v>
      </c>
      <c r="T95" s="212" t="str">
        <f t="shared" si="15"/>
        <v>NA</v>
      </c>
      <c r="U95" s="577" t="str">
        <f t="shared" si="15"/>
        <v>NA</v>
      </c>
    </row>
    <row r="96" spans="2:22" ht="13.8" thickBot="1" x14ac:dyDescent="0.3">
      <c r="B96" s="573" t="s">
        <v>76</v>
      </c>
      <c r="C96" s="207">
        <f t="shared" ref="C96:T96" si="16">C68</f>
        <v>0</v>
      </c>
      <c r="D96" s="208">
        <f t="shared" si="16"/>
        <v>0</v>
      </c>
      <c r="E96" s="208">
        <f t="shared" si="16"/>
        <v>45885</v>
      </c>
      <c r="F96" s="208">
        <f t="shared" si="16"/>
        <v>0</v>
      </c>
      <c r="G96" s="208">
        <f t="shared" si="16"/>
        <v>0</v>
      </c>
      <c r="H96" s="208">
        <f t="shared" si="16"/>
        <v>0</v>
      </c>
      <c r="I96" s="209">
        <f t="shared" si="16"/>
        <v>45885</v>
      </c>
      <c r="J96" s="332">
        <f t="shared" si="16"/>
        <v>61981.542824844124</v>
      </c>
      <c r="K96" s="296">
        <f t="shared" si="16"/>
        <v>10412899.194573812</v>
      </c>
      <c r="L96" s="297">
        <f t="shared" si="16"/>
        <v>10412899.194573812</v>
      </c>
      <c r="M96" s="207">
        <f t="shared" si="16"/>
        <v>63674.42247647023</v>
      </c>
      <c r="N96" s="208">
        <f t="shared" si="16"/>
        <v>10697302.976046998</v>
      </c>
      <c r="O96" s="209">
        <f t="shared" si="16"/>
        <v>10697302.976046998</v>
      </c>
      <c r="P96" s="339">
        <f t="shared" si="16"/>
        <v>64437.43137208702</v>
      </c>
      <c r="Q96" s="296">
        <f t="shared" si="16"/>
        <v>10825488.470510619</v>
      </c>
      <c r="R96" s="297">
        <f t="shared" si="16"/>
        <v>10825488.470510619</v>
      </c>
      <c r="S96" s="209">
        <f t="shared" si="16"/>
        <v>10645230.213710478</v>
      </c>
      <c r="T96" s="210" t="str">
        <f t="shared" si="16"/>
        <v>NA</v>
      </c>
      <c r="U96" s="392" t="s">
        <v>12</v>
      </c>
    </row>
    <row r="97" spans="2:21" x14ac:dyDescent="0.25">
      <c r="B97" s="574" t="s">
        <v>101</v>
      </c>
      <c r="C97" s="213">
        <f t="shared" ref="C97:R97" si="17">C77</f>
        <v>0</v>
      </c>
      <c r="D97" s="214">
        <f t="shared" si="17"/>
        <v>0</v>
      </c>
      <c r="E97" s="214">
        <f t="shared" si="17"/>
        <v>0</v>
      </c>
      <c r="F97" s="214">
        <f t="shared" si="17"/>
        <v>0</v>
      </c>
      <c r="G97" s="214">
        <f t="shared" si="17"/>
        <v>0</v>
      </c>
      <c r="H97" s="214">
        <f t="shared" si="17"/>
        <v>0</v>
      </c>
      <c r="I97" s="215">
        <f t="shared" si="17"/>
        <v>0</v>
      </c>
      <c r="J97" s="336">
        <f t="shared" si="17"/>
        <v>0</v>
      </c>
      <c r="K97" s="337">
        <f t="shared" si="17"/>
        <v>0</v>
      </c>
      <c r="L97" s="294">
        <f t="shared" si="17"/>
        <v>0</v>
      </c>
      <c r="M97" s="216">
        <f t="shared" si="17"/>
        <v>0</v>
      </c>
      <c r="N97" s="217">
        <f t="shared" si="17"/>
        <v>0</v>
      </c>
      <c r="O97" s="215">
        <f t="shared" si="17"/>
        <v>0</v>
      </c>
      <c r="P97" s="336">
        <f t="shared" si="17"/>
        <v>0</v>
      </c>
      <c r="Q97" s="337">
        <f t="shared" si="17"/>
        <v>0</v>
      </c>
      <c r="R97" s="294">
        <f t="shared" si="17"/>
        <v>0</v>
      </c>
      <c r="S97" s="886" t="s">
        <v>12</v>
      </c>
      <c r="T97" s="136" t="s">
        <v>12</v>
      </c>
      <c r="U97" s="147" t="s">
        <v>12</v>
      </c>
    </row>
    <row r="98" spans="2:21" ht="13.8" thickBot="1" x14ac:dyDescent="0.3">
      <c r="B98" s="573" t="s">
        <v>76</v>
      </c>
      <c r="C98" s="207">
        <f t="shared" ref="C98:R98" si="18">C78</f>
        <v>0</v>
      </c>
      <c r="D98" s="208">
        <f t="shared" si="18"/>
        <v>0</v>
      </c>
      <c r="E98" s="208">
        <f t="shared" si="18"/>
        <v>0</v>
      </c>
      <c r="F98" s="208">
        <f t="shared" si="18"/>
        <v>0</v>
      </c>
      <c r="G98" s="208">
        <f t="shared" si="18"/>
        <v>0</v>
      </c>
      <c r="H98" s="208">
        <f t="shared" si="18"/>
        <v>0</v>
      </c>
      <c r="I98" s="209">
        <f t="shared" si="18"/>
        <v>0</v>
      </c>
      <c r="J98" s="332">
        <f t="shared" si="18"/>
        <v>30366.025557426088</v>
      </c>
      <c r="K98" s="338">
        <f t="shared" si="18"/>
        <v>4737099.9869584702</v>
      </c>
      <c r="L98" s="297">
        <f t="shared" si="18"/>
        <v>676728.56956549559</v>
      </c>
      <c r="M98" s="211">
        <f t="shared" si="18"/>
        <v>31195.401923745248</v>
      </c>
      <c r="N98" s="219">
        <f t="shared" si="18"/>
        <v>4866482.700104259</v>
      </c>
      <c r="O98" s="209">
        <f t="shared" si="18"/>
        <v>695211.81430060847</v>
      </c>
      <c r="P98" s="332">
        <f t="shared" si="18"/>
        <v>31569.215587763239</v>
      </c>
      <c r="Q98" s="338">
        <f t="shared" si="18"/>
        <v>4924797.6316910656</v>
      </c>
      <c r="R98" s="297">
        <f t="shared" si="18"/>
        <v>703542.51881300937</v>
      </c>
      <c r="S98" s="210" t="s">
        <v>12</v>
      </c>
      <c r="T98" s="209">
        <f>T78</f>
        <v>0</v>
      </c>
      <c r="U98" s="392">
        <f>R98</f>
        <v>703542.51881300937</v>
      </c>
    </row>
    <row r="99" spans="2:21" x14ac:dyDescent="0.25">
      <c r="B99" s="574" t="s">
        <v>102</v>
      </c>
      <c r="C99" s="197">
        <f t="shared" ref="C99:S99" si="19">C82</f>
        <v>0</v>
      </c>
      <c r="D99" s="25">
        <f t="shared" si="19"/>
        <v>0</v>
      </c>
      <c r="E99" s="25">
        <f t="shared" si="19"/>
        <v>0</v>
      </c>
      <c r="F99" s="25">
        <f t="shared" si="19"/>
        <v>0</v>
      </c>
      <c r="G99" s="25">
        <f t="shared" si="19"/>
        <v>0</v>
      </c>
      <c r="H99" s="25">
        <f t="shared" si="19"/>
        <v>0</v>
      </c>
      <c r="I99" s="198">
        <f t="shared" si="19"/>
        <v>0</v>
      </c>
      <c r="J99" s="333">
        <f t="shared" si="19"/>
        <v>0</v>
      </c>
      <c r="K99" s="334">
        <f t="shared" si="19"/>
        <v>0</v>
      </c>
      <c r="L99" s="335">
        <f t="shared" si="19"/>
        <v>0</v>
      </c>
      <c r="M99" s="199">
        <f t="shared" si="19"/>
        <v>0</v>
      </c>
      <c r="N99" s="25">
        <f t="shared" si="19"/>
        <v>0</v>
      </c>
      <c r="O99" s="198">
        <f t="shared" si="19"/>
        <v>0</v>
      </c>
      <c r="P99" s="333">
        <f t="shared" si="19"/>
        <v>0</v>
      </c>
      <c r="Q99" s="334">
        <f t="shared" si="19"/>
        <v>0</v>
      </c>
      <c r="R99" s="335">
        <f t="shared" si="19"/>
        <v>0</v>
      </c>
      <c r="S99" s="198">
        <f t="shared" si="19"/>
        <v>0</v>
      </c>
      <c r="T99" s="136" t="s">
        <v>12</v>
      </c>
      <c r="U99" s="147" t="s">
        <v>12</v>
      </c>
    </row>
    <row r="100" spans="2:21" ht="13.8" thickBot="1" x14ac:dyDescent="0.3">
      <c r="B100" s="578" t="s">
        <v>76</v>
      </c>
      <c r="C100" s="220">
        <f t="shared" ref="C100:S100" si="20">C83</f>
        <v>0</v>
      </c>
      <c r="D100" s="221">
        <f t="shared" si="20"/>
        <v>0</v>
      </c>
      <c r="E100" s="221">
        <f t="shared" si="20"/>
        <v>0</v>
      </c>
      <c r="F100" s="221">
        <f t="shared" si="20"/>
        <v>0</v>
      </c>
      <c r="G100" s="221">
        <f t="shared" si="20"/>
        <v>0</v>
      </c>
      <c r="H100" s="221">
        <f t="shared" si="20"/>
        <v>0</v>
      </c>
      <c r="I100" s="222">
        <f t="shared" si="20"/>
        <v>0</v>
      </c>
      <c r="J100" s="304">
        <f t="shared" si="20"/>
        <v>0</v>
      </c>
      <c r="K100" s="305">
        <f t="shared" si="20"/>
        <v>0</v>
      </c>
      <c r="L100" s="306">
        <f t="shared" si="20"/>
        <v>0</v>
      </c>
      <c r="M100" s="220">
        <f t="shared" si="20"/>
        <v>0</v>
      </c>
      <c r="N100" s="221">
        <f t="shared" si="20"/>
        <v>0</v>
      </c>
      <c r="O100" s="222">
        <f t="shared" si="20"/>
        <v>0</v>
      </c>
      <c r="P100" s="311">
        <f t="shared" si="20"/>
        <v>0</v>
      </c>
      <c r="Q100" s="305">
        <f t="shared" si="20"/>
        <v>0</v>
      </c>
      <c r="R100" s="306">
        <f t="shared" si="20"/>
        <v>0</v>
      </c>
      <c r="S100" s="222">
        <f t="shared" si="20"/>
        <v>0</v>
      </c>
      <c r="T100" s="223" t="str">
        <f>T83</f>
        <v>NA</v>
      </c>
      <c r="U100" s="224" t="s">
        <v>12</v>
      </c>
    </row>
    <row r="101" spans="2:21" ht="18" thickTop="1" x14ac:dyDescent="0.3">
      <c r="B101" s="579" t="s">
        <v>13</v>
      </c>
      <c r="C101" s="183" t="s">
        <v>45</v>
      </c>
      <c r="D101" s="108" t="s">
        <v>46</v>
      </c>
      <c r="E101" s="107" t="s">
        <v>47</v>
      </c>
      <c r="F101" s="107" t="s">
        <v>48</v>
      </c>
      <c r="G101" s="107" t="s">
        <v>49</v>
      </c>
      <c r="H101" s="107" t="s">
        <v>50</v>
      </c>
      <c r="I101" s="109" t="s">
        <v>13</v>
      </c>
      <c r="J101" s="110" t="s">
        <v>56</v>
      </c>
      <c r="K101" s="108" t="s">
        <v>13</v>
      </c>
      <c r="L101" s="111" t="s">
        <v>68</v>
      </c>
      <c r="M101" s="110" t="s">
        <v>56</v>
      </c>
      <c r="N101" s="108" t="s">
        <v>13</v>
      </c>
      <c r="O101" s="111" t="s">
        <v>68</v>
      </c>
      <c r="P101" s="110" t="s">
        <v>56</v>
      </c>
      <c r="Q101" s="108" t="s">
        <v>13</v>
      </c>
      <c r="R101" s="111" t="s">
        <v>68</v>
      </c>
      <c r="S101" s="111"/>
      <c r="T101" s="37"/>
      <c r="U101" s="138"/>
    </row>
    <row r="102" spans="2:21" x14ac:dyDescent="0.25">
      <c r="B102" s="580" t="s">
        <v>75</v>
      </c>
      <c r="C102" s="195">
        <f t="shared" ref="C102:I103" si="21">C87+C89+C91+C93+C95+C97+C99</f>
        <v>0</v>
      </c>
      <c r="D102" s="101">
        <f t="shared" si="21"/>
        <v>0</v>
      </c>
      <c r="E102" s="101">
        <f t="shared" si="21"/>
        <v>1040</v>
      </c>
      <c r="F102" s="101">
        <f t="shared" si="21"/>
        <v>0</v>
      </c>
      <c r="G102" s="101">
        <f t="shared" si="21"/>
        <v>1.6</v>
      </c>
      <c r="H102" s="101">
        <f t="shared" si="21"/>
        <v>1.6</v>
      </c>
      <c r="I102" s="102">
        <f t="shared" si="21"/>
        <v>57518.2</v>
      </c>
      <c r="J102" s="340" t="s">
        <v>12</v>
      </c>
      <c r="K102" s="281">
        <f>K87+K89+K91+K93+K95+K99</f>
        <v>184475.6</v>
      </c>
      <c r="L102" s="289">
        <f>L87+L89+L91+L93+L95+L97+L99</f>
        <v>184475.6</v>
      </c>
      <c r="M102" s="103" t="s">
        <v>12</v>
      </c>
      <c r="N102" s="101">
        <f>N87+N89+N91+N93+N95+N99</f>
        <v>184475.6</v>
      </c>
      <c r="O102" s="102">
        <f>O87+O89+O91+O93+O95+O97+O99</f>
        <v>240950.6</v>
      </c>
      <c r="P102" s="340" t="s">
        <v>12</v>
      </c>
      <c r="Q102" s="281">
        <f>Q87+Q89+Q91+Q93+Q95+Q99</f>
        <v>184475.6</v>
      </c>
      <c r="R102" s="289">
        <f>R87+R89+R91+R93+R95+R97+R99</f>
        <v>240950.6</v>
      </c>
      <c r="S102" s="68">
        <f>S87+S89+S91+S93+S95+S99</f>
        <v>240950.6</v>
      </c>
      <c r="T102" s="102"/>
      <c r="U102" s="140" t="s">
        <v>12</v>
      </c>
    </row>
    <row r="103" spans="2:21" s="235" customFormat="1" ht="16.2" thickBot="1" x14ac:dyDescent="0.35">
      <c r="B103" s="581" t="s">
        <v>76</v>
      </c>
      <c r="C103" s="582">
        <f t="shared" si="21"/>
        <v>0</v>
      </c>
      <c r="D103" s="583">
        <f t="shared" si="21"/>
        <v>0</v>
      </c>
      <c r="E103" s="583">
        <f t="shared" si="21"/>
        <v>45885</v>
      </c>
      <c r="F103" s="583">
        <f t="shared" si="21"/>
        <v>0</v>
      </c>
      <c r="G103" s="583">
        <f t="shared" si="21"/>
        <v>1.6</v>
      </c>
      <c r="H103" s="583">
        <f t="shared" si="21"/>
        <v>1.6</v>
      </c>
      <c r="I103" s="584">
        <f>I88+I90+I92+I94+I96+I98+I100</f>
        <v>6138336.4639015403</v>
      </c>
      <c r="J103" s="585">
        <f>J88+J90+J92+J94+J96+J98+J100</f>
        <v>4438366.7651205705</v>
      </c>
      <c r="K103" s="587">
        <f>K88+K90+K92+K94+K96+K98+K100</f>
        <v>178541228.27948186</v>
      </c>
      <c r="L103" s="587">
        <f>L88+L90+L92+L94+L96+L98+L100</f>
        <v>43129871.185689569</v>
      </c>
      <c r="M103" s="582">
        <f>M88+M90+M92+M94+M96+M98+M100</f>
        <v>95123.7727343812</v>
      </c>
      <c r="N103" s="588">
        <f>N88+N90+N92+N94+N96+N100</f>
        <v>178550166.40062344</v>
      </c>
      <c r="O103" s="584">
        <f>O88+O90+O92+O94+O96+O98+O100</f>
        <v>48736008.435044527</v>
      </c>
      <c r="P103" s="589">
        <f>P88+P90+P92+P94+P96+P98+P100</f>
        <v>96263.638350088731</v>
      </c>
      <c r="Q103" s="586">
        <f>Q88+Q90+Q92+Q94+Q96+Q100</f>
        <v>180690786.44224426</v>
      </c>
      <c r="R103" s="587">
        <f>R88+R90+R92+R94+R96+R98+R100</f>
        <v>49357697.826143928</v>
      </c>
      <c r="S103" s="887">
        <f>S88+S92+S94+S96+S100</f>
        <v>13558569.384950785</v>
      </c>
      <c r="T103" s="584">
        <f>SUM(T88,T90,T92,T94,T96,T98,T100)</f>
        <v>4729031.5419567982</v>
      </c>
      <c r="U103" s="591">
        <f>SUM(U88,U90,U92,U94,U96,U98,U100,U91,U78)</f>
        <v>37889049.363654897</v>
      </c>
    </row>
  </sheetData>
  <mergeCells count="30">
    <mergeCell ref="G80:I80"/>
    <mergeCell ref="Q81:R81"/>
    <mergeCell ref="Q44:R44"/>
    <mergeCell ref="Q58:R58"/>
    <mergeCell ref="Q63:R63"/>
    <mergeCell ref="Q72:R72"/>
    <mergeCell ref="K81:L81"/>
    <mergeCell ref="N44:O44"/>
    <mergeCell ref="N58:O58"/>
    <mergeCell ref="N72:O72"/>
    <mergeCell ref="N81:O81"/>
    <mergeCell ref="N63:O63"/>
    <mergeCell ref="K44:L44"/>
    <mergeCell ref="S2:T2"/>
    <mergeCell ref="Q25:R25"/>
    <mergeCell ref="N25:O25"/>
    <mergeCell ref="K72:L72"/>
    <mergeCell ref="K58:L58"/>
    <mergeCell ref="K63:L63"/>
    <mergeCell ref="G13:I13"/>
    <mergeCell ref="K25:L25"/>
    <mergeCell ref="G2:I2"/>
    <mergeCell ref="C11:I11"/>
    <mergeCell ref="G24:I24"/>
    <mergeCell ref="G43:I43"/>
    <mergeCell ref="G62:I62"/>
    <mergeCell ref="G71:I71"/>
    <mergeCell ref="G58:I58"/>
    <mergeCell ref="G57:I57"/>
    <mergeCell ref="G44:I44"/>
  </mergeCells>
  <phoneticPr fontId="2" type="noConversion"/>
  <pageMargins left="0.25" right="0.28000000000000003" top="0.64" bottom="0.47" header="0.5" footer="0.44"/>
  <pageSetup scale="46" fitToHeight="25" orientation="landscape" r:id="rId1"/>
  <headerFooter alignWithMargins="0"/>
  <rowBreaks count="1" manualBreakCount="1">
    <brk id="69" max="2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R64"/>
  <sheetViews>
    <sheetView topLeftCell="B33" workbookViewId="0">
      <selection activeCell="C60" sqref="C60"/>
    </sheetView>
  </sheetViews>
  <sheetFormatPr defaultRowHeight="13.2" x14ac:dyDescent="0.25"/>
  <cols>
    <col min="1" max="1" width="2" customWidth="1"/>
    <col min="2" max="2" width="20.6640625" bestFit="1" customWidth="1"/>
    <col min="3" max="3" width="11.109375" bestFit="1" customWidth="1"/>
    <col min="4" max="4" width="12.109375" bestFit="1" customWidth="1"/>
    <col min="5" max="5" width="11.6640625" customWidth="1"/>
    <col min="6" max="6" width="11" customWidth="1"/>
    <col min="7" max="7" width="12.44140625" customWidth="1"/>
    <col min="9" max="9" width="11.109375" bestFit="1" customWidth="1"/>
    <col min="10" max="10" width="10.109375" bestFit="1" customWidth="1"/>
    <col min="11" max="11" width="10.33203125" customWidth="1"/>
    <col min="12" max="12" width="11.109375" bestFit="1" customWidth="1"/>
    <col min="14" max="14" width="11.109375" bestFit="1" customWidth="1"/>
    <col min="15" max="15" width="10" customWidth="1"/>
    <col min="16" max="16" width="10.109375" customWidth="1"/>
    <col min="17" max="17" width="11.109375" bestFit="1" customWidth="1"/>
  </cols>
  <sheetData>
    <row r="5" spans="2:18" ht="13.8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8" x14ac:dyDescent="0.25">
      <c r="B6" s="1467" t="s">
        <v>276</v>
      </c>
      <c r="C6" s="1461" t="s">
        <v>377</v>
      </c>
      <c r="D6" s="1462"/>
      <c r="E6" s="1462"/>
      <c r="F6" s="1462"/>
      <c r="G6" s="1463"/>
      <c r="H6" s="1461" t="s">
        <v>378</v>
      </c>
      <c r="I6" s="1462"/>
      <c r="J6" s="1462"/>
      <c r="K6" s="1462"/>
      <c r="L6" s="1463"/>
      <c r="M6" s="1461" t="s">
        <v>379</v>
      </c>
      <c r="N6" s="1462"/>
      <c r="O6" s="1462"/>
      <c r="P6" s="1462"/>
      <c r="Q6" s="1463"/>
    </row>
    <row r="7" spans="2:18" ht="27" thickBot="1" x14ac:dyDescent="0.3">
      <c r="B7" s="1468"/>
      <c r="C7" s="903" t="s">
        <v>277</v>
      </c>
      <c r="D7" s="904" t="s">
        <v>278</v>
      </c>
      <c r="E7" s="904" t="s">
        <v>279</v>
      </c>
      <c r="F7" s="905" t="s">
        <v>280</v>
      </c>
      <c r="G7" s="906" t="s">
        <v>281</v>
      </c>
      <c r="H7" s="903" t="s">
        <v>277</v>
      </c>
      <c r="I7" s="904" t="s">
        <v>278</v>
      </c>
      <c r="J7" s="904" t="s">
        <v>279</v>
      </c>
      <c r="K7" s="905" t="s">
        <v>280</v>
      </c>
      <c r="L7" s="906" t="s">
        <v>281</v>
      </c>
      <c r="M7" s="903" t="s">
        <v>277</v>
      </c>
      <c r="N7" s="904" t="s">
        <v>278</v>
      </c>
      <c r="O7" s="904" t="s">
        <v>279</v>
      </c>
      <c r="P7" s="905" t="s">
        <v>280</v>
      </c>
      <c r="Q7" s="906" t="s">
        <v>281</v>
      </c>
    </row>
    <row r="8" spans="2:18" x14ac:dyDescent="0.25">
      <c r="B8" s="898" t="s">
        <v>282</v>
      </c>
      <c r="C8" s="896">
        <f>'SO2'!S103</f>
        <v>613.42857142857144</v>
      </c>
      <c r="D8" s="891">
        <f>'SO2'!S104</f>
        <v>45766.151404251526</v>
      </c>
      <c r="E8" s="891"/>
      <c r="F8" s="889"/>
      <c r="G8" s="894">
        <f t="shared" ref="G8:G14" si="0">SUM(D8:F8)</f>
        <v>45766.151404251526</v>
      </c>
      <c r="H8" s="888">
        <f>CO!S103</f>
        <v>499.42857142857139</v>
      </c>
      <c r="I8" s="653">
        <f>CO!S104</f>
        <v>37260.937426470271</v>
      </c>
      <c r="J8" s="911"/>
      <c r="K8" s="653"/>
      <c r="L8" s="894">
        <f t="shared" ref="L8:L14" si="1">SUM(I8:K8)</f>
        <v>37260.937426470271</v>
      </c>
      <c r="M8" s="912">
        <f>'NO2'!S103</f>
        <v>472.28571428571428</v>
      </c>
      <c r="N8" s="911">
        <f>'NO2'!S104</f>
        <v>35235.8864793795</v>
      </c>
      <c r="O8" s="911"/>
      <c r="P8" s="653"/>
      <c r="Q8" s="894">
        <f t="shared" ref="Q8:Q14" si="2">SUM(N8:P8)</f>
        <v>35235.8864793795</v>
      </c>
    </row>
    <row r="9" spans="2:18" x14ac:dyDescent="0.25">
      <c r="B9" s="899" t="s">
        <v>283</v>
      </c>
      <c r="C9" s="1379">
        <f>'SO2'!S105</f>
        <v>1460.1714285714286</v>
      </c>
      <c r="D9" s="1380">
        <f>'SO2'!S106</f>
        <v>87864.74270788279</v>
      </c>
      <c r="E9" s="1380"/>
      <c r="F9" s="1385">
        <f>'SO2'!U106</f>
        <v>1048134.0167455715</v>
      </c>
      <c r="G9" s="1383">
        <f t="shared" si="0"/>
        <v>1135998.7594534543</v>
      </c>
      <c r="H9" s="1386">
        <f>CO!S105</f>
        <v>877.25714285714287</v>
      </c>
      <c r="I9" s="1385">
        <f>CO!S106</f>
        <v>52788.303919360413</v>
      </c>
      <c r="J9" s="1387"/>
      <c r="K9" s="1387">
        <f>CO!U106</f>
        <v>629708.97448745801</v>
      </c>
      <c r="L9" s="1383">
        <f t="shared" si="1"/>
        <v>682497.2784068184</v>
      </c>
      <c r="M9" s="669">
        <f>'NO2'!S105</f>
        <v>1301.457142857143</v>
      </c>
      <c r="N9" s="1387">
        <f>'NO2'!S106</f>
        <v>78904.852510938334</v>
      </c>
      <c r="O9" s="1387"/>
      <c r="P9" s="1387">
        <f>'NO2'!U106</f>
        <v>1093021.4952888058</v>
      </c>
      <c r="Q9" s="1383">
        <f t="shared" si="2"/>
        <v>1171926.3477997442</v>
      </c>
    </row>
    <row r="10" spans="2:18" x14ac:dyDescent="0.25">
      <c r="B10" s="900" t="s">
        <v>284</v>
      </c>
      <c r="C10" s="1381">
        <f>'SO2'!S107</f>
        <v>60720</v>
      </c>
      <c r="D10" s="1382">
        <f>'SO2'!S108</f>
        <v>4121262.9538435875</v>
      </c>
      <c r="E10" s="1382">
        <f>'SO2'!T108</f>
        <v>559004.80893097143</v>
      </c>
      <c r="F10" s="1388"/>
      <c r="G10" s="776">
        <f t="shared" si="0"/>
        <v>4680267.7627745587</v>
      </c>
      <c r="H10" s="1029">
        <f>CO!S107</f>
        <v>36480</v>
      </c>
      <c r="I10" s="1384">
        <f>CO!S108</f>
        <v>2476015.687684685</v>
      </c>
      <c r="J10" s="1389">
        <f>CO!T108</f>
        <v>335844.78639331093</v>
      </c>
      <c r="K10" s="1384"/>
      <c r="L10" s="776">
        <f t="shared" si="1"/>
        <v>2811860.4740779959</v>
      </c>
      <c r="M10" s="934">
        <f>'NO2'!S107</f>
        <v>54120</v>
      </c>
      <c r="N10" s="1389">
        <f>'NO2'!S108</f>
        <v>3673299.589295371</v>
      </c>
      <c r="O10" s="1389">
        <f>'NO2'!T108</f>
        <v>498243.41665586591</v>
      </c>
      <c r="P10" s="1384"/>
      <c r="Q10" s="776">
        <f t="shared" si="2"/>
        <v>4171543.0059512369</v>
      </c>
    </row>
    <row r="11" spans="2:18" x14ac:dyDescent="0.25">
      <c r="B11" s="899" t="s">
        <v>285</v>
      </c>
      <c r="C11" s="1379">
        <f>'SO2'!S109</f>
        <v>34408</v>
      </c>
      <c r="D11" s="1380">
        <f>'SO2'!S110</f>
        <v>2171733.6826968244</v>
      </c>
      <c r="E11" s="1380">
        <f>'SO2'!T110</f>
        <v>698756.01116371434</v>
      </c>
      <c r="F11" s="1385"/>
      <c r="G11" s="1383">
        <f t="shared" si="0"/>
        <v>2870489.6938605388</v>
      </c>
      <c r="H11" s="1386">
        <f>CO!S109</f>
        <v>20672</v>
      </c>
      <c r="I11" s="1385">
        <f>CO!S110</f>
        <v>1304756.995138013</v>
      </c>
      <c r="J11" s="1387">
        <f>CO!T110</f>
        <v>419805.98299163859</v>
      </c>
      <c r="K11" s="1387"/>
      <c r="L11" s="1383">
        <f t="shared" si="1"/>
        <v>1724562.9781296516</v>
      </c>
      <c r="M11" s="669">
        <f>'NO2'!S109</f>
        <v>38786</v>
      </c>
      <c r="N11" s="1387">
        <f>'NO2'!S110</f>
        <v>2517374.8626537626</v>
      </c>
      <c r="O11" s="1387">
        <f>'NO2'!T110</f>
        <v>622804.27081983234</v>
      </c>
      <c r="P11" s="1387"/>
      <c r="Q11" s="1383">
        <f t="shared" si="2"/>
        <v>3140179.1334735947</v>
      </c>
    </row>
    <row r="12" spans="2:18" x14ac:dyDescent="0.25">
      <c r="B12" s="900" t="s">
        <v>286</v>
      </c>
      <c r="C12" s="1381">
        <f>'SO2'!S111</f>
        <v>19734</v>
      </c>
      <c r="D12" s="1382">
        <f>'SO2'!S112</f>
        <v>1276627.232396106</v>
      </c>
      <c r="E12" s="1382"/>
      <c r="F12" s="1388"/>
      <c r="G12" s="776">
        <f t="shared" si="0"/>
        <v>1276627.232396106</v>
      </c>
      <c r="H12" s="1029">
        <f>CO!S111</f>
        <v>11856</v>
      </c>
      <c r="I12" s="1384">
        <f>CO!S112</f>
        <v>766985.53092572372</v>
      </c>
      <c r="J12" s="1389"/>
      <c r="K12" s="1384"/>
      <c r="L12" s="776">
        <f t="shared" si="1"/>
        <v>766985.53092572372</v>
      </c>
      <c r="M12" s="934">
        <f>'NO2'!S111</f>
        <v>22550</v>
      </c>
      <c r="N12" s="1389">
        <f>'NO2'!S112</f>
        <v>1503449.5097590752</v>
      </c>
      <c r="O12" s="1389"/>
      <c r="P12" s="1384"/>
      <c r="Q12" s="776">
        <f t="shared" si="2"/>
        <v>1503449.5097590752</v>
      </c>
    </row>
    <row r="13" spans="2:18" x14ac:dyDescent="0.25">
      <c r="B13" s="899" t="s">
        <v>287</v>
      </c>
      <c r="C13" s="1379">
        <f>'SO2'!S113</f>
        <v>39357.5</v>
      </c>
      <c r="D13" s="1380">
        <f>'SO2'!S114</f>
        <v>2612512.8411729489</v>
      </c>
      <c r="E13" s="1380"/>
      <c r="F13" s="1385"/>
      <c r="G13" s="1383">
        <f t="shared" si="0"/>
        <v>2612512.8411729489</v>
      </c>
      <c r="H13" s="1386">
        <f>CO!S113</f>
        <v>23730</v>
      </c>
      <c r="I13" s="1385">
        <f>CO!S114</f>
        <v>1575805.8328091512</v>
      </c>
      <c r="J13" s="1387"/>
      <c r="K13" s="1387"/>
      <c r="L13" s="1383">
        <f t="shared" si="1"/>
        <v>1575805.8328091512</v>
      </c>
      <c r="M13" s="669">
        <f>'NO2'!S113</f>
        <v>61189.5</v>
      </c>
      <c r="N13" s="1387">
        <f>'NO2'!S114</f>
        <v>4116183.0252612419</v>
      </c>
      <c r="O13" s="1387"/>
      <c r="P13" s="1387"/>
      <c r="Q13" s="1383">
        <f t="shared" si="2"/>
        <v>4116183.0252612419</v>
      </c>
    </row>
    <row r="14" spans="2:18" ht="13.8" thickBot="1" x14ac:dyDescent="0.3">
      <c r="B14" s="901" t="s">
        <v>288</v>
      </c>
      <c r="C14" s="1390">
        <f>'SO2'!S115</f>
        <v>21252</v>
      </c>
      <c r="D14" s="1130">
        <f>'SO2'!S116</f>
        <v>1479266.4756335833</v>
      </c>
      <c r="E14" s="1130"/>
      <c r="F14" s="1391"/>
      <c r="G14" s="1131">
        <f t="shared" si="0"/>
        <v>1479266.4756335833</v>
      </c>
      <c r="H14" s="1029">
        <f>CO!S115</f>
        <v>12768</v>
      </c>
      <c r="I14" s="1384">
        <f>CO!S116</f>
        <v>888729.26599329896</v>
      </c>
      <c r="J14" s="1389"/>
      <c r="K14" s="1384"/>
      <c r="L14" s="1131">
        <f t="shared" si="1"/>
        <v>888729.26599329896</v>
      </c>
      <c r="M14" s="1392">
        <f>'NO2'!S115</f>
        <v>18942</v>
      </c>
      <c r="N14" s="1389">
        <f>'NO2'!S116</f>
        <v>1318476.6413255848</v>
      </c>
      <c r="O14" s="1393"/>
      <c r="P14" s="1384"/>
      <c r="Q14" s="1131">
        <f t="shared" si="2"/>
        <v>1318476.6413255848</v>
      </c>
    </row>
    <row r="15" spans="2:18" ht="13.8" thickBot="1" x14ac:dyDescent="0.3">
      <c r="B15" s="902" t="s">
        <v>289</v>
      </c>
      <c r="C15" s="1394">
        <f t="shared" ref="C15:Q15" si="3">SUM(C8:C14)</f>
        <v>177545.1</v>
      </c>
      <c r="D15" s="1395">
        <f t="shared" si="3"/>
        <v>11795034.079855185</v>
      </c>
      <c r="E15" s="1395">
        <f t="shared" si="3"/>
        <v>1257760.8200946858</v>
      </c>
      <c r="F15" s="1396">
        <f t="shared" si="3"/>
        <v>1048134.0167455715</v>
      </c>
      <c r="G15" s="1397">
        <f t="shared" si="3"/>
        <v>14100928.91669544</v>
      </c>
      <c r="H15" s="1394">
        <f t="shared" si="3"/>
        <v>106882.6857142857</v>
      </c>
      <c r="I15" s="1395">
        <f t="shared" si="3"/>
        <v>7102342.5538967028</v>
      </c>
      <c r="J15" s="1395">
        <f t="shared" si="3"/>
        <v>755650.76938494947</v>
      </c>
      <c r="K15" s="1398">
        <f t="shared" si="3"/>
        <v>629708.97448745801</v>
      </c>
      <c r="L15" s="1399">
        <f t="shared" si="3"/>
        <v>8487702.2977691106</v>
      </c>
      <c r="M15" s="935">
        <f t="shared" si="3"/>
        <v>197361.24285714288</v>
      </c>
      <c r="N15" s="1398">
        <f t="shared" si="3"/>
        <v>13242924.367285354</v>
      </c>
      <c r="O15" s="1398">
        <f t="shared" si="3"/>
        <v>1121047.6874756983</v>
      </c>
      <c r="P15" s="1395">
        <f t="shared" si="3"/>
        <v>1093021.4952888058</v>
      </c>
      <c r="Q15" s="1399">
        <f t="shared" si="3"/>
        <v>15456993.55004986</v>
      </c>
      <c r="R15" s="555"/>
    </row>
    <row r="16" spans="2:18" x14ac:dyDescent="0.25">
      <c r="B16" s="917"/>
    </row>
    <row r="17" spans="2:17" ht="13.8" thickBot="1" x14ac:dyDescent="0.3">
      <c r="B17" s="9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 x14ac:dyDescent="0.25">
      <c r="B18" s="1467" t="s">
        <v>276</v>
      </c>
      <c r="C18" s="1461" t="s">
        <v>380</v>
      </c>
      <c r="D18" s="1462"/>
      <c r="E18" s="1462"/>
      <c r="F18" s="1462"/>
      <c r="G18" s="1463"/>
      <c r="H18" s="1461" t="s">
        <v>381</v>
      </c>
      <c r="I18" s="1462"/>
      <c r="J18" s="1462"/>
      <c r="K18" s="1462"/>
      <c r="L18" s="1463"/>
      <c r="M18" s="1461" t="s">
        <v>382</v>
      </c>
      <c r="N18" s="1462"/>
      <c r="O18" s="1462"/>
      <c r="P18" s="1462"/>
      <c r="Q18" s="1463"/>
    </row>
    <row r="19" spans="2:17" ht="27" thickBot="1" x14ac:dyDescent="0.3">
      <c r="B19" s="1468"/>
      <c r="C19" s="903" t="s">
        <v>277</v>
      </c>
      <c r="D19" s="904" t="s">
        <v>278</v>
      </c>
      <c r="E19" s="904" t="s">
        <v>279</v>
      </c>
      <c r="F19" s="905" t="s">
        <v>280</v>
      </c>
      <c r="G19" s="906" t="s">
        <v>281</v>
      </c>
      <c r="H19" s="903" t="s">
        <v>277</v>
      </c>
      <c r="I19" s="904" t="s">
        <v>278</v>
      </c>
      <c r="J19" s="904" t="s">
        <v>279</v>
      </c>
      <c r="K19" s="905" t="s">
        <v>280</v>
      </c>
      <c r="L19" s="906" t="s">
        <v>281</v>
      </c>
      <c r="M19" s="903" t="s">
        <v>277</v>
      </c>
      <c r="N19" s="904" t="s">
        <v>278</v>
      </c>
      <c r="O19" s="904" t="s">
        <v>279</v>
      </c>
      <c r="P19" s="905" t="s">
        <v>280</v>
      </c>
      <c r="Q19" s="906" t="s">
        <v>281</v>
      </c>
    </row>
    <row r="20" spans="2:17" x14ac:dyDescent="0.25">
      <c r="B20" s="898" t="s">
        <v>282</v>
      </c>
      <c r="C20" s="912">
        <f>'O3'!R112</f>
        <v>830.57142857142856</v>
      </c>
      <c r="D20" s="911">
        <f>'O3'!R113</f>
        <v>61966.558980977738</v>
      </c>
      <c r="E20" s="911"/>
      <c r="F20" s="653"/>
      <c r="G20" s="894">
        <f t="shared" ref="G20:G26" si="4">SUM(D20:F20)</f>
        <v>61966.558980977738</v>
      </c>
      <c r="H20" s="1404">
        <f>'PM10'!S152</f>
        <v>497.14285714285717</v>
      </c>
      <c r="I20" s="1220">
        <f>'PM10'!S153</f>
        <v>47278.67606195683</v>
      </c>
      <c r="J20" s="1036"/>
      <c r="K20" s="888"/>
      <c r="L20" s="776">
        <f t="shared" ref="L20:L26" si="5">SUM(I20:K20)</f>
        <v>47278.67606195683</v>
      </c>
      <c r="M20" s="1404">
        <f>'PM25'!S231</f>
        <v>387</v>
      </c>
      <c r="N20" s="1405">
        <f>'PM25'!S232</f>
        <v>28349.924150280276</v>
      </c>
      <c r="O20" s="896"/>
      <c r="P20" s="888"/>
      <c r="Q20" s="1400">
        <f t="shared" ref="Q20:Q26" si="6">SUM(N20:P20)</f>
        <v>28349.924150280276</v>
      </c>
    </row>
    <row r="21" spans="2:17" x14ac:dyDescent="0.25">
      <c r="B21" s="899" t="s">
        <v>283</v>
      </c>
      <c r="C21" s="669">
        <f>'O3'!R114</f>
        <v>3758.8571428571431</v>
      </c>
      <c r="D21" s="1387">
        <f>'O3'!R115</f>
        <v>222066.33230320929</v>
      </c>
      <c r="E21" s="1387"/>
      <c r="F21" s="1387">
        <f>'O3'!T115</f>
        <v>3294135.4812003672</v>
      </c>
      <c r="G21" s="1383">
        <f t="shared" si="4"/>
        <v>3516201.8135035764</v>
      </c>
      <c r="H21" s="669">
        <f>'PM10'!S154</f>
        <v>1134.5047619047618</v>
      </c>
      <c r="I21" s="1387">
        <f>'PM10'!S155</f>
        <v>76974.865620613971</v>
      </c>
      <c r="J21" s="1379"/>
      <c r="K21" s="1035">
        <f>'PM10'!U155</f>
        <v>2182019.6495588911</v>
      </c>
      <c r="L21" s="1383">
        <f t="shared" si="5"/>
        <v>2258994.5151795051</v>
      </c>
      <c r="M21" s="669">
        <f>'PM25'!S233</f>
        <v>6287.04</v>
      </c>
      <c r="N21" s="1379">
        <f>'PM25'!S234</f>
        <v>531134.22114593268</v>
      </c>
      <c r="O21" s="1379"/>
      <c r="P21" s="1035">
        <f>'PM25'!U234</f>
        <v>7078898.293633963</v>
      </c>
      <c r="Q21" s="349">
        <f t="shared" si="6"/>
        <v>7610032.5147798955</v>
      </c>
    </row>
    <row r="22" spans="2:17" x14ac:dyDescent="0.25">
      <c r="B22" s="900" t="s">
        <v>284</v>
      </c>
      <c r="C22" s="934">
        <f>'O3'!R116</f>
        <v>109260</v>
      </c>
      <c r="D22" s="1389">
        <f>'O3'!R117</f>
        <v>6409952.6500848541</v>
      </c>
      <c r="E22" s="1389">
        <f>'O3'!S117</f>
        <v>1005877.2302997025</v>
      </c>
      <c r="F22" s="1384"/>
      <c r="G22" s="776">
        <f t="shared" si="4"/>
        <v>7415829.8803845569</v>
      </c>
      <c r="H22" s="934">
        <f>'PM10'!S156</f>
        <v>13504</v>
      </c>
      <c r="I22" s="1389">
        <f>'PM10'!S157</f>
        <v>6159153.7875969345</v>
      </c>
      <c r="J22" s="1381">
        <f>'PM10'!T157</f>
        <v>429082.1602488241</v>
      </c>
      <c r="K22" s="1029">
        <f>'PM10'!U62</f>
        <v>78595.255462344372</v>
      </c>
      <c r="L22" s="776">
        <f t="shared" si="5"/>
        <v>6666831.2033081036</v>
      </c>
      <c r="M22" s="934">
        <f>'PM25'!S235</f>
        <v>31136</v>
      </c>
      <c r="N22" s="1381">
        <f>'PM25'!S236</f>
        <v>14782887.695942473</v>
      </c>
      <c r="O22" s="1381">
        <f>'PM25'!T236</f>
        <v>365604.0592007775</v>
      </c>
      <c r="P22" s="1029">
        <f>'PM25'!U236</f>
        <v>4787896.7053275257</v>
      </c>
      <c r="Q22" s="1400">
        <f t="shared" si="6"/>
        <v>19936388.460470773</v>
      </c>
    </row>
    <row r="23" spans="2:17" x14ac:dyDescent="0.25">
      <c r="B23" s="899" t="s">
        <v>285</v>
      </c>
      <c r="C23" s="669">
        <f>'O3'!R118</f>
        <v>61914</v>
      </c>
      <c r="D23" s="1387">
        <f>'O3'!R119</f>
        <v>3907833.0397143443</v>
      </c>
      <c r="E23" s="1387">
        <f>'O3'!S119</f>
        <v>1257346.5378746281</v>
      </c>
      <c r="F23" s="1387"/>
      <c r="G23" s="1383">
        <f t="shared" si="4"/>
        <v>5165179.5775889726</v>
      </c>
      <c r="H23" s="669">
        <f>'PM10'!S158</f>
        <v>17013.333333333336</v>
      </c>
      <c r="I23" s="1387">
        <f>'PM10'!S159</f>
        <v>1014811.4565320325</v>
      </c>
      <c r="J23" s="1379">
        <f>'PM10'!T159</f>
        <v>821867.51982806588</v>
      </c>
      <c r="K23" s="1035"/>
      <c r="L23" s="1383">
        <f t="shared" si="5"/>
        <v>1836678.9763600985</v>
      </c>
      <c r="M23" s="669">
        <f>'PM25'!S237</f>
        <v>64874</v>
      </c>
      <c r="N23" s="1379">
        <f>'PM25'!S238</f>
        <v>4117378.3675601804</v>
      </c>
      <c r="O23" s="1379">
        <f>'PM25'!T238</f>
        <v>713810.28290869773</v>
      </c>
      <c r="P23" s="1035"/>
      <c r="Q23" s="349">
        <f t="shared" si="6"/>
        <v>4831188.6504688784</v>
      </c>
    </row>
    <row r="24" spans="2:17" x14ac:dyDescent="0.25">
      <c r="B24" s="900" t="s">
        <v>286</v>
      </c>
      <c r="C24" s="934">
        <f>'O3'!R120</f>
        <v>35509.5</v>
      </c>
      <c r="D24" s="1389">
        <f>'O3'!R121</f>
        <v>2297172.1246969458</v>
      </c>
      <c r="E24" s="1389"/>
      <c r="F24" s="1384"/>
      <c r="G24" s="776">
        <f t="shared" si="4"/>
        <v>2297172.1246969458</v>
      </c>
      <c r="H24" s="934">
        <f>'PM10'!S160</f>
        <v>75917.941002949854</v>
      </c>
      <c r="I24" s="1389">
        <f>'PM10'!S161</f>
        <v>4612716.405727095</v>
      </c>
      <c r="J24" s="1381"/>
      <c r="K24" s="1029"/>
      <c r="L24" s="776">
        <f t="shared" si="5"/>
        <v>4612716.405727095</v>
      </c>
      <c r="M24" s="934">
        <f>'PM25'!S239</f>
        <v>218928.5</v>
      </c>
      <c r="N24" s="1381">
        <f>'PM25'!S240</f>
        <v>14523781.786111154</v>
      </c>
      <c r="O24" s="1381"/>
      <c r="P24" s="1029"/>
      <c r="Q24" s="1400">
        <f t="shared" si="6"/>
        <v>14523781.786111154</v>
      </c>
    </row>
    <row r="25" spans="2:17" x14ac:dyDescent="0.25">
      <c r="B25" s="899" t="s">
        <v>287</v>
      </c>
      <c r="C25" s="669">
        <f>'O3'!R122</f>
        <v>71506</v>
      </c>
      <c r="D25" s="1387">
        <f>'O3'!R123</f>
        <v>4735809.3371710125</v>
      </c>
      <c r="E25" s="1387"/>
      <c r="F25" s="1387"/>
      <c r="G25" s="1383">
        <f t="shared" si="4"/>
        <v>4735809.3371710125</v>
      </c>
      <c r="H25" s="669">
        <f>'PM10'!S162</f>
        <v>21764.066666666666</v>
      </c>
      <c r="I25" s="1387">
        <f>'PM10'!S163</f>
        <v>1443008.3279392875</v>
      </c>
      <c r="J25" s="1379"/>
      <c r="K25" s="1035">
        <f>'PM10'!T131</f>
        <v>5928.726376610347</v>
      </c>
      <c r="L25" s="1383">
        <f t="shared" si="5"/>
        <v>1448937.0543158979</v>
      </c>
      <c r="M25" s="669">
        <f>'PM25'!S241</f>
        <v>72512</v>
      </c>
      <c r="N25" s="1379">
        <f>'PM25'!S242</f>
        <v>4682391.0903322613</v>
      </c>
      <c r="O25" s="1379"/>
      <c r="P25" s="1035">
        <f>'PM25'!U242</f>
        <v>6439.7211949229604</v>
      </c>
      <c r="Q25" s="349">
        <f t="shared" si="6"/>
        <v>4688830.8115271842</v>
      </c>
    </row>
    <row r="26" spans="2:17" ht="13.8" thickBot="1" x14ac:dyDescent="0.3">
      <c r="B26" s="901" t="s">
        <v>288</v>
      </c>
      <c r="C26" s="934">
        <f>'O3'!R124</f>
        <v>38241</v>
      </c>
      <c r="D26" s="1393">
        <f>'O3'!R125</f>
        <v>2661802.6206805878</v>
      </c>
      <c r="E26" s="1393"/>
      <c r="F26" s="1384"/>
      <c r="G26" s="1131">
        <f t="shared" si="4"/>
        <v>2661802.6206805878</v>
      </c>
      <c r="H26" s="1392">
        <f>'PM10'!S164</f>
        <v>10604</v>
      </c>
      <c r="I26" s="1393">
        <f>'PM10'!S165</f>
        <v>786943.91517768486</v>
      </c>
      <c r="J26" s="1390"/>
      <c r="K26" s="1029"/>
      <c r="L26" s="776">
        <f t="shared" si="5"/>
        <v>786943.91517768486</v>
      </c>
      <c r="M26" s="934">
        <f>'PM25'!S243</f>
        <v>105714</v>
      </c>
      <c r="N26" s="1390">
        <f>'PM25'!S244</f>
        <v>7631296.6820957484</v>
      </c>
      <c r="O26" s="1381"/>
      <c r="P26" s="1029"/>
      <c r="Q26" s="1400">
        <f t="shared" si="6"/>
        <v>7631296.6820957484</v>
      </c>
    </row>
    <row r="27" spans="2:17" ht="13.8" thickBot="1" x14ac:dyDescent="0.3">
      <c r="B27" s="902" t="s">
        <v>289</v>
      </c>
      <c r="C27" s="935">
        <f t="shared" ref="C27:L27" si="7">SUM(C20:C26)</f>
        <v>321019.92857142858</v>
      </c>
      <c r="D27" s="1398">
        <f t="shared" si="7"/>
        <v>20296602.663631935</v>
      </c>
      <c r="E27" s="1395">
        <f t="shared" si="7"/>
        <v>2263223.7681743307</v>
      </c>
      <c r="F27" s="1396">
        <f t="shared" si="7"/>
        <v>3294135.4812003672</v>
      </c>
      <c r="G27" s="1397">
        <f t="shared" si="7"/>
        <v>25853961.91300663</v>
      </c>
      <c r="H27" s="935">
        <f t="shared" si="7"/>
        <v>140434.98862199747</v>
      </c>
      <c r="I27" s="1395">
        <f t="shared" si="7"/>
        <v>14140887.434655603</v>
      </c>
      <c r="J27" s="1395">
        <f t="shared" si="7"/>
        <v>1250949.6800768899</v>
      </c>
      <c r="K27" s="1395">
        <f t="shared" si="7"/>
        <v>2266543.6313978457</v>
      </c>
      <c r="L27" s="1395">
        <f t="shared" si="7"/>
        <v>17658380.746130344</v>
      </c>
      <c r="M27" s="935">
        <f>SUM(M20:M26)</f>
        <v>499838.54000000004</v>
      </c>
      <c r="N27" s="1401">
        <f>SUM(N20:N26)</f>
        <v>46297219.76733803</v>
      </c>
      <c r="O27" s="1402">
        <f>SUM(O20:O26)</f>
        <v>1079414.3421094753</v>
      </c>
      <c r="P27" s="1401">
        <f>SUM(P20:P26)</f>
        <v>11873234.720156413</v>
      </c>
      <c r="Q27" s="1403">
        <f>SUM(Q20:Q26)</f>
        <v>59249868.829603918</v>
      </c>
    </row>
    <row r="28" spans="2:17" x14ac:dyDescent="0.25">
      <c r="H28" s="868"/>
      <c r="I28" s="868"/>
      <c r="J28" s="868"/>
      <c r="K28" s="868"/>
      <c r="L28" s="868"/>
      <c r="M28" s="868"/>
      <c r="N28" s="868"/>
      <c r="O28" s="868"/>
      <c r="P28" s="868"/>
      <c r="Q28" s="868"/>
    </row>
    <row r="29" spans="2:17" ht="13.8" thickBot="1" x14ac:dyDescent="0.3"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5"/>
      <c r="P29" s="5"/>
      <c r="Q29" s="5"/>
    </row>
    <row r="30" spans="2:17" x14ac:dyDescent="0.25">
      <c r="B30" s="1467" t="s">
        <v>276</v>
      </c>
      <c r="C30" s="1461" t="s">
        <v>383</v>
      </c>
      <c r="D30" s="1462"/>
      <c r="E30" s="1462"/>
      <c r="F30" s="1462"/>
      <c r="G30" s="1463"/>
      <c r="H30" s="1461" t="s">
        <v>384</v>
      </c>
      <c r="I30" s="1462"/>
      <c r="J30" s="1462"/>
      <c r="K30" s="1462"/>
      <c r="L30" s="1463"/>
      <c r="M30" s="1464" t="s">
        <v>385</v>
      </c>
      <c r="N30" s="1465"/>
      <c r="O30" s="1465"/>
      <c r="P30" s="1465"/>
      <c r="Q30" s="1466"/>
    </row>
    <row r="31" spans="2:17" ht="27" thickBot="1" x14ac:dyDescent="0.3">
      <c r="B31" s="1468"/>
      <c r="C31" s="903" t="s">
        <v>277</v>
      </c>
      <c r="D31" s="904" t="s">
        <v>278</v>
      </c>
      <c r="E31" s="904" t="s">
        <v>279</v>
      </c>
      <c r="F31" s="905" t="s">
        <v>280</v>
      </c>
      <c r="G31" s="906" t="s">
        <v>281</v>
      </c>
      <c r="H31" s="903" t="s">
        <v>277</v>
      </c>
      <c r="I31" s="904" t="s">
        <v>278</v>
      </c>
      <c r="J31" s="904" t="s">
        <v>279</v>
      </c>
      <c r="K31" s="905" t="s">
        <v>280</v>
      </c>
      <c r="L31" s="906" t="s">
        <v>281</v>
      </c>
      <c r="M31" s="903" t="s">
        <v>277</v>
      </c>
      <c r="N31" s="904" t="s">
        <v>278</v>
      </c>
      <c r="O31" s="904" t="s">
        <v>279</v>
      </c>
      <c r="P31" s="905" t="s">
        <v>280</v>
      </c>
      <c r="Q31" s="906" t="s">
        <v>281</v>
      </c>
    </row>
    <row r="32" spans="2:17" ht="13.8" thickBot="1" x14ac:dyDescent="0.3">
      <c r="B32" s="898" t="s">
        <v>282</v>
      </c>
      <c r="C32" s="1404">
        <f>Pb!S102</f>
        <v>267.85714285714289</v>
      </c>
      <c r="D32" s="1407">
        <f>Pb!S103</f>
        <v>18465.150379707415</v>
      </c>
      <c r="E32" s="1407"/>
      <c r="F32" s="1384"/>
      <c r="G32" s="776">
        <f t="shared" ref="G32:G38" si="8">SUM(D32:F32)</f>
        <v>18465.150379707415</v>
      </c>
      <c r="H32" s="912"/>
      <c r="I32" s="931"/>
      <c r="J32" s="931"/>
      <c r="K32" s="931"/>
      <c r="L32" s="993">
        <f t="shared" ref="L32:L38" si="9">SUM(H32:K32)</f>
        <v>0</v>
      </c>
      <c r="M32" s="1404">
        <f>PAMSNMOC!S103+'PAMS NO2'!S104+NF_PAMSSurfMet!S100+PAMS_Upper_Air!S101+PAMSCarbonyls!S108+PAMSCarbD!S108+PAMSHalfD!S108+PAMSVOC!S104</f>
        <v>592.79999999999995</v>
      </c>
      <c r="N32" s="1404">
        <f>PAMSNMOC!S104+'PAMS NO2'!S105+NF_PAMSSurfMet!S101+PAMS_Upper_Air!S102+PAMSCarbonyls!S109+PAMSCarbD!S109+PAMSHalfD!S109+PAMSVOC!S105</f>
        <v>44468.652455093048</v>
      </c>
      <c r="O32" s="1404"/>
      <c r="P32" s="1406"/>
      <c r="Q32" s="1029">
        <f>+N32+O32+P32</f>
        <v>44468.652455093048</v>
      </c>
    </row>
    <row r="33" spans="2:17" ht="13.8" thickBot="1" x14ac:dyDescent="0.3">
      <c r="B33" s="899" t="s">
        <v>283</v>
      </c>
      <c r="C33" s="669">
        <f>Pb!S104</f>
        <v>116.57142857142857</v>
      </c>
      <c r="D33" s="1380">
        <f>Pb!S105</f>
        <v>5573.871355002706</v>
      </c>
      <c r="E33" s="1380"/>
      <c r="F33" s="1385">
        <f>Pb!U105</f>
        <v>41502.200973621235</v>
      </c>
      <c r="G33" s="1383">
        <f>SUM(D33:F33)</f>
        <v>47076.072328623937</v>
      </c>
      <c r="H33" s="129"/>
      <c r="I33" s="893"/>
      <c r="J33" s="893"/>
      <c r="K33" s="893"/>
      <c r="L33" s="995">
        <f t="shared" si="9"/>
        <v>0</v>
      </c>
      <c r="M33" s="1404">
        <f>PAMSNMOC!S105+'PAMS NO2'!S106+NF_PAMSSurfMet!S102+PAMS_Upper_Air!S103+PAMSCarbonyls!S110+PAMSCarbD!S110+PAMSHalfD!S110+PAMSVOC!S106</f>
        <v>1345.04</v>
      </c>
      <c r="N33" s="1404">
        <f>PAMSNMOC!S106+'PAMS NO2'!S107+NF_PAMSSurfMet!S103+PAMS_Upper_Air!S104+PAMSCarbonyls!S111+PAMSCarbD!S111+PAMSHalfD!S111+PAMSVOC!S107</f>
        <v>502899.00635759078</v>
      </c>
      <c r="O33" s="1404"/>
      <c r="P33" s="1404">
        <f>PAMSNMOC!U106+'PAMS NO2'!U107+NF_PAMSSurfMet!U103+PAMS_Upper_Air!V104+PAMSCarbonyls!U111+PAMSCarbD!U111+PAMSHalfD!U111+PAMSVOC!U107</f>
        <v>2441716.0453362567</v>
      </c>
      <c r="Q33" s="1029">
        <f t="shared" ref="Q33:Q39" si="10">+N33+O33+P33</f>
        <v>2944615.0516938474</v>
      </c>
    </row>
    <row r="34" spans="2:17" ht="13.8" thickBot="1" x14ac:dyDescent="0.3">
      <c r="B34" s="900" t="s">
        <v>284</v>
      </c>
      <c r="C34" s="934">
        <f>Pb!S106</f>
        <v>4590</v>
      </c>
      <c r="D34" s="1382">
        <f>Pb!S107</f>
        <v>272767.55650808371</v>
      </c>
      <c r="E34" s="1382">
        <f>Pb!T107</f>
        <v>21128.393222934446</v>
      </c>
      <c r="F34" s="1384">
        <f>Pb!U107</f>
        <v>113389.04362974818</v>
      </c>
      <c r="G34" s="776">
        <f t="shared" si="8"/>
        <v>407284.99336076633</v>
      </c>
      <c r="H34" s="913"/>
      <c r="I34" s="891"/>
      <c r="J34" s="891"/>
      <c r="K34" s="891">
        <f>NATTS!U52</f>
        <v>3930806.3697572686</v>
      </c>
      <c r="L34" s="994">
        <f t="shared" si="9"/>
        <v>3930806.3697572686</v>
      </c>
      <c r="M34" s="1404">
        <f>PAMSNMOC!S107+'PAMS NO2'!S108+NF_PAMSSurfMet!S104+PAMS_Upper_Air!S105+PAMSCarbonyls!S112+PAMSCarbD!S112+PAMSHalfD!S112+PAMSVOC!S108</f>
        <v>10320</v>
      </c>
      <c r="N34" s="1404">
        <f>PAMSNMOC!S108+'PAMS NO2'!S109+NF_PAMSSurfMet!S105+PAMS_Upper_Air!S106+PAMSCarbonyls!S113+PAMSCarbD!S113+PAMSHalfD!S113+PAMSVOC!S109</f>
        <v>1755966.0089370653</v>
      </c>
      <c r="O34" s="1404">
        <f>PAMSNMOC!T108+'PAMS NO2'!T109+NF_PAMSSurfMet!T105+PAMS_Upper_Air!T106+PAMSCarbonyls!T113+PAMSCarbD!T113+PAMSHalfD!T113+PAMSVOC!T109</f>
        <v>2629841.4378735158</v>
      </c>
      <c r="P34" s="1404">
        <f>PAMSCarbonyls!U113+PAMSCarbD!U113+PAMSHalfD!U113</f>
        <v>712565.41849896556</v>
      </c>
      <c r="Q34" s="1029">
        <f t="shared" si="10"/>
        <v>5098372.8653095467</v>
      </c>
    </row>
    <row r="35" spans="2:17" ht="13.8" thickBot="1" x14ac:dyDescent="0.3">
      <c r="B35" s="899" t="s">
        <v>285</v>
      </c>
      <c r="C35" s="669">
        <f>Pb!S108</f>
        <v>816</v>
      </c>
      <c r="D35" s="1380">
        <f>Pb!S109</f>
        <v>46059.897225997091</v>
      </c>
      <c r="E35" s="1380">
        <f>Pb!T109</f>
        <v>21128.393222934446</v>
      </c>
      <c r="F35" s="1385"/>
      <c r="G35" s="1383">
        <f t="shared" si="8"/>
        <v>67188.290448931541</v>
      </c>
      <c r="H35" s="129"/>
      <c r="I35" s="893"/>
      <c r="J35" s="893"/>
      <c r="K35" s="893"/>
      <c r="L35" s="995">
        <f t="shared" si="9"/>
        <v>0</v>
      </c>
      <c r="M35" s="1404">
        <f>PAMSNMOC!S109+'PAMS NO2'!S110+NF_PAMSSurfMet!S106+PAMS_Upper_Air!S107+PAMSCarbonyls!S114+PAMSCarbD!S114+PAMSHalfD!S114+PAMSVOC!S110</f>
        <v>18361</v>
      </c>
      <c r="N35" s="1404">
        <f>PAMSNMOC!S110+'PAMS NO2'!S111+NF_PAMSSurfMet!S107+PAMS_Upper_Air!S108+PAMSCarbonyls!S115+PAMSCarbD!S115+PAMSHalfD!S115+PAMSVOC!S111</f>
        <v>1495549.7656220039</v>
      </c>
      <c r="O35" s="1404">
        <f>PAMSNMOC!T110+'PAMS NO2'!T111+NF_PAMSSurfMet!T107+PAMS_Upper_Air!T108+PAMSCarbonyls!T115+PAMSCarbD!T115+PAMSHalfD!T115+PAMSVOC!T111</f>
        <v>976570.90605283238</v>
      </c>
      <c r="P35" s="1404"/>
      <c r="Q35" s="1029">
        <f t="shared" si="10"/>
        <v>2472120.6716748364</v>
      </c>
    </row>
    <row r="36" spans="2:17" ht="13.8" thickBot="1" x14ac:dyDescent="0.3">
      <c r="B36" s="900" t="s">
        <v>286</v>
      </c>
      <c r="C36" s="934">
        <f>Pb!S110</f>
        <v>1071</v>
      </c>
      <c r="D36" s="1382">
        <f>Pb!S111</f>
        <v>71343.541116108638</v>
      </c>
      <c r="E36" s="1382"/>
      <c r="F36" s="1384"/>
      <c r="G36" s="776">
        <f t="shared" si="8"/>
        <v>71343.541116108638</v>
      </c>
      <c r="H36" s="913"/>
      <c r="I36" s="891"/>
      <c r="J36" s="891"/>
      <c r="K36" s="891"/>
      <c r="L36" s="994">
        <f t="shared" si="9"/>
        <v>0</v>
      </c>
      <c r="M36" s="1404">
        <f>PAMSNMOC!S111+'PAMS NO2'!S112+NF_PAMSSurfMet!S108+PAMS_Upper_Air!S109+PAMSCarbonyls!S116+PAMSCarbD!S116+PAMSHalfD!S116+PAMSVOC!S112</f>
        <v>16856</v>
      </c>
      <c r="N36" s="1404">
        <f>PAMSNMOC!S112+'PAMS NO2'!S113+NF_PAMSSurfMet!S109+PAMS_Upper_Air!S110+PAMSCarbonyls!S117+PAMSCarbD!S117+PAMSHalfD!S117+PAMSVOC!S113</f>
        <v>1160595.5069572839</v>
      </c>
      <c r="O36" s="1404"/>
      <c r="P36" s="1404"/>
      <c r="Q36" s="1029">
        <f t="shared" si="10"/>
        <v>1160595.5069572839</v>
      </c>
    </row>
    <row r="37" spans="2:17" ht="13.8" thickBot="1" x14ac:dyDescent="0.3">
      <c r="B37" s="899" t="s">
        <v>287</v>
      </c>
      <c r="C37" s="669">
        <f>Pb!S112</f>
        <v>1237.5</v>
      </c>
      <c r="D37" s="1380">
        <f>Pb!S113</f>
        <v>67076.434249516009</v>
      </c>
      <c r="E37" s="1380"/>
      <c r="F37" s="1385"/>
      <c r="G37" s="1383">
        <f t="shared" si="8"/>
        <v>67076.434249516009</v>
      </c>
      <c r="H37" s="129"/>
      <c r="I37" s="893"/>
      <c r="J37" s="893"/>
      <c r="K37" s="893"/>
      <c r="L37" s="995">
        <f t="shared" si="9"/>
        <v>0</v>
      </c>
      <c r="M37" s="1404">
        <f>PAMSNMOC!S113+'PAMS NO2'!S114+NF_PAMSSurfMet!S110+PAMS_Upper_Air!S111+PAMSCarbonyls!S118+PAMSCarbD!S118+PAMSHalfD!S118+PAMSVOC!S114</f>
        <v>21138.799999999999</v>
      </c>
      <c r="N37" s="1404">
        <f>PAMSNMOC!S114+'PAMS NO2'!S115+NF_PAMSSurfMet!S111+PAMS_Upper_Air!S112+PAMSCarbonyls!S119+PAMSCarbD!S119+PAMSHalfD!S119+PAMSVOC!S115</f>
        <v>1421693.0185253022</v>
      </c>
      <c r="O37" s="1404">
        <f>PAMSNMOC!T114+'PAMS NO2'!T115+NF_PAMSSurfMet!T111+PAMS_Upper_Air!T112+PAMSCarbonyls!T119+PAMSCarbD!T119+PAMSHalfD!T119</f>
        <v>515629.73667909391</v>
      </c>
      <c r="P37" s="1404"/>
      <c r="Q37" s="1029">
        <f t="shared" si="10"/>
        <v>1937322.7552043961</v>
      </c>
    </row>
    <row r="38" spans="2:17" ht="13.8" thickBot="1" x14ac:dyDescent="0.3">
      <c r="B38" s="901" t="s">
        <v>288</v>
      </c>
      <c r="C38" s="1392">
        <f>Pb!S114</f>
        <v>510</v>
      </c>
      <c r="D38" s="1130">
        <f>Pb!S115</f>
        <v>36904.260162725499</v>
      </c>
      <c r="E38" s="1130"/>
      <c r="F38" s="1384"/>
      <c r="G38" s="776">
        <f t="shared" si="8"/>
        <v>36904.260162725499</v>
      </c>
      <c r="H38" s="996"/>
      <c r="I38" s="104"/>
      <c r="J38" s="104"/>
      <c r="K38" s="104"/>
      <c r="L38" s="360">
        <f t="shared" si="9"/>
        <v>0</v>
      </c>
      <c r="M38" s="1404">
        <f>PAMSNMOC!S115+'PAMS NO2'!S116+NF_PAMSSurfMet!S112+PAMS_Upper_Air!S113+PAMSCarbonyls!S120+PAMSCarbD!S120+PAMSHalfD!S120+PAMSVOC!S116</f>
        <v>10406</v>
      </c>
      <c r="N38" s="1404">
        <f>PAMSNMOC!S116+'PAMS NO2'!S117+NF_PAMSSurfMet!S113+PAMS_Upper_Air!S114+PAMSCarbonyls!S121+PAMSCarbD!S121+PAMSHalfD!S121+PAMSVOC!S117</f>
        <v>756564.32635850878</v>
      </c>
      <c r="O38" s="1404"/>
      <c r="P38" s="1404"/>
      <c r="Q38" s="1029">
        <f t="shared" si="10"/>
        <v>756564.32635850878</v>
      </c>
    </row>
    <row r="39" spans="2:17" ht="13.8" thickBot="1" x14ac:dyDescent="0.3">
      <c r="B39" s="902" t="s">
        <v>289</v>
      </c>
      <c r="C39" s="935">
        <f t="shared" ref="C39:N39" si="11">SUM(C32:C38)</f>
        <v>8608.9285714285725</v>
      </c>
      <c r="D39" s="1395">
        <f t="shared" si="11"/>
        <v>518190.71099714114</v>
      </c>
      <c r="E39" s="1395">
        <f t="shared" si="11"/>
        <v>42256.786445868893</v>
      </c>
      <c r="F39" s="1395">
        <f t="shared" si="11"/>
        <v>154891.24460336941</v>
      </c>
      <c r="G39" s="1395">
        <f t="shared" si="11"/>
        <v>715338.74204637937</v>
      </c>
      <c r="H39" s="914">
        <f t="shared" si="11"/>
        <v>0</v>
      </c>
      <c r="I39" s="892">
        <f t="shared" si="11"/>
        <v>0</v>
      </c>
      <c r="J39" s="892">
        <f t="shared" si="11"/>
        <v>0</v>
      </c>
      <c r="K39" s="895">
        <f t="shared" si="11"/>
        <v>3930806.3697572686</v>
      </c>
      <c r="L39" s="890">
        <f t="shared" si="11"/>
        <v>3930806.3697572686</v>
      </c>
      <c r="M39" s="897">
        <f t="shared" si="11"/>
        <v>79019.64</v>
      </c>
      <c r="N39" s="897">
        <f t="shared" si="11"/>
        <v>7137736.2852128483</v>
      </c>
      <c r="O39" s="897">
        <f t="shared" ref="O39:P39" si="12">SUM(O32:O38)</f>
        <v>4122042.0806054422</v>
      </c>
      <c r="P39" s="897">
        <f t="shared" si="12"/>
        <v>3154281.4638352222</v>
      </c>
      <c r="Q39" s="1372">
        <f t="shared" si="10"/>
        <v>14414059.829653513</v>
      </c>
    </row>
    <row r="41" spans="2:17" ht="13.8" thickBot="1" x14ac:dyDescent="0.3">
      <c r="C41" s="4"/>
      <c r="D41" s="4"/>
      <c r="E41" s="4"/>
      <c r="F41" s="4"/>
      <c r="G41" s="4"/>
    </row>
    <row r="42" spans="2:17" x14ac:dyDescent="0.25">
      <c r="B42" s="1467" t="s">
        <v>276</v>
      </c>
      <c r="C42" s="1469" t="s">
        <v>386</v>
      </c>
      <c r="D42" s="1462"/>
      <c r="E42" s="1462"/>
      <c r="F42" s="1462"/>
      <c r="G42" s="1463"/>
    </row>
    <row r="43" spans="2:17" ht="27" thickBot="1" x14ac:dyDescent="0.3">
      <c r="B43" s="1468"/>
      <c r="C43" s="903" t="s">
        <v>277</v>
      </c>
      <c r="D43" s="904" t="s">
        <v>278</v>
      </c>
      <c r="E43" s="904" t="s">
        <v>279</v>
      </c>
      <c r="F43" s="905" t="s">
        <v>280</v>
      </c>
      <c r="G43" s="906" t="s">
        <v>281</v>
      </c>
    </row>
    <row r="44" spans="2:17" x14ac:dyDescent="0.25">
      <c r="B44" s="898" t="s">
        <v>282</v>
      </c>
      <c r="C44" s="912">
        <f>Generic!S87</f>
        <v>56475</v>
      </c>
      <c r="D44" s="929">
        <f>Generic!S88</f>
        <v>2220959.7475000001</v>
      </c>
      <c r="E44" s="932"/>
      <c r="F44" s="888">
        <f>Generic!U88</f>
        <v>4431263.9775172016</v>
      </c>
      <c r="G44" s="894">
        <f t="shared" ref="G44:G50" si="13">SUM(D44:F44)</f>
        <v>6652223.7250172012</v>
      </c>
    </row>
    <row r="45" spans="2:17" x14ac:dyDescent="0.25">
      <c r="B45" s="899" t="s">
        <v>283</v>
      </c>
      <c r="C45" s="129"/>
      <c r="D45" s="184"/>
      <c r="E45" s="25"/>
      <c r="F45" s="930">
        <f>Generic!U90</f>
        <v>32062415.233098317</v>
      </c>
      <c r="G45" s="634">
        <f t="shared" si="13"/>
        <v>32062415.233098317</v>
      </c>
    </row>
    <row r="46" spans="2:17" x14ac:dyDescent="0.25">
      <c r="B46" s="900" t="s">
        <v>284</v>
      </c>
      <c r="C46" s="934">
        <f>Generic!S91</f>
        <v>9755.6</v>
      </c>
      <c r="D46" s="1408">
        <f>Generic!S92</f>
        <v>692379.42374030768</v>
      </c>
      <c r="E46" s="1408">
        <f>Generic!T92</f>
        <v>4729031.5419567982</v>
      </c>
      <c r="F46" s="1029"/>
      <c r="G46" s="776">
        <f t="shared" si="13"/>
        <v>5421410.965697106</v>
      </c>
    </row>
    <row r="47" spans="2:17" x14ac:dyDescent="0.25">
      <c r="B47" s="899" t="s">
        <v>285</v>
      </c>
      <c r="C47" s="129"/>
      <c r="D47" s="667"/>
      <c r="E47" s="348"/>
      <c r="F47" s="1035"/>
      <c r="G47" s="1383">
        <f t="shared" si="13"/>
        <v>0</v>
      </c>
    </row>
    <row r="48" spans="2:17" x14ac:dyDescent="0.25">
      <c r="B48" s="900" t="s">
        <v>286</v>
      </c>
      <c r="C48" s="913">
        <f>Generic!S95</f>
        <v>174720</v>
      </c>
      <c r="D48" s="1408">
        <f>Generic!S96</f>
        <v>10645230.213710478</v>
      </c>
      <c r="E48" s="1408"/>
      <c r="F48" s="1029"/>
      <c r="G48" s="776">
        <f t="shared" si="13"/>
        <v>10645230.213710478</v>
      </c>
    </row>
    <row r="49" spans="2:7" x14ac:dyDescent="0.25">
      <c r="B49" s="899" t="s">
        <v>287</v>
      </c>
      <c r="C49" s="129"/>
      <c r="D49" s="667"/>
      <c r="E49" s="348"/>
      <c r="F49" s="1035">
        <f>Generic!U98</f>
        <v>703542.51881300937</v>
      </c>
      <c r="G49" s="1383">
        <f t="shared" si="13"/>
        <v>703542.51881300937</v>
      </c>
    </row>
    <row r="50" spans="2:7" ht="13.8" thickBot="1" x14ac:dyDescent="0.3">
      <c r="B50" s="901" t="s">
        <v>288</v>
      </c>
      <c r="C50" s="913"/>
      <c r="D50" s="1409"/>
      <c r="E50" s="1410"/>
      <c r="F50" s="1029"/>
      <c r="G50" s="776">
        <f t="shared" si="13"/>
        <v>0</v>
      </c>
    </row>
    <row r="51" spans="2:7" ht="13.8" thickBot="1" x14ac:dyDescent="0.3">
      <c r="B51" s="902" t="s">
        <v>289</v>
      </c>
      <c r="C51" s="935">
        <f>SUM(C44:C50)</f>
        <v>240950.6</v>
      </c>
      <c r="D51" s="1398">
        <f>SUM(D44:D50)</f>
        <v>13558569.384950785</v>
      </c>
      <c r="E51" s="1395">
        <f>SUM(E44:E50)</f>
        <v>4729031.5419567982</v>
      </c>
      <c r="F51" s="1395">
        <f>SUM(F44:F50)</f>
        <v>37197221.729428522</v>
      </c>
      <c r="G51" s="1395">
        <f>SUM(G44:G50)</f>
        <v>55484822.656336114</v>
      </c>
    </row>
    <row r="53" spans="2:7" ht="13.8" thickBot="1" x14ac:dyDescent="0.3">
      <c r="C53" s="5"/>
    </row>
    <row r="54" spans="2:7" x14ac:dyDescent="0.25">
      <c r="B54" s="1467" t="s">
        <v>276</v>
      </c>
      <c r="C54" s="1464" t="s">
        <v>387</v>
      </c>
      <c r="D54" s="1465"/>
      <c r="E54" s="1465"/>
      <c r="F54" s="1465"/>
      <c r="G54" s="1466"/>
    </row>
    <row r="55" spans="2:7" ht="27" thickBot="1" x14ac:dyDescent="0.3">
      <c r="B55" s="1468"/>
      <c r="C55" s="903" t="s">
        <v>277</v>
      </c>
      <c r="D55" s="904" t="s">
        <v>278</v>
      </c>
      <c r="E55" s="904" t="s">
        <v>279</v>
      </c>
      <c r="F55" s="905" t="s">
        <v>280</v>
      </c>
      <c r="G55" s="906" t="s">
        <v>281</v>
      </c>
    </row>
    <row r="56" spans="2:7" x14ac:dyDescent="0.25">
      <c r="B56" s="898" t="s">
        <v>282</v>
      </c>
      <c r="C56" s="997">
        <f>C8+H8+M8+C32+H32+C20+H20+M20+M32+C44</f>
        <v>60635.514285714286</v>
      </c>
      <c r="D56" s="1227">
        <f t="shared" ref="D56:F62" si="14">D8+I8+N8+D32+I32+D20+I20+N20+N32+D44</f>
        <v>2539751.6848381166</v>
      </c>
      <c r="E56" s="1227">
        <f t="shared" si="14"/>
        <v>0</v>
      </c>
      <c r="F56" s="1225">
        <f t="shared" si="14"/>
        <v>4431263.9775172016</v>
      </c>
      <c r="G56" s="1222">
        <f>SUM(D56:F56)</f>
        <v>6971015.6623553187</v>
      </c>
    </row>
    <row r="57" spans="2:7" x14ac:dyDescent="0.25">
      <c r="B57" s="899" t="s">
        <v>283</v>
      </c>
      <c r="C57" s="175">
        <f t="shared" ref="C57:C62" si="15">C9+H9+M9+C33+H33+C21+H21+M21+M33+C45</f>
        <v>16280.899047619048</v>
      </c>
      <c r="D57" s="909">
        <f t="shared" si="14"/>
        <v>1558206.1959205312</v>
      </c>
      <c r="E57" s="909">
        <f t="shared" si="14"/>
        <v>0</v>
      </c>
      <c r="F57" s="919">
        <f t="shared" si="14"/>
        <v>49871551.390323251</v>
      </c>
      <c r="G57" s="910">
        <f t="shared" ref="G57:G62" si="16">SUM(D57:F57)</f>
        <v>51429757.586243786</v>
      </c>
    </row>
    <row r="58" spans="2:7" x14ac:dyDescent="0.25">
      <c r="B58" s="900" t="s">
        <v>284</v>
      </c>
      <c r="C58" s="1223">
        <f t="shared" si="15"/>
        <v>329885.59999999998</v>
      </c>
      <c r="D58" s="1228">
        <f t="shared" si="14"/>
        <v>40343685.353633359</v>
      </c>
      <c r="E58" s="1228">
        <f t="shared" si="14"/>
        <v>10573657.834782701</v>
      </c>
      <c r="F58" s="1226">
        <f t="shared" si="14"/>
        <v>9623252.7926758509</v>
      </c>
      <c r="G58" s="1224">
        <f t="shared" si="16"/>
        <v>60540595.981091917</v>
      </c>
    </row>
    <row r="59" spans="2:7" x14ac:dyDescent="0.25">
      <c r="B59" s="899" t="s">
        <v>285</v>
      </c>
      <c r="C59" s="175">
        <f t="shared" si="15"/>
        <v>256844.33333333334</v>
      </c>
      <c r="D59" s="909">
        <f t="shared" si="14"/>
        <v>16575498.067143161</v>
      </c>
      <c r="E59" s="909">
        <f t="shared" si="14"/>
        <v>5532089.9048623443</v>
      </c>
      <c r="F59" s="919">
        <f t="shared" si="14"/>
        <v>0</v>
      </c>
      <c r="G59" s="910">
        <f t="shared" si="16"/>
        <v>22107587.972005505</v>
      </c>
    </row>
    <row r="60" spans="2:7" x14ac:dyDescent="0.25">
      <c r="B60" s="900" t="s">
        <v>286</v>
      </c>
      <c r="C60" s="1223">
        <f t="shared" si="15"/>
        <v>577142.94100294984</v>
      </c>
      <c r="D60" s="1228">
        <f t="shared" si="14"/>
        <v>36857901.851399973</v>
      </c>
      <c r="E60" s="1228">
        <f t="shared" si="14"/>
        <v>0</v>
      </c>
      <c r="F60" s="1226">
        <f t="shared" si="14"/>
        <v>0</v>
      </c>
      <c r="G60" s="1224">
        <f t="shared" si="16"/>
        <v>36857901.851399973</v>
      </c>
    </row>
    <row r="61" spans="2:7" x14ac:dyDescent="0.25">
      <c r="B61" s="899" t="s">
        <v>287</v>
      </c>
      <c r="C61" s="175">
        <f t="shared" si="15"/>
        <v>312435.36666666664</v>
      </c>
      <c r="D61" s="909">
        <f t="shared" si="14"/>
        <v>20654479.907460723</v>
      </c>
      <c r="E61" s="909">
        <f t="shared" si="14"/>
        <v>515629.73667909391</v>
      </c>
      <c r="F61" s="919">
        <f t="shared" si="14"/>
        <v>715910.96638454264</v>
      </c>
      <c r="G61" s="909">
        <f t="shared" si="16"/>
        <v>21886020.61052436</v>
      </c>
    </row>
    <row r="62" spans="2:7" ht="13.8" thickBot="1" x14ac:dyDescent="0.3">
      <c r="B62" s="901" t="s">
        <v>288</v>
      </c>
      <c r="C62" s="928">
        <f t="shared" si="15"/>
        <v>218437</v>
      </c>
      <c r="D62" s="908">
        <f t="shared" si="14"/>
        <v>15559984.187427722</v>
      </c>
      <c r="E62" s="908">
        <f t="shared" si="14"/>
        <v>0</v>
      </c>
      <c r="F62" s="915">
        <f t="shared" si="14"/>
        <v>0</v>
      </c>
      <c r="G62" s="1221">
        <f t="shared" si="16"/>
        <v>15559984.187427722</v>
      </c>
    </row>
    <row r="63" spans="2:7" ht="13.8" thickBot="1" x14ac:dyDescent="0.3">
      <c r="B63" s="902" t="s">
        <v>289</v>
      </c>
      <c r="C63" s="918">
        <f>SUM(C56:C62)</f>
        <v>1771661.6543362832</v>
      </c>
      <c r="D63" s="907">
        <f>SUM(D56:D62)</f>
        <v>134089507.2478236</v>
      </c>
      <c r="E63" s="907">
        <f>SUM(E56:E62)</f>
        <v>16621377.476324139</v>
      </c>
      <c r="F63" s="916">
        <f>SUM(F56:F62)</f>
        <v>64641979.126900852</v>
      </c>
      <c r="G63" s="998">
        <f>SUM(G56:G62)</f>
        <v>215352863.85104862</v>
      </c>
    </row>
    <row r="64" spans="2:7" x14ac:dyDescent="0.25">
      <c r="C64" s="549"/>
    </row>
  </sheetData>
  <mergeCells count="16">
    <mergeCell ref="B42:B43"/>
    <mergeCell ref="C42:G42"/>
    <mergeCell ref="B54:B55"/>
    <mergeCell ref="C54:G54"/>
    <mergeCell ref="C6:G6"/>
    <mergeCell ref="B6:B7"/>
    <mergeCell ref="B30:B31"/>
    <mergeCell ref="C30:G30"/>
    <mergeCell ref="H30:L30"/>
    <mergeCell ref="M30:Q30"/>
    <mergeCell ref="H6:L6"/>
    <mergeCell ref="M6:Q6"/>
    <mergeCell ref="B18:B19"/>
    <mergeCell ref="C18:G18"/>
    <mergeCell ref="H18:L18"/>
    <mergeCell ref="M18:Q18"/>
  </mergeCells>
  <phoneticPr fontId="2" type="noConversion"/>
  <pageMargins left="0.75" right="0.6" top="1" bottom="1" header="0.5" footer="0.5"/>
  <pageSetup scale="50" fitToHeight="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J12"/>
  <sheetViews>
    <sheetView topLeftCell="A3" workbookViewId="0">
      <selection activeCell="C9" sqref="C9"/>
    </sheetView>
  </sheetViews>
  <sheetFormatPr defaultRowHeight="13.2" x14ac:dyDescent="0.25"/>
  <cols>
    <col min="1" max="1" width="1.6640625" customWidth="1"/>
    <col min="2" max="2" width="26.44140625" customWidth="1"/>
    <col min="3" max="3" width="11.44140625" bestFit="1" customWidth="1"/>
    <col min="4" max="4" width="16.6640625" customWidth="1"/>
    <col min="5" max="5" width="19.88671875" customWidth="1"/>
    <col min="6" max="6" width="14" customWidth="1"/>
    <col min="7" max="7" width="15.44140625" bestFit="1" customWidth="1"/>
  </cols>
  <sheetData>
    <row r="1" spans="2:10" ht="21" x14ac:dyDescent="0.4">
      <c r="B1" s="999" t="s">
        <v>376</v>
      </c>
    </row>
    <row r="3" spans="2:10" ht="13.8" thickBot="1" x14ac:dyDescent="0.3"/>
    <row r="4" spans="2:10" ht="31.2" x14ac:dyDescent="0.3">
      <c r="B4" s="1002" t="s">
        <v>276</v>
      </c>
      <c r="C4" s="1003" t="s">
        <v>277</v>
      </c>
      <c r="D4" s="1003" t="s">
        <v>278</v>
      </c>
      <c r="E4" s="1003" t="s">
        <v>279</v>
      </c>
      <c r="F4" s="1003" t="s">
        <v>280</v>
      </c>
      <c r="G4" s="1004" t="s">
        <v>281</v>
      </c>
    </row>
    <row r="5" spans="2:10" ht="15" x14ac:dyDescent="0.25">
      <c r="B5" s="1005" t="s">
        <v>282</v>
      </c>
      <c r="C5" s="1000">
        <f>Summary!C56</f>
        <v>60635.514285714286</v>
      </c>
      <c r="D5" s="1001">
        <f>Summary!D56</f>
        <v>2539751.6848381166</v>
      </c>
      <c r="E5" s="1001">
        <f>Summary!E56</f>
        <v>0</v>
      </c>
      <c r="F5" s="1001">
        <f>Summary!F56</f>
        <v>4431263.9775172016</v>
      </c>
      <c r="G5" s="1006">
        <f>SUM(D5:F5)</f>
        <v>6971015.6623553187</v>
      </c>
      <c r="I5" s="653">
        <f>+D5/168</f>
        <v>15117.569552607838</v>
      </c>
    </row>
    <row r="6" spans="2:10" ht="15" x14ac:dyDescent="0.25">
      <c r="B6" s="1005" t="s">
        <v>283</v>
      </c>
      <c r="C6" s="1000">
        <f>Summary!C57</f>
        <v>16280.899047619048</v>
      </c>
      <c r="D6" s="1001">
        <f>Summary!D57</f>
        <v>1558206.1959205312</v>
      </c>
      <c r="E6" s="1001">
        <f>Summary!E57</f>
        <v>0</v>
      </c>
      <c r="F6" s="1001">
        <f>Summary!F57</f>
        <v>49871551.390323251</v>
      </c>
      <c r="G6" s="1006">
        <f t="shared" ref="G6:G12" si="0">SUM(D6:F6)</f>
        <v>51429757.586243786</v>
      </c>
      <c r="I6" s="653">
        <f t="shared" ref="I6:I12" si="1">+D6/168</f>
        <v>9275.0368804793525</v>
      </c>
    </row>
    <row r="7" spans="2:10" ht="15" x14ac:dyDescent="0.25">
      <c r="B7" s="1005" t="s">
        <v>284</v>
      </c>
      <c r="C7" s="1000">
        <f>Summary!C58</f>
        <v>329885.59999999998</v>
      </c>
      <c r="D7" s="1001">
        <f>Summary!D58</f>
        <v>40343685.353633359</v>
      </c>
      <c r="E7" s="1001">
        <f>Summary!E58</f>
        <v>10573657.834782701</v>
      </c>
      <c r="F7" s="1001">
        <f>Summary!F58</f>
        <v>9623252.7926758509</v>
      </c>
      <c r="G7" s="1006">
        <f t="shared" si="0"/>
        <v>60540595.981091917</v>
      </c>
      <c r="I7" s="653">
        <f t="shared" si="1"/>
        <v>240140.9842478176</v>
      </c>
    </row>
    <row r="8" spans="2:10" ht="15" x14ac:dyDescent="0.25">
      <c r="B8" s="1005" t="s">
        <v>285</v>
      </c>
      <c r="C8" s="1000">
        <f>Summary!C59</f>
        <v>256844.33333333334</v>
      </c>
      <c r="D8" s="1001">
        <f>Summary!D59</f>
        <v>16575498.067143161</v>
      </c>
      <c r="E8" s="1001">
        <f>Summary!E59</f>
        <v>5532089.9048623443</v>
      </c>
      <c r="F8" s="1001">
        <f>Summary!F59</f>
        <v>0</v>
      </c>
      <c r="G8" s="1006">
        <f t="shared" si="0"/>
        <v>22107587.972005505</v>
      </c>
      <c r="I8" s="653">
        <f t="shared" si="1"/>
        <v>98663.678971090238</v>
      </c>
    </row>
    <row r="9" spans="2:10" ht="15" x14ac:dyDescent="0.25">
      <c r="B9" s="1005" t="s">
        <v>286</v>
      </c>
      <c r="C9" s="1000">
        <f>Summary!C60</f>
        <v>577142.94100294984</v>
      </c>
      <c r="D9" s="1001">
        <f>Summary!D60</f>
        <v>36857901.851399973</v>
      </c>
      <c r="E9" s="1001">
        <f>Summary!E60</f>
        <v>0</v>
      </c>
      <c r="F9" s="1001">
        <f>Summary!F60</f>
        <v>0</v>
      </c>
      <c r="G9" s="1006">
        <f t="shared" si="0"/>
        <v>36857901.851399973</v>
      </c>
      <c r="I9" s="653">
        <f t="shared" si="1"/>
        <v>219392.27292499985</v>
      </c>
    </row>
    <row r="10" spans="2:10" ht="15" x14ac:dyDescent="0.25">
      <c r="B10" s="1005" t="s">
        <v>287</v>
      </c>
      <c r="C10" s="1000">
        <f>Summary!C61</f>
        <v>312435.36666666664</v>
      </c>
      <c r="D10" s="1001">
        <f>Summary!D61</f>
        <v>20654479.907460723</v>
      </c>
      <c r="E10" s="1001">
        <f>Summary!E61</f>
        <v>515629.73667909391</v>
      </c>
      <c r="F10" s="1001">
        <f>Summary!F61</f>
        <v>715910.96638454264</v>
      </c>
      <c r="G10" s="1006">
        <f t="shared" si="0"/>
        <v>21886020.61052436</v>
      </c>
      <c r="I10" s="653">
        <f t="shared" si="1"/>
        <v>122943.33278250431</v>
      </c>
    </row>
    <row r="11" spans="2:10" ht="15.6" thickBot="1" x14ac:dyDescent="0.3">
      <c r="B11" s="1007" t="s">
        <v>288</v>
      </c>
      <c r="C11" s="1008">
        <f>Summary!C62</f>
        <v>218437</v>
      </c>
      <c r="D11" s="1009">
        <f>Summary!D62</f>
        <v>15559984.187427722</v>
      </c>
      <c r="E11" s="1009">
        <f>Summary!E62</f>
        <v>0</v>
      </c>
      <c r="F11" s="1009">
        <f>Summary!F62</f>
        <v>0</v>
      </c>
      <c r="G11" s="1010">
        <f t="shared" si="0"/>
        <v>15559984.187427722</v>
      </c>
      <c r="I11" s="653">
        <f t="shared" si="1"/>
        <v>92618.953496593589</v>
      </c>
    </row>
    <row r="12" spans="2:10" ht="15.6" thickBot="1" x14ac:dyDescent="0.3">
      <c r="B12" s="1011" t="s">
        <v>289</v>
      </c>
      <c r="C12" s="1012">
        <f>SUM(C5:C11)</f>
        <v>1771661.6543362832</v>
      </c>
      <c r="D12" s="1013">
        <f>SUM(D5:D11)</f>
        <v>134089507.2478236</v>
      </c>
      <c r="E12" s="1013">
        <f>SUM(E5:E11)</f>
        <v>16621377.476324139</v>
      </c>
      <c r="F12" s="1013">
        <f>SUM(F5:F11)</f>
        <v>64641979.126900852</v>
      </c>
      <c r="G12" s="1014">
        <f t="shared" si="0"/>
        <v>215352863.85104859</v>
      </c>
      <c r="I12" s="653">
        <f t="shared" si="1"/>
        <v>798151.82885609288</v>
      </c>
      <c r="J12">
        <f>+C12/168</f>
        <v>10545.605085335019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21"/>
  <sheetViews>
    <sheetView zoomScaleNormal="100" workbookViewId="0">
      <selection activeCell="C19" sqref="C19"/>
    </sheetView>
  </sheetViews>
  <sheetFormatPr defaultRowHeight="13.2" x14ac:dyDescent="0.25"/>
  <cols>
    <col min="1" max="1" width="1.6640625" customWidth="1"/>
    <col min="2" max="2" width="13.88671875" customWidth="1"/>
    <col min="3" max="3" width="14.33203125" customWidth="1"/>
    <col min="4" max="4" width="9.33203125" bestFit="1" customWidth="1"/>
    <col min="5" max="5" width="12.6640625" bestFit="1" customWidth="1"/>
    <col min="6" max="6" width="9.33203125" bestFit="1" customWidth="1"/>
    <col min="7" max="7" width="12.33203125" customWidth="1"/>
    <col min="8" max="10" width="9.33203125" bestFit="1" customWidth="1"/>
    <col min="11" max="11" width="24" bestFit="1" customWidth="1"/>
    <col min="12" max="12" width="13.5546875" bestFit="1" customWidth="1"/>
    <col min="13" max="13" width="9.33203125" bestFit="1" customWidth="1"/>
    <col min="14" max="14" width="24" bestFit="1" customWidth="1"/>
    <col min="15" max="15" width="9.44140625" bestFit="1" customWidth="1"/>
    <col min="16" max="16" width="9.33203125" bestFit="1" customWidth="1"/>
    <col min="17" max="17" width="18.6640625" bestFit="1" customWidth="1"/>
    <col min="18" max="19" width="9.33203125" bestFit="1" customWidth="1"/>
    <col min="20" max="20" width="16" bestFit="1" customWidth="1"/>
    <col min="22" max="22" width="9" customWidth="1"/>
    <col min="23" max="23" width="19.6640625" hidden="1" customWidth="1"/>
    <col min="24" max="24" width="9.109375" hidden="1" customWidth="1"/>
    <col min="26" max="26" width="30.88671875" bestFit="1" customWidth="1"/>
    <col min="27" max="27" width="10.109375" bestFit="1" customWidth="1"/>
    <col min="29" max="29" width="32.109375" bestFit="1" customWidth="1"/>
    <col min="32" max="32" width="22.33203125" bestFit="1" customWidth="1"/>
    <col min="35" max="35" width="10.33203125" bestFit="1" customWidth="1"/>
    <col min="38" max="38" width="10.5546875" bestFit="1" customWidth="1"/>
    <col min="44" max="44" width="22.44140625" bestFit="1" customWidth="1"/>
  </cols>
  <sheetData>
    <row r="1" spans="2:52" ht="15.6" x14ac:dyDescent="0.3">
      <c r="B1" s="3" t="s">
        <v>336</v>
      </c>
    </row>
    <row r="2" spans="2:52" ht="15.6" x14ac:dyDescent="0.3">
      <c r="B2" s="3" t="s">
        <v>79</v>
      </c>
      <c r="E2" s="72"/>
      <c r="F2" s="72"/>
      <c r="G2" s="72"/>
      <c r="H2" s="72"/>
      <c r="I2" s="72"/>
      <c r="J2" s="72"/>
      <c r="K2" s="5"/>
    </row>
    <row r="3" spans="2:52" ht="15.6" x14ac:dyDescent="0.3">
      <c r="B3" s="399" t="s">
        <v>76</v>
      </c>
      <c r="C3" s="72"/>
      <c r="D3" s="197"/>
      <c r="E3" s="1411" t="s">
        <v>95</v>
      </c>
      <c r="F3" s="1412"/>
      <c r="G3" s="1413" t="s">
        <v>94</v>
      </c>
      <c r="H3" s="1411"/>
      <c r="I3" s="1411"/>
      <c r="J3" s="1412"/>
      <c r="K3" s="1414" t="s">
        <v>153</v>
      </c>
      <c r="L3" s="1414"/>
      <c r="M3" s="1414"/>
      <c r="N3" s="1414"/>
      <c r="O3" s="1414"/>
      <c r="P3" s="1414"/>
    </row>
    <row r="4" spans="2:52" ht="26.4" x14ac:dyDescent="0.25">
      <c r="B4" s="26" t="s">
        <v>90</v>
      </c>
      <c r="C4" s="159" t="s">
        <v>91</v>
      </c>
      <c r="D4" s="183" t="s">
        <v>62</v>
      </c>
      <c r="E4" s="159" t="s">
        <v>18</v>
      </c>
      <c r="F4" s="183" t="s">
        <v>62</v>
      </c>
      <c r="G4" s="645" t="s">
        <v>120</v>
      </c>
      <c r="H4" s="646" t="s">
        <v>62</v>
      </c>
      <c r="I4" s="646" t="s">
        <v>154</v>
      </c>
      <c r="J4" s="397" t="s">
        <v>62</v>
      </c>
      <c r="K4" s="24" t="s">
        <v>170</v>
      </c>
      <c r="L4" s="632" t="s">
        <v>107</v>
      </c>
      <c r="M4" s="496" t="s">
        <v>62</v>
      </c>
      <c r="N4" s="23" t="s">
        <v>173</v>
      </c>
      <c r="O4" s="632" t="s">
        <v>107</v>
      </c>
      <c r="P4" s="496" t="s">
        <v>62</v>
      </c>
      <c r="Q4" s="23" t="s">
        <v>181</v>
      </c>
      <c r="R4" s="632" t="s">
        <v>107</v>
      </c>
      <c r="S4" s="496" t="s">
        <v>62</v>
      </c>
      <c r="T4" s="23" t="s">
        <v>182</v>
      </c>
      <c r="U4" s="632" t="s">
        <v>107</v>
      </c>
      <c r="V4" s="496" t="s">
        <v>62</v>
      </c>
      <c r="W4" s="23" t="s">
        <v>183</v>
      </c>
      <c r="X4" s="632" t="s">
        <v>107</v>
      </c>
      <c r="Y4" s="496" t="s">
        <v>62</v>
      </c>
      <c r="Z4" s="23" t="s">
        <v>183</v>
      </c>
      <c r="AA4" s="632" t="s">
        <v>107</v>
      </c>
      <c r="AB4" s="496" t="s">
        <v>62</v>
      </c>
      <c r="AC4" s="23" t="s">
        <v>230</v>
      </c>
      <c r="AD4" s="632" t="s">
        <v>107</v>
      </c>
      <c r="AE4" s="496" t="s">
        <v>62</v>
      </c>
      <c r="AF4" s="23" t="s">
        <v>255</v>
      </c>
      <c r="AG4" s="632" t="s">
        <v>107</v>
      </c>
      <c r="AH4" s="496" t="s">
        <v>62</v>
      </c>
      <c r="AI4" s="23" t="s">
        <v>259</v>
      </c>
      <c r="AJ4" s="632" t="s">
        <v>107</v>
      </c>
      <c r="AK4" s="496" t="s">
        <v>62</v>
      </c>
      <c r="AL4" s="23" t="s">
        <v>260</v>
      </c>
      <c r="AM4" s="632" t="s">
        <v>107</v>
      </c>
      <c r="AN4" s="496" t="s">
        <v>62</v>
      </c>
      <c r="AO4" s="23" t="s">
        <v>261</v>
      </c>
      <c r="AP4" s="632" t="s">
        <v>107</v>
      </c>
      <c r="AQ4" s="496" t="s">
        <v>62</v>
      </c>
      <c r="AR4" s="23" t="s">
        <v>267</v>
      </c>
      <c r="AS4" s="632" t="s">
        <v>107</v>
      </c>
      <c r="AT4" s="496" t="s">
        <v>62</v>
      </c>
      <c r="AU4" s="23" t="s">
        <v>268</v>
      </c>
      <c r="AV4" s="632" t="s">
        <v>107</v>
      </c>
      <c r="AW4" s="496" t="s">
        <v>62</v>
      </c>
      <c r="AX4" s="23" t="s">
        <v>269</v>
      </c>
      <c r="AY4" s="632" t="s">
        <v>107</v>
      </c>
      <c r="AZ4" s="496" t="s">
        <v>62</v>
      </c>
    </row>
    <row r="5" spans="2:52" s="166" customFormat="1" x14ac:dyDescent="0.25">
      <c r="B5" s="394" t="s">
        <v>93</v>
      </c>
      <c r="C5" s="168">
        <v>10000</v>
      </c>
      <c r="D5" s="167">
        <v>2019</v>
      </c>
      <c r="E5" s="395">
        <v>800</v>
      </c>
      <c r="F5" s="167">
        <v>2019</v>
      </c>
      <c r="G5" s="395">
        <v>1000</v>
      </c>
      <c r="H5" s="167">
        <v>2019</v>
      </c>
      <c r="I5" s="13"/>
      <c r="J5" s="13"/>
      <c r="K5" s="13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394"/>
      <c r="AV5" s="394"/>
      <c r="AW5" s="394"/>
      <c r="AX5" s="394"/>
      <c r="AY5" s="394"/>
      <c r="AZ5" s="394"/>
    </row>
    <row r="6" spans="2:52" s="166" customFormat="1" x14ac:dyDescent="0.25">
      <c r="B6" s="394" t="s">
        <v>247</v>
      </c>
      <c r="C6" s="813"/>
      <c r="D6" s="814"/>
      <c r="E6" s="656"/>
      <c r="F6" s="814"/>
      <c r="G6" s="656"/>
      <c r="H6" s="814"/>
      <c r="I6" s="13"/>
      <c r="J6" s="13"/>
      <c r="K6" s="13" t="s">
        <v>248</v>
      </c>
      <c r="L6" s="30">
        <v>14000</v>
      </c>
      <c r="M6" s="167">
        <v>2019</v>
      </c>
      <c r="N6" s="394" t="s">
        <v>249</v>
      </c>
      <c r="O6" s="957">
        <v>5980</v>
      </c>
      <c r="P6" s="958">
        <v>2019</v>
      </c>
      <c r="Q6" s="959" t="s">
        <v>250</v>
      </c>
      <c r="R6" s="957">
        <v>1500</v>
      </c>
      <c r="S6" s="958">
        <v>2019</v>
      </c>
      <c r="T6" s="959" t="s">
        <v>251</v>
      </c>
      <c r="U6" s="957">
        <v>30000</v>
      </c>
      <c r="V6" s="958">
        <v>2019</v>
      </c>
      <c r="W6" s="959" t="s">
        <v>252</v>
      </c>
      <c r="X6" s="957">
        <v>13000</v>
      </c>
      <c r="Y6" s="958">
        <v>2019</v>
      </c>
      <c r="Z6" s="959" t="s">
        <v>253</v>
      </c>
      <c r="AA6" s="957">
        <v>1500</v>
      </c>
      <c r="AB6" s="958">
        <v>2019</v>
      </c>
      <c r="AC6" s="726" t="s">
        <v>254</v>
      </c>
      <c r="AD6" s="957">
        <v>5000</v>
      </c>
      <c r="AE6" s="958">
        <v>2019</v>
      </c>
      <c r="AF6" s="678" t="s">
        <v>257</v>
      </c>
      <c r="AG6" s="727">
        <v>4500</v>
      </c>
      <c r="AH6" s="817">
        <v>2019</v>
      </c>
      <c r="AI6" s="678" t="s">
        <v>258</v>
      </c>
      <c r="AJ6" s="727">
        <v>800</v>
      </c>
      <c r="AK6" s="817">
        <v>2019</v>
      </c>
      <c r="AL6" s="678" t="s">
        <v>262</v>
      </c>
      <c r="AM6" s="727">
        <v>4000</v>
      </c>
      <c r="AN6" s="817">
        <v>2019</v>
      </c>
      <c r="AO6" s="678" t="s">
        <v>263</v>
      </c>
      <c r="AP6" s="727">
        <f>824584/2905</f>
        <v>283.84991394148022</v>
      </c>
      <c r="AQ6" s="817">
        <v>2019</v>
      </c>
      <c r="AR6" s="726" t="s">
        <v>270</v>
      </c>
      <c r="AS6" s="957">
        <v>2500</v>
      </c>
      <c r="AT6" s="958">
        <v>2019</v>
      </c>
      <c r="AU6" s="726" t="s">
        <v>273</v>
      </c>
      <c r="AV6" s="957">
        <v>1500</v>
      </c>
      <c r="AW6" s="958">
        <v>2019</v>
      </c>
      <c r="AX6" s="726" t="s">
        <v>274</v>
      </c>
      <c r="AY6" s="957">
        <v>75000</v>
      </c>
      <c r="AZ6" s="958">
        <v>2019</v>
      </c>
    </row>
    <row r="7" spans="2:52" s="166" customFormat="1" x14ac:dyDescent="0.25">
      <c r="B7" s="394" t="s">
        <v>291</v>
      </c>
      <c r="C7" s="813"/>
      <c r="D7" s="814"/>
      <c r="E7" s="656"/>
      <c r="F7" s="814"/>
      <c r="G7" s="656"/>
      <c r="H7" s="814"/>
      <c r="I7" s="13"/>
      <c r="J7" s="13"/>
      <c r="K7" s="13" t="s">
        <v>292</v>
      </c>
      <c r="L7" s="30">
        <v>129385</v>
      </c>
      <c r="M7" s="167">
        <v>2019</v>
      </c>
      <c r="N7" s="39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2:52" x14ac:dyDescent="0.25">
      <c r="B8" s="394" t="s">
        <v>1</v>
      </c>
      <c r="C8" s="30">
        <v>11700</v>
      </c>
      <c r="D8" s="167">
        <v>2019</v>
      </c>
      <c r="E8" s="30">
        <v>800</v>
      </c>
      <c r="F8" s="167">
        <v>2019</v>
      </c>
      <c r="G8" s="395">
        <v>1000</v>
      </c>
      <c r="H8" s="167">
        <v>2019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2:52" x14ac:dyDescent="0.25">
      <c r="B9" s="13" t="s">
        <v>80</v>
      </c>
      <c r="C9" s="30">
        <v>11000</v>
      </c>
      <c r="D9" s="167">
        <v>2019</v>
      </c>
      <c r="E9" s="30">
        <v>800</v>
      </c>
      <c r="F9" s="167">
        <v>2019</v>
      </c>
      <c r="G9" s="395">
        <v>1000</v>
      </c>
      <c r="H9" s="167">
        <v>2019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2:52" x14ac:dyDescent="0.25">
      <c r="B10" s="13" t="s">
        <v>369</v>
      </c>
      <c r="C10" s="30">
        <v>100000</v>
      </c>
      <c r="D10" s="167">
        <v>2019</v>
      </c>
      <c r="E10" s="30">
        <v>16000</v>
      </c>
      <c r="F10" s="167">
        <v>2019</v>
      </c>
      <c r="G10" s="395">
        <v>3000</v>
      </c>
      <c r="H10" s="167">
        <v>2019</v>
      </c>
      <c r="I10" s="13"/>
      <c r="J10" s="13"/>
      <c r="K10" s="13" t="s">
        <v>370</v>
      </c>
      <c r="L10" s="13">
        <v>5667</v>
      </c>
      <c r="M10" s="167">
        <v>2019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2:52" x14ac:dyDescent="0.25">
      <c r="B11" s="13" t="s">
        <v>368</v>
      </c>
      <c r="C11" s="30">
        <v>11426</v>
      </c>
      <c r="D11" s="167">
        <v>2019</v>
      </c>
      <c r="E11" s="30">
        <v>800</v>
      </c>
      <c r="F11" s="167">
        <v>2019</v>
      </c>
      <c r="G11" s="395">
        <v>1000</v>
      </c>
      <c r="H11" s="167">
        <v>2019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2:52" x14ac:dyDescent="0.25">
      <c r="B12" s="13" t="s">
        <v>157</v>
      </c>
      <c r="C12" s="30">
        <v>20500</v>
      </c>
      <c r="D12" s="167">
        <v>2019</v>
      </c>
      <c r="E12" s="30">
        <v>800</v>
      </c>
      <c r="F12" s="167">
        <v>2019</v>
      </c>
      <c r="G12" s="395">
        <v>1000</v>
      </c>
      <c r="H12" s="167">
        <v>2019</v>
      </c>
      <c r="I12" s="648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2:52" x14ac:dyDescent="0.25">
      <c r="B13" s="13" t="s">
        <v>163</v>
      </c>
      <c r="C13" s="30">
        <v>17285</v>
      </c>
      <c r="D13" s="167">
        <v>2019</v>
      </c>
      <c r="E13" s="30">
        <v>750</v>
      </c>
      <c r="F13" s="167">
        <v>2019</v>
      </c>
      <c r="G13" s="395">
        <v>2000</v>
      </c>
      <c r="H13" s="167">
        <v>2019</v>
      </c>
      <c r="I13" s="648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2:52" x14ac:dyDescent="0.25">
      <c r="B14" s="13" t="s">
        <v>179</v>
      </c>
      <c r="C14" s="30"/>
      <c r="D14" s="167">
        <v>2019</v>
      </c>
      <c r="E14" s="30">
        <v>1000</v>
      </c>
      <c r="F14" s="167">
        <v>2019</v>
      </c>
      <c r="G14" s="395">
        <v>2000</v>
      </c>
      <c r="H14" s="167">
        <v>2019</v>
      </c>
      <c r="I14" s="648"/>
      <c r="J14" s="13"/>
      <c r="K14" s="719" t="s">
        <v>388</v>
      </c>
      <c r="L14" s="30">
        <v>26500</v>
      </c>
      <c r="M14" s="167">
        <v>2019</v>
      </c>
      <c r="N14" s="678" t="s">
        <v>184</v>
      </c>
      <c r="O14" s="30">
        <v>125000</v>
      </c>
      <c r="P14" s="167">
        <v>2019</v>
      </c>
      <c r="Q14" s="723" t="s">
        <v>185</v>
      </c>
      <c r="R14" s="724">
        <v>45000</v>
      </c>
      <c r="S14" s="167">
        <v>2019</v>
      </c>
      <c r="T14" s="723" t="s">
        <v>186</v>
      </c>
      <c r="U14" s="724">
        <v>65000</v>
      </c>
      <c r="V14" s="167">
        <v>2019</v>
      </c>
      <c r="W14" s="678" t="s">
        <v>187</v>
      </c>
      <c r="X14" s="727">
        <v>125000</v>
      </c>
      <c r="Y14" s="167">
        <v>2019</v>
      </c>
      <c r="Z14" s="678" t="s">
        <v>188</v>
      </c>
      <c r="AA14" s="727">
        <v>8000</v>
      </c>
      <c r="AB14" s="167">
        <v>2019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2:52" x14ac:dyDescent="0.25">
      <c r="B15" s="13" t="s">
        <v>209</v>
      </c>
      <c r="C15" s="30">
        <v>16000</v>
      </c>
      <c r="D15" s="167">
        <v>2019</v>
      </c>
      <c r="E15" s="30">
        <v>250</v>
      </c>
      <c r="F15" s="167">
        <v>2019</v>
      </c>
      <c r="G15" s="395">
        <v>3400</v>
      </c>
      <c r="H15" s="167">
        <v>2019</v>
      </c>
      <c r="I15" s="648"/>
      <c r="J15" s="13"/>
      <c r="K15" s="678" t="s">
        <v>196</v>
      </c>
      <c r="L15" s="30">
        <v>2900</v>
      </c>
      <c r="M15" s="167">
        <v>2019</v>
      </c>
      <c r="N15" s="719" t="s">
        <v>197</v>
      </c>
      <c r="O15" s="30">
        <v>59000</v>
      </c>
      <c r="P15" s="167">
        <v>2019</v>
      </c>
      <c r="Q15" s="726" t="s">
        <v>198</v>
      </c>
      <c r="R15" s="718">
        <v>1000</v>
      </c>
      <c r="S15" s="167">
        <v>2019</v>
      </c>
      <c r="T15" s="726" t="s">
        <v>199</v>
      </c>
      <c r="U15" s="30">
        <v>1200</v>
      </c>
      <c r="V15" s="167">
        <v>2019</v>
      </c>
      <c r="W15" s="719" t="s">
        <v>201</v>
      </c>
      <c r="X15" s="30">
        <v>4433</v>
      </c>
      <c r="Y15" s="167">
        <v>2019</v>
      </c>
      <c r="Z15" s="719" t="s">
        <v>207</v>
      </c>
      <c r="AA15" s="30">
        <v>1500</v>
      </c>
      <c r="AB15" s="167">
        <v>2019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2:52" x14ac:dyDescent="0.25">
      <c r="B16" s="13" t="s">
        <v>194</v>
      </c>
      <c r="C16" s="30">
        <v>16000</v>
      </c>
      <c r="D16" s="167">
        <v>2019</v>
      </c>
      <c r="E16" s="30">
        <v>750</v>
      </c>
      <c r="F16" s="167">
        <v>2019</v>
      </c>
      <c r="G16" s="395">
        <v>10200</v>
      </c>
      <c r="H16" s="167">
        <v>2019</v>
      </c>
      <c r="I16" s="648"/>
      <c r="J16" s="13"/>
      <c r="K16" s="678" t="s">
        <v>196</v>
      </c>
      <c r="L16" s="30">
        <v>8500</v>
      </c>
      <c r="M16" s="167">
        <v>2019</v>
      </c>
      <c r="N16" s="719" t="s">
        <v>197</v>
      </c>
      <c r="O16" s="30">
        <v>59000</v>
      </c>
      <c r="P16" s="167">
        <v>2019</v>
      </c>
      <c r="Q16" s="726" t="s">
        <v>198</v>
      </c>
      <c r="R16" s="718">
        <v>1000</v>
      </c>
      <c r="S16" s="167">
        <v>2019</v>
      </c>
      <c r="T16" s="726" t="s">
        <v>199</v>
      </c>
      <c r="U16" s="30">
        <v>2400</v>
      </c>
      <c r="V16" s="167">
        <v>2019</v>
      </c>
      <c r="W16" s="719" t="s">
        <v>201</v>
      </c>
      <c r="X16" s="30">
        <v>13300</v>
      </c>
      <c r="Y16" s="167">
        <v>2019</v>
      </c>
      <c r="Z16" s="719" t="s">
        <v>207</v>
      </c>
      <c r="AA16" s="30">
        <v>4500</v>
      </c>
      <c r="AB16" s="167">
        <v>2019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2:52" x14ac:dyDescent="0.25">
      <c r="B17" s="13" t="s">
        <v>210</v>
      </c>
      <c r="C17" s="30">
        <v>16000</v>
      </c>
      <c r="D17" s="167">
        <v>2019</v>
      </c>
      <c r="E17" s="30">
        <v>125</v>
      </c>
      <c r="F17" s="167">
        <v>2019</v>
      </c>
      <c r="G17" s="395">
        <v>1700</v>
      </c>
      <c r="H17" s="167">
        <v>2019</v>
      </c>
      <c r="I17" s="648"/>
      <c r="J17" s="13"/>
      <c r="K17" s="678" t="s">
        <v>196</v>
      </c>
      <c r="L17" s="30">
        <v>1450</v>
      </c>
      <c r="M17" s="167">
        <v>2019</v>
      </c>
      <c r="N17" s="719" t="s">
        <v>197</v>
      </c>
      <c r="O17" s="30">
        <v>59000</v>
      </c>
      <c r="P17" s="167">
        <v>2019</v>
      </c>
      <c r="Q17" s="726" t="s">
        <v>198</v>
      </c>
      <c r="R17" s="718">
        <v>1000</v>
      </c>
      <c r="S17" s="167">
        <v>2019</v>
      </c>
      <c r="T17" s="726" t="s">
        <v>199</v>
      </c>
      <c r="U17" s="30">
        <v>600</v>
      </c>
      <c r="V17" s="167">
        <v>2019</v>
      </c>
      <c r="W17" s="719" t="s">
        <v>201</v>
      </c>
      <c r="X17" s="30">
        <f>4433/2</f>
        <v>2216.5</v>
      </c>
      <c r="Y17" s="167">
        <v>2019</v>
      </c>
      <c r="Z17" s="719" t="s">
        <v>207</v>
      </c>
      <c r="AA17" s="30">
        <v>1500</v>
      </c>
      <c r="AB17" s="167">
        <v>2019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2:52" x14ac:dyDescent="0.25">
      <c r="B18" s="13" t="s">
        <v>151</v>
      </c>
      <c r="C18" s="30">
        <v>4000</v>
      </c>
      <c r="D18" s="167">
        <v>2019</v>
      </c>
      <c r="E18" s="30">
        <v>150</v>
      </c>
      <c r="F18" s="167">
        <v>2019</v>
      </c>
      <c r="G18" s="395">
        <v>300</v>
      </c>
      <c r="H18" s="167">
        <v>2019</v>
      </c>
      <c r="I18" s="395">
        <v>150</v>
      </c>
      <c r="J18" s="167">
        <v>2019</v>
      </c>
      <c r="K18" s="656" t="s">
        <v>171</v>
      </c>
      <c r="L18" s="30">
        <v>125</v>
      </c>
      <c r="M18" s="167">
        <v>2019</v>
      </c>
      <c r="N18" s="656" t="s">
        <v>165</v>
      </c>
      <c r="O18" s="30">
        <v>1610</v>
      </c>
      <c r="P18" s="167">
        <v>2019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2:52" x14ac:dyDescent="0.25">
      <c r="B19" s="13" t="s">
        <v>164</v>
      </c>
      <c r="C19" s="30">
        <v>5500</v>
      </c>
      <c r="D19" s="167">
        <v>2019</v>
      </c>
      <c r="G19" s="395">
        <v>950</v>
      </c>
      <c r="H19" s="167">
        <v>2019</v>
      </c>
      <c r="I19" s="395"/>
      <c r="J19" s="167">
        <v>2019</v>
      </c>
      <c r="K19" s="656" t="s">
        <v>172</v>
      </c>
      <c r="L19" s="30">
        <f>(20000+15200)/(2)</f>
        <v>17600</v>
      </c>
      <c r="M19" s="167">
        <v>2019</v>
      </c>
      <c r="N19" s="656" t="s">
        <v>174</v>
      </c>
      <c r="O19" s="30">
        <v>2000</v>
      </c>
      <c r="P19" s="167">
        <v>2019</v>
      </c>
      <c r="Q19" s="13" t="s">
        <v>154</v>
      </c>
      <c r="R19" s="718">
        <f>400*2.583</f>
        <v>1033.2</v>
      </c>
      <c r="S19" s="167">
        <v>2019</v>
      </c>
      <c r="T19" s="13" t="s">
        <v>224</v>
      </c>
      <c r="U19" s="718">
        <f>(450+550)/2</f>
        <v>500</v>
      </c>
      <c r="V19" s="167">
        <v>2019</v>
      </c>
      <c r="W19" s="13" t="s">
        <v>228</v>
      </c>
      <c r="X19" s="30">
        <f>3000/5/7</f>
        <v>85.714285714285708</v>
      </c>
      <c r="Y19" s="167">
        <v>2019</v>
      </c>
      <c r="Z19" s="13" t="s">
        <v>232</v>
      </c>
      <c r="AA19" s="30">
        <v>125</v>
      </c>
      <c r="AB19" s="167">
        <v>2019</v>
      </c>
      <c r="AC19" s="13" t="s">
        <v>231</v>
      </c>
      <c r="AD19" s="724">
        <f>(440+280)/2</f>
        <v>360</v>
      </c>
      <c r="AE19" s="725">
        <v>2019</v>
      </c>
      <c r="AF19" s="13" t="s">
        <v>305</v>
      </c>
      <c r="AG19" s="724">
        <v>555</v>
      </c>
      <c r="AH19" s="725">
        <v>2019</v>
      </c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2:52" x14ac:dyDescent="0.25">
      <c r="B20" s="13" t="s">
        <v>306</v>
      </c>
      <c r="C20" s="30">
        <v>7000</v>
      </c>
      <c r="D20" s="167">
        <v>2019</v>
      </c>
      <c r="G20" s="395">
        <v>950</v>
      </c>
      <c r="H20" s="167">
        <v>2019</v>
      </c>
      <c r="I20" s="395">
        <v>400</v>
      </c>
      <c r="J20" s="167">
        <v>2019</v>
      </c>
      <c r="K20" s="656" t="s">
        <v>316</v>
      </c>
      <c r="L20" s="30">
        <v>11000</v>
      </c>
      <c r="M20" s="167">
        <v>2019</v>
      </c>
      <c r="N20" s="656" t="s">
        <v>172</v>
      </c>
      <c r="O20" s="30">
        <f>(20700+15900)/2</f>
        <v>18300</v>
      </c>
      <c r="P20" s="167">
        <v>2019</v>
      </c>
      <c r="Q20" s="13" t="s">
        <v>321</v>
      </c>
      <c r="R20" s="718">
        <v>12000</v>
      </c>
      <c r="S20" s="167">
        <v>2019</v>
      </c>
      <c r="T20" s="13" t="s">
        <v>322</v>
      </c>
      <c r="U20" s="718">
        <f>2000/5</f>
        <v>400</v>
      </c>
      <c r="V20" s="167">
        <v>2019</v>
      </c>
      <c r="W20" s="13" t="s">
        <v>174</v>
      </c>
      <c r="X20" s="30">
        <v>2000</v>
      </c>
      <c r="Y20" s="167">
        <v>2019</v>
      </c>
      <c r="Z20" s="13" t="s">
        <v>328</v>
      </c>
      <c r="AA20" s="30">
        <v>3455984</v>
      </c>
      <c r="AB20" s="167">
        <v>2019</v>
      </c>
      <c r="AC20" s="13" t="s">
        <v>332</v>
      </c>
      <c r="AD20" s="724">
        <v>3000</v>
      </c>
      <c r="AE20" s="725">
        <v>2019</v>
      </c>
      <c r="AF20" s="13" t="s">
        <v>333</v>
      </c>
      <c r="AG20" s="724">
        <v>75000</v>
      </c>
      <c r="AH20" s="725">
        <v>2019</v>
      </c>
      <c r="AI20" s="13" t="s">
        <v>347</v>
      </c>
      <c r="AJ20" s="724">
        <f>600/5</f>
        <v>120</v>
      </c>
      <c r="AK20" s="725">
        <v>2019</v>
      </c>
      <c r="AL20" s="13" t="s">
        <v>348</v>
      </c>
      <c r="AM20" s="724">
        <v>75</v>
      </c>
      <c r="AN20" s="725">
        <v>2019</v>
      </c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2:52" x14ac:dyDescent="0.25">
      <c r="B21" s="13" t="s">
        <v>92</v>
      </c>
      <c r="C21" s="30">
        <v>10000</v>
      </c>
      <c r="D21" s="167">
        <v>2019</v>
      </c>
      <c r="E21" s="30">
        <v>800</v>
      </c>
      <c r="F21" s="167">
        <v>2019</v>
      </c>
      <c r="G21" s="168">
        <v>1000</v>
      </c>
      <c r="H21" s="167">
        <v>2019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</sheetData>
  <mergeCells count="3">
    <mergeCell ref="E3:F3"/>
    <mergeCell ref="G3:J3"/>
    <mergeCell ref="K3:P3"/>
  </mergeCells>
  <phoneticPr fontId="2" type="noConversion"/>
  <dataValidations count="2">
    <dataValidation type="list" allowBlank="1" showInputMessage="1" showErrorMessage="1" sqref="F6:F7 H6:H7 D6:D7" xr:uid="{00000000-0002-0000-0200-000000000000}">
      <formula1>"Year_Values"</formula1>
    </dataValidation>
    <dataValidation type="list" allowBlank="1" showInputMessage="1" showErrorMessage="1" sqref="D5 M14:M20 F5 H5 M6:M7 S6 V6 J18:J20 P14:P20 S19:S20 S14:S17 V19:V20 V14:V17 Y19:Y20 Y14:Y17 AB19:AB20 AB14:AB17 AE19:AE20 AH19:AH20 F21 Y6 AB6 AE6 AH6 AK6 AN6 AQ6 AT6 AW6 AZ6 P6 H8:H21 D8:D21 F8:F18 AK20 AN20 M10" xr:uid="{00000000-0002-0000-0200-000001000000}">
      <formula1>YearList</formula1>
    </dataValidation>
  </dataValidations>
  <pageMargins left="0.75" right="0.75" top="1" bottom="1" header="0.5" footer="0.5"/>
  <pageSetup scale="85" orientation="landscape" r:id="rId1"/>
  <headerFooter alignWithMargins="0"/>
  <colBreaks count="5" manualBreakCount="5">
    <brk id="10" max="1048575" man="1"/>
    <brk id="19" max="1048575" man="1"/>
    <brk id="28" max="1048575" man="1"/>
    <brk id="37" max="1048575" man="1"/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9"/>
  <sheetViews>
    <sheetView topLeftCell="D4" zoomScaleNormal="100" workbookViewId="0">
      <selection activeCell="K10" sqref="K10"/>
    </sheetView>
  </sheetViews>
  <sheetFormatPr defaultRowHeight="13.2" x14ac:dyDescent="0.25"/>
  <cols>
    <col min="1" max="1" width="1.109375" customWidth="1"/>
    <col min="2" max="2" width="31.44140625" customWidth="1"/>
    <col min="3" max="3" width="12.88671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593" t="s">
        <v>92</v>
      </c>
      <c r="D2" s="5"/>
      <c r="E2" s="396" t="s">
        <v>31</v>
      </c>
      <c r="F2" s="1427">
        <v>43412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113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506</v>
      </c>
      <c r="M4" s="396" t="s">
        <v>71</v>
      </c>
      <c r="N4" s="431" t="s">
        <v>69</v>
      </c>
      <c r="O4" s="20">
        <v>506</v>
      </c>
      <c r="P4" s="425" t="s">
        <v>71</v>
      </c>
      <c r="Q4" s="429" t="s">
        <v>69</v>
      </c>
      <c r="R4" s="20">
        <v>506</v>
      </c>
      <c r="S4" s="115" t="s">
        <v>69</v>
      </c>
      <c r="T4" s="106">
        <f>AVERAGE(L4,O4,R4)</f>
        <v>506</v>
      </c>
      <c r="U4" s="37"/>
    </row>
    <row r="5" spans="1:21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630">
        <v>113</v>
      </c>
      <c r="K5" s="342" t="s">
        <v>70</v>
      </c>
      <c r="L5" s="343">
        <f>L4*$I$4</f>
        <v>25.3</v>
      </c>
      <c r="M5" s="631">
        <v>113</v>
      </c>
      <c r="N5" s="344" t="s">
        <v>70</v>
      </c>
      <c r="O5" s="345">
        <f>O4*$I$4</f>
        <v>25.3</v>
      </c>
      <c r="P5" s="630">
        <v>113</v>
      </c>
      <c r="Q5" s="342" t="s">
        <v>70</v>
      </c>
      <c r="R5" s="343">
        <f>R4*$I$4</f>
        <v>25.3</v>
      </c>
      <c r="S5" s="237" t="s">
        <v>70</v>
      </c>
      <c r="T5" s="238">
        <f>AVERAGE(L5,O5,R5)</f>
        <v>25.3</v>
      </c>
      <c r="U5" s="37"/>
    </row>
    <row r="6" spans="1:21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57" t="s">
        <v>55</v>
      </c>
      <c r="N8" s="1432" t="s">
        <v>57</v>
      </c>
      <c r="O8" s="1433"/>
      <c r="P8" s="277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3390</v>
      </c>
      <c r="L10" s="265">
        <f>K10/$E$7</f>
        <v>484.28571428571428</v>
      </c>
      <c r="M10" s="58" t="s">
        <v>12</v>
      </c>
      <c r="N10" s="432">
        <f>I10*$M$5</f>
        <v>3390</v>
      </c>
      <c r="O10" s="68">
        <f>N10/$E$7</f>
        <v>484.28571428571428</v>
      </c>
      <c r="P10" s="263" t="s">
        <v>12</v>
      </c>
      <c r="Q10" s="433">
        <f>$I10*$M$5</f>
        <v>3390</v>
      </c>
      <c r="R10" s="289">
        <f>Q10/$E$7</f>
        <v>484.28571428571428</v>
      </c>
      <c r="S10" s="121">
        <f>AVERAGE(L10,O10,R10)</f>
        <v>484.28571428571428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2207.210220677679</v>
      </c>
      <c r="K11" s="384">
        <f>J11*$J$5</f>
        <v>249414.75493657772</v>
      </c>
      <c r="L11" s="385">
        <f>K11/$E$7</f>
        <v>35630.679276653958</v>
      </c>
      <c r="M11" s="386">
        <f>HLOOKUP(Labor!$B$11,InflationTable,3)*$I11</f>
        <v>2267.4949618950059</v>
      </c>
      <c r="N11" s="387">
        <f>M11*$J$5</f>
        <v>256226.93069413566</v>
      </c>
      <c r="O11" s="388">
        <f>N11/$E$7</f>
        <v>36603.847242019379</v>
      </c>
      <c r="P11" s="383">
        <f>HLOOKUP(Labor!$B$11,InflationTable,4)*$I11</f>
        <v>2294.6662931674882</v>
      </c>
      <c r="Q11" s="384">
        <f>P11*$J$5</f>
        <v>259297.29112792618</v>
      </c>
      <c r="R11" s="385">
        <f>Q11/$E$7</f>
        <v>37042.470161132311</v>
      </c>
      <c r="S11" s="379">
        <f>AVERAGE(L11,O11,R11)</f>
        <v>36425.665559935216</v>
      </c>
      <c r="T11" s="380" t="s">
        <v>12</v>
      </c>
      <c r="U11" s="380" t="s">
        <v>12</v>
      </c>
    </row>
    <row r="12" spans="1:21" x14ac:dyDescent="0.25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 x14ac:dyDescent="0.25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904</v>
      </c>
      <c r="L13" s="265">
        <f>K13/$E$7</f>
        <v>129.14285714285714</v>
      </c>
      <c r="M13" s="58" t="s">
        <v>12</v>
      </c>
      <c r="N13" s="60">
        <f>I13*$M$5</f>
        <v>904</v>
      </c>
      <c r="O13" s="59">
        <f>N13/$E$7</f>
        <v>129.14285714285714</v>
      </c>
      <c r="P13" s="263" t="s">
        <v>12</v>
      </c>
      <c r="Q13" s="291">
        <f>$I13*$P$5</f>
        <v>904</v>
      </c>
      <c r="R13" s="282">
        <f>Q13/$E$7</f>
        <v>129.14285714285714</v>
      </c>
      <c r="S13" s="121">
        <f>AVERAGE(L13,O13,R13)</f>
        <v>129.14285714285714</v>
      </c>
      <c r="T13" s="119" t="s">
        <v>12</v>
      </c>
      <c r="U13" s="119" t="s">
        <v>12</v>
      </c>
    </row>
    <row r="14" spans="1:21" s="1" customFormat="1" ht="13.8" thickBot="1" x14ac:dyDescent="0.3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565.98597458013921</v>
      </c>
      <c r="K14" s="296">
        <f>J14*$J$5</f>
        <v>63956.415127555731</v>
      </c>
      <c r="L14" s="297">
        <f>K14/$E$7</f>
        <v>9136.6307325079615</v>
      </c>
      <c r="M14" s="376">
        <f>HLOOKUP(Labor!$B$11,InflationTable,3)*I14</f>
        <v>581.44454653244031</v>
      </c>
      <c r="N14" s="377">
        <f>M14*$J$5</f>
        <v>65703.233758165748</v>
      </c>
      <c r="O14" s="378">
        <f>N14/$E$7</f>
        <v>9386.1762511665347</v>
      </c>
      <c r="P14" s="339">
        <f>HLOOKUP(Labor!$B$11,InflationTable,4)*I14</f>
        <v>588.41198092850516</v>
      </c>
      <c r="Q14" s="296">
        <f>P14*$J$5</f>
        <v>66490.553844921087</v>
      </c>
      <c r="R14" s="297">
        <f>Q14/$E$7</f>
        <v>9498.6505492744418</v>
      </c>
      <c r="S14" s="379">
        <f>AVERAGE(L14,O14,R14)</f>
        <v>9340.4858443163121</v>
      </c>
      <c r="T14" s="380" t="s">
        <v>12</v>
      </c>
      <c r="U14" s="380" t="s">
        <v>12</v>
      </c>
    </row>
    <row r="15" spans="1:21" x14ac:dyDescent="0.25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4294</v>
      </c>
      <c r="L15" s="273">
        <f>L10+L13</f>
        <v>613.42857142857144</v>
      </c>
      <c r="M15" s="61" t="s">
        <v>12</v>
      </c>
      <c r="N15" s="426">
        <f>I15*$M$5</f>
        <v>4294</v>
      </c>
      <c r="O15" s="62">
        <f>N15/$E$7</f>
        <v>613.42857142857144</v>
      </c>
      <c r="P15" s="293" t="s">
        <v>12</v>
      </c>
      <c r="Q15" s="433">
        <f>$I15*$P$5</f>
        <v>4294</v>
      </c>
      <c r="R15" s="294">
        <f>Q15/$E$7</f>
        <v>613.42857142857144</v>
      </c>
      <c r="S15" s="121">
        <f>AVERAGE(L15,O15,R15)</f>
        <v>613.42857142857144</v>
      </c>
      <c r="T15" s="119" t="s">
        <v>12</v>
      </c>
      <c r="U15" s="119" t="s">
        <v>12</v>
      </c>
    </row>
    <row r="16" spans="1:21" ht="13.8" thickBot="1" x14ac:dyDescent="0.3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2773.1961952578181</v>
      </c>
      <c r="K16" s="275">
        <f>K11+K14</f>
        <v>313371.17006413348</v>
      </c>
      <c r="L16" s="276">
        <f>L11+L14</f>
        <v>44767.31000916192</v>
      </c>
      <c r="M16" s="242">
        <f>M11+M14</f>
        <v>2848.9395084274461</v>
      </c>
      <c r="N16" s="240">
        <f>N11+N14</f>
        <v>321930.1644523014</v>
      </c>
      <c r="O16" s="243">
        <f>O11+O14</f>
        <v>45990.023493185916</v>
      </c>
      <c r="P16" s="295">
        <f>P11+P14</f>
        <v>2883.0782740959935</v>
      </c>
      <c r="Q16" s="296">
        <f>P16*$P$5</f>
        <v>325787.84497284726</v>
      </c>
      <c r="R16" s="297">
        <f>Q16/$E$7</f>
        <v>46541.120710406751</v>
      </c>
      <c r="S16" s="211">
        <f>AVERAGE(L16,O16,R16)</f>
        <v>45766.151404251526</v>
      </c>
      <c r="T16" s="218" t="s">
        <v>12</v>
      </c>
      <c r="U16" s="218" t="s">
        <v>12</v>
      </c>
    </row>
    <row r="17" spans="1:21" ht="14.4" thickTop="1" thickBot="1" x14ac:dyDescent="0.3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2" thickTop="1" x14ac:dyDescent="0.3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5"/>
      <c r="H18" s="1416"/>
      <c r="I18" s="1417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 x14ac:dyDescent="0.25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22" t="s">
        <v>57</v>
      </c>
      <c r="L19" s="1423"/>
      <c r="M19" s="93" t="s">
        <v>61</v>
      </c>
      <c r="N19" s="1432" t="s">
        <v>57</v>
      </c>
      <c r="O19" s="1433"/>
      <c r="P19" s="262" t="s">
        <v>61</v>
      </c>
      <c r="Q19" s="1422" t="s">
        <v>57</v>
      </c>
      <c r="R19" s="1423"/>
      <c r="S19" s="131"/>
      <c r="T19" s="37"/>
      <c r="U19" s="138"/>
    </row>
    <row r="20" spans="1:21" x14ac:dyDescent="0.25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 x14ac:dyDescent="0.25">
      <c r="A21" s="615"/>
      <c r="B21" s="608" t="s">
        <v>14</v>
      </c>
      <c r="C21" s="163">
        <f>VLOOKUP(C$2,Monitor_Costs,2,FALSE)</f>
        <v>10000</v>
      </c>
      <c r="D21" s="22">
        <f>VLOOKUP(C$2,Monitor_Costs,3,FALSE)</f>
        <v>2019</v>
      </c>
      <c r="E21" s="74"/>
      <c r="F21" s="75"/>
      <c r="G21" s="76"/>
      <c r="H21" s="76"/>
      <c r="I21" s="37"/>
      <c r="J21" s="279">
        <f>HLOOKUP(D21,InflationTable,2)*$C$21</f>
        <v>13508.018486399504</v>
      </c>
      <c r="K21" s="279">
        <f>J21*$L$4</f>
        <v>6835057.3541181488</v>
      </c>
      <c r="L21" s="280">
        <f>K21/$E$18</f>
        <v>976436.76487402129</v>
      </c>
      <c r="M21" s="78">
        <f>HLOOKUP($D$21,InflationTable,3)*$C$21</f>
        <v>13876.958151132229</v>
      </c>
      <c r="N21" s="27">
        <f>M21*$L$4</f>
        <v>7021740.8244729079</v>
      </c>
      <c r="O21" s="182">
        <f>N21/$E$18</f>
        <v>1003105.8320675583</v>
      </c>
      <c r="P21" s="298">
        <f>HLOOKUP($D$21,InflationTable,4)*$C$21</f>
        <v>14043.245368222082</v>
      </c>
      <c r="Q21" s="279">
        <f>P21*$L$4</f>
        <v>7105882.1563203735</v>
      </c>
      <c r="R21" s="280">
        <f>Q21/$E$18</f>
        <v>1015126.0223314819</v>
      </c>
      <c r="S21" s="127" t="s">
        <v>12</v>
      </c>
      <c r="T21" s="119" t="s">
        <v>12</v>
      </c>
      <c r="U21" s="139">
        <f>AVERAGE(L21,O21,R21)</f>
        <v>998222.8730910205</v>
      </c>
    </row>
    <row r="22" spans="1:21" ht="13.8" thickBot="1" x14ac:dyDescent="0.3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341752.86770590744</v>
      </c>
      <c r="L22" s="308">
        <f>K22/$E$18</f>
        <v>48821.838243701066</v>
      </c>
      <c r="M22" s="4"/>
      <c r="N22" s="104">
        <f>M21*$L$5</f>
        <v>351087.04122364538</v>
      </c>
      <c r="O22" s="370">
        <f>N22/$E$18</f>
        <v>50155.291603377911</v>
      </c>
      <c r="P22" s="371"/>
      <c r="Q22" s="355">
        <f>P21*$L$5</f>
        <v>355294.10781601869</v>
      </c>
      <c r="R22" s="308">
        <f>Q22/$E$18</f>
        <v>50756.301116574097</v>
      </c>
      <c r="S22" s="359" t="s">
        <v>12</v>
      </c>
      <c r="T22" s="149" t="s">
        <v>12</v>
      </c>
      <c r="U22" s="372">
        <f>AVERAGE(L22,O22,R22)</f>
        <v>49911.14365455103</v>
      </c>
    </row>
    <row r="23" spans="1:21" x14ac:dyDescent="0.25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 x14ac:dyDescent="0.25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2125.1999999999998</v>
      </c>
      <c r="L24" s="282">
        <f>K24/$E$18</f>
        <v>303.59999999999997</v>
      </c>
      <c r="M24" s="58" t="s">
        <v>12</v>
      </c>
      <c r="N24" s="69">
        <f>$I$24*($O$4+$O$5)</f>
        <v>2125.1999999999998</v>
      </c>
      <c r="O24" s="59">
        <f>N24/$E$18</f>
        <v>303.59999999999997</v>
      </c>
      <c r="P24" s="263" t="s">
        <v>12</v>
      </c>
      <c r="Q24" s="281">
        <f>$I$24*($R$4+$R$5)</f>
        <v>2125.1999999999998</v>
      </c>
      <c r="R24" s="282">
        <f>Q24/$E$18</f>
        <v>303.59999999999997</v>
      </c>
      <c r="S24" s="151">
        <f>AVERAGE(L24,O24,R24)</f>
        <v>303.59999999999997</v>
      </c>
      <c r="T24" s="119" t="s">
        <v>12</v>
      </c>
      <c r="U24" s="140" t="s">
        <v>12</v>
      </c>
    </row>
    <row r="25" spans="1:21" s="1" customFormat="1" ht="13.8" thickBot="1" x14ac:dyDescent="0.3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266.10796418207025</v>
      </c>
      <c r="K25" s="296">
        <f>J25*($L$4+$L$5)</f>
        <v>141383.16136993392</v>
      </c>
      <c r="L25" s="297">
        <f>K25/$E$18</f>
        <v>20197.594481419132</v>
      </c>
      <c r="M25" s="376">
        <f>HLOOKUP(Labor!$B$11,InflationTable,3)*$I25</f>
        <v>273.3760755773049</v>
      </c>
      <c r="N25" s="377">
        <f>M25*$L$4</f>
        <v>138328.29424211627</v>
      </c>
      <c r="O25" s="378">
        <f>N25/$E$18</f>
        <v>19761.184891730896</v>
      </c>
      <c r="P25" s="332">
        <f>HLOOKUP(Labor!$B$11,InflationTable,4)*$I25</f>
        <v>276.65193375397502</v>
      </c>
      <c r="Q25" s="296">
        <f>P25*$L$4</f>
        <v>139985.87847951136</v>
      </c>
      <c r="R25" s="390">
        <f>Q25/$E$18</f>
        <v>19997.982639930193</v>
      </c>
      <c r="S25" s="391">
        <f>AVERAGE(L25,O25,R25)</f>
        <v>19985.587337693407</v>
      </c>
      <c r="T25" s="218" t="s">
        <v>12</v>
      </c>
      <c r="U25" s="392" t="s">
        <v>12</v>
      </c>
    </row>
    <row r="26" spans="1:21" x14ac:dyDescent="0.25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8096</v>
      </c>
      <c r="L26" s="294">
        <f>K26/$E$18</f>
        <v>1156.5714285714287</v>
      </c>
      <c r="M26" s="61" t="s">
        <v>12</v>
      </c>
      <c r="N26" s="348">
        <f>I26*$O$4</f>
        <v>8096</v>
      </c>
      <c r="O26" s="62">
        <f>N26/$E$18</f>
        <v>1156.5714285714287</v>
      </c>
      <c r="P26" s="293" t="s">
        <v>12</v>
      </c>
      <c r="Q26" s="327">
        <f>$I26*$O$4</f>
        <v>8096</v>
      </c>
      <c r="R26" s="367">
        <f>Q26/$E$18</f>
        <v>1156.5714285714287</v>
      </c>
      <c r="S26" s="129">
        <f>AVERAGE(L26,O26,R26)</f>
        <v>1156.5714285714287</v>
      </c>
      <c r="T26" s="136" t="s">
        <v>12</v>
      </c>
      <c r="U26" s="147" t="s">
        <v>12</v>
      </c>
    </row>
    <row r="27" spans="1:21" s="1" customFormat="1" ht="13.8" thickBot="1" x14ac:dyDescent="0.3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918.54525707516632</v>
      </c>
      <c r="K27" s="296">
        <f>J27*$L$4</f>
        <v>464783.90008003416</v>
      </c>
      <c r="L27" s="297">
        <f>K27/$E$18</f>
        <v>66397.700011433451</v>
      </c>
      <c r="M27" s="376">
        <f>HLOOKUP(Labor!$B$11,InflationTable,3)*$I27</f>
        <v>943.63315427699149</v>
      </c>
      <c r="N27" s="377">
        <f>M27*$O$4</f>
        <v>477478.3760641577</v>
      </c>
      <c r="O27" s="378">
        <f>N27/$E$18</f>
        <v>68211.196580593954</v>
      </c>
      <c r="P27" s="339">
        <f>HLOOKUP(Labor!$B$11,InflationTable,4)*$I27</f>
        <v>954.9406850391016</v>
      </c>
      <c r="Q27" s="296">
        <f>P27*$R$4</f>
        <v>483199.98662978539</v>
      </c>
      <c r="R27" s="297">
        <f>Q27/$E$18</f>
        <v>69028.569518540768</v>
      </c>
      <c r="S27" s="211">
        <f>AVERAGE(L27,O27,R27)</f>
        <v>67879.155370189386</v>
      </c>
      <c r="T27" s="393" t="s">
        <v>12</v>
      </c>
      <c r="U27" s="392" t="s">
        <v>12</v>
      </c>
    </row>
    <row r="28" spans="1:21" x14ac:dyDescent="0.25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10221.200000000001</v>
      </c>
      <c r="L28" s="286">
        <f>L24+L26</f>
        <v>1460.1714285714286</v>
      </c>
      <c r="M28" s="44" t="s">
        <v>12</v>
      </c>
      <c r="N28" s="33">
        <f>N24+N26</f>
        <v>10221.200000000001</v>
      </c>
      <c r="O28" s="40">
        <f>O24+O26</f>
        <v>1460.1714285714286</v>
      </c>
      <c r="P28" s="284" t="s">
        <v>12</v>
      </c>
      <c r="Q28" s="285">
        <f>Q24+Q26</f>
        <v>10221.200000000001</v>
      </c>
      <c r="R28" s="286">
        <f>R24+R26</f>
        <v>1460.1714285714286</v>
      </c>
      <c r="S28" s="175">
        <f>AVERAGE(L28,O28,R28)</f>
        <v>1460.1714285714286</v>
      </c>
      <c r="T28" s="136" t="s">
        <v>12</v>
      </c>
      <c r="U28" s="147" t="s">
        <v>12</v>
      </c>
    </row>
    <row r="29" spans="1:21" ht="13.8" thickBot="1" x14ac:dyDescent="0.3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1184.6532212572365</v>
      </c>
      <c r="K29" s="287"/>
      <c r="L29" s="276">
        <f>L27+L25+L22+L21</f>
        <v>1111853.897610575</v>
      </c>
      <c r="M29" s="242">
        <f>M27+M25</f>
        <v>1217.0092298542963</v>
      </c>
      <c r="N29" s="247"/>
      <c r="O29" s="243">
        <f>O27+O25+O22+O21</f>
        <v>1141233.505143261</v>
      </c>
      <c r="P29" s="274">
        <f>P27+P25</f>
        <v>1231.5926187930766</v>
      </c>
      <c r="Q29" s="287"/>
      <c r="R29" s="276">
        <f>R27+R25+R22+R21</f>
        <v>1154908.8756065271</v>
      </c>
      <c r="S29" s="248">
        <f>SUM(S27,S25)</f>
        <v>87864.74270788279</v>
      </c>
      <c r="T29" s="249" t="s">
        <v>12</v>
      </c>
      <c r="U29" s="250">
        <f>SUM(U21:U22)</f>
        <v>1048134.0167455715</v>
      </c>
    </row>
    <row r="30" spans="1:21" ht="14.4" thickTop="1" thickBot="1" x14ac:dyDescent="0.3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2" thickTop="1" x14ac:dyDescent="0.3">
      <c r="A31" s="615"/>
      <c r="B31" s="613" t="s">
        <v>22</v>
      </c>
      <c r="C31" s="5"/>
      <c r="D31" s="5"/>
      <c r="E31" s="5"/>
      <c r="F31" s="112" t="s">
        <v>6</v>
      </c>
      <c r="G31" s="1415"/>
      <c r="H31" s="1416"/>
      <c r="I31" s="1417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 x14ac:dyDescent="0.25">
      <c r="A32" s="615"/>
      <c r="B32" s="5"/>
      <c r="C32" s="5"/>
      <c r="D32" s="5"/>
      <c r="E32" s="5"/>
      <c r="F32" s="112"/>
      <c r="G32" s="1418"/>
      <c r="H32" s="1418"/>
      <c r="I32" s="1419"/>
      <c r="J32" s="277" t="s">
        <v>61</v>
      </c>
      <c r="K32" s="1437" t="s">
        <v>57</v>
      </c>
      <c r="L32" s="1438"/>
      <c r="M32" s="57" t="s">
        <v>61</v>
      </c>
      <c r="N32" s="1432" t="s">
        <v>57</v>
      </c>
      <c r="O32" s="1433"/>
      <c r="P32" s="277" t="s">
        <v>61</v>
      </c>
      <c r="Q32" s="1422" t="s">
        <v>57</v>
      </c>
      <c r="R32" s="1423"/>
      <c r="S32" s="131"/>
      <c r="T32" s="37"/>
      <c r="U32" s="138"/>
    </row>
    <row r="33" spans="1:21" x14ac:dyDescent="0.25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8" thickBot="1" x14ac:dyDescent="0.3">
      <c r="A34" s="615"/>
      <c r="B34" s="361"/>
      <c r="C34" s="353">
        <f>VLOOKUP(C$2,Monitor_Costs,4,FALSE)</f>
        <v>800</v>
      </c>
      <c r="D34" s="34">
        <f>VLOOKUP(C$2,Monitor_Costs,5,FALSE)</f>
        <v>2019</v>
      </c>
      <c r="E34" s="4"/>
      <c r="F34" s="12"/>
      <c r="G34" s="4"/>
      <c r="H34" s="361"/>
      <c r="I34" s="363"/>
      <c r="J34" s="355">
        <f>HLOOKUP($D$34,InflationTable,2)*$C$34</f>
        <v>1080.6414789119603</v>
      </c>
      <c r="K34" s="355">
        <f>J34*$L$4</f>
        <v>546804.58832945197</v>
      </c>
      <c r="L34" s="308">
        <f>K34</f>
        <v>546804.58832945197</v>
      </c>
      <c r="M34" s="171">
        <f>HLOOKUP($D$34,InflationTable,3)*$C$34</f>
        <v>1110.1566520905783</v>
      </c>
      <c r="N34" s="357">
        <f>M34*$O$4</f>
        <v>561739.26595783257</v>
      </c>
      <c r="O34" s="95">
        <f>N34</f>
        <v>561739.26595783257</v>
      </c>
      <c r="P34" s="355">
        <f>HLOOKUP($D$34,InflationTable,4)*$C$34</f>
        <v>1123.4596294577666</v>
      </c>
      <c r="Q34" s="355">
        <f>P34*$R$4</f>
        <v>568470.57250562985</v>
      </c>
      <c r="R34" s="308">
        <f>Q34</f>
        <v>568470.57250562985</v>
      </c>
      <c r="S34" s="359" t="s">
        <v>12</v>
      </c>
      <c r="T34" s="360">
        <f>AVERAGE(L34,O34,R34)</f>
        <v>559004.80893097143</v>
      </c>
      <c r="U34" s="142" t="s">
        <v>12</v>
      </c>
    </row>
    <row r="35" spans="1:21" x14ac:dyDescent="0.25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 x14ac:dyDescent="0.25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60720</v>
      </c>
      <c r="L36" s="289">
        <f>K36</f>
        <v>60720</v>
      </c>
      <c r="M36" s="58" t="s">
        <v>12</v>
      </c>
      <c r="N36" s="69">
        <f>$I$36*$O$4</f>
        <v>60720</v>
      </c>
      <c r="O36" s="68">
        <f>N36</f>
        <v>60720</v>
      </c>
      <c r="P36" s="299" t="s">
        <v>12</v>
      </c>
      <c r="Q36" s="281">
        <f>$I$36*$R$4</f>
        <v>60720</v>
      </c>
      <c r="R36" s="289">
        <f>Q36</f>
        <v>60720</v>
      </c>
      <c r="S36" s="121">
        <f>AVERAGE(L36,O36,R36)</f>
        <v>60720</v>
      </c>
      <c r="T36" s="119" t="s">
        <v>12</v>
      </c>
      <c r="U36" s="140" t="s">
        <v>12</v>
      </c>
    </row>
    <row r="37" spans="1:21" s="1" customFormat="1" ht="13.8" thickBot="1" x14ac:dyDescent="0.3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6886.3878243664676</v>
      </c>
      <c r="K37" s="296">
        <f>J37*$L$4</f>
        <v>3484512.2391294325</v>
      </c>
      <c r="L37" s="390">
        <f>K37</f>
        <v>3484512.2391294325</v>
      </c>
      <c r="M37" s="376">
        <f>HLOOKUP(Labor!$B$11,InflationTable,3)*I37</f>
        <v>7074.47326544721</v>
      </c>
      <c r="N37" s="377">
        <f>M37*$O$4</f>
        <v>3579683.4723162884</v>
      </c>
      <c r="O37" s="378">
        <f>N37</f>
        <v>3579683.4723162884</v>
      </c>
      <c r="P37" s="296">
        <f>HLOOKUP(Labor!$B$11,InflationTable,4)*$I$37</f>
        <v>7159.2464887196174</v>
      </c>
      <c r="Q37" s="296">
        <f>P37*$R$4</f>
        <v>3622578.7232921263</v>
      </c>
      <c r="R37" s="390">
        <f>Q37</f>
        <v>3622578.7232921263</v>
      </c>
      <c r="S37" s="211">
        <f>AVERAGE(L37,O37,R37)</f>
        <v>3562258.1449126154</v>
      </c>
      <c r="T37" s="393" t="s">
        <v>12</v>
      </c>
      <c r="U37" s="392" t="s">
        <v>12</v>
      </c>
    </row>
    <row r="38" spans="1:21" x14ac:dyDescent="0.25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60720</v>
      </c>
      <c r="L38" s="303">
        <f>L36</f>
        <v>60720</v>
      </c>
      <c r="M38" s="85" t="s">
        <v>12</v>
      </c>
      <c r="N38" s="82">
        <f>N36</f>
        <v>60720</v>
      </c>
      <c r="O38" s="96">
        <f>O36</f>
        <v>60720</v>
      </c>
      <c r="P38" s="301" t="s">
        <v>12</v>
      </c>
      <c r="Q38" s="302">
        <f>Q36</f>
        <v>60720</v>
      </c>
      <c r="R38" s="303">
        <f>R36</f>
        <v>60720</v>
      </c>
      <c r="S38" s="96">
        <f>S36</f>
        <v>60720</v>
      </c>
      <c r="T38" s="136" t="s">
        <v>12</v>
      </c>
      <c r="U38" s="147" t="s">
        <v>12</v>
      </c>
    </row>
    <row r="39" spans="1:21" ht="13.8" thickBot="1" x14ac:dyDescent="0.3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7967.0293032784284</v>
      </c>
      <c r="K39" s="305">
        <f t="shared" si="5"/>
        <v>4031316.8274588846</v>
      </c>
      <c r="L39" s="306">
        <f t="shared" si="5"/>
        <v>4031316.8274588846</v>
      </c>
      <c r="M39" s="252">
        <f t="shared" si="5"/>
        <v>8184.6299175377881</v>
      </c>
      <c r="N39" s="253">
        <f t="shared" si="5"/>
        <v>4141422.7382741207</v>
      </c>
      <c r="O39" s="254">
        <f t="shared" si="5"/>
        <v>4141422.7382741207</v>
      </c>
      <c r="P39" s="304">
        <f t="shared" si="5"/>
        <v>8282.7061181773843</v>
      </c>
      <c r="Q39" s="305">
        <f t="shared" si="5"/>
        <v>4191049.2957977559</v>
      </c>
      <c r="R39" s="306">
        <f t="shared" si="5"/>
        <v>4191049.2957977559</v>
      </c>
      <c r="S39" s="255">
        <f>AVERAGE(L39,O39,R39)</f>
        <v>4121262.9538435875</v>
      </c>
      <c r="T39" s="251">
        <f>T34</f>
        <v>559004.80893097143</v>
      </c>
      <c r="U39" s="224" t="s">
        <v>12</v>
      </c>
    </row>
    <row r="40" spans="1:21" ht="14.4" thickTop="1" thickBot="1" x14ac:dyDescent="0.3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2" thickTop="1" x14ac:dyDescent="0.3">
      <c r="A41" s="615"/>
      <c r="B41" s="80" t="s">
        <v>24</v>
      </c>
      <c r="C41" s="5"/>
      <c r="D41" s="5"/>
      <c r="E41" s="5"/>
      <c r="F41" s="112" t="s">
        <v>6</v>
      </c>
      <c r="G41" s="1415"/>
      <c r="H41" s="1416"/>
      <c r="I41" s="1417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 x14ac:dyDescent="0.25">
      <c r="A42" s="615"/>
      <c r="B42" s="5"/>
      <c r="C42" s="5"/>
      <c r="D42" s="5"/>
      <c r="E42" s="5"/>
      <c r="F42" s="112"/>
      <c r="G42" s="1418"/>
      <c r="H42" s="1418"/>
      <c r="I42" s="1419"/>
      <c r="J42" s="277" t="s">
        <v>61</v>
      </c>
      <c r="K42" s="1422" t="s">
        <v>57</v>
      </c>
      <c r="L42" s="1423"/>
      <c r="M42" s="57" t="s">
        <v>61</v>
      </c>
      <c r="N42" s="1432" t="s">
        <v>57</v>
      </c>
      <c r="O42" s="1433"/>
      <c r="P42" s="277" t="s">
        <v>61</v>
      </c>
      <c r="Q42" s="1422" t="s">
        <v>57</v>
      </c>
      <c r="R42" s="1423"/>
      <c r="S42" s="131"/>
      <c r="T42" s="37"/>
      <c r="U42" s="138"/>
    </row>
    <row r="43" spans="1:21" x14ac:dyDescent="0.25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8" thickBot="1" x14ac:dyDescent="0.3">
      <c r="A44" s="615"/>
      <c r="B44" s="361"/>
      <c r="C44" s="353">
        <f>VLOOKUP(C$2,Monitor_Costs,6,FALSE)</f>
        <v>1000</v>
      </c>
      <c r="D44" s="34">
        <f>VLOOKUP(C$2,Monitor_Costs,7,FALSE)</f>
        <v>2019</v>
      </c>
      <c r="E44" s="354"/>
      <c r="F44" s="71"/>
      <c r="G44" s="56"/>
      <c r="H44" s="56"/>
      <c r="I44" s="54"/>
      <c r="J44" s="355">
        <f>HLOOKUP(D44,InflationTable,2)*C44</f>
        <v>1350.8018486399505</v>
      </c>
      <c r="K44" s="355">
        <f>J44*$L$4</f>
        <v>683505.735411815</v>
      </c>
      <c r="L44" s="308">
        <f>K44</f>
        <v>683505.735411815</v>
      </c>
      <c r="M44" s="357">
        <f>HLOOKUP($D$44,InflationTable,3)*$C$44</f>
        <v>1387.6958151132228</v>
      </c>
      <c r="N44" s="357">
        <f>M44*$O$4</f>
        <v>702174.08244729077</v>
      </c>
      <c r="O44" s="95">
        <f>N44</f>
        <v>702174.08244729077</v>
      </c>
      <c r="P44" s="358">
        <f>HLOOKUP($D$44,InflationTable,4)*$C$44</f>
        <v>1404.3245368222081</v>
      </c>
      <c r="Q44" s="355">
        <f>P44*$R$4</f>
        <v>710588.21563203726</v>
      </c>
      <c r="R44" s="308">
        <f>Q44</f>
        <v>710588.21563203726</v>
      </c>
      <c r="S44" s="359" t="s">
        <v>12</v>
      </c>
      <c r="T44" s="360">
        <f>AVERAGE(L44,O44,R44)</f>
        <v>698756.01116371434</v>
      </c>
      <c r="U44" s="142" t="s">
        <v>12</v>
      </c>
    </row>
    <row r="45" spans="1:21" x14ac:dyDescent="0.25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 x14ac:dyDescent="0.25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6072</v>
      </c>
      <c r="L46" s="289">
        <f>K46</f>
        <v>6072</v>
      </c>
      <c r="M46" s="58" t="s">
        <v>12</v>
      </c>
      <c r="N46" s="69">
        <f>$I$46*$O$4</f>
        <v>6072</v>
      </c>
      <c r="O46" s="68">
        <f>N46</f>
        <v>6072</v>
      </c>
      <c r="P46" s="263" t="s">
        <v>12</v>
      </c>
      <c r="Q46" s="281">
        <f>$I$46*$R$4</f>
        <v>6072</v>
      </c>
      <c r="R46" s="289">
        <f>Q46</f>
        <v>6072</v>
      </c>
      <c r="S46" s="121">
        <f>AVERAGE(L46,O46,R46)</f>
        <v>6072</v>
      </c>
      <c r="T46" s="119" t="s">
        <v>12</v>
      </c>
      <c r="U46" s="140" t="s">
        <v>12</v>
      </c>
    </row>
    <row r="47" spans="1:21" ht="13.8" thickBot="1" x14ac:dyDescent="0.3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709.17097053597399</v>
      </c>
      <c r="K47" s="269">
        <f>J47*$L$4</f>
        <v>358840.51109120285</v>
      </c>
      <c r="L47" s="308">
        <f>K47</f>
        <v>358840.51109120285</v>
      </c>
      <c r="M47" s="84">
        <f>HLOOKUP(Labor!$B$11,InflationTable,3)*$I$47</f>
        <v>728.54030293444202</v>
      </c>
      <c r="N47" s="63">
        <f>M47*$O$4</f>
        <v>368641.39328482765</v>
      </c>
      <c r="O47" s="95">
        <f>N47</f>
        <v>368641.39328482765</v>
      </c>
      <c r="P47" s="268">
        <f>HLOOKUP(Labor!$B$11,InflationTable,4)*$I$47</f>
        <v>737.27038183165928</v>
      </c>
      <c r="Q47" s="269">
        <f>P47*$O$4</f>
        <v>373058.81320681958</v>
      </c>
      <c r="R47" s="308">
        <f>Q47</f>
        <v>373058.81320681958</v>
      </c>
      <c r="S47" s="128">
        <f>AVERAGE(L47,O47,R47)</f>
        <v>366846.90586095001</v>
      </c>
      <c r="T47" s="149" t="s">
        <v>12</v>
      </c>
      <c r="U47" s="142" t="s">
        <v>12</v>
      </c>
    </row>
    <row r="48" spans="1:21" x14ac:dyDescent="0.25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28336</v>
      </c>
      <c r="L48" s="328">
        <f>K48</f>
        <v>28336</v>
      </c>
      <c r="M48" s="61" t="s">
        <v>12</v>
      </c>
      <c r="N48" s="348">
        <f>$I$48*$O$4</f>
        <v>28336</v>
      </c>
      <c r="O48" s="349">
        <f>N48</f>
        <v>28336</v>
      </c>
      <c r="P48" s="293" t="s">
        <v>12</v>
      </c>
      <c r="Q48" s="327">
        <f>$I$48*$R$4</f>
        <v>28336</v>
      </c>
      <c r="R48" s="328">
        <f>Q48</f>
        <v>28336</v>
      </c>
      <c r="S48" s="129">
        <f>AVERAGE(L48,O48,R48)</f>
        <v>28336</v>
      </c>
      <c r="T48" s="119" t="s">
        <v>12</v>
      </c>
      <c r="U48" s="140" t="s">
        <v>12</v>
      </c>
    </row>
    <row r="49" spans="2:21" ht="13.8" thickBot="1" x14ac:dyDescent="0.3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3489.1211750369921</v>
      </c>
      <c r="K49" s="269">
        <f>J49*$L$4</f>
        <v>1765495.314568718</v>
      </c>
      <c r="L49" s="308">
        <f>K49</f>
        <v>1765495.314568718</v>
      </c>
      <c r="M49" s="84">
        <f>HLOOKUP(Labor!$B$11,InflationTable,3)*$I$49</f>
        <v>3584.4182904374547</v>
      </c>
      <c r="N49" s="63">
        <f>M49*$O$4</f>
        <v>1813715.654961352</v>
      </c>
      <c r="O49" s="95">
        <f>N49</f>
        <v>1813715.654961352</v>
      </c>
      <c r="P49" s="268">
        <f>HLOOKUP(Labor!$B$11,InflationTable,4)*$I$49</f>
        <v>3627.3702786117638</v>
      </c>
      <c r="Q49" s="269">
        <f>P49*$R$4</f>
        <v>1835449.3609775524</v>
      </c>
      <c r="R49" s="308">
        <f>Q49</f>
        <v>1835449.3609775524</v>
      </c>
      <c r="S49" s="132">
        <f>AVERAGE(L49,O49,R49)</f>
        <v>1804886.7768358744</v>
      </c>
      <c r="T49" s="149" t="s">
        <v>12</v>
      </c>
      <c r="U49" s="142" t="s">
        <v>12</v>
      </c>
    </row>
    <row r="50" spans="2:21" x14ac:dyDescent="0.25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34408</v>
      </c>
      <c r="L50" s="310">
        <f>L46+L48</f>
        <v>34408</v>
      </c>
      <c r="M50" s="85" t="s">
        <v>12</v>
      </c>
      <c r="N50" s="86">
        <f>N46+N48</f>
        <v>34408</v>
      </c>
      <c r="O50" s="97">
        <f>O46+O48</f>
        <v>34408</v>
      </c>
      <c r="P50" s="301" t="s">
        <v>12</v>
      </c>
      <c r="Q50" s="309">
        <f>Q46+Q48</f>
        <v>34408</v>
      </c>
      <c r="R50" s="310">
        <f>R46+R48</f>
        <v>34408</v>
      </c>
      <c r="S50" s="121">
        <f>AVERAGE(L50,O50,R50)</f>
        <v>34408</v>
      </c>
      <c r="T50" s="136" t="s">
        <v>12</v>
      </c>
      <c r="U50" s="148" t="s">
        <v>12</v>
      </c>
    </row>
    <row r="51" spans="2:21" ht="13.8" thickBot="1" x14ac:dyDescent="0.3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5549.0939942129171</v>
      </c>
      <c r="K51" s="305">
        <f t="shared" si="8"/>
        <v>2807841.5610717358</v>
      </c>
      <c r="L51" s="306">
        <f t="shared" si="8"/>
        <v>2807841.5610717358</v>
      </c>
      <c r="M51" s="252">
        <f t="shared" si="8"/>
        <v>5700.6544084851203</v>
      </c>
      <c r="N51" s="253">
        <f t="shared" si="8"/>
        <v>2884531.1306934706</v>
      </c>
      <c r="O51" s="254">
        <f t="shared" si="8"/>
        <v>2884531.1306934706</v>
      </c>
      <c r="P51" s="311">
        <f t="shared" si="8"/>
        <v>5768.9651972656311</v>
      </c>
      <c r="Q51" s="305">
        <f t="shared" si="8"/>
        <v>2919096.389816409</v>
      </c>
      <c r="R51" s="306">
        <f t="shared" si="8"/>
        <v>2919096.389816409</v>
      </c>
      <c r="S51" s="248">
        <f>S49+S47</f>
        <v>2171733.6826968244</v>
      </c>
      <c r="T51" s="251">
        <f>T44</f>
        <v>698756.01116371434</v>
      </c>
      <c r="U51" s="224" t="s">
        <v>12</v>
      </c>
    </row>
    <row r="52" spans="2:21" ht="14.4" thickTop="1" thickBot="1" x14ac:dyDescent="0.3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2" thickTop="1" x14ac:dyDescent="0.3">
      <c r="B53" s="564" t="s">
        <v>26</v>
      </c>
      <c r="C53" s="5"/>
      <c r="D53" s="5"/>
      <c r="E53" s="5"/>
      <c r="F53" s="112" t="s">
        <v>6</v>
      </c>
      <c r="G53" s="1415"/>
      <c r="H53" s="1416"/>
      <c r="I53" s="1417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 x14ac:dyDescent="0.25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22" t="s">
        <v>57</v>
      </c>
      <c r="L54" s="1423"/>
      <c r="M54" s="57" t="s">
        <v>61</v>
      </c>
      <c r="N54" s="1432" t="s">
        <v>57</v>
      </c>
      <c r="O54" s="1433"/>
      <c r="P54" s="277" t="s">
        <v>61</v>
      </c>
      <c r="Q54" s="1422" t="s">
        <v>57</v>
      </c>
      <c r="R54" s="1423"/>
      <c r="S54" s="131"/>
      <c r="T54" s="37"/>
      <c r="U54" s="138"/>
    </row>
    <row r="55" spans="2:21" x14ac:dyDescent="0.25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 x14ac:dyDescent="0.25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7084</v>
      </c>
      <c r="L56" s="289">
        <f t="shared" ref="L56:L63" si="10">K56</f>
        <v>7084</v>
      </c>
      <c r="M56" s="58" t="s">
        <v>12</v>
      </c>
      <c r="N56" s="69">
        <f>$I$56*$O$4</f>
        <v>7084</v>
      </c>
      <c r="O56" s="68">
        <f t="shared" ref="O56:O63" si="11">N56</f>
        <v>7084</v>
      </c>
      <c r="P56" s="263" t="s">
        <v>12</v>
      </c>
      <c r="Q56" s="281">
        <f>$I$56*$R$4</f>
        <v>7084</v>
      </c>
      <c r="R56" s="289">
        <f t="shared" ref="R56:R63" si="12">Q56</f>
        <v>7084</v>
      </c>
      <c r="S56" s="121">
        <f t="shared" ref="S56:S65" si="13">AVERAGE(L56,O56,R56)</f>
        <v>7084</v>
      </c>
      <c r="T56" s="119" t="s">
        <v>12</v>
      </c>
      <c r="U56" s="140" t="s">
        <v>12</v>
      </c>
    </row>
    <row r="57" spans="2:21" ht="13.8" thickBot="1" x14ac:dyDescent="0.3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859.10997573500845</v>
      </c>
      <c r="K57" s="269">
        <f>J57*$L$4</f>
        <v>434709.64772191428</v>
      </c>
      <c r="L57" s="308">
        <f t="shared" si="10"/>
        <v>434709.64772191428</v>
      </c>
      <c r="M57" s="84">
        <f>HLOOKUP(Labor!$B$11,InflationTable,3)*$I$57</f>
        <v>882.5745384120097</v>
      </c>
      <c r="N57" s="63">
        <f>M57*$L$4</f>
        <v>446582.71643647691</v>
      </c>
      <c r="O57" s="95">
        <f t="shared" si="11"/>
        <v>446582.71643647691</v>
      </c>
      <c r="P57" s="268">
        <f>HLOOKUP(Labor!$B$11,InflationTable,4)*$I$57</f>
        <v>893.15040541892438</v>
      </c>
      <c r="Q57" s="269">
        <f>P57*$R$4</f>
        <v>451934.10514197574</v>
      </c>
      <c r="R57" s="308">
        <f t="shared" si="12"/>
        <v>451934.10514197574</v>
      </c>
      <c r="S57" s="128">
        <f t="shared" si="13"/>
        <v>444408.82310012233</v>
      </c>
      <c r="T57" s="149" t="s">
        <v>12</v>
      </c>
      <c r="U57" s="142" t="s">
        <v>12</v>
      </c>
    </row>
    <row r="58" spans="2:21" x14ac:dyDescent="0.25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4554</v>
      </c>
      <c r="L58" s="328">
        <f t="shared" si="10"/>
        <v>4554</v>
      </c>
      <c r="M58" s="61" t="s">
        <v>12</v>
      </c>
      <c r="N58" s="348">
        <f>$I$58*$O$4</f>
        <v>4554</v>
      </c>
      <c r="O58" s="349">
        <f t="shared" si="11"/>
        <v>4554</v>
      </c>
      <c r="P58" s="293" t="s">
        <v>12</v>
      </c>
      <c r="Q58" s="327">
        <f>$I$58*$R$4</f>
        <v>4554</v>
      </c>
      <c r="R58" s="328">
        <f t="shared" si="12"/>
        <v>4554</v>
      </c>
      <c r="S58" s="129">
        <f t="shared" si="13"/>
        <v>4554</v>
      </c>
      <c r="T58" s="136" t="s">
        <v>12</v>
      </c>
      <c r="U58" s="147" t="s">
        <v>12</v>
      </c>
    </row>
    <row r="59" spans="2:21" ht="13.8" thickBot="1" x14ac:dyDescent="0.3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590.30040785565836</v>
      </c>
      <c r="K59" s="269">
        <f>J59*$L$4</f>
        <v>298692.00637496315</v>
      </c>
      <c r="L59" s="308">
        <f t="shared" si="10"/>
        <v>298692.00637496315</v>
      </c>
      <c r="M59" s="362">
        <f>HLOOKUP(Labor!$B$11,InflationTable,3)*I59</f>
        <v>606.42307120447833</v>
      </c>
      <c r="N59" s="63">
        <f>M59*$O$4</f>
        <v>306850.07402946602</v>
      </c>
      <c r="O59" s="95">
        <f t="shared" si="11"/>
        <v>306850.07402946602</v>
      </c>
      <c r="P59" s="268">
        <f>HLOOKUP(Labor!$B$11,InflationTable,4)*$I$59</f>
        <v>613.68982259130496</v>
      </c>
      <c r="Q59" s="269">
        <f>P59*$R$4</f>
        <v>310527.05023120029</v>
      </c>
      <c r="R59" s="308">
        <f t="shared" si="12"/>
        <v>310527.05023120029</v>
      </c>
      <c r="S59" s="128">
        <f t="shared" si="13"/>
        <v>305356.37687854317</v>
      </c>
      <c r="T59" s="149" t="s">
        <v>12</v>
      </c>
      <c r="U59" s="142" t="s">
        <v>12</v>
      </c>
    </row>
    <row r="60" spans="2:21" x14ac:dyDescent="0.25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6072</v>
      </c>
      <c r="L60" s="328">
        <f t="shared" si="10"/>
        <v>6072</v>
      </c>
      <c r="M60" s="61" t="s">
        <v>12</v>
      </c>
      <c r="N60" s="348">
        <f>$I$60*$O$4</f>
        <v>6072</v>
      </c>
      <c r="O60" s="349">
        <f t="shared" si="11"/>
        <v>6072</v>
      </c>
      <c r="P60" s="293" t="s">
        <v>12</v>
      </c>
      <c r="Q60" s="327">
        <f>$I$60*$R$4</f>
        <v>6072</v>
      </c>
      <c r="R60" s="328">
        <f t="shared" si="12"/>
        <v>6072</v>
      </c>
      <c r="S60" s="129">
        <f t="shared" si="13"/>
        <v>6072</v>
      </c>
      <c r="T60" s="136" t="s">
        <v>12</v>
      </c>
      <c r="U60" s="147" t="s">
        <v>12</v>
      </c>
    </row>
    <row r="61" spans="2:21" ht="13.8" thickBot="1" x14ac:dyDescent="0.3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769.95705372477175</v>
      </c>
      <c r="K61" s="269">
        <f>J61*$L$4</f>
        <v>389598.2691847345</v>
      </c>
      <c r="L61" s="308">
        <f t="shared" si="10"/>
        <v>389598.2691847345</v>
      </c>
      <c r="M61" s="84">
        <f>HLOOKUP(Labor!$B$11,InflationTable,3)*$I$61</f>
        <v>790.98661461453696</v>
      </c>
      <c r="N61" s="63">
        <f>M61*$O$4</f>
        <v>400239.22699495568</v>
      </c>
      <c r="O61" s="95">
        <f t="shared" si="11"/>
        <v>400239.22699495568</v>
      </c>
      <c r="P61" s="268">
        <f>HLOOKUP(Labor!$B$11,InflationTable,4)*$I$61</f>
        <v>800.46498598865867</v>
      </c>
      <c r="Q61" s="269">
        <f>P61*$R$4</f>
        <v>405035.2829102613</v>
      </c>
      <c r="R61" s="308">
        <f t="shared" si="12"/>
        <v>405035.2829102613</v>
      </c>
      <c r="S61" s="128">
        <f t="shared" si="13"/>
        <v>398290.92636331712</v>
      </c>
      <c r="T61" s="149" t="s">
        <v>12</v>
      </c>
      <c r="U61" s="142" t="s">
        <v>12</v>
      </c>
    </row>
    <row r="62" spans="2:21" x14ac:dyDescent="0.25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2024</v>
      </c>
      <c r="L62" s="328">
        <f t="shared" si="10"/>
        <v>2024</v>
      </c>
      <c r="M62" s="61" t="s">
        <v>12</v>
      </c>
      <c r="N62" s="348">
        <f>$I$62*$O$4</f>
        <v>2024</v>
      </c>
      <c r="O62" s="349">
        <f t="shared" si="11"/>
        <v>2024</v>
      </c>
      <c r="P62" s="293" t="s">
        <v>12</v>
      </c>
      <c r="Q62" s="327">
        <f>$I$62*$R$4</f>
        <v>2024</v>
      </c>
      <c r="R62" s="328">
        <f t="shared" si="12"/>
        <v>2024</v>
      </c>
      <c r="S62" s="129">
        <f t="shared" si="13"/>
        <v>2024</v>
      </c>
      <c r="T62" s="136" t="s">
        <v>12</v>
      </c>
      <c r="U62" s="147" t="s">
        <v>12</v>
      </c>
    </row>
    <row r="63" spans="2:21" ht="13.8" thickBot="1" x14ac:dyDescent="0.3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248.54754014975089</v>
      </c>
      <c r="K63" s="269">
        <f>J63*$L$4</f>
        <v>125765.05531577395</v>
      </c>
      <c r="L63" s="300">
        <f t="shared" si="10"/>
        <v>125765.05531577395</v>
      </c>
      <c r="M63" s="84">
        <f>HLOOKUP(Labor!$B$11,InflationTable,3)*$I$63</f>
        <v>255.33602998083299</v>
      </c>
      <c r="N63" s="63">
        <f>M63*$O$4</f>
        <v>129200.03117030149</v>
      </c>
      <c r="O63" s="98">
        <f t="shared" si="11"/>
        <v>129200.03117030149</v>
      </c>
      <c r="P63" s="268">
        <f>HLOOKUP(Labor!$B$11,InflationTable,4)*$I$63</f>
        <v>258.39571477528631</v>
      </c>
      <c r="Q63" s="269">
        <f>P63*$R$4</f>
        <v>130748.23167629488</v>
      </c>
      <c r="R63" s="300">
        <f t="shared" si="12"/>
        <v>130748.23167629488</v>
      </c>
      <c r="S63" s="128">
        <f t="shared" si="13"/>
        <v>128571.10605412343</v>
      </c>
      <c r="T63" s="137" t="s">
        <v>12</v>
      </c>
      <c r="U63" s="142" t="s">
        <v>12</v>
      </c>
    </row>
    <row r="64" spans="2:21" x14ac:dyDescent="0.25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19734</v>
      </c>
      <c r="L64" s="312">
        <f>L56+L58+L60+L62</f>
        <v>19734</v>
      </c>
      <c r="M64" s="85" t="s">
        <v>12</v>
      </c>
      <c r="N64" s="33">
        <f>N56+N58+N60+N62</f>
        <v>19734</v>
      </c>
      <c r="O64" s="99">
        <f>O56+O58+O60+O62</f>
        <v>19734</v>
      </c>
      <c r="P64" s="301" t="s">
        <v>12</v>
      </c>
      <c r="Q64" s="285">
        <f>Q56+Q58+Q60+Q62</f>
        <v>19734</v>
      </c>
      <c r="R64" s="312">
        <f>R56+R58+R60+R62</f>
        <v>19734</v>
      </c>
      <c r="S64" s="129">
        <f t="shared" si="13"/>
        <v>19734</v>
      </c>
      <c r="T64" s="136" t="s">
        <v>12</v>
      </c>
      <c r="U64" s="147" t="s">
        <v>12</v>
      </c>
    </row>
    <row r="65" spans="2:22" ht="13.8" thickBot="1" x14ac:dyDescent="0.3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2467.9149774651896</v>
      </c>
      <c r="K65" s="275">
        <f>K57+K59+K61+K63</f>
        <v>1248764.9785973858</v>
      </c>
      <c r="L65" s="276">
        <f>L57+L59+L61+L63</f>
        <v>1248764.9785973858</v>
      </c>
      <c r="M65" s="242">
        <f>M57+M59+M61+M63</f>
        <v>2535.3202542118579</v>
      </c>
      <c r="N65" s="240">
        <f>N57+N59+N61+N63</f>
        <v>1282872.0486312001</v>
      </c>
      <c r="O65" s="243">
        <f>O57+O59+O61+O63</f>
        <v>1282872.0486312001</v>
      </c>
      <c r="P65" s="313">
        <f>P57+P59+P61+P63</f>
        <v>2565.7009287741744</v>
      </c>
      <c r="Q65" s="275">
        <f>Q57+Q59+Q61+Q63</f>
        <v>1298244.6699597323</v>
      </c>
      <c r="R65" s="276">
        <f>R57+R59+R61+R63</f>
        <v>1298244.6699597323</v>
      </c>
      <c r="S65" s="255">
        <f t="shared" si="13"/>
        <v>1276627.232396106</v>
      </c>
      <c r="T65" s="249" t="s">
        <v>12</v>
      </c>
      <c r="U65" s="224" t="s">
        <v>12</v>
      </c>
    </row>
    <row r="66" spans="2:22" ht="13.8" thickTop="1" x14ac:dyDescent="0.25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8" thickBot="1" x14ac:dyDescent="0.3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8.2" thickTop="1" thickBot="1" x14ac:dyDescent="0.35">
      <c r="B68" s="564" t="s">
        <v>28</v>
      </c>
      <c r="C68" s="5"/>
      <c r="D68" s="5"/>
      <c r="E68" s="5"/>
      <c r="F68" s="112" t="s">
        <v>6</v>
      </c>
      <c r="G68" s="1415"/>
      <c r="H68" s="1416"/>
      <c r="I68" s="1417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 x14ac:dyDescent="0.25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22" t="s">
        <v>57</v>
      </c>
      <c r="L69" s="1423"/>
      <c r="M69" s="57" t="s">
        <v>61</v>
      </c>
      <c r="N69" s="1432" t="s">
        <v>57</v>
      </c>
      <c r="O69" s="1436"/>
      <c r="P69" s="318" t="s">
        <v>61</v>
      </c>
      <c r="Q69" s="1422" t="s">
        <v>57</v>
      </c>
      <c r="R69" s="1423"/>
      <c r="S69" s="170"/>
      <c r="T69" s="133"/>
      <c r="U69" s="37"/>
    </row>
    <row r="70" spans="2:22" x14ac:dyDescent="0.25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 x14ac:dyDescent="0.25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18216</v>
      </c>
      <c r="L71" s="289">
        <f>K71</f>
        <v>18216</v>
      </c>
      <c r="M71" s="58" t="s">
        <v>12</v>
      </c>
      <c r="N71" s="69">
        <f>$I$71*$O$4</f>
        <v>18216</v>
      </c>
      <c r="O71" s="68">
        <f>N71</f>
        <v>18216</v>
      </c>
      <c r="P71" s="263" t="s">
        <v>12</v>
      </c>
      <c r="Q71" s="281">
        <f>$I$71*$O$4</f>
        <v>18216</v>
      </c>
      <c r="R71" s="289">
        <f>Q71</f>
        <v>18216</v>
      </c>
      <c r="S71" s="121">
        <f>AVERAGE(L71,O71,R71)</f>
        <v>18216</v>
      </c>
      <c r="T71" s="135" t="s">
        <v>12</v>
      </c>
      <c r="U71" s="136" t="s">
        <v>12</v>
      </c>
    </row>
    <row r="72" spans="2:22" ht="13.8" thickBot="1" x14ac:dyDescent="0.3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2528.701060653987</v>
      </c>
      <c r="K72" s="269">
        <f>J72*$L$4</f>
        <v>1279522.7366909175</v>
      </c>
      <c r="L72" s="308">
        <f>K72</f>
        <v>1279522.7366909175</v>
      </c>
      <c r="M72" s="362">
        <f>HLOOKUP(Labor!$B$11,InflationTable,3)*$I$72</f>
        <v>2597.7665658919532</v>
      </c>
      <c r="N72" s="63">
        <f>M72*$O$4</f>
        <v>1314469.8823413283</v>
      </c>
      <c r="O72" s="95">
        <f>N72</f>
        <v>1314469.8823413283</v>
      </c>
      <c r="P72" s="268">
        <f>HLOOKUP(Labor!$B$11,InflationTable,4)*$I72</f>
        <v>2628.8955329311739</v>
      </c>
      <c r="Q72" s="269">
        <f>P72*$R$4</f>
        <v>1330221.139663174</v>
      </c>
      <c r="R72" s="308">
        <f>Q72</f>
        <v>1330221.139663174</v>
      </c>
      <c r="S72" s="128">
        <f>AVERAGE(L72,O72,R72)</f>
        <v>1308071.2528984733</v>
      </c>
      <c r="T72" s="137" t="s">
        <v>12</v>
      </c>
      <c r="U72" s="149" t="s">
        <v>12</v>
      </c>
    </row>
    <row r="73" spans="2:22" x14ac:dyDescent="0.25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13156</v>
      </c>
      <c r="L73" s="328">
        <f>K73</f>
        <v>13156</v>
      </c>
      <c r="M73" s="61" t="s">
        <v>12</v>
      </c>
      <c r="N73" s="348">
        <f>$I$73*$O$4</f>
        <v>13156</v>
      </c>
      <c r="O73" s="349">
        <f>N73</f>
        <v>13156</v>
      </c>
      <c r="P73" s="293" t="s">
        <v>12</v>
      </c>
      <c r="Q73" s="327">
        <f>$I$73*$O$4</f>
        <v>13156</v>
      </c>
      <c r="R73" s="328">
        <f>Q73</f>
        <v>13156</v>
      </c>
      <c r="S73" s="129">
        <f>AVERAGE(L73,O73,R73)</f>
        <v>13156</v>
      </c>
      <c r="T73" s="135" t="s">
        <v>12</v>
      </c>
      <c r="U73" s="136" t="s">
        <v>12</v>
      </c>
    </row>
    <row r="74" spans="2:22" ht="13.8" thickBot="1" x14ac:dyDescent="0.3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1434.5515632556273</v>
      </c>
      <c r="K74" s="269">
        <f>J74*$L$4</f>
        <v>725883.09100734745</v>
      </c>
      <c r="L74" s="308">
        <f>K74</f>
        <v>725883.09100734745</v>
      </c>
      <c r="M74" s="362">
        <f>HLOOKUP(Labor!$B$11,InflationTable,3)*$I$74</f>
        <v>1473.7329556502427</v>
      </c>
      <c r="N74" s="63">
        <f>M74*$O$4</f>
        <v>745708.87555902277</v>
      </c>
      <c r="O74" s="95">
        <f>N74</f>
        <v>745708.87555902277</v>
      </c>
      <c r="P74" s="268">
        <f>HLOOKUP(Labor!$B$11,InflationTable,4)*$I74</f>
        <v>1491.3926581051851</v>
      </c>
      <c r="Q74" s="269">
        <f>P74*$R$4</f>
        <v>754644.6850012237</v>
      </c>
      <c r="R74" s="308">
        <f>Q74</f>
        <v>754644.6850012237</v>
      </c>
      <c r="S74" s="128">
        <f>AVERAGE(L74,O74,R74)</f>
        <v>742078.88385586475</v>
      </c>
      <c r="T74" s="137" t="s">
        <v>12</v>
      </c>
      <c r="U74" s="149" t="s">
        <v>12</v>
      </c>
    </row>
    <row r="75" spans="2:22" x14ac:dyDescent="0.25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 x14ac:dyDescent="0.25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2024</v>
      </c>
      <c r="L76" s="289">
        <f t="shared" ref="L76:L81" si="16">K76</f>
        <v>2024</v>
      </c>
      <c r="M76" s="58" t="s">
        <v>12</v>
      </c>
      <c r="N76" s="69">
        <f>$I76*$O$4</f>
        <v>2024</v>
      </c>
      <c r="O76" s="68">
        <f t="shared" ref="O76:O81" si="17">N76</f>
        <v>2024</v>
      </c>
      <c r="P76" s="263" t="s">
        <v>12</v>
      </c>
      <c r="Q76" s="281">
        <f>$I76*$O$4</f>
        <v>2024</v>
      </c>
      <c r="R76" s="289">
        <f t="shared" ref="R76:R81" si="18">Q76</f>
        <v>2024</v>
      </c>
      <c r="S76" s="121">
        <f t="shared" ref="S76:S81" si="19">AVERAGE(L76,O76,R76)</f>
        <v>2024</v>
      </c>
      <c r="T76" s="135" t="s">
        <v>12</v>
      </c>
      <c r="U76" s="136" t="s">
        <v>12</v>
      </c>
    </row>
    <row r="77" spans="2:22" ht="13.8" thickBot="1" x14ac:dyDescent="0.3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283.66838821438961</v>
      </c>
      <c r="K77" s="269">
        <f>J77*$L$4</f>
        <v>143536.20443648114</v>
      </c>
      <c r="L77" s="308">
        <f t="shared" si="16"/>
        <v>143536.20443648114</v>
      </c>
      <c r="M77" s="362">
        <f>HLOOKUP(Labor!$B$11,InflationTable,3)*$I77</f>
        <v>291.41612117377679</v>
      </c>
      <c r="N77" s="63">
        <f>M77*$O$4</f>
        <v>147456.55731393106</v>
      </c>
      <c r="O77" s="95">
        <f t="shared" si="17"/>
        <v>147456.55731393106</v>
      </c>
      <c r="P77" s="268">
        <f>HLOOKUP(Labor!$B$11,InflationTable,4)*$I77</f>
        <v>294.90815273266372</v>
      </c>
      <c r="Q77" s="269">
        <f>P77*$R$4</f>
        <v>149223.52528272785</v>
      </c>
      <c r="R77" s="308">
        <f t="shared" si="18"/>
        <v>149223.52528272785</v>
      </c>
      <c r="S77" s="128">
        <f t="shared" si="19"/>
        <v>146738.76234438</v>
      </c>
      <c r="T77" s="137" t="s">
        <v>12</v>
      </c>
      <c r="U77" s="149" t="s">
        <v>12</v>
      </c>
    </row>
    <row r="78" spans="2:22" x14ac:dyDescent="0.25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2530</v>
      </c>
      <c r="L78" s="328">
        <f t="shared" si="16"/>
        <v>2530</v>
      </c>
      <c r="M78" s="61" t="s">
        <v>12</v>
      </c>
      <c r="N78" s="348">
        <f>$I78*$O$4</f>
        <v>2530</v>
      </c>
      <c r="O78" s="349">
        <f t="shared" si="17"/>
        <v>2530</v>
      </c>
      <c r="P78" s="293" t="s">
        <v>12</v>
      </c>
      <c r="Q78" s="327">
        <f>$I78*$O$4</f>
        <v>2530</v>
      </c>
      <c r="R78" s="328">
        <f t="shared" si="18"/>
        <v>2530</v>
      </c>
      <c r="S78" s="129">
        <f t="shared" si="19"/>
        <v>2530</v>
      </c>
      <c r="T78" s="135" t="s">
        <v>12</v>
      </c>
      <c r="U78" s="136" t="s">
        <v>12</v>
      </c>
    </row>
    <row r="79" spans="2:22" ht="13.8" thickBot="1" x14ac:dyDescent="0.3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322.84164182494817</v>
      </c>
      <c r="K79" s="269">
        <f>J79*$L$4</f>
        <v>163357.87076342377</v>
      </c>
      <c r="L79" s="308">
        <f t="shared" si="16"/>
        <v>163357.87076342377</v>
      </c>
      <c r="M79" s="362">
        <f>HLOOKUP(Labor!$B$11,InflationTable,3)*$I79</f>
        <v>331.65929981206023</v>
      </c>
      <c r="N79" s="63">
        <f>M79*$O$4</f>
        <v>167819.60570490247</v>
      </c>
      <c r="O79" s="95">
        <f t="shared" si="17"/>
        <v>167819.60570490247</v>
      </c>
      <c r="P79" s="268">
        <f>HLOOKUP(Labor!$B$11,InflationTable,4)*$I79</f>
        <v>335.63356430050777</v>
      </c>
      <c r="Q79" s="269">
        <f>P79*$R$4</f>
        <v>169830.58353605692</v>
      </c>
      <c r="R79" s="308">
        <f t="shared" si="18"/>
        <v>169830.58353605692</v>
      </c>
      <c r="S79" s="172">
        <f t="shared" si="19"/>
        <v>167002.68666812772</v>
      </c>
      <c r="T79" s="118" t="s">
        <v>12</v>
      </c>
      <c r="U79" s="119" t="s">
        <v>12</v>
      </c>
    </row>
    <row r="80" spans="2:22" x14ac:dyDescent="0.25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3036</v>
      </c>
      <c r="L80" s="328">
        <f t="shared" si="16"/>
        <v>3036</v>
      </c>
      <c r="M80" s="61" t="s">
        <v>12</v>
      </c>
      <c r="N80" s="348">
        <f>$I80*$O$4</f>
        <v>3036</v>
      </c>
      <c r="O80" s="349">
        <f t="shared" si="17"/>
        <v>3036</v>
      </c>
      <c r="P80" s="293" t="s">
        <v>12</v>
      </c>
      <c r="Q80" s="327">
        <f>$I80*$O$4</f>
        <v>3036</v>
      </c>
      <c r="R80" s="328">
        <f t="shared" si="18"/>
        <v>3036</v>
      </c>
      <c r="S80" s="121">
        <f t="shared" si="19"/>
        <v>3036</v>
      </c>
      <c r="T80" s="135" t="s">
        <v>12</v>
      </c>
      <c r="U80" s="136" t="s">
        <v>12</v>
      </c>
    </row>
    <row r="81" spans="2:21" ht="13.8" thickBot="1" x14ac:dyDescent="0.3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424.15178047294444</v>
      </c>
      <c r="K81" s="269">
        <f>J81*$L$4</f>
        <v>214620.8009193099</v>
      </c>
      <c r="L81" s="308">
        <f t="shared" si="16"/>
        <v>214620.8009193099</v>
      </c>
      <c r="M81" s="362">
        <f>HLOOKUP(Labor!$B$11,InflationTable,3)*$I81</f>
        <v>435.73648594555198</v>
      </c>
      <c r="N81" s="63">
        <f>M81*$O$4</f>
        <v>220482.66188844931</v>
      </c>
      <c r="O81" s="95">
        <f t="shared" si="17"/>
        <v>220482.66188844931</v>
      </c>
      <c r="P81" s="268">
        <f>HLOOKUP(Labor!$B$11,InflationTable,4)*$I81</f>
        <v>440.95790456217338</v>
      </c>
      <c r="Q81" s="269">
        <f>P81*$R$4</f>
        <v>223124.69970845972</v>
      </c>
      <c r="R81" s="308">
        <f t="shared" si="18"/>
        <v>223124.69970845972</v>
      </c>
      <c r="S81" s="128">
        <f t="shared" si="19"/>
        <v>219409.38750540628</v>
      </c>
      <c r="T81" s="137" t="s">
        <v>12</v>
      </c>
      <c r="U81" s="149" t="s">
        <v>12</v>
      </c>
    </row>
    <row r="82" spans="2:21" x14ac:dyDescent="0.25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 x14ac:dyDescent="0.25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56.5</v>
      </c>
      <c r="L83" s="289">
        <f>K83</f>
        <v>56.5</v>
      </c>
      <c r="M83" s="58" t="s">
        <v>12</v>
      </c>
      <c r="N83" s="89">
        <f>$I83*M$5</f>
        <v>56.5</v>
      </c>
      <c r="O83" s="68">
        <f>N83</f>
        <v>56.5</v>
      </c>
      <c r="P83" s="263" t="s">
        <v>12</v>
      </c>
      <c r="Q83" s="314">
        <f>$I83*P$5</f>
        <v>56.5</v>
      </c>
      <c r="R83" s="289">
        <f>Q83</f>
        <v>56.5</v>
      </c>
      <c r="S83" s="121">
        <f>AVERAGE(L83,O83,R83)</f>
        <v>56.5</v>
      </c>
      <c r="T83" s="135" t="s">
        <v>12</v>
      </c>
      <c r="U83" s="136" t="s">
        <v>12</v>
      </c>
    </row>
    <row r="84" spans="2:21" ht="13.8" thickBot="1" x14ac:dyDescent="0.3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32.419244367358814</v>
      </c>
      <c r="K84" s="269">
        <f>J84*$J$5</f>
        <v>3663.3746135115462</v>
      </c>
      <c r="L84" s="308">
        <f>K84</f>
        <v>3663.3746135115462</v>
      </c>
      <c r="M84" s="362">
        <f>HLOOKUP(Labor!$B$11,InflationTable,3)*$I84</f>
        <v>33.304699562717346</v>
      </c>
      <c r="N84" s="63">
        <f>M84*$M$5</f>
        <v>3763.4310505870599</v>
      </c>
      <c r="O84" s="95">
        <f>N84</f>
        <v>3763.4310505870599</v>
      </c>
      <c r="P84" s="268">
        <f>HLOOKUP(Labor!$B$11,InflationTable,4)*$I84</f>
        <v>33.703788883732997</v>
      </c>
      <c r="Q84" s="269">
        <f>P84*$P$5</f>
        <v>3808.5281438618285</v>
      </c>
      <c r="R84" s="308">
        <f>Q84</f>
        <v>3808.5281438618285</v>
      </c>
      <c r="S84" s="132">
        <f>AVERAGE(L84,O84,R84)</f>
        <v>3745.1112693201449</v>
      </c>
      <c r="T84" s="137" t="s">
        <v>12</v>
      </c>
      <c r="U84" s="149" t="s">
        <v>12</v>
      </c>
    </row>
    <row r="85" spans="2:21" x14ac:dyDescent="0.25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4" t="s">
        <v>57</v>
      </c>
      <c r="O85" s="1435"/>
      <c r="P85" s="259" t="s">
        <v>55</v>
      </c>
      <c r="Q85" s="1431" t="s">
        <v>57</v>
      </c>
      <c r="R85" s="1439"/>
      <c r="S85" s="170"/>
      <c r="T85" s="133"/>
      <c r="U85" s="37"/>
    </row>
    <row r="86" spans="2:21" x14ac:dyDescent="0.25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1695</v>
      </c>
      <c r="L86" s="282">
        <f>K86/$E$85</f>
        <v>339</v>
      </c>
      <c r="M86" s="58" t="s">
        <v>12</v>
      </c>
      <c r="N86" s="60">
        <f>$I$86*$M$5</f>
        <v>1695</v>
      </c>
      <c r="O86" s="59">
        <f>N86/$E$85</f>
        <v>339</v>
      </c>
      <c r="P86" s="263" t="s">
        <v>12</v>
      </c>
      <c r="Q86" s="283">
        <f>$I$86*$P$5</f>
        <v>1695</v>
      </c>
      <c r="R86" s="282">
        <f>Q86/$E$85</f>
        <v>339</v>
      </c>
      <c r="S86" s="121">
        <f>AVERAGE(L86,O86,R86)</f>
        <v>339</v>
      </c>
      <c r="T86" s="135" t="s">
        <v>12</v>
      </c>
      <c r="U86" s="136" t="s">
        <v>12</v>
      </c>
    </row>
    <row r="87" spans="2:21" ht="13.8" thickBot="1" x14ac:dyDescent="0.3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1102.2543084901995</v>
      </c>
      <c r="K87" s="269">
        <f>J87*$J$5</f>
        <v>124554.73685939255</v>
      </c>
      <c r="L87" s="270">
        <f>K87/$E$85</f>
        <v>24910.947371878508</v>
      </c>
      <c r="M87" s="91">
        <f>HLOOKUP(Labor!$B$11,InflationTable,3)*$I87</f>
        <v>1132.3597851323898</v>
      </c>
      <c r="N87" s="63">
        <f>M87*$M$5</f>
        <v>127956.65571996005</v>
      </c>
      <c r="O87" s="64">
        <f>N87/$E$85</f>
        <v>25591.331143992011</v>
      </c>
      <c r="P87" s="292">
        <f>HLOOKUP(Labor!$B$11,InflationTable,4)*$I87</f>
        <v>1145.9288220469218</v>
      </c>
      <c r="Q87" s="269">
        <f>P87*$P$5</f>
        <v>129489.95689130216</v>
      </c>
      <c r="R87" s="270">
        <f>Q87/$E$85</f>
        <v>25897.991378260434</v>
      </c>
      <c r="S87" s="128">
        <f>AVERAGE(L87,O87,R87)</f>
        <v>25466.756631376989</v>
      </c>
      <c r="T87" s="137" t="s">
        <v>12</v>
      </c>
      <c r="U87" s="149" t="s">
        <v>12</v>
      </c>
    </row>
    <row r="88" spans="2:21" x14ac:dyDescent="0.25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39357.5</v>
      </c>
      <c r="M88" s="92" t="s">
        <v>12</v>
      </c>
      <c r="N88" s="42" t="s">
        <v>12</v>
      </c>
      <c r="O88" s="90">
        <f>O86+N83+N80+N78+N76+N73+N71</f>
        <v>39357.5</v>
      </c>
      <c r="P88" s="293" t="s">
        <v>12</v>
      </c>
      <c r="Q88" s="315" t="s">
        <v>12</v>
      </c>
      <c r="R88" s="316">
        <f>R86+Q83+Q80+Q78+Q76+Q73+Q71</f>
        <v>39357.5</v>
      </c>
      <c r="S88" s="150">
        <f>AVERAGE(L88,O88,R88)</f>
        <v>39357.5</v>
      </c>
      <c r="T88" s="133"/>
      <c r="U88" s="37"/>
    </row>
    <row r="89" spans="2:21" ht="13.8" thickBot="1" x14ac:dyDescent="0.3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6128.5879872794558</v>
      </c>
      <c r="K89" s="317" t="s">
        <v>12</v>
      </c>
      <c r="L89" s="306">
        <f>L87+K84+K81+K79+K77+K74+K72</f>
        <v>2555495.0258028698</v>
      </c>
      <c r="M89" s="242">
        <f>M72+M74+M77+M79+M81+M84+M87</f>
        <v>6295.9759131686915</v>
      </c>
      <c r="N89" s="256" t="s">
        <v>12</v>
      </c>
      <c r="O89" s="254">
        <f>O87+N84+N81+N79+N77+N74+N72</f>
        <v>2625292.3450022126</v>
      </c>
      <c r="P89" s="274">
        <f>P72+P74+P77+P79+P81+P84+P87</f>
        <v>6371.4204235623583</v>
      </c>
      <c r="Q89" s="317" t="s">
        <v>12</v>
      </c>
      <c r="R89" s="306">
        <f>R87+Q84+Q81+Q79+Q77+Q74+Q72</f>
        <v>2656751.1527137645</v>
      </c>
      <c r="S89" s="248">
        <f>AVERAGE(L89,O89,R89)</f>
        <v>2612512.8411729489</v>
      </c>
      <c r="T89" s="246"/>
      <c r="U89" s="236"/>
    </row>
    <row r="90" spans="2:21" ht="14.4" thickTop="1" thickBot="1" x14ac:dyDescent="0.3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2" thickTop="1" x14ac:dyDescent="0.3">
      <c r="B91" s="562" t="s">
        <v>30</v>
      </c>
      <c r="C91" s="5"/>
      <c r="D91" s="5"/>
      <c r="E91" s="5"/>
      <c r="F91" s="112" t="s">
        <v>6</v>
      </c>
      <c r="G91" s="1415"/>
      <c r="H91" s="1416"/>
      <c r="I91" s="1417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 x14ac:dyDescent="0.25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22" t="s">
        <v>57</v>
      </c>
      <c r="L92" s="1423"/>
      <c r="M92" s="57" t="s">
        <v>61</v>
      </c>
      <c r="N92" s="1432" t="s">
        <v>57</v>
      </c>
      <c r="O92" s="1436"/>
      <c r="P92" s="318" t="s">
        <v>61</v>
      </c>
      <c r="Q92" s="1431" t="s">
        <v>57</v>
      </c>
      <c r="R92" s="1439"/>
      <c r="S92" s="131"/>
      <c r="T92" s="133"/>
      <c r="U92" s="37"/>
    </row>
    <row r="93" spans="2:21" x14ac:dyDescent="0.25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 x14ac:dyDescent="0.25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6072</v>
      </c>
      <c r="L94" s="289">
        <f>K94</f>
        <v>6072</v>
      </c>
      <c r="M94" s="58" t="s">
        <v>12</v>
      </c>
      <c r="N94" s="69">
        <f>$I94*O$4</f>
        <v>6072</v>
      </c>
      <c r="O94" s="59">
        <f>N94</f>
        <v>6072</v>
      </c>
      <c r="P94" s="263" t="s">
        <v>12</v>
      </c>
      <c r="Q94" s="281">
        <f>$I94*R$4</f>
        <v>6072</v>
      </c>
      <c r="R94" s="289">
        <f>Q94</f>
        <v>6072</v>
      </c>
      <c r="S94" s="173">
        <f t="shared" ref="S94:S99" si="21">AVERAGE(L94,O94,R94)</f>
        <v>6072</v>
      </c>
      <c r="T94" s="135" t="s">
        <v>12</v>
      </c>
      <c r="U94" s="136" t="s">
        <v>12</v>
      </c>
    </row>
    <row r="95" spans="2:21" ht="13.8" thickBot="1" x14ac:dyDescent="0.3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915.84365337788643</v>
      </c>
      <c r="K95" s="269">
        <f>J95*$L$4</f>
        <v>463416.88860921055</v>
      </c>
      <c r="L95" s="308">
        <f>K95</f>
        <v>463416.88860921055</v>
      </c>
      <c r="M95" s="84">
        <f>HLOOKUP(Labor!$B$11,InflationTable,3)*$I95</f>
        <v>940.85776264676508</v>
      </c>
      <c r="N95" s="63">
        <f>M95*O$4</f>
        <v>476074.02789926314</v>
      </c>
      <c r="O95" s="64">
        <f>N95</f>
        <v>476074.02789926314</v>
      </c>
      <c r="P95" s="268">
        <f>HLOOKUP(Labor!$B$11,InflationTable,4)*$I95</f>
        <v>952.13203596545713</v>
      </c>
      <c r="Q95" s="269">
        <f>P95*R$4</f>
        <v>481778.8101985213</v>
      </c>
      <c r="R95" s="308">
        <f>Q95</f>
        <v>481778.8101985213</v>
      </c>
      <c r="S95" s="171">
        <f t="shared" si="21"/>
        <v>473756.57556899829</v>
      </c>
      <c r="T95" s="137" t="s">
        <v>12</v>
      </c>
      <c r="U95" s="149" t="s">
        <v>12</v>
      </c>
    </row>
    <row r="96" spans="2:21" x14ac:dyDescent="0.25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15180</v>
      </c>
      <c r="L96" s="328">
        <f>K96</f>
        <v>15180</v>
      </c>
      <c r="M96" s="61" t="s">
        <v>12</v>
      </c>
      <c r="N96" s="348">
        <f>$I96*O$4</f>
        <v>15180</v>
      </c>
      <c r="O96" s="349">
        <f>N96</f>
        <v>15180</v>
      </c>
      <c r="P96" s="293" t="s">
        <v>12</v>
      </c>
      <c r="Q96" s="327">
        <f>$I96*R$4</f>
        <v>15180</v>
      </c>
      <c r="R96" s="328">
        <f>Q96</f>
        <v>15180</v>
      </c>
      <c r="S96" s="173">
        <f t="shared" si="21"/>
        <v>15180</v>
      </c>
      <c r="T96" s="135" t="s">
        <v>12</v>
      </c>
      <c r="U96" s="136" t="s">
        <v>12</v>
      </c>
    </row>
    <row r="97" spans="2:22" ht="13.8" thickBot="1" x14ac:dyDescent="0.3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1943.8038601928888</v>
      </c>
      <c r="K97" s="269">
        <f>J97*$L$4</f>
        <v>983564.75325760175</v>
      </c>
      <c r="L97" s="300">
        <f>K97</f>
        <v>983564.75325760175</v>
      </c>
      <c r="M97" s="84">
        <f>HLOOKUP(Labor!$B$11,InflationTable,3)*$I97</f>
        <v>1996.8942779479275</v>
      </c>
      <c r="N97" s="63">
        <f>M97*O$4</f>
        <v>1010428.5046416513</v>
      </c>
      <c r="O97" s="64">
        <f>N97</f>
        <v>1010428.5046416513</v>
      </c>
      <c r="P97" s="292">
        <f>HLOOKUP(Labor!$B$11,InflationTable,4)*$I97</f>
        <v>2020.8230084871575</v>
      </c>
      <c r="Q97" s="269">
        <f>P97*R$4</f>
        <v>1022536.4422945017</v>
      </c>
      <c r="R97" s="300">
        <f>Q97</f>
        <v>1022536.4422945017</v>
      </c>
      <c r="S97" s="128">
        <f t="shared" si="21"/>
        <v>1005509.9000645849</v>
      </c>
      <c r="T97" s="137" t="s">
        <v>12</v>
      </c>
      <c r="U97" s="149" t="s">
        <v>12</v>
      </c>
    </row>
    <row r="98" spans="2:22" x14ac:dyDescent="0.25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21252</v>
      </c>
      <c r="L98" s="321">
        <f>L94+L96</f>
        <v>21252</v>
      </c>
      <c r="M98" s="85" t="s">
        <v>12</v>
      </c>
      <c r="N98" s="36">
        <f>N94+N96</f>
        <v>21252</v>
      </c>
      <c r="O98" s="100">
        <f>O94+O96</f>
        <v>21252</v>
      </c>
      <c r="P98" s="301" t="s">
        <v>12</v>
      </c>
      <c r="Q98" s="320">
        <f>Q94+Q96</f>
        <v>21252</v>
      </c>
      <c r="R98" s="322">
        <f>R94+R96</f>
        <v>21252</v>
      </c>
      <c r="S98" s="121">
        <f t="shared" si="21"/>
        <v>21252</v>
      </c>
      <c r="T98" s="135" t="s">
        <v>12</v>
      </c>
      <c r="U98" s="136" t="s">
        <v>12</v>
      </c>
    </row>
    <row r="99" spans="2:22" ht="13.8" thickBot="1" x14ac:dyDescent="0.3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2859.6475135707751</v>
      </c>
      <c r="K99" s="275">
        <f>K95+K97</f>
        <v>1446981.6418668122</v>
      </c>
      <c r="L99" s="276">
        <f>L95+L97</f>
        <v>1446981.6418668122</v>
      </c>
      <c r="M99" s="242">
        <f>M95+M97</f>
        <v>2937.7520405946925</v>
      </c>
      <c r="N99" s="240">
        <f>N95+N97</f>
        <v>1486502.5325409144</v>
      </c>
      <c r="O99" s="243">
        <f>O95+O97</f>
        <v>1486502.5325409144</v>
      </c>
      <c r="P99" s="313">
        <f>P95+P97</f>
        <v>2972.9550444526149</v>
      </c>
      <c r="Q99" s="275">
        <f>Q95+Q97</f>
        <v>1504315.2524930229</v>
      </c>
      <c r="R99" s="276">
        <f>R95+R97</f>
        <v>1504315.2524930229</v>
      </c>
      <c r="S99" s="257">
        <f t="shared" si="21"/>
        <v>1479266.4756335833</v>
      </c>
      <c r="T99" s="258" t="s">
        <v>12</v>
      </c>
      <c r="U99" s="249" t="s">
        <v>12</v>
      </c>
    </row>
    <row r="100" spans="2:22" ht="14.4" thickTop="1" thickBot="1" x14ac:dyDescent="0.3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8.600000000000001" thickTop="1" thickBot="1" x14ac:dyDescent="0.35">
      <c r="B101" s="556" t="s">
        <v>121</v>
      </c>
      <c r="C101" s="234" t="str">
        <f>C2</f>
        <v>SO2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2019</v>
      </c>
      <c r="L101" s="83"/>
      <c r="M101" s="79" t="str">
        <f>M2</f>
        <v>Year 2</v>
      </c>
      <c r="N101" s="79">
        <f>N2</f>
        <v>2020</v>
      </c>
      <c r="O101" s="41"/>
      <c r="P101" s="233" t="str">
        <f>P2</f>
        <v>Year 3</v>
      </c>
      <c r="Q101" s="233">
        <f>Q2</f>
        <v>2021</v>
      </c>
      <c r="R101" s="83"/>
      <c r="S101" s="152"/>
      <c r="T101" s="130"/>
      <c r="U101" s="570"/>
    </row>
    <row r="102" spans="2:22" ht="13.8" thickBot="1" x14ac:dyDescent="0.3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 x14ac:dyDescent="0.25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si="23"/>
        <v>NA</v>
      </c>
      <c r="K103" s="327">
        <f t="shared" si="23"/>
        <v>4294</v>
      </c>
      <c r="L103" s="328">
        <f t="shared" si="23"/>
        <v>613.42857142857144</v>
      </c>
      <c r="M103" s="186" t="str">
        <f t="shared" si="23"/>
        <v>NA</v>
      </c>
      <c r="N103" s="184">
        <f t="shared" si="23"/>
        <v>4294</v>
      </c>
      <c r="O103" s="185">
        <f t="shared" si="23"/>
        <v>613.42857142857144</v>
      </c>
      <c r="P103" s="326" t="str">
        <f t="shared" si="23"/>
        <v>NA</v>
      </c>
      <c r="Q103" s="327">
        <f t="shared" si="23"/>
        <v>4294</v>
      </c>
      <c r="R103" s="328">
        <f t="shared" si="23"/>
        <v>613.42857142857144</v>
      </c>
      <c r="S103" s="185">
        <f t="shared" si="23"/>
        <v>613.42857142857144</v>
      </c>
      <c r="T103" s="37"/>
      <c r="U103" s="138"/>
    </row>
    <row r="104" spans="2:22" ht="13.8" thickBot="1" x14ac:dyDescent="0.3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690</v>
      </c>
      <c r="G104" s="204">
        <f t="shared" si="24"/>
        <v>777</v>
      </c>
      <c r="H104" s="204">
        <f t="shared" si="24"/>
        <v>586</v>
      </c>
      <c r="I104" s="205">
        <f t="shared" si="24"/>
        <v>2053</v>
      </c>
      <c r="J104" s="329">
        <f t="shared" si="24"/>
        <v>2773.1961952578181</v>
      </c>
      <c r="K104" s="330">
        <f t="shared" si="24"/>
        <v>313371.17006413348</v>
      </c>
      <c r="L104" s="331">
        <f t="shared" si="24"/>
        <v>44767.31000916192</v>
      </c>
      <c r="M104" s="203">
        <f t="shared" si="24"/>
        <v>2848.9395084274461</v>
      </c>
      <c r="N104" s="204">
        <f t="shared" si="24"/>
        <v>321930.1644523014</v>
      </c>
      <c r="O104" s="205">
        <f t="shared" si="24"/>
        <v>45990.023493185916</v>
      </c>
      <c r="P104" s="329">
        <f t="shared" si="24"/>
        <v>2883.0782740959935</v>
      </c>
      <c r="Q104" s="330">
        <f t="shared" si="24"/>
        <v>325787.84497284726</v>
      </c>
      <c r="R104" s="331">
        <f t="shared" si="24"/>
        <v>46541.120710406751</v>
      </c>
      <c r="S104" s="205">
        <f t="shared" si="24"/>
        <v>45766.151404251526</v>
      </c>
      <c r="T104" s="206" t="str">
        <f>T16</f>
        <v>NA</v>
      </c>
      <c r="U104" s="392" t="s">
        <v>12</v>
      </c>
    </row>
    <row r="105" spans="2:22" x14ac:dyDescent="0.25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10221.200000000001</v>
      </c>
      <c r="L105" s="328">
        <f t="shared" si="25"/>
        <v>1460.1714285714286</v>
      </c>
      <c r="M105" s="186" t="str">
        <f t="shared" si="25"/>
        <v>NA</v>
      </c>
      <c r="N105" s="184">
        <f t="shared" si="25"/>
        <v>10221.200000000001</v>
      </c>
      <c r="O105" s="185">
        <f t="shared" si="25"/>
        <v>1460.1714285714286</v>
      </c>
      <c r="P105" s="326" t="str">
        <f t="shared" si="25"/>
        <v>NA</v>
      </c>
      <c r="Q105" s="327">
        <f t="shared" si="25"/>
        <v>10221.200000000001</v>
      </c>
      <c r="R105" s="328">
        <f t="shared" si="25"/>
        <v>1460.1714285714286</v>
      </c>
      <c r="S105" s="185">
        <f t="shared" si="25"/>
        <v>1460.1714285714286</v>
      </c>
      <c r="T105" s="37"/>
      <c r="U105" s="138"/>
    </row>
    <row r="106" spans="2:22" ht="13.8" thickBot="1" x14ac:dyDescent="0.3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1184.6532212572365</v>
      </c>
      <c r="K106" s="296">
        <f t="shared" si="26"/>
        <v>0</v>
      </c>
      <c r="L106" s="297">
        <f t="shared" si="26"/>
        <v>1111853.897610575</v>
      </c>
      <c r="M106" s="207">
        <f t="shared" si="26"/>
        <v>1217.0092298542963</v>
      </c>
      <c r="N106" s="208">
        <f t="shared" si="26"/>
        <v>0</v>
      </c>
      <c r="O106" s="209">
        <f t="shared" si="26"/>
        <v>1141233.505143261</v>
      </c>
      <c r="P106" s="332">
        <f t="shared" si="26"/>
        <v>1231.5926187930766</v>
      </c>
      <c r="Q106" s="296">
        <f t="shared" si="26"/>
        <v>0</v>
      </c>
      <c r="R106" s="297">
        <f t="shared" si="26"/>
        <v>1154908.8756065271</v>
      </c>
      <c r="S106" s="209">
        <f t="shared" si="26"/>
        <v>87864.74270788279</v>
      </c>
      <c r="T106" s="210" t="str">
        <f>T29</f>
        <v>NA</v>
      </c>
      <c r="U106" s="575">
        <f>U29</f>
        <v>1048134.0167455715</v>
      </c>
    </row>
    <row r="107" spans="2:22" x14ac:dyDescent="0.25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60720</v>
      </c>
      <c r="L107" s="335">
        <f t="shared" si="27"/>
        <v>60720</v>
      </c>
      <c r="M107" s="199" t="str">
        <f t="shared" si="27"/>
        <v>NA</v>
      </c>
      <c r="N107" s="25">
        <f t="shared" si="27"/>
        <v>60720</v>
      </c>
      <c r="O107" s="198">
        <f t="shared" si="27"/>
        <v>60720</v>
      </c>
      <c r="P107" s="333" t="str">
        <f t="shared" si="27"/>
        <v>NA</v>
      </c>
      <c r="Q107" s="334">
        <f t="shared" si="27"/>
        <v>60720</v>
      </c>
      <c r="R107" s="335">
        <f t="shared" si="27"/>
        <v>60720</v>
      </c>
      <c r="S107" s="198">
        <f t="shared" si="27"/>
        <v>60720</v>
      </c>
      <c r="T107" s="200" t="str">
        <f>T21</f>
        <v>NA</v>
      </c>
      <c r="U107" s="147" t="s">
        <v>12</v>
      </c>
    </row>
    <row r="108" spans="2:22" ht="13.8" thickBot="1" x14ac:dyDescent="0.3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7967.0293032784284</v>
      </c>
      <c r="K108" s="296">
        <f t="shared" si="28"/>
        <v>4031316.8274588846</v>
      </c>
      <c r="L108" s="297">
        <f t="shared" si="28"/>
        <v>4031316.8274588846</v>
      </c>
      <c r="M108" s="207">
        <f t="shared" si="28"/>
        <v>8184.6299175377881</v>
      </c>
      <c r="N108" s="208">
        <f t="shared" si="28"/>
        <v>4141422.7382741207</v>
      </c>
      <c r="O108" s="209">
        <f t="shared" si="28"/>
        <v>4141422.7382741207</v>
      </c>
      <c r="P108" s="332">
        <f t="shared" si="28"/>
        <v>8282.7061181773843</v>
      </c>
      <c r="Q108" s="296">
        <f t="shared" si="28"/>
        <v>4191049.2957977559</v>
      </c>
      <c r="R108" s="297">
        <f t="shared" si="28"/>
        <v>4191049.2957977559</v>
      </c>
      <c r="S108" s="209">
        <f t="shared" si="28"/>
        <v>4121262.9538435875</v>
      </c>
      <c r="T108" s="209">
        <f>T39</f>
        <v>559004.80893097143</v>
      </c>
      <c r="U108" s="392" t="s">
        <v>12</v>
      </c>
    </row>
    <row r="109" spans="2:22" x14ac:dyDescent="0.25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34408</v>
      </c>
      <c r="L109" s="335">
        <f t="shared" si="29"/>
        <v>34408</v>
      </c>
      <c r="M109" s="199" t="str">
        <f t="shared" si="29"/>
        <v>NA</v>
      </c>
      <c r="N109" s="25">
        <f t="shared" si="29"/>
        <v>34408</v>
      </c>
      <c r="O109" s="198">
        <f t="shared" si="29"/>
        <v>34408</v>
      </c>
      <c r="P109" s="333" t="str">
        <f t="shared" si="29"/>
        <v>NA</v>
      </c>
      <c r="Q109" s="334">
        <f t="shared" si="29"/>
        <v>34408</v>
      </c>
      <c r="R109" s="335">
        <f t="shared" si="29"/>
        <v>34408</v>
      </c>
      <c r="S109" s="198">
        <f t="shared" si="29"/>
        <v>34408</v>
      </c>
      <c r="T109" s="37"/>
      <c r="U109" s="138"/>
    </row>
    <row r="110" spans="2:22" ht="13.8" thickBot="1" x14ac:dyDescent="0.3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5549.0939942129171</v>
      </c>
      <c r="K110" s="296">
        <f t="shared" si="30"/>
        <v>2807841.5610717358</v>
      </c>
      <c r="L110" s="297">
        <f t="shared" si="30"/>
        <v>2807841.5610717358</v>
      </c>
      <c r="M110" s="211">
        <f t="shared" si="30"/>
        <v>5700.6544084851203</v>
      </c>
      <c r="N110" s="208">
        <f t="shared" si="30"/>
        <v>2884531.1306934706</v>
      </c>
      <c r="O110" s="209">
        <f t="shared" si="30"/>
        <v>2884531.1306934706</v>
      </c>
      <c r="P110" s="332">
        <f t="shared" si="30"/>
        <v>5768.9651972656311</v>
      </c>
      <c r="Q110" s="296">
        <f t="shared" si="30"/>
        <v>2919096.389816409</v>
      </c>
      <c r="R110" s="297">
        <f t="shared" si="30"/>
        <v>2919096.389816409</v>
      </c>
      <c r="S110" s="209">
        <f t="shared" si="30"/>
        <v>2171733.6826968244</v>
      </c>
      <c r="T110" s="209">
        <f>T51</f>
        <v>698756.01116371434</v>
      </c>
      <c r="U110" s="576" t="s">
        <v>12</v>
      </c>
    </row>
    <row r="111" spans="2:22" x14ac:dyDescent="0.25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19734</v>
      </c>
      <c r="L111" s="335">
        <f t="shared" si="31"/>
        <v>19734</v>
      </c>
      <c r="M111" s="199" t="str">
        <f t="shared" si="31"/>
        <v>NA</v>
      </c>
      <c r="N111" s="25">
        <f t="shared" si="31"/>
        <v>19734</v>
      </c>
      <c r="O111" s="198">
        <f t="shared" si="31"/>
        <v>19734</v>
      </c>
      <c r="P111" s="333" t="str">
        <f t="shared" si="31"/>
        <v>NA</v>
      </c>
      <c r="Q111" s="334">
        <f t="shared" si="31"/>
        <v>19734</v>
      </c>
      <c r="R111" s="335">
        <f t="shared" si="31"/>
        <v>19734</v>
      </c>
      <c r="S111" s="198">
        <f t="shared" si="31"/>
        <v>19734</v>
      </c>
      <c r="T111" s="212" t="str">
        <f t="shared" si="31"/>
        <v>NA</v>
      </c>
      <c r="U111" s="577" t="str">
        <f t="shared" si="31"/>
        <v>NA</v>
      </c>
    </row>
    <row r="112" spans="2:22" ht="13.8" thickBot="1" x14ac:dyDescent="0.3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2467.9149774651896</v>
      </c>
      <c r="K112" s="296">
        <f t="shared" si="32"/>
        <v>1248764.9785973858</v>
      </c>
      <c r="L112" s="297">
        <f t="shared" si="32"/>
        <v>1248764.9785973858</v>
      </c>
      <c r="M112" s="207">
        <f t="shared" si="32"/>
        <v>2535.3202542118579</v>
      </c>
      <c r="N112" s="208">
        <f t="shared" si="32"/>
        <v>1282872.0486312001</v>
      </c>
      <c r="O112" s="209">
        <f t="shared" si="32"/>
        <v>1282872.0486312001</v>
      </c>
      <c r="P112" s="339">
        <f t="shared" si="32"/>
        <v>2565.7009287741744</v>
      </c>
      <c r="Q112" s="296">
        <f t="shared" si="32"/>
        <v>1298244.6699597323</v>
      </c>
      <c r="R112" s="297">
        <f t="shared" si="32"/>
        <v>1298244.6699597323</v>
      </c>
      <c r="S112" s="209">
        <f t="shared" si="32"/>
        <v>1276627.232396106</v>
      </c>
      <c r="T112" s="210" t="str">
        <f t="shared" si="32"/>
        <v>NA</v>
      </c>
      <c r="U112" s="392" t="s">
        <v>12</v>
      </c>
    </row>
    <row r="113" spans="2:21" x14ac:dyDescent="0.25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39357.5</v>
      </c>
      <c r="M113" s="216" t="str">
        <f t="shared" si="33"/>
        <v>NA</v>
      </c>
      <c r="N113" s="217" t="str">
        <f t="shared" si="33"/>
        <v>NA</v>
      </c>
      <c r="O113" s="215">
        <f t="shared" si="33"/>
        <v>39357.5</v>
      </c>
      <c r="P113" s="336" t="str">
        <f t="shared" si="33"/>
        <v>NA</v>
      </c>
      <c r="Q113" s="337" t="str">
        <f t="shared" si="33"/>
        <v>NA</v>
      </c>
      <c r="R113" s="294">
        <f t="shared" si="33"/>
        <v>39357.5</v>
      </c>
      <c r="S113" s="215">
        <f t="shared" si="33"/>
        <v>39357.5</v>
      </c>
      <c r="T113" s="136" t="s">
        <v>12</v>
      </c>
      <c r="U113" s="147" t="s">
        <v>12</v>
      </c>
    </row>
    <row r="114" spans="2:21" ht="13.8" thickBot="1" x14ac:dyDescent="0.3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6128.5879872794558</v>
      </c>
      <c r="K114" s="338" t="str">
        <f t="shared" si="34"/>
        <v>NA</v>
      </c>
      <c r="L114" s="297">
        <f t="shared" si="34"/>
        <v>2555495.0258028698</v>
      </c>
      <c r="M114" s="211">
        <f t="shared" si="34"/>
        <v>6295.9759131686915</v>
      </c>
      <c r="N114" s="219" t="str">
        <f t="shared" si="34"/>
        <v>NA</v>
      </c>
      <c r="O114" s="209">
        <f t="shared" si="34"/>
        <v>2625292.3450022126</v>
      </c>
      <c r="P114" s="332">
        <f t="shared" si="34"/>
        <v>6371.4204235623583</v>
      </c>
      <c r="Q114" s="338" t="str">
        <f t="shared" si="34"/>
        <v>NA</v>
      </c>
      <c r="R114" s="297">
        <f t="shared" si="34"/>
        <v>2656751.1527137645</v>
      </c>
      <c r="S114" s="209">
        <f t="shared" si="34"/>
        <v>2612512.8411729489</v>
      </c>
      <c r="T114" s="209">
        <f>T89</f>
        <v>0</v>
      </c>
      <c r="U114" s="392" t="s">
        <v>12</v>
      </c>
    </row>
    <row r="115" spans="2:21" x14ac:dyDescent="0.25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21252</v>
      </c>
      <c r="L115" s="335">
        <f t="shared" si="35"/>
        <v>21252</v>
      </c>
      <c r="M115" s="199" t="str">
        <f t="shared" si="35"/>
        <v>NA</v>
      </c>
      <c r="N115" s="25">
        <f t="shared" si="35"/>
        <v>21252</v>
      </c>
      <c r="O115" s="198">
        <f t="shared" si="35"/>
        <v>21252</v>
      </c>
      <c r="P115" s="333" t="str">
        <f t="shared" si="35"/>
        <v>NA</v>
      </c>
      <c r="Q115" s="334">
        <f t="shared" si="35"/>
        <v>21252</v>
      </c>
      <c r="R115" s="335">
        <f t="shared" si="35"/>
        <v>21252</v>
      </c>
      <c r="S115" s="198">
        <f t="shared" si="35"/>
        <v>21252</v>
      </c>
      <c r="T115" s="136" t="s">
        <v>12</v>
      </c>
      <c r="U115" s="147" t="s">
        <v>12</v>
      </c>
    </row>
    <row r="116" spans="2:21" ht="13.8" thickBot="1" x14ac:dyDescent="0.3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2859.6475135707751</v>
      </c>
      <c r="K116" s="305">
        <f t="shared" si="36"/>
        <v>1446981.6418668122</v>
      </c>
      <c r="L116" s="306">
        <f t="shared" si="36"/>
        <v>1446981.6418668122</v>
      </c>
      <c r="M116" s="220">
        <f t="shared" si="36"/>
        <v>2937.7520405946925</v>
      </c>
      <c r="N116" s="221">
        <f t="shared" si="36"/>
        <v>1486502.5325409144</v>
      </c>
      <c r="O116" s="222">
        <f t="shared" si="36"/>
        <v>1486502.5325409144</v>
      </c>
      <c r="P116" s="311">
        <f t="shared" si="36"/>
        <v>2972.9550444526149</v>
      </c>
      <c r="Q116" s="305">
        <f t="shared" si="36"/>
        <v>1504315.2524930229</v>
      </c>
      <c r="R116" s="306">
        <f t="shared" si="36"/>
        <v>1504315.2524930229</v>
      </c>
      <c r="S116" s="222">
        <f t="shared" si="36"/>
        <v>1479266.4756335833</v>
      </c>
      <c r="T116" s="223" t="str">
        <f>T99</f>
        <v>NA</v>
      </c>
      <c r="U116" s="224" t="s">
        <v>12</v>
      </c>
    </row>
    <row r="117" spans="2:21" ht="18" thickTop="1" x14ac:dyDescent="0.3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 x14ac:dyDescent="0.25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110.3</v>
      </c>
      <c r="G118" s="101">
        <f t="shared" si="37"/>
        <v>57</v>
      </c>
      <c r="H118" s="101">
        <f t="shared" si="37"/>
        <v>21</v>
      </c>
      <c r="I118" s="102">
        <f t="shared" si="37"/>
        <v>419.5</v>
      </c>
      <c r="J118" s="340" t="s">
        <v>12</v>
      </c>
      <c r="K118" s="281">
        <f>K103+K105+K107+K109+K111+K115</f>
        <v>150629.20000000001</v>
      </c>
      <c r="L118" s="289">
        <f>L103+L105+L107+L109+L111+L113+L115</f>
        <v>177545.1</v>
      </c>
      <c r="M118" s="103" t="s">
        <v>12</v>
      </c>
      <c r="N118" s="101">
        <f>N103+N105+N107+N109+N111+N115</f>
        <v>150629.20000000001</v>
      </c>
      <c r="O118" s="102">
        <f>O103+O105+O107+O109+O111+O113+O115</f>
        <v>177545.1</v>
      </c>
      <c r="P118" s="340" t="s">
        <v>12</v>
      </c>
      <c r="Q118" s="281">
        <f>Q103+Q105+Q107+Q109+Q111+Q115</f>
        <v>150629.20000000001</v>
      </c>
      <c r="R118" s="289">
        <f>R103+R105+R107+R109+R111+R113+R115</f>
        <v>177545.1</v>
      </c>
      <c r="S118" s="174">
        <f>S103+S105+S107+S109+S111+S113+S115</f>
        <v>177545.1</v>
      </c>
      <c r="T118" s="102"/>
      <c r="U118" s="140" t="s">
        <v>12</v>
      </c>
    </row>
    <row r="119" spans="2:21" s="235" customFormat="1" ht="16.2" thickBot="1" x14ac:dyDescent="0.35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5435</v>
      </c>
      <c r="G119" s="583">
        <f t="shared" si="37"/>
        <v>3161</v>
      </c>
      <c r="H119" s="583">
        <f t="shared" si="37"/>
        <v>1230</v>
      </c>
      <c r="I119" s="584">
        <f t="shared" si="37"/>
        <v>21417</v>
      </c>
      <c r="J119" s="585">
        <f>J104+J106+J108+J110+J112+J114+J116</f>
        <v>28930.123192321815</v>
      </c>
      <c r="K119" s="586">
        <f>K104+K106+K108+K110+K112+K116</f>
        <v>9848276.1790589523</v>
      </c>
      <c r="L119" s="587">
        <f>L104+L106+L108+L110+L112+L114+L116</f>
        <v>13247021.242417425</v>
      </c>
      <c r="M119" s="582">
        <f>M104+M106+M108+M110+M112+M114+M116</f>
        <v>29720.281272279895</v>
      </c>
      <c r="N119" s="588">
        <f>N104+N106+N108+N110+N112+N116</f>
        <v>10117258.614592006</v>
      </c>
      <c r="O119" s="584">
        <f>O104+O106+O108+O110+O112+O114+O116</f>
        <v>13607844.323778365</v>
      </c>
      <c r="P119" s="589">
        <f>P104+P106+P108+P110+P112+P114+P116</f>
        <v>30076.418605121235</v>
      </c>
      <c r="Q119" s="586">
        <f>Q104+Q106+Q108+Q110+Q112+Q116</f>
        <v>10238493.453039769</v>
      </c>
      <c r="R119" s="587">
        <f>R104+R106+R108+R110+R112+R114+R116</f>
        <v>13770906.757097621</v>
      </c>
      <c r="S119" s="590">
        <f>S104+S106+S108+S110+S112+S114+S116</f>
        <v>11795034.079855185</v>
      </c>
      <c r="T119" s="584">
        <f>SUM(T104,T106,T108,T110,T112,T114,T116)</f>
        <v>1257760.8200946858</v>
      </c>
      <c r="U119" s="591">
        <f>SUM(U104,U106,U108,U110,U112,U114,U116)</f>
        <v>1048134.0167455715</v>
      </c>
    </row>
  </sheetData>
  <sheetProtection sheet="1" objects="1" scenarios="1"/>
  <mergeCells count="35">
    <mergeCell ref="Q92:R92"/>
    <mergeCell ref="Q32:R32"/>
    <mergeCell ref="Q42:R42"/>
    <mergeCell ref="Q54:R54"/>
    <mergeCell ref="Q85:R85"/>
    <mergeCell ref="Q69:R69"/>
    <mergeCell ref="G68:I68"/>
    <mergeCell ref="N85:O85"/>
    <mergeCell ref="K92:L92"/>
    <mergeCell ref="N32:O32"/>
    <mergeCell ref="N42:O42"/>
    <mergeCell ref="N69:O69"/>
    <mergeCell ref="N92:O92"/>
    <mergeCell ref="N54:O54"/>
    <mergeCell ref="K32:L32"/>
    <mergeCell ref="G91:I91"/>
    <mergeCell ref="K69:L69"/>
    <mergeCell ref="K54:L54"/>
    <mergeCell ref="G53:I53"/>
    <mergeCell ref="G32:I32"/>
    <mergeCell ref="K42:L42"/>
    <mergeCell ref="G18:I18"/>
    <mergeCell ref="G31:I31"/>
    <mergeCell ref="G42:I42"/>
    <mergeCell ref="G41:I41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count="1">
    <dataValidation allowBlank="1" showInputMessage="1" showErrorMessage="1" sqref="D34 D21" xr:uid="{00000000-0002-0000-03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19"/>
  <sheetViews>
    <sheetView zoomScaleNormal="100" workbookViewId="0">
      <selection activeCell="F3" sqref="F3"/>
    </sheetView>
  </sheetViews>
  <sheetFormatPr defaultRowHeight="13.2" x14ac:dyDescent="0.25"/>
  <cols>
    <col min="1" max="1" width="1.109375" customWidth="1"/>
    <col min="2" max="2" width="31.44140625" customWidth="1"/>
    <col min="3" max="3" width="12.88671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593" t="s">
        <v>93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92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304</v>
      </c>
      <c r="M4" s="396" t="s">
        <v>71</v>
      </c>
      <c r="N4" s="431" t="s">
        <v>69</v>
      </c>
      <c r="O4" s="20">
        <v>304</v>
      </c>
      <c r="P4" s="425" t="s">
        <v>71</v>
      </c>
      <c r="Q4" s="429" t="s">
        <v>69</v>
      </c>
      <c r="R4" s="20">
        <v>304</v>
      </c>
      <c r="S4" s="115" t="s">
        <v>69</v>
      </c>
      <c r="T4" s="106">
        <f>AVERAGE(L4,O4,R4)</f>
        <v>304</v>
      </c>
      <c r="U4" s="37"/>
    </row>
    <row r="5" spans="1:21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630">
        <v>92</v>
      </c>
      <c r="K5" s="342" t="s">
        <v>70</v>
      </c>
      <c r="L5" s="343">
        <f>L4*$I$4</f>
        <v>15.200000000000001</v>
      </c>
      <c r="M5" s="631">
        <v>92</v>
      </c>
      <c r="N5" s="344" t="s">
        <v>70</v>
      </c>
      <c r="O5" s="345">
        <f>O4*$I$4</f>
        <v>15.200000000000001</v>
      </c>
      <c r="P5" s="630">
        <v>92</v>
      </c>
      <c r="Q5" s="342" t="s">
        <v>70</v>
      </c>
      <c r="R5" s="343">
        <f>R4*$I$4</f>
        <v>15.200000000000001</v>
      </c>
      <c r="S5" s="237" t="s">
        <v>70</v>
      </c>
      <c r="T5" s="238">
        <f>AVERAGE(L5,O5,R5)</f>
        <v>15.200000000000001</v>
      </c>
      <c r="U5" s="37"/>
    </row>
    <row r="6" spans="1:21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57" t="s">
        <v>55</v>
      </c>
      <c r="N8" s="1432" t="s">
        <v>57</v>
      </c>
      <c r="O8" s="1433"/>
      <c r="P8" s="277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2760</v>
      </c>
      <c r="L10" s="265">
        <f>K10/$E$7</f>
        <v>394.28571428571428</v>
      </c>
      <c r="M10" s="58" t="s">
        <v>12</v>
      </c>
      <c r="N10" s="432">
        <f>I10*$M$5</f>
        <v>2760</v>
      </c>
      <c r="O10" s="68">
        <f>N10/$E$7</f>
        <v>394.28571428571428</v>
      </c>
      <c r="P10" s="263" t="s">
        <v>12</v>
      </c>
      <c r="Q10" s="433">
        <f>$I10*$M$5</f>
        <v>2760</v>
      </c>
      <c r="R10" s="289">
        <f>Q10/$E$7</f>
        <v>394.28571428571428</v>
      </c>
      <c r="S10" s="121">
        <f>AVERAGE(L10,O10,R10)</f>
        <v>394.28571428571428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2207.210220677679</v>
      </c>
      <c r="K11" s="384">
        <f>J11*$J$5</f>
        <v>203063.34030234648</v>
      </c>
      <c r="L11" s="385">
        <f>K11/$E$7</f>
        <v>29009.048614620926</v>
      </c>
      <c r="M11" s="386">
        <f>HLOOKUP(Labor!$B$11,InflationTable,3)*$I11</f>
        <v>2267.4949618950059</v>
      </c>
      <c r="N11" s="387">
        <f>M11*$J$5</f>
        <v>208609.53649434054</v>
      </c>
      <c r="O11" s="388">
        <f>N11/$E$7</f>
        <v>29801.362356334364</v>
      </c>
      <c r="P11" s="383">
        <f>HLOOKUP(Labor!$B$11,InflationTable,4)*$I11</f>
        <v>2294.6662931674882</v>
      </c>
      <c r="Q11" s="384">
        <f>P11*$J$5</f>
        <v>211109.29897140892</v>
      </c>
      <c r="R11" s="385">
        <f>Q11/$E$7</f>
        <v>30158.471281629845</v>
      </c>
      <c r="S11" s="379">
        <f>AVERAGE(L11,O11,R11)</f>
        <v>29656.294084195044</v>
      </c>
      <c r="T11" s="380" t="s">
        <v>12</v>
      </c>
      <c r="U11" s="380" t="s">
        <v>12</v>
      </c>
    </row>
    <row r="12" spans="1:21" x14ac:dyDescent="0.25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 x14ac:dyDescent="0.25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736</v>
      </c>
      <c r="L13" s="265">
        <f>K13/$E$7</f>
        <v>105.14285714285714</v>
      </c>
      <c r="M13" s="58" t="s">
        <v>12</v>
      </c>
      <c r="N13" s="60">
        <f>I13*$M$5</f>
        <v>736</v>
      </c>
      <c r="O13" s="59">
        <f>N13/$E$7</f>
        <v>105.14285714285714</v>
      </c>
      <c r="P13" s="263" t="s">
        <v>12</v>
      </c>
      <c r="Q13" s="291">
        <f>$I13*$P$5</f>
        <v>736</v>
      </c>
      <c r="R13" s="282">
        <f>Q13/$E$7</f>
        <v>105.14285714285714</v>
      </c>
      <c r="S13" s="121">
        <f>AVERAGE(L13,O13,R13)</f>
        <v>105.14285714285715</v>
      </c>
      <c r="T13" s="119" t="s">
        <v>12</v>
      </c>
      <c r="U13" s="119" t="s">
        <v>12</v>
      </c>
    </row>
    <row r="14" spans="1:21" s="1" customFormat="1" ht="13.8" thickBot="1" x14ac:dyDescent="0.3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565.98597458013921</v>
      </c>
      <c r="K14" s="296">
        <f>J14*$J$5</f>
        <v>52070.709661372806</v>
      </c>
      <c r="L14" s="297">
        <f>K14/$E$7</f>
        <v>7438.6728087675438</v>
      </c>
      <c r="M14" s="376">
        <f>HLOOKUP(Labor!$B$11,InflationTable,3)*I14</f>
        <v>581.44454653244031</v>
      </c>
      <c r="N14" s="377">
        <f>M14*$J$5</f>
        <v>53492.898280984511</v>
      </c>
      <c r="O14" s="378">
        <f>N14/$E$7</f>
        <v>7641.8426115692155</v>
      </c>
      <c r="P14" s="339">
        <f>HLOOKUP(Labor!$B$11,InflationTable,4)*I14</f>
        <v>588.41198092850516</v>
      </c>
      <c r="Q14" s="296">
        <f>P14*$J$5</f>
        <v>54133.902245422476</v>
      </c>
      <c r="R14" s="297">
        <f>Q14/$E$7</f>
        <v>7733.4146064889255</v>
      </c>
      <c r="S14" s="379">
        <f>AVERAGE(L14,O14,R14)</f>
        <v>7604.643342275228</v>
      </c>
      <c r="T14" s="380" t="s">
        <v>12</v>
      </c>
      <c r="U14" s="380" t="s">
        <v>12</v>
      </c>
    </row>
    <row r="15" spans="1:21" x14ac:dyDescent="0.25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3496</v>
      </c>
      <c r="L15" s="273">
        <f>L10+L13</f>
        <v>499.42857142857144</v>
      </c>
      <c r="M15" s="61" t="s">
        <v>12</v>
      </c>
      <c r="N15" s="426">
        <f>I15*$M$5</f>
        <v>3496</v>
      </c>
      <c r="O15" s="62">
        <f>N15/$E$7</f>
        <v>499.42857142857144</v>
      </c>
      <c r="P15" s="293" t="s">
        <v>12</v>
      </c>
      <c r="Q15" s="433">
        <f>$I15*$P$5</f>
        <v>3496</v>
      </c>
      <c r="R15" s="294">
        <f>Q15/$E$7</f>
        <v>499.42857142857144</v>
      </c>
      <c r="S15" s="121">
        <f>AVERAGE(L15,O15,R15)</f>
        <v>499.42857142857139</v>
      </c>
      <c r="T15" s="119" t="s">
        <v>12</v>
      </c>
      <c r="U15" s="119" t="s">
        <v>12</v>
      </c>
    </row>
    <row r="16" spans="1:21" ht="13.8" thickBot="1" x14ac:dyDescent="0.3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2773.1961952578181</v>
      </c>
      <c r="K16" s="275">
        <f>K11+K14</f>
        <v>255134.04996371927</v>
      </c>
      <c r="L16" s="276">
        <f>L11+L14</f>
        <v>36447.721423388473</v>
      </c>
      <c r="M16" s="242">
        <f>M11+M14</f>
        <v>2848.9395084274461</v>
      </c>
      <c r="N16" s="240">
        <f>N11+N14</f>
        <v>262102.43477532506</v>
      </c>
      <c r="O16" s="243">
        <f>O11+O14</f>
        <v>37443.204967903577</v>
      </c>
      <c r="P16" s="295">
        <f>P11+P14</f>
        <v>2883.0782740959935</v>
      </c>
      <c r="Q16" s="296">
        <f>P16*$P$5</f>
        <v>265243.2012168314</v>
      </c>
      <c r="R16" s="297">
        <f>Q16/$E$7</f>
        <v>37891.88588811877</v>
      </c>
      <c r="S16" s="211">
        <f>AVERAGE(L16,O16,R16)</f>
        <v>37260.937426470271</v>
      </c>
      <c r="T16" s="218" t="s">
        <v>12</v>
      </c>
      <c r="U16" s="218" t="s">
        <v>12</v>
      </c>
    </row>
    <row r="17" spans="1:21" ht="14.4" thickTop="1" thickBot="1" x14ac:dyDescent="0.3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2" thickTop="1" x14ac:dyDescent="0.3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5"/>
      <c r="H18" s="1416"/>
      <c r="I18" s="1417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 x14ac:dyDescent="0.25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22" t="s">
        <v>57</v>
      </c>
      <c r="L19" s="1423"/>
      <c r="M19" s="93" t="s">
        <v>61</v>
      </c>
      <c r="N19" s="1432" t="s">
        <v>57</v>
      </c>
      <c r="O19" s="1433"/>
      <c r="P19" s="262" t="s">
        <v>61</v>
      </c>
      <c r="Q19" s="1422" t="s">
        <v>57</v>
      </c>
      <c r="R19" s="1423"/>
      <c r="S19" s="131"/>
      <c r="T19" s="37"/>
      <c r="U19" s="138"/>
    </row>
    <row r="20" spans="1:21" x14ac:dyDescent="0.25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 x14ac:dyDescent="0.25">
      <c r="A21" s="615"/>
      <c r="B21" s="608" t="s">
        <v>14</v>
      </c>
      <c r="C21" s="163">
        <f>VLOOKUP(C$2,Monitor_Costs,2,FALSE)</f>
        <v>10000</v>
      </c>
      <c r="D21" s="22">
        <f>VLOOKUP(C$2,Monitor_Costs,3,FALSE)</f>
        <v>2019</v>
      </c>
      <c r="E21" s="74"/>
      <c r="F21" s="75"/>
      <c r="G21" s="76"/>
      <c r="H21" s="76"/>
      <c r="I21" s="37"/>
      <c r="J21" s="279">
        <f>HLOOKUP(D21,InflationTable,2)*$C$21</f>
        <v>13508.018486399504</v>
      </c>
      <c r="K21" s="279">
        <f>J21*$L$4</f>
        <v>4106437.6198654491</v>
      </c>
      <c r="L21" s="280">
        <f>K21/$E$18</f>
        <v>586633.94569506415</v>
      </c>
      <c r="M21" s="78">
        <f>HLOOKUP($D$21,InflationTable,3)*$C$21</f>
        <v>13876.958151132229</v>
      </c>
      <c r="N21" s="27">
        <f>M21*$L$4</f>
        <v>4218595.2779441979</v>
      </c>
      <c r="O21" s="182">
        <f>N21/$E$18</f>
        <v>602656.4682777425</v>
      </c>
      <c r="P21" s="298">
        <f>HLOOKUP($D$21,InflationTable,4)*$C$21</f>
        <v>14043.245368222082</v>
      </c>
      <c r="Q21" s="279">
        <f>P21*$L$4</f>
        <v>4269146.5919395126</v>
      </c>
      <c r="R21" s="280">
        <f>Q21/$E$18</f>
        <v>609878.08456278755</v>
      </c>
      <c r="S21" s="127" t="s">
        <v>12</v>
      </c>
      <c r="T21" s="119" t="s">
        <v>12</v>
      </c>
      <c r="U21" s="139">
        <f>AVERAGE(L21,O21,R21)</f>
        <v>599722.83284519811</v>
      </c>
    </row>
    <row r="22" spans="1:21" ht="13.8" thickBot="1" x14ac:dyDescent="0.3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205321.88099327247</v>
      </c>
      <c r="L22" s="308">
        <f>K22/$E$18</f>
        <v>29331.697284753209</v>
      </c>
      <c r="M22" s="4"/>
      <c r="N22" s="104">
        <f>M21*$L$5</f>
        <v>210929.76389720989</v>
      </c>
      <c r="O22" s="370">
        <f>N22/$E$18</f>
        <v>30132.823413887127</v>
      </c>
      <c r="P22" s="371"/>
      <c r="Q22" s="355">
        <f>P21*$L$5</f>
        <v>213457.32959697567</v>
      </c>
      <c r="R22" s="308">
        <f>Q22/$E$18</f>
        <v>30493.904228139381</v>
      </c>
      <c r="S22" s="359" t="s">
        <v>12</v>
      </c>
      <c r="T22" s="149" t="s">
        <v>12</v>
      </c>
      <c r="U22" s="372">
        <f>AVERAGE(L22,O22,R22)</f>
        <v>29986.141642259903</v>
      </c>
    </row>
    <row r="23" spans="1:21" x14ac:dyDescent="0.25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 x14ac:dyDescent="0.25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1276.8</v>
      </c>
      <c r="L24" s="282">
        <f>K24/$E$18</f>
        <v>182.4</v>
      </c>
      <c r="M24" s="58" t="s">
        <v>12</v>
      </c>
      <c r="N24" s="69">
        <f>$I$24*($O$4+$O$5)</f>
        <v>1276.8</v>
      </c>
      <c r="O24" s="59">
        <f>N24/$E$18</f>
        <v>182.4</v>
      </c>
      <c r="P24" s="263" t="s">
        <v>12</v>
      </c>
      <c r="Q24" s="281">
        <f>$I$24*($R$4+$R$5)</f>
        <v>1276.8</v>
      </c>
      <c r="R24" s="282">
        <f>Q24/$E$18</f>
        <v>182.4</v>
      </c>
      <c r="S24" s="151">
        <f>AVERAGE(L24,O24,R24)</f>
        <v>182.4</v>
      </c>
      <c r="T24" s="119" t="s">
        <v>12</v>
      </c>
      <c r="U24" s="140" t="s">
        <v>12</v>
      </c>
    </row>
    <row r="25" spans="1:21" s="1" customFormat="1" ht="13.8" thickBot="1" x14ac:dyDescent="0.3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266.10796418207025</v>
      </c>
      <c r="K25" s="296">
        <f>J25*($L$4+$L$5)</f>
        <v>84941.662166916823</v>
      </c>
      <c r="L25" s="297">
        <f>K25/$E$18</f>
        <v>12134.523166702404</v>
      </c>
      <c r="M25" s="376">
        <f>HLOOKUP(Labor!$B$11,InflationTable,3)*$I25</f>
        <v>273.3760755773049</v>
      </c>
      <c r="N25" s="377">
        <f>M25*$L$4</f>
        <v>83106.326975500691</v>
      </c>
      <c r="O25" s="378">
        <f>N25/$E$18</f>
        <v>11872.332425071527</v>
      </c>
      <c r="P25" s="332">
        <f>HLOOKUP(Labor!$B$11,InflationTable,4)*$I25</f>
        <v>276.65193375397502</v>
      </c>
      <c r="Q25" s="296">
        <f>P25*$L$4</f>
        <v>84102.187861208411</v>
      </c>
      <c r="R25" s="390">
        <f>Q25/$E$18</f>
        <v>12014.598265886916</v>
      </c>
      <c r="S25" s="391">
        <f>AVERAGE(L25,O25,R25)</f>
        <v>12007.151285886948</v>
      </c>
      <c r="T25" s="218" t="s">
        <v>12</v>
      </c>
      <c r="U25" s="392" t="s">
        <v>12</v>
      </c>
    </row>
    <row r="26" spans="1:21" x14ac:dyDescent="0.25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4864</v>
      </c>
      <c r="L26" s="294">
        <f>K26/$E$18</f>
        <v>694.85714285714289</v>
      </c>
      <c r="M26" s="61" t="s">
        <v>12</v>
      </c>
      <c r="N26" s="348">
        <f>I26*$O$4</f>
        <v>4864</v>
      </c>
      <c r="O26" s="62">
        <f>N26/$E$18</f>
        <v>694.85714285714289</v>
      </c>
      <c r="P26" s="293" t="s">
        <v>12</v>
      </c>
      <c r="Q26" s="327">
        <f>$I26*$O$4</f>
        <v>4864</v>
      </c>
      <c r="R26" s="367">
        <f>Q26/$E$18</f>
        <v>694.85714285714289</v>
      </c>
      <c r="S26" s="129">
        <f>AVERAGE(L26,O26,R26)</f>
        <v>694.85714285714278</v>
      </c>
      <c r="T26" s="136" t="s">
        <v>12</v>
      </c>
      <c r="U26" s="147" t="s">
        <v>12</v>
      </c>
    </row>
    <row r="27" spans="1:21" s="1" customFormat="1" ht="13.8" thickBot="1" x14ac:dyDescent="0.3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918.54525707516632</v>
      </c>
      <c r="K27" s="296">
        <f>J27*$L$4</f>
        <v>279237.75815085054</v>
      </c>
      <c r="L27" s="297">
        <f>K27/$E$18</f>
        <v>39891.10830726436</v>
      </c>
      <c r="M27" s="376">
        <f>HLOOKUP(Labor!$B$11,InflationTable,3)*$I27</f>
        <v>943.63315427699149</v>
      </c>
      <c r="N27" s="377">
        <f>M27*$O$4</f>
        <v>286864.4789002054</v>
      </c>
      <c r="O27" s="378">
        <f>N27/$E$18</f>
        <v>40980.639842886485</v>
      </c>
      <c r="P27" s="339">
        <f>HLOOKUP(Labor!$B$11,InflationTable,4)*$I27</f>
        <v>954.9406850391016</v>
      </c>
      <c r="Q27" s="296">
        <f>P27*$R$4</f>
        <v>290301.96825188689</v>
      </c>
      <c r="R27" s="297">
        <f>Q27/$E$18</f>
        <v>41471.709750269554</v>
      </c>
      <c r="S27" s="211">
        <f>AVERAGE(L27,O27,R27)</f>
        <v>40781.152633473466</v>
      </c>
      <c r="T27" s="393" t="s">
        <v>12</v>
      </c>
      <c r="U27" s="392" t="s">
        <v>12</v>
      </c>
    </row>
    <row r="28" spans="1:21" x14ac:dyDescent="0.25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6140.8</v>
      </c>
      <c r="L28" s="286">
        <f>L24+L26</f>
        <v>877.25714285714287</v>
      </c>
      <c r="M28" s="44" t="s">
        <v>12</v>
      </c>
      <c r="N28" s="33">
        <f>N24+N26</f>
        <v>6140.8</v>
      </c>
      <c r="O28" s="40">
        <f>O24+O26</f>
        <v>877.25714285714287</v>
      </c>
      <c r="P28" s="284" t="s">
        <v>12</v>
      </c>
      <c r="Q28" s="285">
        <f>Q24+Q26</f>
        <v>6140.8</v>
      </c>
      <c r="R28" s="286">
        <f>R24+R26</f>
        <v>877.25714285714287</v>
      </c>
      <c r="S28" s="175">
        <f>AVERAGE(L28,O28,R28)</f>
        <v>877.25714285714287</v>
      </c>
      <c r="T28" s="136" t="s">
        <v>12</v>
      </c>
      <c r="U28" s="147" t="s">
        <v>12</v>
      </c>
    </row>
    <row r="29" spans="1:21" ht="13.8" thickBot="1" x14ac:dyDescent="0.3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1184.6532212572365</v>
      </c>
      <c r="K29" s="287"/>
      <c r="L29" s="276">
        <f>L27+L25+L22+L21</f>
        <v>667991.27445378411</v>
      </c>
      <c r="M29" s="242">
        <f>M27+M25</f>
        <v>1217.0092298542963</v>
      </c>
      <c r="N29" s="247"/>
      <c r="O29" s="243">
        <f>O27+O25+O22+O21</f>
        <v>685642.26395958767</v>
      </c>
      <c r="P29" s="274">
        <f>P27+P25</f>
        <v>1231.5926187930766</v>
      </c>
      <c r="Q29" s="287"/>
      <c r="R29" s="276">
        <f>R27+R25+R22+R21</f>
        <v>693858.29680708342</v>
      </c>
      <c r="S29" s="248">
        <f>SUM(S27,S25)</f>
        <v>52788.303919360413</v>
      </c>
      <c r="T29" s="249" t="s">
        <v>12</v>
      </c>
      <c r="U29" s="250">
        <f>SUM(U21:U22)</f>
        <v>629708.97448745801</v>
      </c>
    </row>
    <row r="30" spans="1:21" ht="14.4" thickTop="1" thickBot="1" x14ac:dyDescent="0.3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2" thickTop="1" x14ac:dyDescent="0.3">
      <c r="A31" s="615"/>
      <c r="B31" s="613" t="s">
        <v>22</v>
      </c>
      <c r="C31" s="5"/>
      <c r="D31" s="5"/>
      <c r="E31" s="5"/>
      <c r="F31" s="112" t="s">
        <v>6</v>
      </c>
      <c r="G31" s="1415"/>
      <c r="H31" s="1416"/>
      <c r="I31" s="1417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 x14ac:dyDescent="0.25">
      <c r="A32" s="615"/>
      <c r="B32" s="5"/>
      <c r="C32" s="5"/>
      <c r="D32" s="5"/>
      <c r="E32" s="5"/>
      <c r="F32" s="112"/>
      <c r="G32" s="1418"/>
      <c r="H32" s="1418"/>
      <c r="I32" s="1419"/>
      <c r="J32" s="277" t="s">
        <v>61</v>
      </c>
      <c r="K32" s="1437" t="s">
        <v>57</v>
      </c>
      <c r="L32" s="1438"/>
      <c r="M32" s="57" t="s">
        <v>61</v>
      </c>
      <c r="N32" s="1432" t="s">
        <v>57</v>
      </c>
      <c r="O32" s="1433"/>
      <c r="P32" s="277" t="s">
        <v>61</v>
      </c>
      <c r="Q32" s="1422" t="s">
        <v>57</v>
      </c>
      <c r="R32" s="1423"/>
      <c r="S32" s="131"/>
      <c r="T32" s="37"/>
      <c r="U32" s="138"/>
    </row>
    <row r="33" spans="1:21" x14ac:dyDescent="0.25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8" thickBot="1" x14ac:dyDescent="0.3">
      <c r="A34" s="615"/>
      <c r="B34" s="361"/>
      <c r="C34" s="353">
        <f>VLOOKUP(C$2,Monitor_Costs,4,FALSE)</f>
        <v>800</v>
      </c>
      <c r="D34" s="34">
        <f>VLOOKUP(C$2,Monitor_Costs,5,FALSE)</f>
        <v>2019</v>
      </c>
      <c r="E34" s="4"/>
      <c r="F34" s="12"/>
      <c r="G34" s="4"/>
      <c r="H34" s="361"/>
      <c r="I34" s="363"/>
      <c r="J34" s="355">
        <f>HLOOKUP($D$34,InflationTable,2)*$C$34</f>
        <v>1080.6414789119603</v>
      </c>
      <c r="K34" s="355">
        <f>J34*$L$4</f>
        <v>328515.00958923594</v>
      </c>
      <c r="L34" s="308">
        <f>K34</f>
        <v>328515.00958923594</v>
      </c>
      <c r="M34" s="171">
        <f>HLOOKUP($D$34,InflationTable,3)*$C$34</f>
        <v>1110.1566520905783</v>
      </c>
      <c r="N34" s="357">
        <f>M34*$O$4</f>
        <v>337487.62223553582</v>
      </c>
      <c r="O34" s="95">
        <f>N34</f>
        <v>337487.62223553582</v>
      </c>
      <c r="P34" s="355">
        <f>HLOOKUP($D$34,InflationTable,4)*$C$34</f>
        <v>1123.4596294577666</v>
      </c>
      <c r="Q34" s="355">
        <f>P34*$R$4</f>
        <v>341531.72735516104</v>
      </c>
      <c r="R34" s="308">
        <f>Q34</f>
        <v>341531.72735516104</v>
      </c>
      <c r="S34" s="359" t="s">
        <v>12</v>
      </c>
      <c r="T34" s="360">
        <f>AVERAGE(L34,O34,R34)</f>
        <v>335844.78639331093</v>
      </c>
      <c r="U34" s="142" t="s">
        <v>12</v>
      </c>
    </row>
    <row r="35" spans="1:21" x14ac:dyDescent="0.25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 x14ac:dyDescent="0.25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36480</v>
      </c>
      <c r="L36" s="289">
        <f>K36</f>
        <v>36480</v>
      </c>
      <c r="M36" s="58" t="s">
        <v>12</v>
      </c>
      <c r="N36" s="69">
        <f>$I$36*$O$4</f>
        <v>36480</v>
      </c>
      <c r="O36" s="68">
        <f>N36</f>
        <v>36480</v>
      </c>
      <c r="P36" s="299" t="s">
        <v>12</v>
      </c>
      <c r="Q36" s="281">
        <f>$I$36*$R$4</f>
        <v>36480</v>
      </c>
      <c r="R36" s="289">
        <f>Q36</f>
        <v>36480</v>
      </c>
      <c r="S36" s="121">
        <f>AVERAGE(L36,O36,R36)</f>
        <v>36480</v>
      </c>
      <c r="T36" s="119" t="s">
        <v>12</v>
      </c>
      <c r="U36" s="140" t="s">
        <v>12</v>
      </c>
    </row>
    <row r="37" spans="1:21" s="1" customFormat="1" ht="13.8" thickBot="1" x14ac:dyDescent="0.3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6886.3878243664676</v>
      </c>
      <c r="K37" s="296">
        <f>J37*$L$4</f>
        <v>2093461.8986074061</v>
      </c>
      <c r="L37" s="390">
        <f>K37</f>
        <v>2093461.8986074061</v>
      </c>
      <c r="M37" s="376">
        <f>HLOOKUP(Labor!$B$11,InflationTable,3)*I37</f>
        <v>7074.47326544721</v>
      </c>
      <c r="N37" s="377">
        <f>M37*$O$4</f>
        <v>2150639.8726959517</v>
      </c>
      <c r="O37" s="378">
        <f>N37</f>
        <v>2150639.8726959517</v>
      </c>
      <c r="P37" s="296">
        <f>HLOOKUP(Labor!$B$11,InflationTable,4)*$I$37</f>
        <v>7159.2464887196174</v>
      </c>
      <c r="Q37" s="296">
        <f>P37*$R$4</f>
        <v>2176410.9325707639</v>
      </c>
      <c r="R37" s="390">
        <f>Q37</f>
        <v>2176410.9325707639</v>
      </c>
      <c r="S37" s="211">
        <f>AVERAGE(L37,O37,R37)</f>
        <v>2140170.9012913737</v>
      </c>
      <c r="T37" s="393" t="s">
        <v>12</v>
      </c>
      <c r="U37" s="392" t="s">
        <v>12</v>
      </c>
    </row>
    <row r="38" spans="1:21" x14ac:dyDescent="0.25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36480</v>
      </c>
      <c r="L38" s="303">
        <f>L36</f>
        <v>36480</v>
      </c>
      <c r="M38" s="85" t="s">
        <v>12</v>
      </c>
      <c r="N38" s="82">
        <f>N36</f>
        <v>36480</v>
      </c>
      <c r="O38" s="96">
        <f>O36</f>
        <v>36480</v>
      </c>
      <c r="P38" s="301" t="s">
        <v>12</v>
      </c>
      <c r="Q38" s="302">
        <f>Q36</f>
        <v>36480</v>
      </c>
      <c r="R38" s="303">
        <f>R36</f>
        <v>36480</v>
      </c>
      <c r="S38" s="96">
        <f>S36</f>
        <v>36480</v>
      </c>
      <c r="T38" s="136" t="s">
        <v>12</v>
      </c>
      <c r="U38" s="147" t="s">
        <v>12</v>
      </c>
    </row>
    <row r="39" spans="1:21" ht="13.8" thickBot="1" x14ac:dyDescent="0.3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7967.0293032784284</v>
      </c>
      <c r="K39" s="305">
        <f t="shared" si="5"/>
        <v>2421976.9081966421</v>
      </c>
      <c r="L39" s="306">
        <f t="shared" si="5"/>
        <v>2421976.9081966421</v>
      </c>
      <c r="M39" s="252">
        <f t="shared" si="5"/>
        <v>8184.6299175377881</v>
      </c>
      <c r="N39" s="253">
        <f t="shared" si="5"/>
        <v>2488127.4949314874</v>
      </c>
      <c r="O39" s="254">
        <f t="shared" si="5"/>
        <v>2488127.4949314874</v>
      </c>
      <c r="P39" s="304">
        <f t="shared" si="5"/>
        <v>8282.7061181773843</v>
      </c>
      <c r="Q39" s="305">
        <f t="shared" si="5"/>
        <v>2517942.6599259251</v>
      </c>
      <c r="R39" s="306">
        <f t="shared" si="5"/>
        <v>2517942.6599259251</v>
      </c>
      <c r="S39" s="255">
        <f>AVERAGE(L39,O39,R39)</f>
        <v>2476015.687684685</v>
      </c>
      <c r="T39" s="251">
        <f>T34</f>
        <v>335844.78639331093</v>
      </c>
      <c r="U39" s="224" t="s">
        <v>12</v>
      </c>
    </row>
    <row r="40" spans="1:21" ht="14.4" thickTop="1" thickBot="1" x14ac:dyDescent="0.3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2" thickTop="1" x14ac:dyDescent="0.3">
      <c r="A41" s="615"/>
      <c r="B41" s="80" t="s">
        <v>24</v>
      </c>
      <c r="C41" s="5"/>
      <c r="D41" s="5"/>
      <c r="E41" s="5"/>
      <c r="F41" s="112" t="s">
        <v>6</v>
      </c>
      <c r="G41" s="1415"/>
      <c r="H41" s="1416"/>
      <c r="I41" s="1417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 x14ac:dyDescent="0.25">
      <c r="A42" s="615"/>
      <c r="B42" s="5"/>
      <c r="C42" s="5"/>
      <c r="D42" s="5"/>
      <c r="E42" s="5"/>
      <c r="F42" s="112"/>
      <c r="G42" s="1418"/>
      <c r="H42" s="1418"/>
      <c r="I42" s="1419"/>
      <c r="J42" s="277" t="s">
        <v>61</v>
      </c>
      <c r="K42" s="1422" t="s">
        <v>57</v>
      </c>
      <c r="L42" s="1423"/>
      <c r="M42" s="57" t="s">
        <v>61</v>
      </c>
      <c r="N42" s="1432" t="s">
        <v>57</v>
      </c>
      <c r="O42" s="1433"/>
      <c r="P42" s="277" t="s">
        <v>61</v>
      </c>
      <c r="Q42" s="1422" t="s">
        <v>57</v>
      </c>
      <c r="R42" s="1423"/>
      <c r="S42" s="131"/>
      <c r="T42" s="37"/>
      <c r="U42" s="138"/>
    </row>
    <row r="43" spans="1:21" x14ac:dyDescent="0.25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8" thickBot="1" x14ac:dyDescent="0.3">
      <c r="A44" s="615"/>
      <c r="B44" s="361"/>
      <c r="C44" s="353">
        <f>VLOOKUP(C$2,Monitor_Costs,6,FALSE)</f>
        <v>1000</v>
      </c>
      <c r="D44" s="34">
        <f>VLOOKUP(C$2,Monitor_Costs,7,FALSE)</f>
        <v>2019</v>
      </c>
      <c r="E44" s="354"/>
      <c r="F44" s="71"/>
      <c r="G44" s="56"/>
      <c r="H44" s="56"/>
      <c r="I44" s="54"/>
      <c r="J44" s="355">
        <f>HLOOKUP(D44,InflationTable,2)*C44</f>
        <v>1350.8018486399505</v>
      </c>
      <c r="K44" s="355">
        <f>J44*$L$4</f>
        <v>410643.76198654494</v>
      </c>
      <c r="L44" s="308">
        <f>K44</f>
        <v>410643.76198654494</v>
      </c>
      <c r="M44" s="357">
        <f>HLOOKUP($D$44,InflationTable,3)*$C$44</f>
        <v>1387.6958151132228</v>
      </c>
      <c r="N44" s="357">
        <f>M44*$O$4</f>
        <v>421859.52779441973</v>
      </c>
      <c r="O44" s="95">
        <f>N44</f>
        <v>421859.52779441973</v>
      </c>
      <c r="P44" s="358">
        <f>HLOOKUP($D$44,InflationTable,4)*$C$44</f>
        <v>1404.3245368222081</v>
      </c>
      <c r="Q44" s="355">
        <f>P44*$R$4</f>
        <v>426914.65919395123</v>
      </c>
      <c r="R44" s="308">
        <f>Q44</f>
        <v>426914.65919395123</v>
      </c>
      <c r="S44" s="359" t="s">
        <v>12</v>
      </c>
      <c r="T44" s="360">
        <f>AVERAGE(L44,O44,R44)</f>
        <v>419805.98299163859</v>
      </c>
      <c r="U44" s="142" t="s">
        <v>12</v>
      </c>
    </row>
    <row r="45" spans="1:21" x14ac:dyDescent="0.25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 x14ac:dyDescent="0.25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3648</v>
      </c>
      <c r="L46" s="289">
        <f>K46</f>
        <v>3648</v>
      </c>
      <c r="M46" s="58" t="s">
        <v>12</v>
      </c>
      <c r="N46" s="69">
        <f>$I$46*$O$4</f>
        <v>3648</v>
      </c>
      <c r="O46" s="68">
        <f>N46</f>
        <v>3648</v>
      </c>
      <c r="P46" s="263" t="s">
        <v>12</v>
      </c>
      <c r="Q46" s="281">
        <f>$I$46*$R$4</f>
        <v>3648</v>
      </c>
      <c r="R46" s="289">
        <f>Q46</f>
        <v>3648</v>
      </c>
      <c r="S46" s="121">
        <f>AVERAGE(L46,O46,R46)</f>
        <v>3648</v>
      </c>
      <c r="T46" s="119" t="s">
        <v>12</v>
      </c>
      <c r="U46" s="140" t="s">
        <v>12</v>
      </c>
    </row>
    <row r="47" spans="1:21" ht="13.8" thickBot="1" x14ac:dyDescent="0.3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709.17097053597399</v>
      </c>
      <c r="K47" s="269">
        <f>J47*$L$4</f>
        <v>215587.9750429361</v>
      </c>
      <c r="L47" s="308">
        <f>K47</f>
        <v>215587.9750429361</v>
      </c>
      <c r="M47" s="84">
        <f>HLOOKUP(Labor!$B$11,InflationTable,3)*$I$47</f>
        <v>728.54030293444202</v>
      </c>
      <c r="N47" s="63">
        <f>M47*$O$4</f>
        <v>221476.25209207038</v>
      </c>
      <c r="O47" s="95">
        <f>N47</f>
        <v>221476.25209207038</v>
      </c>
      <c r="P47" s="268">
        <f>HLOOKUP(Labor!$B$11,InflationTable,4)*$I$47</f>
        <v>737.27038183165928</v>
      </c>
      <c r="Q47" s="269">
        <f>P47*$O$4</f>
        <v>224130.19607682442</v>
      </c>
      <c r="R47" s="308">
        <f>Q47</f>
        <v>224130.19607682442</v>
      </c>
      <c r="S47" s="128">
        <f>AVERAGE(L47,O47,R47)</f>
        <v>220398.14107061029</v>
      </c>
      <c r="T47" s="149" t="s">
        <v>12</v>
      </c>
      <c r="U47" s="142" t="s">
        <v>12</v>
      </c>
    </row>
    <row r="48" spans="1:21" x14ac:dyDescent="0.25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17024</v>
      </c>
      <c r="L48" s="328">
        <f>K48</f>
        <v>17024</v>
      </c>
      <c r="M48" s="61" t="s">
        <v>12</v>
      </c>
      <c r="N48" s="348">
        <f>$I$48*$O$4</f>
        <v>17024</v>
      </c>
      <c r="O48" s="349">
        <f>N48</f>
        <v>17024</v>
      </c>
      <c r="P48" s="293" t="s">
        <v>12</v>
      </c>
      <c r="Q48" s="327">
        <f>$I$48*$R$4</f>
        <v>17024</v>
      </c>
      <c r="R48" s="328">
        <f>Q48</f>
        <v>17024</v>
      </c>
      <c r="S48" s="129">
        <f>AVERAGE(L48,O48,R48)</f>
        <v>17024</v>
      </c>
      <c r="T48" s="119" t="s">
        <v>12</v>
      </c>
      <c r="U48" s="140" t="s">
        <v>12</v>
      </c>
    </row>
    <row r="49" spans="2:21" ht="13.8" thickBot="1" x14ac:dyDescent="0.3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3489.1211750369921</v>
      </c>
      <c r="K49" s="269">
        <f>J49*$L$4</f>
        <v>1060692.8372112457</v>
      </c>
      <c r="L49" s="308">
        <f>K49</f>
        <v>1060692.8372112457</v>
      </c>
      <c r="M49" s="84">
        <f>HLOOKUP(Labor!$B$11,InflationTable,3)*$I$49</f>
        <v>3584.4182904374547</v>
      </c>
      <c r="N49" s="63">
        <f>M49*$O$4</f>
        <v>1089663.1602929863</v>
      </c>
      <c r="O49" s="95">
        <f>N49</f>
        <v>1089663.1602929863</v>
      </c>
      <c r="P49" s="268">
        <f>HLOOKUP(Labor!$B$11,InflationTable,4)*$I$49</f>
        <v>3627.3702786117638</v>
      </c>
      <c r="Q49" s="269">
        <f>P49*$R$4</f>
        <v>1102720.5646979762</v>
      </c>
      <c r="R49" s="308">
        <f>Q49</f>
        <v>1102720.5646979762</v>
      </c>
      <c r="S49" s="132">
        <f>AVERAGE(L49,O49,R49)</f>
        <v>1084358.8540674027</v>
      </c>
      <c r="T49" s="149" t="s">
        <v>12</v>
      </c>
      <c r="U49" s="142" t="s">
        <v>12</v>
      </c>
    </row>
    <row r="50" spans="2:21" x14ac:dyDescent="0.25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20672</v>
      </c>
      <c r="L50" s="310">
        <f>L46+L48</f>
        <v>20672</v>
      </c>
      <c r="M50" s="85" t="s">
        <v>12</v>
      </c>
      <c r="N50" s="86">
        <f>N46+N48</f>
        <v>20672</v>
      </c>
      <c r="O50" s="97">
        <f>O46+O48</f>
        <v>20672</v>
      </c>
      <c r="P50" s="301" t="s">
        <v>12</v>
      </c>
      <c r="Q50" s="309">
        <f>Q46+Q48</f>
        <v>20672</v>
      </c>
      <c r="R50" s="310">
        <f>R46+R48</f>
        <v>20672</v>
      </c>
      <c r="S50" s="121">
        <f>AVERAGE(L50,O50,R50)</f>
        <v>20672</v>
      </c>
      <c r="T50" s="136" t="s">
        <v>12</v>
      </c>
      <c r="U50" s="148" t="s">
        <v>12</v>
      </c>
    </row>
    <row r="51" spans="2:21" ht="13.8" thickBot="1" x14ac:dyDescent="0.3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5549.0939942129171</v>
      </c>
      <c r="K51" s="305">
        <f t="shared" si="8"/>
        <v>1686924.5742407269</v>
      </c>
      <c r="L51" s="306">
        <f t="shared" si="8"/>
        <v>1686924.5742407269</v>
      </c>
      <c r="M51" s="252">
        <f t="shared" si="8"/>
        <v>5700.6544084851203</v>
      </c>
      <c r="N51" s="253">
        <f t="shared" si="8"/>
        <v>1732998.9401794765</v>
      </c>
      <c r="O51" s="254">
        <f t="shared" si="8"/>
        <v>1732998.9401794765</v>
      </c>
      <c r="P51" s="311">
        <f t="shared" si="8"/>
        <v>5768.9651972656311</v>
      </c>
      <c r="Q51" s="305">
        <f t="shared" si="8"/>
        <v>1753765.4199687517</v>
      </c>
      <c r="R51" s="306">
        <f t="shared" si="8"/>
        <v>1753765.4199687517</v>
      </c>
      <c r="S51" s="248">
        <f>S49+S47</f>
        <v>1304756.995138013</v>
      </c>
      <c r="T51" s="251">
        <f>T44</f>
        <v>419805.98299163859</v>
      </c>
      <c r="U51" s="224" t="s">
        <v>12</v>
      </c>
    </row>
    <row r="52" spans="2:21" ht="14.4" thickTop="1" thickBot="1" x14ac:dyDescent="0.3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2" thickTop="1" x14ac:dyDescent="0.3">
      <c r="B53" s="564" t="s">
        <v>26</v>
      </c>
      <c r="C53" s="5"/>
      <c r="D53" s="5"/>
      <c r="E53" s="5"/>
      <c r="F53" s="112" t="s">
        <v>6</v>
      </c>
      <c r="G53" s="1415"/>
      <c r="H53" s="1416"/>
      <c r="I53" s="1417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 x14ac:dyDescent="0.25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22" t="s">
        <v>57</v>
      </c>
      <c r="L54" s="1423"/>
      <c r="M54" s="57" t="s">
        <v>61</v>
      </c>
      <c r="N54" s="1432" t="s">
        <v>57</v>
      </c>
      <c r="O54" s="1433"/>
      <c r="P54" s="277" t="s">
        <v>61</v>
      </c>
      <c r="Q54" s="1422" t="s">
        <v>57</v>
      </c>
      <c r="R54" s="1423"/>
      <c r="S54" s="131"/>
      <c r="T54" s="37"/>
      <c r="U54" s="138"/>
    </row>
    <row r="55" spans="2:21" x14ac:dyDescent="0.25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 x14ac:dyDescent="0.25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4256</v>
      </c>
      <c r="L56" s="289">
        <f t="shared" ref="L56:L63" si="10">K56</f>
        <v>4256</v>
      </c>
      <c r="M56" s="58" t="s">
        <v>12</v>
      </c>
      <c r="N56" s="69">
        <f>$I$56*$O$4</f>
        <v>4256</v>
      </c>
      <c r="O56" s="68">
        <f t="shared" ref="O56:O63" si="11">N56</f>
        <v>4256</v>
      </c>
      <c r="P56" s="263" t="s">
        <v>12</v>
      </c>
      <c r="Q56" s="281">
        <f>$I$56*$R$4</f>
        <v>4256</v>
      </c>
      <c r="R56" s="289">
        <f t="shared" ref="R56:R63" si="12">Q56</f>
        <v>4256</v>
      </c>
      <c r="S56" s="121">
        <f t="shared" ref="S56:S65" si="13">AVERAGE(L56,O56,R56)</f>
        <v>4256</v>
      </c>
      <c r="T56" s="119" t="s">
        <v>12</v>
      </c>
      <c r="U56" s="140" t="s">
        <v>12</v>
      </c>
    </row>
    <row r="57" spans="2:21" ht="13.8" thickBot="1" x14ac:dyDescent="0.3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859.10997573500845</v>
      </c>
      <c r="K57" s="269">
        <f>J57*$L$4</f>
        <v>261169.43262344255</v>
      </c>
      <c r="L57" s="308">
        <f t="shared" si="10"/>
        <v>261169.43262344255</v>
      </c>
      <c r="M57" s="84">
        <f>HLOOKUP(Labor!$B$11,InflationTable,3)*$I$57</f>
        <v>882.5745384120097</v>
      </c>
      <c r="N57" s="63">
        <f>M57*$L$4</f>
        <v>268302.65967725095</v>
      </c>
      <c r="O57" s="95">
        <f t="shared" si="11"/>
        <v>268302.65967725095</v>
      </c>
      <c r="P57" s="268">
        <f>HLOOKUP(Labor!$B$11,InflationTable,4)*$I$57</f>
        <v>893.15040541892438</v>
      </c>
      <c r="Q57" s="269">
        <f>P57*$R$4</f>
        <v>271517.72324735299</v>
      </c>
      <c r="R57" s="308">
        <f t="shared" si="12"/>
        <v>271517.72324735299</v>
      </c>
      <c r="S57" s="128">
        <f t="shared" si="13"/>
        <v>266996.60518268216</v>
      </c>
      <c r="T57" s="149" t="s">
        <v>12</v>
      </c>
      <c r="U57" s="142" t="s">
        <v>12</v>
      </c>
    </row>
    <row r="58" spans="2:21" x14ac:dyDescent="0.25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2736</v>
      </c>
      <c r="L58" s="328">
        <f t="shared" si="10"/>
        <v>2736</v>
      </c>
      <c r="M58" s="61" t="s">
        <v>12</v>
      </c>
      <c r="N58" s="348">
        <f>$I$58*$O$4</f>
        <v>2736</v>
      </c>
      <c r="O58" s="349">
        <f t="shared" si="11"/>
        <v>2736</v>
      </c>
      <c r="P58" s="293" t="s">
        <v>12</v>
      </c>
      <c r="Q58" s="327">
        <f>$I$58*$R$4</f>
        <v>2736</v>
      </c>
      <c r="R58" s="328">
        <f t="shared" si="12"/>
        <v>2736</v>
      </c>
      <c r="S58" s="129">
        <f t="shared" si="13"/>
        <v>2736</v>
      </c>
      <c r="T58" s="136" t="s">
        <v>12</v>
      </c>
      <c r="U58" s="147" t="s">
        <v>12</v>
      </c>
    </row>
    <row r="59" spans="2:21" ht="13.8" thickBot="1" x14ac:dyDescent="0.3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590.30040785565836</v>
      </c>
      <c r="K59" s="269">
        <f>J59*$L$4</f>
        <v>179451.32398812013</v>
      </c>
      <c r="L59" s="308">
        <f t="shared" si="10"/>
        <v>179451.32398812013</v>
      </c>
      <c r="M59" s="362">
        <f>HLOOKUP(Labor!$B$11,InflationTable,3)*I59</f>
        <v>606.42307120447833</v>
      </c>
      <c r="N59" s="63">
        <f>M59*$O$4</f>
        <v>184352.61364616142</v>
      </c>
      <c r="O59" s="95">
        <f t="shared" si="11"/>
        <v>184352.61364616142</v>
      </c>
      <c r="P59" s="268">
        <f>HLOOKUP(Labor!$B$11,InflationTable,4)*$I$59</f>
        <v>613.68982259130496</v>
      </c>
      <c r="Q59" s="269">
        <f>P59*$R$4</f>
        <v>186561.70606775672</v>
      </c>
      <c r="R59" s="308">
        <f t="shared" si="12"/>
        <v>186561.70606775672</v>
      </c>
      <c r="S59" s="128">
        <f t="shared" si="13"/>
        <v>183455.21456734612</v>
      </c>
      <c r="T59" s="149" t="s">
        <v>12</v>
      </c>
      <c r="U59" s="142" t="s">
        <v>12</v>
      </c>
    </row>
    <row r="60" spans="2:21" x14ac:dyDescent="0.25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3648</v>
      </c>
      <c r="L60" s="328">
        <f t="shared" si="10"/>
        <v>3648</v>
      </c>
      <c r="M60" s="61" t="s">
        <v>12</v>
      </c>
      <c r="N60" s="348">
        <f>$I$60*$O$4</f>
        <v>3648</v>
      </c>
      <c r="O60" s="349">
        <f t="shared" si="11"/>
        <v>3648</v>
      </c>
      <c r="P60" s="293" t="s">
        <v>12</v>
      </c>
      <c r="Q60" s="327">
        <f>$I$60*$R$4</f>
        <v>3648</v>
      </c>
      <c r="R60" s="328">
        <f t="shared" si="12"/>
        <v>3648</v>
      </c>
      <c r="S60" s="129">
        <f t="shared" si="13"/>
        <v>3648</v>
      </c>
      <c r="T60" s="136" t="s">
        <v>12</v>
      </c>
      <c r="U60" s="147" t="s">
        <v>12</v>
      </c>
    </row>
    <row r="61" spans="2:21" ht="13.8" thickBot="1" x14ac:dyDescent="0.3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769.95705372477175</v>
      </c>
      <c r="K61" s="269">
        <f>J61*$L$4</f>
        <v>234066.9443323306</v>
      </c>
      <c r="L61" s="308">
        <f t="shared" si="10"/>
        <v>234066.9443323306</v>
      </c>
      <c r="M61" s="84">
        <f>HLOOKUP(Labor!$B$11,InflationTable,3)*$I$61</f>
        <v>790.98661461453696</v>
      </c>
      <c r="N61" s="63">
        <f>M61*$O$4</f>
        <v>240459.93084281925</v>
      </c>
      <c r="O61" s="95">
        <f t="shared" si="11"/>
        <v>240459.93084281925</v>
      </c>
      <c r="P61" s="268">
        <f>HLOOKUP(Labor!$B$11,InflationTable,4)*$I$61</f>
        <v>800.46498598865867</v>
      </c>
      <c r="Q61" s="269">
        <f>P61*$R$4</f>
        <v>243341.35574055224</v>
      </c>
      <c r="R61" s="308">
        <f t="shared" si="12"/>
        <v>243341.35574055224</v>
      </c>
      <c r="S61" s="128">
        <f t="shared" si="13"/>
        <v>239289.41030523405</v>
      </c>
      <c r="T61" s="149" t="s">
        <v>12</v>
      </c>
      <c r="U61" s="142" t="s">
        <v>12</v>
      </c>
    </row>
    <row r="62" spans="2:21" x14ac:dyDescent="0.25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1216</v>
      </c>
      <c r="L62" s="328">
        <f t="shared" si="10"/>
        <v>1216</v>
      </c>
      <c r="M62" s="61" t="s">
        <v>12</v>
      </c>
      <c r="N62" s="348">
        <f>$I$62*$O$4</f>
        <v>1216</v>
      </c>
      <c r="O62" s="349">
        <f t="shared" si="11"/>
        <v>1216</v>
      </c>
      <c r="P62" s="293" t="s">
        <v>12</v>
      </c>
      <c r="Q62" s="327">
        <f>$I$62*$R$4</f>
        <v>1216</v>
      </c>
      <c r="R62" s="328">
        <f t="shared" si="12"/>
        <v>1216</v>
      </c>
      <c r="S62" s="129">
        <f t="shared" si="13"/>
        <v>1216</v>
      </c>
      <c r="T62" s="136" t="s">
        <v>12</v>
      </c>
      <c r="U62" s="147" t="s">
        <v>12</v>
      </c>
    </row>
    <row r="63" spans="2:21" ht="13.8" thickBot="1" x14ac:dyDescent="0.3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248.54754014975089</v>
      </c>
      <c r="K63" s="269">
        <f>J63*$L$4</f>
        <v>75558.452205524271</v>
      </c>
      <c r="L63" s="300">
        <f t="shared" si="10"/>
        <v>75558.452205524271</v>
      </c>
      <c r="M63" s="84">
        <f>HLOOKUP(Labor!$B$11,InflationTable,3)*$I$63</f>
        <v>255.33602998083299</v>
      </c>
      <c r="N63" s="63">
        <f>M63*$O$4</f>
        <v>77622.153114173227</v>
      </c>
      <c r="O63" s="98">
        <f t="shared" si="11"/>
        <v>77622.153114173227</v>
      </c>
      <c r="P63" s="268">
        <f>HLOOKUP(Labor!$B$11,InflationTable,4)*$I$63</f>
        <v>258.39571477528631</v>
      </c>
      <c r="Q63" s="269">
        <f>P63*$R$4</f>
        <v>78552.297291687035</v>
      </c>
      <c r="R63" s="300">
        <f t="shared" si="12"/>
        <v>78552.297291687035</v>
      </c>
      <c r="S63" s="128">
        <f t="shared" si="13"/>
        <v>77244.300870461506</v>
      </c>
      <c r="T63" s="137" t="s">
        <v>12</v>
      </c>
      <c r="U63" s="142" t="s">
        <v>12</v>
      </c>
    </row>
    <row r="64" spans="2:21" x14ac:dyDescent="0.25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11856</v>
      </c>
      <c r="L64" s="312">
        <f>L56+L58+L60+L62</f>
        <v>11856</v>
      </c>
      <c r="M64" s="85" t="s">
        <v>12</v>
      </c>
      <c r="N64" s="33">
        <f>N56+N58+N60+N62</f>
        <v>11856</v>
      </c>
      <c r="O64" s="99">
        <f>O56+O58+O60+O62</f>
        <v>11856</v>
      </c>
      <c r="P64" s="301" t="s">
        <v>12</v>
      </c>
      <c r="Q64" s="285">
        <f>Q56+Q58+Q60+Q62</f>
        <v>11856</v>
      </c>
      <c r="R64" s="312">
        <f>R56+R58+R60+R62</f>
        <v>11856</v>
      </c>
      <c r="S64" s="129">
        <f t="shared" si="13"/>
        <v>11856</v>
      </c>
      <c r="T64" s="136" t="s">
        <v>12</v>
      </c>
      <c r="U64" s="147" t="s">
        <v>12</v>
      </c>
    </row>
    <row r="65" spans="2:22" ht="13.8" thickBot="1" x14ac:dyDescent="0.3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2467.9149774651896</v>
      </c>
      <c r="K65" s="275">
        <f>K57+K59+K61+K63</f>
        <v>750246.1531494176</v>
      </c>
      <c r="L65" s="276">
        <f>L57+L59+L61+L63</f>
        <v>750246.1531494176</v>
      </c>
      <c r="M65" s="242">
        <f>M57+M59+M61+M63</f>
        <v>2535.3202542118579</v>
      </c>
      <c r="N65" s="240">
        <f>N57+N59+N61+N63</f>
        <v>770737.35728040489</v>
      </c>
      <c r="O65" s="243">
        <f>O57+O59+O61+O63</f>
        <v>770737.35728040489</v>
      </c>
      <c r="P65" s="313">
        <f>P57+P59+P61+P63</f>
        <v>2565.7009287741744</v>
      </c>
      <c r="Q65" s="275">
        <f>Q57+Q59+Q61+Q63</f>
        <v>779973.08234734903</v>
      </c>
      <c r="R65" s="276">
        <f>R57+R59+R61+R63</f>
        <v>779973.08234734903</v>
      </c>
      <c r="S65" s="255">
        <f t="shared" si="13"/>
        <v>766985.53092572372</v>
      </c>
      <c r="T65" s="249" t="s">
        <v>12</v>
      </c>
      <c r="U65" s="224" t="s">
        <v>12</v>
      </c>
    </row>
    <row r="66" spans="2:22" ht="13.8" thickTop="1" x14ac:dyDescent="0.25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8" thickBot="1" x14ac:dyDescent="0.3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8.2" thickTop="1" thickBot="1" x14ac:dyDescent="0.35">
      <c r="B68" s="564" t="s">
        <v>28</v>
      </c>
      <c r="C68" s="5"/>
      <c r="D68" s="5"/>
      <c r="E68" s="5"/>
      <c r="F68" s="112" t="s">
        <v>6</v>
      </c>
      <c r="G68" s="1415"/>
      <c r="H68" s="1416"/>
      <c r="I68" s="1417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 x14ac:dyDescent="0.25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22" t="s">
        <v>57</v>
      </c>
      <c r="L69" s="1423"/>
      <c r="M69" s="57" t="s">
        <v>61</v>
      </c>
      <c r="N69" s="1432" t="s">
        <v>57</v>
      </c>
      <c r="O69" s="1436"/>
      <c r="P69" s="318" t="s">
        <v>61</v>
      </c>
      <c r="Q69" s="1422" t="s">
        <v>57</v>
      </c>
      <c r="R69" s="1423"/>
      <c r="S69" s="170"/>
      <c r="T69" s="133"/>
      <c r="U69" s="37"/>
    </row>
    <row r="70" spans="2:22" x14ac:dyDescent="0.25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 x14ac:dyDescent="0.25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10944</v>
      </c>
      <c r="L71" s="289">
        <f>K71</f>
        <v>10944</v>
      </c>
      <c r="M71" s="58" t="s">
        <v>12</v>
      </c>
      <c r="N71" s="69">
        <f>$I$71*$O$4</f>
        <v>10944</v>
      </c>
      <c r="O71" s="68">
        <f>N71</f>
        <v>10944</v>
      </c>
      <c r="P71" s="263" t="s">
        <v>12</v>
      </c>
      <c r="Q71" s="281">
        <f>$I$71*$O$4</f>
        <v>10944</v>
      </c>
      <c r="R71" s="289">
        <f>Q71</f>
        <v>10944</v>
      </c>
      <c r="S71" s="121">
        <f>AVERAGE(L71,O71,R71)</f>
        <v>10944</v>
      </c>
      <c r="T71" s="135" t="s">
        <v>12</v>
      </c>
      <c r="U71" s="136" t="s">
        <v>12</v>
      </c>
    </row>
    <row r="72" spans="2:22" ht="13.8" thickBot="1" x14ac:dyDescent="0.3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2528.701060653987</v>
      </c>
      <c r="K72" s="269">
        <f>J72*$L$4</f>
        <v>768725.12243881205</v>
      </c>
      <c r="L72" s="308">
        <f>K72</f>
        <v>768725.12243881205</v>
      </c>
      <c r="M72" s="362">
        <f>HLOOKUP(Labor!$B$11,InflationTable,3)*$I$72</f>
        <v>2597.7665658919532</v>
      </c>
      <c r="N72" s="63">
        <f>M72*$O$4</f>
        <v>789721.03603115375</v>
      </c>
      <c r="O72" s="95">
        <f>N72</f>
        <v>789721.03603115375</v>
      </c>
      <c r="P72" s="268">
        <f>HLOOKUP(Labor!$B$11,InflationTable,4)*$I72</f>
        <v>2628.8955329311739</v>
      </c>
      <c r="Q72" s="269">
        <f>P72*$R$4</f>
        <v>799184.24201107689</v>
      </c>
      <c r="R72" s="308">
        <f>Q72</f>
        <v>799184.24201107689</v>
      </c>
      <c r="S72" s="128">
        <f>AVERAGE(L72,O72,R72)</f>
        <v>785876.80016034748</v>
      </c>
      <c r="T72" s="137" t="s">
        <v>12</v>
      </c>
      <c r="U72" s="149" t="s">
        <v>12</v>
      </c>
    </row>
    <row r="73" spans="2:22" x14ac:dyDescent="0.25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7904</v>
      </c>
      <c r="L73" s="328">
        <f>K73</f>
        <v>7904</v>
      </c>
      <c r="M73" s="61" t="s">
        <v>12</v>
      </c>
      <c r="N73" s="348">
        <f>$I$73*$O$4</f>
        <v>7904</v>
      </c>
      <c r="O73" s="349">
        <f>N73</f>
        <v>7904</v>
      </c>
      <c r="P73" s="293" t="s">
        <v>12</v>
      </c>
      <c r="Q73" s="327">
        <f>$I$73*$O$4</f>
        <v>7904</v>
      </c>
      <c r="R73" s="328">
        <f>Q73</f>
        <v>7904</v>
      </c>
      <c r="S73" s="129">
        <f>AVERAGE(L73,O73,R73)</f>
        <v>7904</v>
      </c>
      <c r="T73" s="135" t="s">
        <v>12</v>
      </c>
      <c r="U73" s="136" t="s">
        <v>12</v>
      </c>
    </row>
    <row r="74" spans="2:22" ht="13.8" thickBot="1" x14ac:dyDescent="0.3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1434.5515632556273</v>
      </c>
      <c r="K74" s="269">
        <f>J74*$L$4</f>
        <v>436103.6752297107</v>
      </c>
      <c r="L74" s="308">
        <f>K74</f>
        <v>436103.6752297107</v>
      </c>
      <c r="M74" s="362">
        <f>HLOOKUP(Labor!$B$11,InflationTable,3)*$I$74</f>
        <v>1473.7329556502427</v>
      </c>
      <c r="N74" s="63">
        <f>M74*$O$4</f>
        <v>448014.81851767376</v>
      </c>
      <c r="O74" s="95">
        <f>N74</f>
        <v>448014.81851767376</v>
      </c>
      <c r="P74" s="268">
        <f>HLOOKUP(Labor!$B$11,InflationTable,4)*$I74</f>
        <v>1491.3926581051851</v>
      </c>
      <c r="Q74" s="269">
        <f>P74*$R$4</f>
        <v>453383.36806397629</v>
      </c>
      <c r="R74" s="308">
        <f>Q74</f>
        <v>453383.36806397629</v>
      </c>
      <c r="S74" s="128">
        <f>AVERAGE(L74,O74,R74)</f>
        <v>445833.95393712027</v>
      </c>
      <c r="T74" s="137" t="s">
        <v>12</v>
      </c>
      <c r="U74" s="149" t="s">
        <v>12</v>
      </c>
    </row>
    <row r="75" spans="2:22" x14ac:dyDescent="0.25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 x14ac:dyDescent="0.25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1216</v>
      </c>
      <c r="L76" s="289">
        <f t="shared" ref="L76:L81" si="16">K76</f>
        <v>1216</v>
      </c>
      <c r="M76" s="58" t="s">
        <v>12</v>
      </c>
      <c r="N76" s="69">
        <f>$I76*$O$4</f>
        <v>1216</v>
      </c>
      <c r="O76" s="68">
        <f t="shared" ref="O76:O81" si="17">N76</f>
        <v>1216</v>
      </c>
      <c r="P76" s="263" t="s">
        <v>12</v>
      </c>
      <c r="Q76" s="281">
        <f>$I76*$O$4</f>
        <v>1216</v>
      </c>
      <c r="R76" s="289">
        <f t="shared" ref="R76:R81" si="18">Q76</f>
        <v>1216</v>
      </c>
      <c r="S76" s="121">
        <f t="shared" ref="S76:S81" si="19">AVERAGE(L76,O76,R76)</f>
        <v>1216</v>
      </c>
      <c r="T76" s="135" t="s">
        <v>12</v>
      </c>
      <c r="U76" s="136" t="s">
        <v>12</v>
      </c>
    </row>
    <row r="77" spans="2:22" ht="13.8" thickBot="1" x14ac:dyDescent="0.3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283.66838821438961</v>
      </c>
      <c r="K77" s="269">
        <f>J77*$L$4</f>
        <v>86235.190017174435</v>
      </c>
      <c r="L77" s="308">
        <f t="shared" si="16"/>
        <v>86235.190017174435</v>
      </c>
      <c r="M77" s="362">
        <f>HLOOKUP(Labor!$B$11,InflationTable,3)*$I77</f>
        <v>291.41612117377679</v>
      </c>
      <c r="N77" s="63">
        <f>M77*$O$4</f>
        <v>88590.500836828141</v>
      </c>
      <c r="O77" s="95">
        <f t="shared" si="17"/>
        <v>88590.500836828141</v>
      </c>
      <c r="P77" s="268">
        <f>HLOOKUP(Labor!$B$11,InflationTable,4)*$I77</f>
        <v>294.90815273266372</v>
      </c>
      <c r="Q77" s="269">
        <f>P77*$R$4</f>
        <v>89652.078430729773</v>
      </c>
      <c r="R77" s="308">
        <f t="shared" si="18"/>
        <v>89652.078430729773</v>
      </c>
      <c r="S77" s="128">
        <f t="shared" si="19"/>
        <v>88159.256428244116</v>
      </c>
      <c r="T77" s="137" t="s">
        <v>12</v>
      </c>
      <c r="U77" s="149" t="s">
        <v>12</v>
      </c>
    </row>
    <row r="78" spans="2:22" x14ac:dyDescent="0.25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1520</v>
      </c>
      <c r="L78" s="328">
        <f t="shared" si="16"/>
        <v>1520</v>
      </c>
      <c r="M78" s="61" t="s">
        <v>12</v>
      </c>
      <c r="N78" s="348">
        <f>$I78*$O$4</f>
        <v>1520</v>
      </c>
      <c r="O78" s="349">
        <f t="shared" si="17"/>
        <v>1520</v>
      </c>
      <c r="P78" s="293" t="s">
        <v>12</v>
      </c>
      <c r="Q78" s="327">
        <f>$I78*$O$4</f>
        <v>1520</v>
      </c>
      <c r="R78" s="328">
        <f t="shared" si="18"/>
        <v>1520</v>
      </c>
      <c r="S78" s="129">
        <f t="shared" si="19"/>
        <v>1520</v>
      </c>
      <c r="T78" s="135" t="s">
        <v>12</v>
      </c>
      <c r="U78" s="136" t="s">
        <v>12</v>
      </c>
    </row>
    <row r="79" spans="2:22" ht="13.8" thickBot="1" x14ac:dyDescent="0.3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322.84164182494817</v>
      </c>
      <c r="K79" s="269">
        <f>J79*$L$4</f>
        <v>98143.859114784238</v>
      </c>
      <c r="L79" s="308">
        <f t="shared" si="16"/>
        <v>98143.859114784238</v>
      </c>
      <c r="M79" s="362">
        <f>HLOOKUP(Labor!$B$11,InflationTable,3)*$I79</f>
        <v>331.65929981206023</v>
      </c>
      <c r="N79" s="63">
        <f>M79*$O$4</f>
        <v>100824.42714286631</v>
      </c>
      <c r="O79" s="95">
        <f t="shared" si="17"/>
        <v>100824.42714286631</v>
      </c>
      <c r="P79" s="268">
        <f>HLOOKUP(Labor!$B$11,InflationTable,4)*$I79</f>
        <v>335.63356430050777</v>
      </c>
      <c r="Q79" s="269">
        <f>P79*$R$4</f>
        <v>102032.60354735436</v>
      </c>
      <c r="R79" s="308">
        <f t="shared" si="18"/>
        <v>102032.60354735436</v>
      </c>
      <c r="S79" s="172">
        <f t="shared" si="19"/>
        <v>100333.62993500162</v>
      </c>
      <c r="T79" s="118" t="s">
        <v>12</v>
      </c>
      <c r="U79" s="119" t="s">
        <v>12</v>
      </c>
    </row>
    <row r="80" spans="2:22" x14ac:dyDescent="0.25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1824</v>
      </c>
      <c r="L80" s="328">
        <f t="shared" si="16"/>
        <v>1824</v>
      </c>
      <c r="M80" s="61" t="s">
        <v>12</v>
      </c>
      <c r="N80" s="348">
        <f>$I80*$O$4</f>
        <v>1824</v>
      </c>
      <c r="O80" s="349">
        <f t="shared" si="17"/>
        <v>1824</v>
      </c>
      <c r="P80" s="293" t="s">
        <v>12</v>
      </c>
      <c r="Q80" s="327">
        <f>$I80*$O$4</f>
        <v>1824</v>
      </c>
      <c r="R80" s="328">
        <f t="shared" si="18"/>
        <v>1824</v>
      </c>
      <c r="S80" s="121">
        <f t="shared" si="19"/>
        <v>1824</v>
      </c>
      <c r="T80" s="135" t="s">
        <v>12</v>
      </c>
      <c r="U80" s="136" t="s">
        <v>12</v>
      </c>
    </row>
    <row r="81" spans="2:21" ht="13.8" thickBot="1" x14ac:dyDescent="0.3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424.15178047294444</v>
      </c>
      <c r="K81" s="269">
        <f>J81*$L$4</f>
        <v>128942.14126377511</v>
      </c>
      <c r="L81" s="308">
        <f t="shared" si="16"/>
        <v>128942.14126377511</v>
      </c>
      <c r="M81" s="362">
        <f>HLOOKUP(Labor!$B$11,InflationTable,3)*$I81</f>
        <v>435.73648594555198</v>
      </c>
      <c r="N81" s="63">
        <f>M81*$O$4</f>
        <v>132463.8917274478</v>
      </c>
      <c r="O81" s="95">
        <f t="shared" si="17"/>
        <v>132463.8917274478</v>
      </c>
      <c r="P81" s="268">
        <f>HLOOKUP(Labor!$B$11,InflationTable,4)*$I81</f>
        <v>440.95790456217338</v>
      </c>
      <c r="Q81" s="269">
        <f>P81*$R$4</f>
        <v>134051.20298690069</v>
      </c>
      <c r="R81" s="308">
        <f t="shared" si="18"/>
        <v>134051.20298690069</v>
      </c>
      <c r="S81" s="128">
        <f t="shared" si="19"/>
        <v>131819.07865937453</v>
      </c>
      <c r="T81" s="137" t="s">
        <v>12</v>
      </c>
      <c r="U81" s="149" t="s">
        <v>12</v>
      </c>
    </row>
    <row r="82" spans="2:21" x14ac:dyDescent="0.25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 x14ac:dyDescent="0.25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46</v>
      </c>
      <c r="L83" s="289">
        <f>K83</f>
        <v>46</v>
      </c>
      <c r="M83" s="58" t="s">
        <v>12</v>
      </c>
      <c r="N83" s="89">
        <f>$I83*M$5</f>
        <v>46</v>
      </c>
      <c r="O83" s="68">
        <f>N83</f>
        <v>46</v>
      </c>
      <c r="P83" s="263" t="s">
        <v>12</v>
      </c>
      <c r="Q83" s="314">
        <f>$I83*P$5</f>
        <v>46</v>
      </c>
      <c r="R83" s="289">
        <f>Q83</f>
        <v>46</v>
      </c>
      <c r="S83" s="121">
        <f>AVERAGE(L83,O83,R83)</f>
        <v>46</v>
      </c>
      <c r="T83" s="135" t="s">
        <v>12</v>
      </c>
      <c r="U83" s="136" t="s">
        <v>12</v>
      </c>
    </row>
    <row r="84" spans="2:21" ht="13.8" thickBot="1" x14ac:dyDescent="0.3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32.419244367358814</v>
      </c>
      <c r="K84" s="269">
        <f>J84*$J$5</f>
        <v>2982.5704817970109</v>
      </c>
      <c r="L84" s="308">
        <f>K84</f>
        <v>2982.5704817970109</v>
      </c>
      <c r="M84" s="362">
        <f>HLOOKUP(Labor!$B$11,InflationTable,3)*$I84</f>
        <v>33.304699562717346</v>
      </c>
      <c r="N84" s="63">
        <f>M84*$M$5</f>
        <v>3064.0323597699958</v>
      </c>
      <c r="O84" s="95">
        <f>N84</f>
        <v>3064.0323597699958</v>
      </c>
      <c r="P84" s="268">
        <f>HLOOKUP(Labor!$B$11,InflationTable,4)*$I84</f>
        <v>33.703788883732997</v>
      </c>
      <c r="Q84" s="269">
        <f>P84*$P$5</f>
        <v>3100.7485773034359</v>
      </c>
      <c r="R84" s="308">
        <f>Q84</f>
        <v>3100.7485773034359</v>
      </c>
      <c r="S84" s="132">
        <f>AVERAGE(L84,O84,R84)</f>
        <v>3049.1171396234809</v>
      </c>
      <c r="T84" s="137" t="s">
        <v>12</v>
      </c>
      <c r="U84" s="149" t="s">
        <v>12</v>
      </c>
    </row>
    <row r="85" spans="2:21" x14ac:dyDescent="0.25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4" t="s">
        <v>57</v>
      </c>
      <c r="O85" s="1435"/>
      <c r="P85" s="259" t="s">
        <v>55</v>
      </c>
      <c r="Q85" s="1431" t="s">
        <v>57</v>
      </c>
      <c r="R85" s="1439"/>
      <c r="S85" s="170"/>
      <c r="T85" s="133"/>
      <c r="U85" s="37"/>
    </row>
    <row r="86" spans="2:21" x14ac:dyDescent="0.25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1380</v>
      </c>
      <c r="L86" s="282">
        <f>K86/$E$85</f>
        <v>276</v>
      </c>
      <c r="M86" s="58" t="s">
        <v>12</v>
      </c>
      <c r="N86" s="60">
        <f>$I$86*$M$5</f>
        <v>1380</v>
      </c>
      <c r="O86" s="59">
        <f>N86/$E$85</f>
        <v>276</v>
      </c>
      <c r="P86" s="263" t="s">
        <v>12</v>
      </c>
      <c r="Q86" s="283">
        <f>$I$86*$P$5</f>
        <v>1380</v>
      </c>
      <c r="R86" s="282">
        <f>Q86/$E$85</f>
        <v>276</v>
      </c>
      <c r="S86" s="121">
        <f>AVERAGE(L86,O86,R86)</f>
        <v>276</v>
      </c>
      <c r="T86" s="135" t="s">
        <v>12</v>
      </c>
      <c r="U86" s="136" t="s">
        <v>12</v>
      </c>
    </row>
    <row r="87" spans="2:21" ht="13.8" thickBot="1" x14ac:dyDescent="0.3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1102.2543084901995</v>
      </c>
      <c r="K87" s="269">
        <f>J87*$J$5</f>
        <v>101407.39638109836</v>
      </c>
      <c r="L87" s="270">
        <f>K87/$E$85</f>
        <v>20281.47927621967</v>
      </c>
      <c r="M87" s="91">
        <f>HLOOKUP(Labor!$B$11,InflationTable,3)*$I87</f>
        <v>1132.3597851323898</v>
      </c>
      <c r="N87" s="63">
        <f>M87*$M$5</f>
        <v>104177.10023217986</v>
      </c>
      <c r="O87" s="64">
        <f>N87/$E$85</f>
        <v>20835.420046435971</v>
      </c>
      <c r="P87" s="292">
        <f>HLOOKUP(Labor!$B$11,InflationTable,4)*$I87</f>
        <v>1145.9288220469218</v>
      </c>
      <c r="Q87" s="269">
        <f>P87*$P$5</f>
        <v>105425.4516283168</v>
      </c>
      <c r="R87" s="270">
        <f>Q87/$E$85</f>
        <v>21085.090325663361</v>
      </c>
      <c r="S87" s="128">
        <f>AVERAGE(L87,O87,R87)</f>
        <v>20733.996549439667</v>
      </c>
      <c r="T87" s="137" t="s">
        <v>12</v>
      </c>
      <c r="U87" s="149" t="s">
        <v>12</v>
      </c>
    </row>
    <row r="88" spans="2:21" x14ac:dyDescent="0.25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23730</v>
      </c>
      <c r="M88" s="92" t="s">
        <v>12</v>
      </c>
      <c r="N88" s="42" t="s">
        <v>12</v>
      </c>
      <c r="O88" s="90">
        <f>O86+N83+N80+N78+N76+N73+N71</f>
        <v>23730</v>
      </c>
      <c r="P88" s="293" t="s">
        <v>12</v>
      </c>
      <c r="Q88" s="315" t="s">
        <v>12</v>
      </c>
      <c r="R88" s="316">
        <f>R86+Q83+Q80+Q78+Q76+Q73+Q71</f>
        <v>23730</v>
      </c>
      <c r="S88" s="150">
        <f>AVERAGE(L88,O88,R88)</f>
        <v>23730</v>
      </c>
      <c r="T88" s="133"/>
      <c r="U88" s="37"/>
    </row>
    <row r="89" spans="2:21" ht="13.8" thickBot="1" x14ac:dyDescent="0.3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6128.5879872794558</v>
      </c>
      <c r="K89" s="317" t="s">
        <v>12</v>
      </c>
      <c r="L89" s="306">
        <f>L87+K84+K81+K79+K77+K74+K72</f>
        <v>1541414.0378222731</v>
      </c>
      <c r="M89" s="242">
        <f>M72+M74+M77+M79+M81+M84+M87</f>
        <v>6295.9759131686915</v>
      </c>
      <c r="N89" s="256" t="s">
        <v>12</v>
      </c>
      <c r="O89" s="254">
        <f>O87+N84+N81+N79+N77+N74+N72</f>
        <v>1583514.1266621756</v>
      </c>
      <c r="P89" s="274">
        <f>P72+P74+P77+P79+P81+P84+P87</f>
        <v>6371.4204235623583</v>
      </c>
      <c r="Q89" s="317" t="s">
        <v>12</v>
      </c>
      <c r="R89" s="306">
        <f>R87+Q84+Q81+Q79+Q77+Q74+Q72</f>
        <v>1602489.3339430047</v>
      </c>
      <c r="S89" s="248">
        <f>AVERAGE(L89,O89,R89)</f>
        <v>1575805.8328091512</v>
      </c>
      <c r="T89" s="246"/>
      <c r="U89" s="236"/>
    </row>
    <row r="90" spans="2:21" ht="14.4" thickTop="1" thickBot="1" x14ac:dyDescent="0.3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2" thickTop="1" x14ac:dyDescent="0.3">
      <c r="B91" s="562" t="s">
        <v>30</v>
      </c>
      <c r="C91" s="5"/>
      <c r="D91" s="5"/>
      <c r="E91" s="5"/>
      <c r="F91" s="112" t="s">
        <v>6</v>
      </c>
      <c r="G91" s="1415"/>
      <c r="H91" s="1416"/>
      <c r="I91" s="1417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 x14ac:dyDescent="0.25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22" t="s">
        <v>57</v>
      </c>
      <c r="L92" s="1423"/>
      <c r="M92" s="57" t="s">
        <v>61</v>
      </c>
      <c r="N92" s="1432" t="s">
        <v>57</v>
      </c>
      <c r="O92" s="1436"/>
      <c r="P92" s="318" t="s">
        <v>61</v>
      </c>
      <c r="Q92" s="1431" t="s">
        <v>57</v>
      </c>
      <c r="R92" s="1439"/>
      <c r="S92" s="131"/>
      <c r="T92" s="133"/>
      <c r="U92" s="37"/>
    </row>
    <row r="93" spans="2:21" x14ac:dyDescent="0.25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 x14ac:dyDescent="0.25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3648</v>
      </c>
      <c r="L94" s="289">
        <f>K94</f>
        <v>3648</v>
      </c>
      <c r="M94" s="58" t="s">
        <v>12</v>
      </c>
      <c r="N94" s="69">
        <f>$I94*O$4</f>
        <v>3648</v>
      </c>
      <c r="O94" s="59">
        <f>N94</f>
        <v>3648</v>
      </c>
      <c r="P94" s="263" t="s">
        <v>12</v>
      </c>
      <c r="Q94" s="281">
        <f>$I94*R$4</f>
        <v>3648</v>
      </c>
      <c r="R94" s="289">
        <f>Q94</f>
        <v>3648</v>
      </c>
      <c r="S94" s="173">
        <f t="shared" ref="S94:S99" si="21">AVERAGE(L94,O94,R94)</f>
        <v>3648</v>
      </c>
      <c r="T94" s="135" t="s">
        <v>12</v>
      </c>
      <c r="U94" s="136" t="s">
        <v>12</v>
      </c>
    </row>
    <row r="95" spans="2:21" ht="13.8" thickBot="1" x14ac:dyDescent="0.3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915.84365337788643</v>
      </c>
      <c r="K95" s="269">
        <f>J95*$L$4</f>
        <v>278416.47062687745</v>
      </c>
      <c r="L95" s="308">
        <f>K95</f>
        <v>278416.47062687745</v>
      </c>
      <c r="M95" s="84">
        <f>HLOOKUP(Labor!$B$11,InflationTable,3)*$I95</f>
        <v>940.85776264676508</v>
      </c>
      <c r="N95" s="63">
        <f>M95*O$4</f>
        <v>286020.75984461658</v>
      </c>
      <c r="O95" s="64">
        <f>N95</f>
        <v>286020.75984461658</v>
      </c>
      <c r="P95" s="268">
        <f>HLOOKUP(Labor!$B$11,InflationTable,4)*$I95</f>
        <v>952.13203596545713</v>
      </c>
      <c r="Q95" s="269">
        <f>P95*R$4</f>
        <v>289448.13893349899</v>
      </c>
      <c r="R95" s="308">
        <f>Q95</f>
        <v>289448.13893349899</v>
      </c>
      <c r="S95" s="171">
        <f t="shared" si="21"/>
        <v>284628.45646833099</v>
      </c>
      <c r="T95" s="137" t="s">
        <v>12</v>
      </c>
      <c r="U95" s="149" t="s">
        <v>12</v>
      </c>
    </row>
    <row r="96" spans="2:21" x14ac:dyDescent="0.25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9120</v>
      </c>
      <c r="L96" s="328">
        <f>K96</f>
        <v>9120</v>
      </c>
      <c r="M96" s="61" t="s">
        <v>12</v>
      </c>
      <c r="N96" s="348">
        <f>$I96*O$4</f>
        <v>9120</v>
      </c>
      <c r="O96" s="349">
        <f>N96</f>
        <v>9120</v>
      </c>
      <c r="P96" s="293" t="s">
        <v>12</v>
      </c>
      <c r="Q96" s="327">
        <f>$I96*R$4</f>
        <v>9120</v>
      </c>
      <c r="R96" s="328">
        <f>Q96</f>
        <v>9120</v>
      </c>
      <c r="S96" s="173">
        <f t="shared" si="21"/>
        <v>9120</v>
      </c>
      <c r="T96" s="135" t="s">
        <v>12</v>
      </c>
      <c r="U96" s="136" t="s">
        <v>12</v>
      </c>
    </row>
    <row r="97" spans="2:22" ht="13.8" thickBot="1" x14ac:dyDescent="0.3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1943.8038601928888</v>
      </c>
      <c r="K97" s="269">
        <f>J97*$L$4</f>
        <v>590916.37349863816</v>
      </c>
      <c r="L97" s="300">
        <f>K97</f>
        <v>590916.37349863816</v>
      </c>
      <c r="M97" s="84">
        <f>HLOOKUP(Labor!$B$11,InflationTable,3)*$I97</f>
        <v>1996.8942779479275</v>
      </c>
      <c r="N97" s="63">
        <f>M97*O$4</f>
        <v>607055.86049617</v>
      </c>
      <c r="O97" s="64">
        <f>N97</f>
        <v>607055.86049617</v>
      </c>
      <c r="P97" s="292">
        <f>HLOOKUP(Labor!$B$11,InflationTable,4)*$I97</f>
        <v>2020.8230084871575</v>
      </c>
      <c r="Q97" s="269">
        <f>P97*R$4</f>
        <v>614330.19458009582</v>
      </c>
      <c r="R97" s="300">
        <f>Q97</f>
        <v>614330.19458009582</v>
      </c>
      <c r="S97" s="128">
        <f t="shared" si="21"/>
        <v>604100.80952496792</v>
      </c>
      <c r="T97" s="137" t="s">
        <v>12</v>
      </c>
      <c r="U97" s="149" t="s">
        <v>12</v>
      </c>
    </row>
    <row r="98" spans="2:22" x14ac:dyDescent="0.25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12768</v>
      </c>
      <c r="L98" s="321">
        <f>L94+L96</f>
        <v>12768</v>
      </c>
      <c r="M98" s="85" t="s">
        <v>12</v>
      </c>
      <c r="N98" s="36">
        <f>N94+N96</f>
        <v>12768</v>
      </c>
      <c r="O98" s="100">
        <f>O94+O96</f>
        <v>12768</v>
      </c>
      <c r="P98" s="301" t="s">
        <v>12</v>
      </c>
      <c r="Q98" s="320">
        <f>Q94+Q96</f>
        <v>12768</v>
      </c>
      <c r="R98" s="322">
        <f>R94+R96</f>
        <v>12768</v>
      </c>
      <c r="S98" s="121">
        <f t="shared" si="21"/>
        <v>12768</v>
      </c>
      <c r="T98" s="135" t="s">
        <v>12</v>
      </c>
      <c r="U98" s="136" t="s">
        <v>12</v>
      </c>
    </row>
    <row r="99" spans="2:22" ht="13.8" thickBot="1" x14ac:dyDescent="0.3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2859.6475135707751</v>
      </c>
      <c r="K99" s="275">
        <f>K95+K97</f>
        <v>869332.84412551555</v>
      </c>
      <c r="L99" s="276">
        <f>L95+L97</f>
        <v>869332.84412551555</v>
      </c>
      <c r="M99" s="242">
        <f>M95+M97</f>
        <v>2937.7520405946925</v>
      </c>
      <c r="N99" s="240">
        <f>N95+N97</f>
        <v>893076.62034078664</v>
      </c>
      <c r="O99" s="243">
        <f>O95+O97</f>
        <v>893076.62034078664</v>
      </c>
      <c r="P99" s="313">
        <f>P95+P97</f>
        <v>2972.9550444526149</v>
      </c>
      <c r="Q99" s="275">
        <f>Q95+Q97</f>
        <v>903778.33351359481</v>
      </c>
      <c r="R99" s="276">
        <f>R95+R97</f>
        <v>903778.33351359481</v>
      </c>
      <c r="S99" s="257">
        <f t="shared" si="21"/>
        <v>888729.26599329896</v>
      </c>
      <c r="T99" s="258" t="s">
        <v>12</v>
      </c>
      <c r="U99" s="249" t="s">
        <v>12</v>
      </c>
    </row>
    <row r="100" spans="2:22" ht="14.4" thickTop="1" thickBot="1" x14ac:dyDescent="0.3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8.600000000000001" thickTop="1" thickBot="1" x14ac:dyDescent="0.35">
      <c r="B101" s="556" t="s">
        <v>121</v>
      </c>
      <c r="C101" s="234" t="str">
        <f>C2</f>
        <v>CO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2019</v>
      </c>
      <c r="L101" s="83"/>
      <c r="M101" s="79" t="str">
        <f>M2</f>
        <v>Year 2</v>
      </c>
      <c r="N101" s="79">
        <f>N2</f>
        <v>2020</v>
      </c>
      <c r="O101" s="41"/>
      <c r="P101" s="233" t="str">
        <f>P2</f>
        <v>Year 3</v>
      </c>
      <c r="Q101" s="233">
        <f>Q2</f>
        <v>2021</v>
      </c>
      <c r="R101" s="83"/>
      <c r="S101" s="152"/>
      <c r="T101" s="130"/>
      <c r="U101" s="570"/>
    </row>
    <row r="102" spans="2:22" ht="13.8" thickBot="1" x14ac:dyDescent="0.3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 x14ac:dyDescent="0.25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si="23"/>
        <v>NA</v>
      </c>
      <c r="K103" s="327">
        <f t="shared" si="23"/>
        <v>3496</v>
      </c>
      <c r="L103" s="328">
        <f t="shared" si="23"/>
        <v>499.42857142857144</v>
      </c>
      <c r="M103" s="186" t="str">
        <f t="shared" si="23"/>
        <v>NA</v>
      </c>
      <c r="N103" s="184">
        <f t="shared" si="23"/>
        <v>3496</v>
      </c>
      <c r="O103" s="185">
        <f t="shared" si="23"/>
        <v>499.42857142857144</v>
      </c>
      <c r="P103" s="326" t="str">
        <f t="shared" si="23"/>
        <v>NA</v>
      </c>
      <c r="Q103" s="327">
        <f t="shared" si="23"/>
        <v>3496</v>
      </c>
      <c r="R103" s="328">
        <f t="shared" si="23"/>
        <v>499.42857142857144</v>
      </c>
      <c r="S103" s="185">
        <f t="shared" si="23"/>
        <v>499.42857142857139</v>
      </c>
      <c r="T103" s="37"/>
      <c r="U103" s="138"/>
    </row>
    <row r="104" spans="2:22" ht="13.8" thickBot="1" x14ac:dyDescent="0.3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690</v>
      </c>
      <c r="G104" s="204">
        <f t="shared" si="24"/>
        <v>777</v>
      </c>
      <c r="H104" s="204">
        <f t="shared" si="24"/>
        <v>586</v>
      </c>
      <c r="I104" s="205">
        <f t="shared" si="24"/>
        <v>2053</v>
      </c>
      <c r="J104" s="329">
        <f t="shared" si="24"/>
        <v>2773.1961952578181</v>
      </c>
      <c r="K104" s="330">
        <f t="shared" si="24"/>
        <v>255134.04996371927</v>
      </c>
      <c r="L104" s="331">
        <f t="shared" si="24"/>
        <v>36447.721423388473</v>
      </c>
      <c r="M104" s="203">
        <f t="shared" si="24"/>
        <v>2848.9395084274461</v>
      </c>
      <c r="N104" s="204">
        <f t="shared" si="24"/>
        <v>262102.43477532506</v>
      </c>
      <c r="O104" s="205">
        <f t="shared" si="24"/>
        <v>37443.204967903577</v>
      </c>
      <c r="P104" s="329">
        <f t="shared" si="24"/>
        <v>2883.0782740959935</v>
      </c>
      <c r="Q104" s="330">
        <f t="shared" si="24"/>
        <v>265243.2012168314</v>
      </c>
      <c r="R104" s="331">
        <f t="shared" si="24"/>
        <v>37891.88588811877</v>
      </c>
      <c r="S104" s="205">
        <f t="shared" si="24"/>
        <v>37260.937426470271</v>
      </c>
      <c r="T104" s="206" t="str">
        <f>T16</f>
        <v>NA</v>
      </c>
      <c r="U104" s="392" t="s">
        <v>12</v>
      </c>
    </row>
    <row r="105" spans="2:22" x14ac:dyDescent="0.25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6140.8</v>
      </c>
      <c r="L105" s="328">
        <f t="shared" si="25"/>
        <v>877.25714285714287</v>
      </c>
      <c r="M105" s="186" t="str">
        <f t="shared" si="25"/>
        <v>NA</v>
      </c>
      <c r="N105" s="184">
        <f t="shared" si="25"/>
        <v>6140.8</v>
      </c>
      <c r="O105" s="185">
        <f t="shared" si="25"/>
        <v>877.25714285714287</v>
      </c>
      <c r="P105" s="326" t="str">
        <f t="shared" si="25"/>
        <v>NA</v>
      </c>
      <c r="Q105" s="327">
        <f t="shared" si="25"/>
        <v>6140.8</v>
      </c>
      <c r="R105" s="328">
        <f t="shared" si="25"/>
        <v>877.25714285714287</v>
      </c>
      <c r="S105" s="185">
        <f t="shared" si="25"/>
        <v>877.25714285714287</v>
      </c>
      <c r="T105" s="37"/>
      <c r="U105" s="138"/>
    </row>
    <row r="106" spans="2:22" ht="13.8" thickBot="1" x14ac:dyDescent="0.3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1184.6532212572365</v>
      </c>
      <c r="K106" s="296">
        <f t="shared" si="26"/>
        <v>0</v>
      </c>
      <c r="L106" s="297">
        <f t="shared" si="26"/>
        <v>667991.27445378411</v>
      </c>
      <c r="M106" s="207">
        <f t="shared" si="26"/>
        <v>1217.0092298542963</v>
      </c>
      <c r="N106" s="208">
        <f t="shared" si="26"/>
        <v>0</v>
      </c>
      <c r="O106" s="209">
        <f t="shared" si="26"/>
        <v>685642.26395958767</v>
      </c>
      <c r="P106" s="332">
        <f t="shared" si="26"/>
        <v>1231.5926187930766</v>
      </c>
      <c r="Q106" s="296">
        <f t="shared" si="26"/>
        <v>0</v>
      </c>
      <c r="R106" s="297">
        <f t="shared" si="26"/>
        <v>693858.29680708342</v>
      </c>
      <c r="S106" s="209">
        <f t="shared" si="26"/>
        <v>52788.303919360413</v>
      </c>
      <c r="T106" s="210" t="str">
        <f>T29</f>
        <v>NA</v>
      </c>
      <c r="U106" s="575">
        <f>U29</f>
        <v>629708.97448745801</v>
      </c>
    </row>
    <row r="107" spans="2:22" x14ac:dyDescent="0.25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36480</v>
      </c>
      <c r="L107" s="335">
        <f t="shared" si="27"/>
        <v>36480</v>
      </c>
      <c r="M107" s="199" t="str">
        <f t="shared" si="27"/>
        <v>NA</v>
      </c>
      <c r="N107" s="25">
        <f t="shared" si="27"/>
        <v>36480</v>
      </c>
      <c r="O107" s="198">
        <f t="shared" si="27"/>
        <v>36480</v>
      </c>
      <c r="P107" s="333" t="str">
        <f t="shared" si="27"/>
        <v>NA</v>
      </c>
      <c r="Q107" s="334">
        <f t="shared" si="27"/>
        <v>36480</v>
      </c>
      <c r="R107" s="335">
        <f t="shared" si="27"/>
        <v>36480</v>
      </c>
      <c r="S107" s="198">
        <f t="shared" si="27"/>
        <v>36480</v>
      </c>
      <c r="T107" s="200" t="str">
        <f>T21</f>
        <v>NA</v>
      </c>
      <c r="U107" s="147" t="s">
        <v>12</v>
      </c>
    </row>
    <row r="108" spans="2:22" ht="13.8" thickBot="1" x14ac:dyDescent="0.3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7967.0293032784284</v>
      </c>
      <c r="K108" s="296">
        <f t="shared" si="28"/>
        <v>2421976.9081966421</v>
      </c>
      <c r="L108" s="297">
        <f t="shared" si="28"/>
        <v>2421976.9081966421</v>
      </c>
      <c r="M108" s="207">
        <f t="shared" si="28"/>
        <v>8184.6299175377881</v>
      </c>
      <c r="N108" s="208">
        <f t="shared" si="28"/>
        <v>2488127.4949314874</v>
      </c>
      <c r="O108" s="209">
        <f t="shared" si="28"/>
        <v>2488127.4949314874</v>
      </c>
      <c r="P108" s="332">
        <f t="shared" si="28"/>
        <v>8282.7061181773843</v>
      </c>
      <c r="Q108" s="296">
        <f t="shared" si="28"/>
        <v>2517942.6599259251</v>
      </c>
      <c r="R108" s="297">
        <f t="shared" si="28"/>
        <v>2517942.6599259251</v>
      </c>
      <c r="S108" s="209">
        <f t="shared" si="28"/>
        <v>2476015.687684685</v>
      </c>
      <c r="T108" s="209">
        <f>T39</f>
        <v>335844.78639331093</v>
      </c>
      <c r="U108" s="392" t="s">
        <v>12</v>
      </c>
    </row>
    <row r="109" spans="2:22" x14ac:dyDescent="0.25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20672</v>
      </c>
      <c r="L109" s="335">
        <f t="shared" si="29"/>
        <v>20672</v>
      </c>
      <c r="M109" s="199" t="str">
        <f t="shared" si="29"/>
        <v>NA</v>
      </c>
      <c r="N109" s="25">
        <f t="shared" si="29"/>
        <v>20672</v>
      </c>
      <c r="O109" s="198">
        <f t="shared" si="29"/>
        <v>20672</v>
      </c>
      <c r="P109" s="333" t="str">
        <f t="shared" si="29"/>
        <v>NA</v>
      </c>
      <c r="Q109" s="334">
        <f t="shared" si="29"/>
        <v>20672</v>
      </c>
      <c r="R109" s="335">
        <f t="shared" si="29"/>
        <v>20672</v>
      </c>
      <c r="S109" s="198">
        <f t="shared" si="29"/>
        <v>20672</v>
      </c>
      <c r="T109" s="37"/>
      <c r="U109" s="138"/>
    </row>
    <row r="110" spans="2:22" ht="13.8" thickBot="1" x14ac:dyDescent="0.3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5549.0939942129171</v>
      </c>
      <c r="K110" s="296">
        <f t="shared" si="30"/>
        <v>1686924.5742407269</v>
      </c>
      <c r="L110" s="297">
        <f t="shared" si="30"/>
        <v>1686924.5742407269</v>
      </c>
      <c r="M110" s="211">
        <f t="shared" si="30"/>
        <v>5700.6544084851203</v>
      </c>
      <c r="N110" s="208">
        <f t="shared" si="30"/>
        <v>1732998.9401794765</v>
      </c>
      <c r="O110" s="209">
        <f t="shared" si="30"/>
        <v>1732998.9401794765</v>
      </c>
      <c r="P110" s="332">
        <f t="shared" si="30"/>
        <v>5768.9651972656311</v>
      </c>
      <c r="Q110" s="296">
        <f t="shared" si="30"/>
        <v>1753765.4199687517</v>
      </c>
      <c r="R110" s="297">
        <f t="shared" si="30"/>
        <v>1753765.4199687517</v>
      </c>
      <c r="S110" s="209">
        <f t="shared" si="30"/>
        <v>1304756.995138013</v>
      </c>
      <c r="T110" s="209">
        <f>T51</f>
        <v>419805.98299163859</v>
      </c>
      <c r="U110" s="576" t="s">
        <v>12</v>
      </c>
    </row>
    <row r="111" spans="2:22" x14ac:dyDescent="0.25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11856</v>
      </c>
      <c r="L111" s="335">
        <f t="shared" si="31"/>
        <v>11856</v>
      </c>
      <c r="M111" s="199" t="str">
        <f t="shared" si="31"/>
        <v>NA</v>
      </c>
      <c r="N111" s="25">
        <f t="shared" si="31"/>
        <v>11856</v>
      </c>
      <c r="O111" s="198">
        <f t="shared" si="31"/>
        <v>11856</v>
      </c>
      <c r="P111" s="333" t="str">
        <f t="shared" si="31"/>
        <v>NA</v>
      </c>
      <c r="Q111" s="334">
        <f t="shared" si="31"/>
        <v>11856</v>
      </c>
      <c r="R111" s="335">
        <f t="shared" si="31"/>
        <v>11856</v>
      </c>
      <c r="S111" s="198">
        <f t="shared" si="31"/>
        <v>11856</v>
      </c>
      <c r="T111" s="212" t="str">
        <f t="shared" si="31"/>
        <v>NA</v>
      </c>
      <c r="U111" s="577" t="str">
        <f t="shared" si="31"/>
        <v>NA</v>
      </c>
    </row>
    <row r="112" spans="2:22" ht="13.8" thickBot="1" x14ac:dyDescent="0.3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2467.9149774651896</v>
      </c>
      <c r="K112" s="296">
        <f t="shared" si="32"/>
        <v>750246.1531494176</v>
      </c>
      <c r="L112" s="297">
        <f t="shared" si="32"/>
        <v>750246.1531494176</v>
      </c>
      <c r="M112" s="207">
        <f t="shared" si="32"/>
        <v>2535.3202542118579</v>
      </c>
      <c r="N112" s="208">
        <f t="shared" si="32"/>
        <v>770737.35728040489</v>
      </c>
      <c r="O112" s="209">
        <f t="shared" si="32"/>
        <v>770737.35728040489</v>
      </c>
      <c r="P112" s="339">
        <f t="shared" si="32"/>
        <v>2565.7009287741744</v>
      </c>
      <c r="Q112" s="296">
        <f t="shared" si="32"/>
        <v>779973.08234734903</v>
      </c>
      <c r="R112" s="297">
        <f t="shared" si="32"/>
        <v>779973.08234734903</v>
      </c>
      <c r="S112" s="209">
        <f t="shared" si="32"/>
        <v>766985.53092572372</v>
      </c>
      <c r="T112" s="210" t="str">
        <f t="shared" si="32"/>
        <v>NA</v>
      </c>
      <c r="U112" s="392" t="s">
        <v>12</v>
      </c>
    </row>
    <row r="113" spans="2:21" x14ac:dyDescent="0.25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23730</v>
      </c>
      <c r="M113" s="216" t="str">
        <f t="shared" si="33"/>
        <v>NA</v>
      </c>
      <c r="N113" s="217" t="str">
        <f t="shared" si="33"/>
        <v>NA</v>
      </c>
      <c r="O113" s="215">
        <f t="shared" si="33"/>
        <v>23730</v>
      </c>
      <c r="P113" s="336" t="str">
        <f t="shared" si="33"/>
        <v>NA</v>
      </c>
      <c r="Q113" s="337" t="str">
        <f t="shared" si="33"/>
        <v>NA</v>
      </c>
      <c r="R113" s="294">
        <f t="shared" si="33"/>
        <v>23730</v>
      </c>
      <c r="S113" s="215">
        <f t="shared" si="33"/>
        <v>23730</v>
      </c>
      <c r="T113" s="136" t="s">
        <v>12</v>
      </c>
      <c r="U113" s="147" t="s">
        <v>12</v>
      </c>
    </row>
    <row r="114" spans="2:21" ht="13.8" thickBot="1" x14ac:dyDescent="0.3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6128.5879872794558</v>
      </c>
      <c r="K114" s="338" t="str">
        <f t="shared" si="34"/>
        <v>NA</v>
      </c>
      <c r="L114" s="297">
        <f t="shared" si="34"/>
        <v>1541414.0378222731</v>
      </c>
      <c r="M114" s="211">
        <f t="shared" si="34"/>
        <v>6295.9759131686915</v>
      </c>
      <c r="N114" s="219" t="str">
        <f t="shared" si="34"/>
        <v>NA</v>
      </c>
      <c r="O114" s="209">
        <f t="shared" si="34"/>
        <v>1583514.1266621756</v>
      </c>
      <c r="P114" s="332">
        <f t="shared" si="34"/>
        <v>6371.4204235623583</v>
      </c>
      <c r="Q114" s="338" t="str">
        <f t="shared" si="34"/>
        <v>NA</v>
      </c>
      <c r="R114" s="297">
        <f t="shared" si="34"/>
        <v>1602489.3339430047</v>
      </c>
      <c r="S114" s="209">
        <f t="shared" si="34"/>
        <v>1575805.8328091512</v>
      </c>
      <c r="T114" s="209">
        <f>T89</f>
        <v>0</v>
      </c>
      <c r="U114" s="392" t="s">
        <v>12</v>
      </c>
    </row>
    <row r="115" spans="2:21" x14ac:dyDescent="0.25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12768</v>
      </c>
      <c r="L115" s="335">
        <f t="shared" si="35"/>
        <v>12768</v>
      </c>
      <c r="M115" s="199" t="str">
        <f t="shared" si="35"/>
        <v>NA</v>
      </c>
      <c r="N115" s="25">
        <f t="shared" si="35"/>
        <v>12768</v>
      </c>
      <c r="O115" s="198">
        <f t="shared" si="35"/>
        <v>12768</v>
      </c>
      <c r="P115" s="333" t="str">
        <f t="shared" si="35"/>
        <v>NA</v>
      </c>
      <c r="Q115" s="334">
        <f t="shared" si="35"/>
        <v>12768</v>
      </c>
      <c r="R115" s="335">
        <f t="shared" si="35"/>
        <v>12768</v>
      </c>
      <c r="S115" s="198">
        <f t="shared" si="35"/>
        <v>12768</v>
      </c>
      <c r="T115" s="136" t="s">
        <v>12</v>
      </c>
      <c r="U115" s="147" t="s">
        <v>12</v>
      </c>
    </row>
    <row r="116" spans="2:21" ht="13.8" thickBot="1" x14ac:dyDescent="0.3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2859.6475135707751</v>
      </c>
      <c r="K116" s="305">
        <f t="shared" si="36"/>
        <v>869332.84412551555</v>
      </c>
      <c r="L116" s="306">
        <f t="shared" si="36"/>
        <v>869332.84412551555</v>
      </c>
      <c r="M116" s="220">
        <f t="shared" si="36"/>
        <v>2937.7520405946925</v>
      </c>
      <c r="N116" s="221">
        <f t="shared" si="36"/>
        <v>893076.62034078664</v>
      </c>
      <c r="O116" s="222">
        <f t="shared" si="36"/>
        <v>893076.62034078664</v>
      </c>
      <c r="P116" s="311">
        <f t="shared" si="36"/>
        <v>2972.9550444526149</v>
      </c>
      <c r="Q116" s="305">
        <f t="shared" si="36"/>
        <v>903778.33351359481</v>
      </c>
      <c r="R116" s="306">
        <f t="shared" si="36"/>
        <v>903778.33351359481</v>
      </c>
      <c r="S116" s="222">
        <f t="shared" si="36"/>
        <v>888729.26599329896</v>
      </c>
      <c r="T116" s="223" t="str">
        <f>T99</f>
        <v>NA</v>
      </c>
      <c r="U116" s="224" t="s">
        <v>12</v>
      </c>
    </row>
    <row r="117" spans="2:21" ht="18" thickTop="1" x14ac:dyDescent="0.3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 x14ac:dyDescent="0.25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110.3</v>
      </c>
      <c r="G118" s="101">
        <f t="shared" si="37"/>
        <v>57</v>
      </c>
      <c r="H118" s="101">
        <f t="shared" si="37"/>
        <v>21</v>
      </c>
      <c r="I118" s="102">
        <f t="shared" si="37"/>
        <v>419.5</v>
      </c>
      <c r="J118" s="340" t="s">
        <v>12</v>
      </c>
      <c r="K118" s="281">
        <f>K103+K105+K107+K109+K111+K115</f>
        <v>91412.800000000003</v>
      </c>
      <c r="L118" s="289">
        <f>L103+L105+L107+L109+L111+L113+L115</f>
        <v>106882.6857142857</v>
      </c>
      <c r="M118" s="103" t="s">
        <v>12</v>
      </c>
      <c r="N118" s="101">
        <f>N103+N105+N107+N109+N111+N115</f>
        <v>91412.800000000003</v>
      </c>
      <c r="O118" s="102">
        <f>O103+O105+O107+O109+O111+O113+O115</f>
        <v>106882.6857142857</v>
      </c>
      <c r="P118" s="340" t="s">
        <v>12</v>
      </c>
      <c r="Q118" s="281">
        <f>Q103+Q105+Q107+Q109+Q111+Q115</f>
        <v>91412.800000000003</v>
      </c>
      <c r="R118" s="289">
        <f>R103+R105+R107+R109+R111+R113+R115</f>
        <v>106882.6857142857</v>
      </c>
      <c r="S118" s="174">
        <f>S103+S105+S107+S109+S111+S113+S115</f>
        <v>106882.6857142857</v>
      </c>
      <c r="T118" s="102"/>
      <c r="U118" s="140" t="s">
        <v>12</v>
      </c>
    </row>
    <row r="119" spans="2:21" s="235" customFormat="1" ht="16.2" thickBot="1" x14ac:dyDescent="0.35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5435</v>
      </c>
      <c r="G119" s="583">
        <f t="shared" si="37"/>
        <v>3161</v>
      </c>
      <c r="H119" s="583">
        <f t="shared" si="37"/>
        <v>1230</v>
      </c>
      <c r="I119" s="584">
        <f t="shared" si="37"/>
        <v>21417</v>
      </c>
      <c r="J119" s="585">
        <f>J104+J106+J108+J110+J112+J114+J116</f>
        <v>28930.123192321815</v>
      </c>
      <c r="K119" s="586">
        <f>K104+K106+K108+K110+K112+K116</f>
        <v>5983614.529676022</v>
      </c>
      <c r="L119" s="587">
        <f>L104+L106+L108+L110+L112+L114+L116</f>
        <v>7974333.5134117482</v>
      </c>
      <c r="M119" s="582">
        <f>M104+M106+M108+M110+M112+M114+M116</f>
        <v>29720.281272279895</v>
      </c>
      <c r="N119" s="588">
        <f>N104+N106+N108+N110+N112+N116</f>
        <v>6147042.8475074805</v>
      </c>
      <c r="O119" s="584">
        <f>O104+O106+O108+O110+O112+O114+O116</f>
        <v>8191540.0083218236</v>
      </c>
      <c r="P119" s="589">
        <f>P104+P106+P108+P110+P112+P114+P116</f>
        <v>30076.418605121235</v>
      </c>
      <c r="Q119" s="586">
        <f>Q104+Q106+Q108+Q110+Q112+Q116</f>
        <v>6220702.696972453</v>
      </c>
      <c r="R119" s="587">
        <f>R104+R106+R108+R110+R112+R114+R116</f>
        <v>8289699.0123938285</v>
      </c>
      <c r="S119" s="590">
        <f>S104+S106+S108+S110+S112+S114+S116</f>
        <v>7102342.5538967028</v>
      </c>
      <c r="T119" s="584">
        <f>SUM(T104,T106,T108,T110,T112,T114,T116)</f>
        <v>755650.76938494947</v>
      </c>
      <c r="U119" s="591">
        <f>SUM(U104,U106,U108,U110,U112,U114,U116)</f>
        <v>629708.97448745801</v>
      </c>
    </row>
  </sheetData>
  <sheetProtection sheet="1" objects="1" scenarios="1"/>
  <mergeCells count="35"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count="1">
    <dataValidation allowBlank="1" showInputMessage="1" showErrorMessage="1" sqref="D34 D21" xr:uid="{00000000-0002-0000-04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19"/>
  <sheetViews>
    <sheetView zoomScaleNormal="100" workbookViewId="0">
      <selection activeCell="F3" sqref="F3"/>
    </sheetView>
  </sheetViews>
  <sheetFormatPr defaultRowHeight="13.2" x14ac:dyDescent="0.25"/>
  <cols>
    <col min="1" max="1" width="1.109375" customWidth="1"/>
    <col min="2" max="2" width="31.44140625" customWidth="1"/>
    <col min="3" max="3" width="12.88671875" customWidth="1"/>
    <col min="4" max="4" width="10.33203125" bestFit="1" customWidth="1"/>
    <col min="5" max="5" width="11.33203125" customWidth="1"/>
    <col min="6" max="6" width="9.6640625" style="10" customWidth="1"/>
    <col min="7" max="7" width="9.6640625" bestFit="1" customWidth="1"/>
    <col min="8" max="8" width="9.88671875" bestFit="1" customWidth="1"/>
    <col min="9" max="9" width="13.33203125" customWidth="1"/>
    <col min="10" max="10" width="15" customWidth="1"/>
    <col min="11" max="11" width="14.44140625" customWidth="1"/>
    <col min="12" max="12" width="14.332031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593" t="s">
        <v>1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554" t="s">
        <v>79</v>
      </c>
    </row>
    <row r="3" spans="1:21" ht="15.6" x14ac:dyDescent="0.3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87</v>
      </c>
      <c r="U3" s="37"/>
    </row>
    <row r="4" spans="1:21" x14ac:dyDescent="0.25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451</v>
      </c>
      <c r="M4" s="396" t="s">
        <v>71</v>
      </c>
      <c r="N4" s="431" t="s">
        <v>69</v>
      </c>
      <c r="O4" s="20">
        <v>451</v>
      </c>
      <c r="P4" s="425" t="s">
        <v>71</v>
      </c>
      <c r="Q4" s="429" t="s">
        <v>69</v>
      </c>
      <c r="R4" s="20">
        <v>451</v>
      </c>
      <c r="S4" s="115" t="s">
        <v>69</v>
      </c>
      <c r="T4" s="106">
        <f>AVERAGE(L4,O4,R4)</f>
        <v>451</v>
      </c>
      <c r="U4" s="37"/>
    </row>
    <row r="5" spans="1:21" ht="12.75" customHeight="1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30"/>
      <c r="J5" s="341">
        <v>87</v>
      </c>
      <c r="K5" s="342" t="s">
        <v>70</v>
      </c>
      <c r="L5" s="343">
        <f>L4*$I$4</f>
        <v>22.55</v>
      </c>
      <c r="M5" s="631">
        <v>87</v>
      </c>
      <c r="N5" s="344" t="s">
        <v>70</v>
      </c>
      <c r="O5" s="345">
        <f>O4*$I$4</f>
        <v>22.55</v>
      </c>
      <c r="P5" s="630">
        <v>87</v>
      </c>
      <c r="Q5" s="342" t="s">
        <v>70</v>
      </c>
      <c r="R5" s="343">
        <f>R4*$I$4</f>
        <v>22.55</v>
      </c>
      <c r="S5" s="237" t="s">
        <v>70</v>
      </c>
      <c r="T5" s="238">
        <f>AVERAGE(L5,O5,R5)</f>
        <v>22.55</v>
      </c>
      <c r="U5" s="37"/>
    </row>
    <row r="6" spans="1:21" ht="30" customHeight="1" thickTop="1" thickBot="1" x14ac:dyDescent="0.35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6" x14ac:dyDescent="0.3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4"/>
      <c r="H7" s="1425"/>
      <c r="I7" s="1426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 x14ac:dyDescent="0.25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31" t="s">
        <v>57</v>
      </c>
      <c r="L8" s="1423"/>
      <c r="M8" s="57" t="s">
        <v>55</v>
      </c>
      <c r="N8" s="1432" t="s">
        <v>57</v>
      </c>
      <c r="O8" s="1433"/>
      <c r="P8" s="277" t="s">
        <v>55</v>
      </c>
      <c r="Q8" s="1422" t="s">
        <v>57</v>
      </c>
      <c r="R8" s="1423"/>
      <c r="S8" s="125"/>
      <c r="T8" s="145"/>
      <c r="U8" s="143"/>
    </row>
    <row r="9" spans="1:21" x14ac:dyDescent="0.25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 x14ac:dyDescent="0.25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2610</v>
      </c>
      <c r="L10" s="265">
        <f>K10/$E$7</f>
        <v>372.85714285714283</v>
      </c>
      <c r="M10" s="58" t="s">
        <v>12</v>
      </c>
      <c r="N10" s="432">
        <f>I10*$M$5</f>
        <v>2610</v>
      </c>
      <c r="O10" s="68">
        <f>N10/$E$7</f>
        <v>372.85714285714283</v>
      </c>
      <c r="P10" s="263" t="s">
        <v>12</v>
      </c>
      <c r="Q10" s="433">
        <f>$I10*$P$5</f>
        <v>2610</v>
      </c>
      <c r="R10" s="289">
        <f>Q10/$E$7</f>
        <v>372.85714285714283</v>
      </c>
      <c r="S10" s="121">
        <f>AVERAGE(L10,O10,R10)</f>
        <v>372.85714285714283</v>
      </c>
      <c r="T10" s="119" t="s">
        <v>12</v>
      </c>
      <c r="U10" s="119" t="s">
        <v>12</v>
      </c>
    </row>
    <row r="11" spans="1:21" s="1" customFormat="1" x14ac:dyDescent="0.25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2207.210220677679</v>
      </c>
      <c r="K11" s="384">
        <f>J11*$J$5</f>
        <v>192027.28919895808</v>
      </c>
      <c r="L11" s="385">
        <f>K11/$E$7</f>
        <v>27432.469885565439</v>
      </c>
      <c r="M11" s="386">
        <f>HLOOKUP(Labor!$B$11,InflationTable,3)*$I11</f>
        <v>2267.4949618950059</v>
      </c>
      <c r="N11" s="387">
        <f>M11*$M$5</f>
        <v>197272.0616848655</v>
      </c>
      <c r="O11" s="388">
        <f>N11/$E$7</f>
        <v>28181.72309783793</v>
      </c>
      <c r="P11" s="383">
        <f>HLOOKUP(Labor!$B$11,InflationTable,4)*$I11</f>
        <v>2294.6662931674882</v>
      </c>
      <c r="Q11" s="384">
        <f>P11*$P$5</f>
        <v>199635.96750557146</v>
      </c>
      <c r="R11" s="385">
        <f>Q11/$E$7</f>
        <v>28519.423929367353</v>
      </c>
      <c r="S11" s="379">
        <f>AVERAGE(L11,O11,R11)</f>
        <v>28044.538970923575</v>
      </c>
      <c r="T11" s="380" t="s">
        <v>12</v>
      </c>
      <c r="U11" s="380" t="s">
        <v>12</v>
      </c>
    </row>
    <row r="12" spans="1:21" x14ac:dyDescent="0.25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 x14ac:dyDescent="0.25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696</v>
      </c>
      <c r="L13" s="265">
        <f>K13/$E$7</f>
        <v>99.428571428571431</v>
      </c>
      <c r="M13" s="58" t="s">
        <v>12</v>
      </c>
      <c r="N13" s="60">
        <f>I13*$M$5</f>
        <v>696</v>
      </c>
      <c r="O13" s="59">
        <f>N13/$E$7</f>
        <v>99.428571428571431</v>
      </c>
      <c r="P13" s="263" t="s">
        <v>12</v>
      </c>
      <c r="Q13" s="291">
        <f>$I13*$P$5</f>
        <v>696</v>
      </c>
      <c r="R13" s="282">
        <f>Q13/$E$7</f>
        <v>99.428571428571431</v>
      </c>
      <c r="S13" s="121">
        <f>AVERAGE(L13,O13,R13)</f>
        <v>99.428571428571431</v>
      </c>
      <c r="T13" s="119" t="s">
        <v>12</v>
      </c>
      <c r="U13" s="119" t="s">
        <v>12</v>
      </c>
    </row>
    <row r="14" spans="1:21" s="1" customFormat="1" ht="13.8" thickBot="1" x14ac:dyDescent="0.3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565.98597458013921</v>
      </c>
      <c r="K14" s="296">
        <f>J14*$J$5</f>
        <v>49240.779788472115</v>
      </c>
      <c r="L14" s="297">
        <f>K14/$E$7</f>
        <v>7034.3971126388733</v>
      </c>
      <c r="M14" s="376">
        <f>HLOOKUP(Labor!$B$11,InflationTable,3)*I14</f>
        <v>581.44454653244031</v>
      </c>
      <c r="N14" s="377">
        <f>M14*$M$5</f>
        <v>50585.67554832231</v>
      </c>
      <c r="O14" s="378">
        <f>N14/$E$7</f>
        <v>7226.5250783317588</v>
      </c>
      <c r="P14" s="339">
        <f>HLOOKUP(Labor!$B$11,InflationTable,4)*I14</f>
        <v>588.41198092850516</v>
      </c>
      <c r="Q14" s="296">
        <f>P14*$P$5</f>
        <v>51191.842340779949</v>
      </c>
      <c r="R14" s="297">
        <f>Q14/$E$7</f>
        <v>7313.1203343971356</v>
      </c>
      <c r="S14" s="379">
        <f>AVERAGE(L14,O14,R14)</f>
        <v>7191.3475084559223</v>
      </c>
      <c r="T14" s="380" t="s">
        <v>12</v>
      </c>
      <c r="U14" s="380" t="s">
        <v>12</v>
      </c>
    </row>
    <row r="15" spans="1:21" x14ac:dyDescent="0.25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3306</v>
      </c>
      <c r="L15" s="273">
        <f>L10+L13</f>
        <v>472.28571428571428</v>
      </c>
      <c r="M15" s="61" t="s">
        <v>12</v>
      </c>
      <c r="N15" s="426">
        <f>I15*$M$5</f>
        <v>3306</v>
      </c>
      <c r="O15" s="62">
        <f>N15/$E$7</f>
        <v>472.28571428571428</v>
      </c>
      <c r="P15" s="293" t="s">
        <v>12</v>
      </c>
      <c r="Q15" s="433">
        <f>$I15*$P$5</f>
        <v>3306</v>
      </c>
      <c r="R15" s="294">
        <f>Q15/$E$7</f>
        <v>472.28571428571428</v>
      </c>
      <c r="S15" s="121">
        <f>AVERAGE(L15,O15,R15)</f>
        <v>472.28571428571428</v>
      </c>
      <c r="T15" s="119" t="s">
        <v>12</v>
      </c>
      <c r="U15" s="119" t="s">
        <v>12</v>
      </c>
    </row>
    <row r="16" spans="1:21" ht="13.8" thickBot="1" x14ac:dyDescent="0.3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2773.1961952578181</v>
      </c>
      <c r="K16" s="275">
        <f>K11+K14</f>
        <v>241268.06898743019</v>
      </c>
      <c r="L16" s="276">
        <f>L11+L14</f>
        <v>34466.866998204314</v>
      </c>
      <c r="M16" s="242">
        <f>M11+M14</f>
        <v>2848.9395084274461</v>
      </c>
      <c r="N16" s="240">
        <f>N11+N14</f>
        <v>247857.73723318783</v>
      </c>
      <c r="O16" s="243">
        <f>O11+O14</f>
        <v>35408.248176169691</v>
      </c>
      <c r="P16" s="295">
        <f>P11+P14</f>
        <v>2883.0782740959935</v>
      </c>
      <c r="Q16" s="1373">
        <f>Q11+Q14</f>
        <v>250827.80984635142</v>
      </c>
      <c r="R16" s="297">
        <f>Q16/$E$7</f>
        <v>35832.544263764488</v>
      </c>
      <c r="S16" s="211">
        <f>AVERAGE(L16,O16,R16)</f>
        <v>35235.8864793795</v>
      </c>
      <c r="T16" s="218" t="s">
        <v>12</v>
      </c>
      <c r="U16" s="218" t="s">
        <v>12</v>
      </c>
    </row>
    <row r="17" spans="1:21" ht="14.4" thickTop="1" thickBot="1" x14ac:dyDescent="0.3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2" thickTop="1" x14ac:dyDescent="0.3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5"/>
      <c r="H18" s="1416"/>
      <c r="I18" s="1417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 x14ac:dyDescent="0.25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22" t="s">
        <v>57</v>
      </c>
      <c r="L19" s="1423"/>
      <c r="M19" s="93" t="s">
        <v>61</v>
      </c>
      <c r="N19" s="1432" t="s">
        <v>57</v>
      </c>
      <c r="O19" s="1433"/>
      <c r="P19" s="262" t="s">
        <v>61</v>
      </c>
      <c r="Q19" s="1422" t="s">
        <v>57</v>
      </c>
      <c r="R19" s="1423"/>
      <c r="S19" s="131"/>
      <c r="T19" s="37"/>
      <c r="U19" s="138"/>
    </row>
    <row r="20" spans="1:21" x14ac:dyDescent="0.25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 x14ac:dyDescent="0.25">
      <c r="A21" s="615"/>
      <c r="B21" s="608" t="s">
        <v>14</v>
      </c>
      <c r="C21" s="163">
        <f>VLOOKUP(C$2,Monitor_Costs,2,FALSE)</f>
        <v>11700</v>
      </c>
      <c r="D21" s="22">
        <f>VLOOKUP(C$2,Monitor_Costs,3,FALSE)</f>
        <v>2019</v>
      </c>
      <c r="E21" s="74"/>
      <c r="F21" s="75"/>
      <c r="G21" s="76"/>
      <c r="H21" s="76"/>
      <c r="I21" s="37"/>
      <c r="J21" s="279">
        <f>HLOOKUP(D21,InflationTable,2)*$C$21</f>
        <v>15804.38162908742</v>
      </c>
      <c r="K21" s="279">
        <f>J21*$L$4</f>
        <v>7127776.114718427</v>
      </c>
      <c r="L21" s="280">
        <f>K21/$E$18</f>
        <v>1018253.730674061</v>
      </c>
      <c r="M21" s="78">
        <f>HLOOKUP($D$21,InflationTable,3)*$C$21</f>
        <v>16236.041036824707</v>
      </c>
      <c r="N21" s="27">
        <f>M21*$O$4</f>
        <v>7322454.5076079424</v>
      </c>
      <c r="O21" s="182">
        <f>N21/$E$18</f>
        <v>1046064.9296582775</v>
      </c>
      <c r="P21" s="298">
        <f>HLOOKUP($D$21,InflationTable,4)*$C$21</f>
        <v>16430.597080819836</v>
      </c>
      <c r="Q21" s="279">
        <f>P21*$R$4</f>
        <v>7410199.2834497457</v>
      </c>
      <c r="R21" s="280">
        <f>Q21/$E$18</f>
        <v>1058599.8976356781</v>
      </c>
      <c r="S21" s="127" t="s">
        <v>12</v>
      </c>
      <c r="T21" s="119" t="s">
        <v>12</v>
      </c>
      <c r="U21" s="139">
        <f>AVERAGE(L21,O21,R21)</f>
        <v>1040972.8526560055</v>
      </c>
    </row>
    <row r="22" spans="1:21" ht="13.8" thickBot="1" x14ac:dyDescent="0.3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356388.80573592131</v>
      </c>
      <c r="L22" s="308">
        <f>K22/$E$18</f>
        <v>50912.686533703047</v>
      </c>
      <c r="M22" s="4"/>
      <c r="N22" s="104">
        <f>M21*$O$5</f>
        <v>366122.72538039717</v>
      </c>
      <c r="O22" s="370">
        <f>N22/$E$18</f>
        <v>52303.246482913884</v>
      </c>
      <c r="P22" s="371"/>
      <c r="Q22" s="355">
        <f>P21*$R$5</f>
        <v>370509.96417248732</v>
      </c>
      <c r="R22" s="308">
        <f>Q22/$E$18</f>
        <v>52929.994881783903</v>
      </c>
      <c r="S22" s="359" t="s">
        <v>12</v>
      </c>
      <c r="T22" s="149" t="s">
        <v>12</v>
      </c>
      <c r="U22" s="372">
        <f>AVERAGE(L22,O22,R22)</f>
        <v>52048.642632800278</v>
      </c>
    </row>
    <row r="23" spans="1:21" x14ac:dyDescent="0.25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 x14ac:dyDescent="0.25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1894.2</v>
      </c>
      <c r="L24" s="282">
        <f>K24/$E$18</f>
        <v>270.60000000000002</v>
      </c>
      <c r="M24" s="58" t="s">
        <v>12</v>
      </c>
      <c r="N24" s="69">
        <f>$I$24*($O$4+$O$5)</f>
        <v>1894.2</v>
      </c>
      <c r="O24" s="59">
        <f>N24/$E$18</f>
        <v>270.60000000000002</v>
      </c>
      <c r="P24" s="263" t="s">
        <v>12</v>
      </c>
      <c r="Q24" s="281">
        <f>$I$24*($R$4+$R$5)</f>
        <v>1894.2</v>
      </c>
      <c r="R24" s="282">
        <f>Q24/$E$18</f>
        <v>270.60000000000002</v>
      </c>
      <c r="S24" s="151">
        <f>AVERAGE(L24,O24,R24)</f>
        <v>270.60000000000002</v>
      </c>
      <c r="T24" s="119" t="s">
        <v>12</v>
      </c>
      <c r="U24" s="140" t="s">
        <v>12</v>
      </c>
    </row>
    <row r="25" spans="1:21" s="1" customFormat="1" ht="13.8" thickBot="1" x14ac:dyDescent="0.3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266.10796418207025</v>
      </c>
      <c r="K25" s="296">
        <f>J25*($L$4+$L$5)</f>
        <v>126015.42643841937</v>
      </c>
      <c r="L25" s="297">
        <f>K25/$E$18</f>
        <v>18002.203776917053</v>
      </c>
      <c r="M25" s="376">
        <f>HLOOKUP(Labor!$B$11,InflationTable,3)*$I25</f>
        <v>273.3760755773049</v>
      </c>
      <c r="N25" s="377">
        <f>M25*($O$4+$O$5)</f>
        <v>129457.24058963274</v>
      </c>
      <c r="O25" s="378">
        <f>N25/$E$18</f>
        <v>18493.891512804676</v>
      </c>
      <c r="P25" s="332">
        <f>HLOOKUP(Labor!$B$11,InflationTable,4)*$I25</f>
        <v>276.65193375397502</v>
      </c>
      <c r="Q25" s="296">
        <f>P25*($R$4+$R$5)</f>
        <v>131008.52322919488</v>
      </c>
      <c r="R25" s="390">
        <f>Q25/$E$18</f>
        <v>18715.503318456413</v>
      </c>
      <c r="S25" s="391">
        <f>AVERAGE(L25,O25,R25)</f>
        <v>18403.866202726047</v>
      </c>
      <c r="T25" s="218" t="s">
        <v>12</v>
      </c>
      <c r="U25" s="392" t="s">
        <v>12</v>
      </c>
    </row>
    <row r="26" spans="1:21" x14ac:dyDescent="0.25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7216</v>
      </c>
      <c r="L26" s="294">
        <f>K26/$E$18</f>
        <v>1030.8571428571429</v>
      </c>
      <c r="M26" s="61" t="s">
        <v>12</v>
      </c>
      <c r="N26" s="348">
        <f>I26*$O$4</f>
        <v>7216</v>
      </c>
      <c r="O26" s="62">
        <f>N26/$E$18</f>
        <v>1030.8571428571429</v>
      </c>
      <c r="P26" s="293" t="s">
        <v>12</v>
      </c>
      <c r="Q26" s="327">
        <f>$I26*$R$4</f>
        <v>7216</v>
      </c>
      <c r="R26" s="367">
        <f>Q26/$E$18</f>
        <v>1030.8571428571429</v>
      </c>
      <c r="S26" s="129">
        <f>AVERAGE(L26,O26,R26)</f>
        <v>1030.8571428571429</v>
      </c>
      <c r="T26" s="136" t="s">
        <v>12</v>
      </c>
      <c r="U26" s="147" t="s">
        <v>12</v>
      </c>
    </row>
    <row r="27" spans="1:21" s="1" customFormat="1" ht="13.8" thickBot="1" x14ac:dyDescent="0.3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918.54525707516632</v>
      </c>
      <c r="K27" s="296">
        <f>J27*$L$4</f>
        <v>414263.91094090004</v>
      </c>
      <c r="L27" s="297">
        <f>K27/$E$18</f>
        <v>59180.558705842865</v>
      </c>
      <c r="M27" s="376">
        <f>HLOOKUP(Labor!$B$11,InflationTable,3)*$I27</f>
        <v>943.63315427699149</v>
      </c>
      <c r="N27" s="377">
        <f>M27*$O$4</f>
        <v>425578.55257892318</v>
      </c>
      <c r="O27" s="378">
        <f>N27/$E$18</f>
        <v>60796.936082703309</v>
      </c>
      <c r="P27" s="339">
        <f>HLOOKUP(Labor!$B$11,InflationTable,4)*$I27</f>
        <v>954.9406850391016</v>
      </c>
      <c r="Q27" s="296">
        <f>P27*$R$4</f>
        <v>430678.24895263481</v>
      </c>
      <c r="R27" s="297">
        <f>Q27/$E$18</f>
        <v>61525.46413609069</v>
      </c>
      <c r="S27" s="211">
        <f>AVERAGE(L27,O27,R27)</f>
        <v>60500.986308212283</v>
      </c>
      <c r="T27" s="393" t="s">
        <v>12</v>
      </c>
      <c r="U27" s="392" t="s">
        <v>12</v>
      </c>
    </row>
    <row r="28" spans="1:21" x14ac:dyDescent="0.25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9110.2000000000007</v>
      </c>
      <c r="L28" s="286">
        <f>L24+L26</f>
        <v>1301.457142857143</v>
      </c>
      <c r="M28" s="44" t="s">
        <v>12</v>
      </c>
      <c r="N28" s="33">
        <f>N24+N26</f>
        <v>9110.2000000000007</v>
      </c>
      <c r="O28" s="40">
        <f>O24+O26</f>
        <v>1301.457142857143</v>
      </c>
      <c r="P28" s="284" t="s">
        <v>12</v>
      </c>
      <c r="Q28" s="285">
        <f>Q24+Q26</f>
        <v>9110.2000000000007</v>
      </c>
      <c r="R28" s="286">
        <f>R24+R26</f>
        <v>1301.457142857143</v>
      </c>
      <c r="S28" s="175">
        <f>AVERAGE(L28,O28,R28)</f>
        <v>1301.457142857143</v>
      </c>
      <c r="T28" s="136" t="s">
        <v>12</v>
      </c>
      <c r="U28" s="147" t="s">
        <v>12</v>
      </c>
    </row>
    <row r="29" spans="1:21" ht="13.8" thickBot="1" x14ac:dyDescent="0.3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1184.6532212572365</v>
      </c>
      <c r="K29" s="287"/>
      <c r="L29" s="276">
        <f>L27+L25+L22+L21</f>
        <v>1146349.179690524</v>
      </c>
      <c r="M29" s="242">
        <f>M27+M25</f>
        <v>1217.0092298542963</v>
      </c>
      <c r="N29" s="247"/>
      <c r="O29" s="243">
        <f>O27+O25+O22+O21</f>
        <v>1177659.0037366995</v>
      </c>
      <c r="P29" s="274">
        <f>P27+P25</f>
        <v>1231.5926187930766</v>
      </c>
      <c r="Q29" s="287"/>
      <c r="R29" s="276">
        <f>R27+R25+R22+R21</f>
        <v>1191770.859972009</v>
      </c>
      <c r="S29" s="248">
        <f>SUM(S27,S25)</f>
        <v>78904.852510938334</v>
      </c>
      <c r="T29" s="249" t="s">
        <v>12</v>
      </c>
      <c r="U29" s="250">
        <f>SUM(U21:U22)</f>
        <v>1093021.4952888058</v>
      </c>
    </row>
    <row r="30" spans="1:21" ht="14.4" thickTop="1" thickBot="1" x14ac:dyDescent="0.3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2" thickTop="1" x14ac:dyDescent="0.3">
      <c r="A31" s="615"/>
      <c r="B31" s="613" t="s">
        <v>22</v>
      </c>
      <c r="C31" s="5"/>
      <c r="D31" s="5"/>
      <c r="E31" s="5"/>
      <c r="F31" s="112" t="s">
        <v>6</v>
      </c>
      <c r="G31" s="1415"/>
      <c r="H31" s="1416"/>
      <c r="I31" s="1417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 x14ac:dyDescent="0.25">
      <c r="A32" s="615"/>
      <c r="B32" s="5"/>
      <c r="C32" s="5"/>
      <c r="D32" s="5"/>
      <c r="E32" s="5"/>
      <c r="F32" s="112"/>
      <c r="G32" s="1418"/>
      <c r="H32" s="1418"/>
      <c r="I32" s="1419"/>
      <c r="J32" s="277" t="s">
        <v>61</v>
      </c>
      <c r="K32" s="1437" t="s">
        <v>57</v>
      </c>
      <c r="L32" s="1438"/>
      <c r="M32" s="57" t="s">
        <v>61</v>
      </c>
      <c r="N32" s="1432" t="s">
        <v>57</v>
      </c>
      <c r="O32" s="1433"/>
      <c r="P32" s="277" t="s">
        <v>61</v>
      </c>
      <c r="Q32" s="1422" t="s">
        <v>57</v>
      </c>
      <c r="R32" s="1423"/>
      <c r="S32" s="131"/>
      <c r="T32" s="37"/>
      <c r="U32" s="138"/>
    </row>
    <row r="33" spans="1:21" x14ac:dyDescent="0.25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8" thickBot="1" x14ac:dyDescent="0.3">
      <c r="A34" s="615"/>
      <c r="B34" s="361"/>
      <c r="C34" s="353">
        <f>VLOOKUP(C$2,Monitor_Costs,4,FALSE)</f>
        <v>800</v>
      </c>
      <c r="D34" s="34">
        <f>VLOOKUP(C$2,Monitor_Costs,5,FALSE)</f>
        <v>2019</v>
      </c>
      <c r="E34" s="4"/>
      <c r="F34" s="12"/>
      <c r="G34" s="4"/>
      <c r="H34" s="361"/>
      <c r="I34" s="363"/>
      <c r="J34" s="355">
        <f>HLOOKUP($D$34,InflationTable,2)*$C$34</f>
        <v>1080.6414789119603</v>
      </c>
      <c r="K34" s="355">
        <f>J34*$L$4</f>
        <v>487369.30698929413</v>
      </c>
      <c r="L34" s="308">
        <f>K34</f>
        <v>487369.30698929413</v>
      </c>
      <c r="M34" s="171">
        <f>HLOOKUP($D$34,InflationTable,3)*$C$34</f>
        <v>1110.1566520905783</v>
      </c>
      <c r="N34" s="357">
        <f>M34*$O$4</f>
        <v>500680.65009285079</v>
      </c>
      <c r="O34" s="95">
        <f>N34</f>
        <v>500680.65009285079</v>
      </c>
      <c r="P34" s="355">
        <f>HLOOKUP($D$34,InflationTable,4)*$C$34</f>
        <v>1123.4596294577666</v>
      </c>
      <c r="Q34" s="355">
        <f>P34*$R$4</f>
        <v>506680.29288545274</v>
      </c>
      <c r="R34" s="308">
        <f>Q34</f>
        <v>506680.29288545274</v>
      </c>
      <c r="S34" s="359" t="s">
        <v>12</v>
      </c>
      <c r="T34" s="360">
        <f>AVERAGE(L34,O34,R34)</f>
        <v>498243.41665586591</v>
      </c>
      <c r="U34" s="142" t="s">
        <v>12</v>
      </c>
    </row>
    <row r="35" spans="1:21" x14ac:dyDescent="0.25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 x14ac:dyDescent="0.25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54120</v>
      </c>
      <c r="L36" s="289">
        <f>K36</f>
        <v>54120</v>
      </c>
      <c r="M36" s="58" t="s">
        <v>12</v>
      </c>
      <c r="N36" s="69">
        <f>$I$36*$O$4</f>
        <v>54120</v>
      </c>
      <c r="O36" s="68">
        <f>N36</f>
        <v>54120</v>
      </c>
      <c r="P36" s="299" t="s">
        <v>12</v>
      </c>
      <c r="Q36" s="281">
        <f>$I$36*$R$4</f>
        <v>54120</v>
      </c>
      <c r="R36" s="289">
        <f>Q36</f>
        <v>54120</v>
      </c>
      <c r="S36" s="121">
        <f>AVERAGE(L36,O36,R36)</f>
        <v>54120</v>
      </c>
      <c r="T36" s="119" t="s">
        <v>12</v>
      </c>
      <c r="U36" s="140" t="s">
        <v>12</v>
      </c>
    </row>
    <row r="37" spans="1:21" s="1" customFormat="1" ht="13.8" thickBot="1" x14ac:dyDescent="0.3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6886.3878243664676</v>
      </c>
      <c r="K37" s="296">
        <f>J37*$L$4</f>
        <v>3105760.9087892771</v>
      </c>
      <c r="L37" s="390">
        <f>K37</f>
        <v>3105760.9087892771</v>
      </c>
      <c r="M37" s="376">
        <f>HLOOKUP(Labor!$B$11,InflationTable,3)*I37</f>
        <v>7074.47326544721</v>
      </c>
      <c r="N37" s="377">
        <f>M37*$O$4</f>
        <v>3190587.4427166916</v>
      </c>
      <c r="O37" s="378">
        <f>N37</f>
        <v>3190587.4427166916</v>
      </c>
      <c r="P37" s="296">
        <f>HLOOKUP(Labor!$B$11,InflationTable,4)*$I$37</f>
        <v>7159.2464887196174</v>
      </c>
      <c r="Q37" s="296">
        <f>P37*$R$4</f>
        <v>3228820.1664125477</v>
      </c>
      <c r="R37" s="390">
        <f>Q37</f>
        <v>3228820.1664125477</v>
      </c>
      <c r="S37" s="211">
        <f>AVERAGE(L37,O37,R37)</f>
        <v>3175056.1726395055</v>
      </c>
      <c r="T37" s="393" t="s">
        <v>12</v>
      </c>
      <c r="U37" s="392" t="s">
        <v>12</v>
      </c>
    </row>
    <row r="38" spans="1:21" x14ac:dyDescent="0.25">
      <c r="A38" s="615"/>
      <c r="B38" s="605" t="s">
        <v>66</v>
      </c>
      <c r="C38" s="36">
        <f>C36</f>
        <v>0</v>
      </c>
      <c r="D38" s="36">
        <f t="shared" ref="D38:I38" si="3">D36</f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54120</v>
      </c>
      <c r="L38" s="303">
        <f>L36</f>
        <v>54120</v>
      </c>
      <c r="M38" s="85" t="s">
        <v>12</v>
      </c>
      <c r="N38" s="82">
        <f>N36</f>
        <v>54120</v>
      </c>
      <c r="O38" s="96">
        <f>O36</f>
        <v>54120</v>
      </c>
      <c r="P38" s="301" t="s">
        <v>12</v>
      </c>
      <c r="Q38" s="302">
        <f>Q36</f>
        <v>54120</v>
      </c>
      <c r="R38" s="303">
        <f>R36</f>
        <v>54120</v>
      </c>
      <c r="S38" s="96">
        <f>S36</f>
        <v>54120</v>
      </c>
      <c r="T38" s="136" t="s">
        <v>12</v>
      </c>
      <c r="U38" s="147" t="s">
        <v>12</v>
      </c>
    </row>
    <row r="39" spans="1:21" ht="13.8" thickBot="1" x14ac:dyDescent="0.3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7967.0293032784284</v>
      </c>
      <c r="K39" s="305">
        <f t="shared" si="5"/>
        <v>3593130.2157785711</v>
      </c>
      <c r="L39" s="306">
        <f t="shared" si="5"/>
        <v>3593130.2157785711</v>
      </c>
      <c r="M39" s="252">
        <f t="shared" si="5"/>
        <v>8184.6299175377881</v>
      </c>
      <c r="N39" s="253">
        <f t="shared" si="5"/>
        <v>3691268.0928095425</v>
      </c>
      <c r="O39" s="254">
        <f t="shared" si="5"/>
        <v>3691268.0928095425</v>
      </c>
      <c r="P39" s="304">
        <f t="shared" si="5"/>
        <v>8282.7061181773843</v>
      </c>
      <c r="Q39" s="305">
        <f t="shared" si="5"/>
        <v>3735500.4592980007</v>
      </c>
      <c r="R39" s="306">
        <f t="shared" si="5"/>
        <v>3735500.4592980007</v>
      </c>
      <c r="S39" s="255">
        <f>AVERAGE(L39,O39,R39)</f>
        <v>3673299.589295371</v>
      </c>
      <c r="T39" s="251">
        <f>T34</f>
        <v>498243.41665586591</v>
      </c>
      <c r="U39" s="224" t="s">
        <v>12</v>
      </c>
    </row>
    <row r="40" spans="1:21" ht="14.4" thickTop="1" thickBot="1" x14ac:dyDescent="0.3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2" thickTop="1" x14ac:dyDescent="0.3">
      <c r="A41" s="615"/>
      <c r="B41" s="80" t="s">
        <v>24</v>
      </c>
      <c r="C41" s="5"/>
      <c r="D41" s="5"/>
      <c r="E41" s="5"/>
      <c r="F41" s="112" t="s">
        <v>6</v>
      </c>
      <c r="G41" s="1415"/>
      <c r="H41" s="1416"/>
      <c r="I41" s="1417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 x14ac:dyDescent="0.25">
      <c r="A42" s="615"/>
      <c r="B42" s="5"/>
      <c r="C42" s="5"/>
      <c r="D42" s="5"/>
      <c r="E42" s="5"/>
      <c r="F42" s="112"/>
      <c r="G42" s="1418"/>
      <c r="H42" s="1418"/>
      <c r="I42" s="1419"/>
      <c r="J42" s="277" t="s">
        <v>61</v>
      </c>
      <c r="K42" s="1422" t="s">
        <v>57</v>
      </c>
      <c r="L42" s="1423"/>
      <c r="M42" s="57" t="s">
        <v>61</v>
      </c>
      <c r="N42" s="1432" t="s">
        <v>57</v>
      </c>
      <c r="O42" s="1433"/>
      <c r="P42" s="277" t="s">
        <v>61</v>
      </c>
      <c r="Q42" s="1422" t="s">
        <v>57</v>
      </c>
      <c r="R42" s="1423"/>
      <c r="S42" s="131"/>
      <c r="T42" s="37"/>
      <c r="U42" s="138"/>
    </row>
    <row r="43" spans="1:21" x14ac:dyDescent="0.25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8" thickBot="1" x14ac:dyDescent="0.3">
      <c r="A44" s="615"/>
      <c r="B44" s="361"/>
      <c r="C44" s="353">
        <f>VLOOKUP(C$2,Monitor_Costs,6,FALSE)</f>
        <v>1000</v>
      </c>
      <c r="D44" s="34">
        <f>VLOOKUP(C$2,Monitor_Costs,7,FALSE)</f>
        <v>2019</v>
      </c>
      <c r="E44" s="354"/>
      <c r="F44" s="71"/>
      <c r="G44" s="56"/>
      <c r="H44" s="56"/>
      <c r="I44" s="54"/>
      <c r="J44" s="355">
        <f>HLOOKUP(D44,InflationTable,2)*C44</f>
        <v>1350.8018486399505</v>
      </c>
      <c r="K44" s="355">
        <f>J44*$L$4</f>
        <v>609211.63373661775</v>
      </c>
      <c r="L44" s="308">
        <f>K44</f>
        <v>609211.63373661775</v>
      </c>
      <c r="M44" s="357">
        <f>HLOOKUP($D$44,InflationTable,3)*$C$44</f>
        <v>1387.6958151132228</v>
      </c>
      <c r="N44" s="357">
        <f>M44*$O$4</f>
        <v>625850.81261606351</v>
      </c>
      <c r="O44" s="95">
        <f>N44</f>
        <v>625850.81261606351</v>
      </c>
      <c r="P44" s="358">
        <f>HLOOKUP($D$44,InflationTable,4)*$C$44</f>
        <v>1404.3245368222081</v>
      </c>
      <c r="Q44" s="355">
        <f>P44*$R$4</f>
        <v>633350.36610681587</v>
      </c>
      <c r="R44" s="308">
        <f>Q44</f>
        <v>633350.36610681587</v>
      </c>
      <c r="S44" s="359" t="s">
        <v>12</v>
      </c>
      <c r="T44" s="360">
        <f>AVERAGE(L44,O44,R44)</f>
        <v>622804.27081983234</v>
      </c>
      <c r="U44" s="142" t="s">
        <v>12</v>
      </c>
    </row>
    <row r="45" spans="1:21" x14ac:dyDescent="0.25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 x14ac:dyDescent="0.25">
      <c r="B46" s="566" t="s">
        <v>4</v>
      </c>
      <c r="C46" s="21">
        <v>0</v>
      </c>
      <c r="D46" s="21">
        <v>0</v>
      </c>
      <c r="E46" s="21">
        <v>8</v>
      </c>
      <c r="F46" s="21">
        <v>8</v>
      </c>
      <c r="G46" s="21">
        <v>0</v>
      </c>
      <c r="H46" s="21">
        <v>0</v>
      </c>
      <c r="I46" s="52">
        <f>SUM(C46:H46)</f>
        <v>16</v>
      </c>
      <c r="J46" s="263" t="s">
        <v>12</v>
      </c>
      <c r="K46" s="281">
        <f>I46*$L$4</f>
        <v>7216</v>
      </c>
      <c r="L46" s="289">
        <f>K46</f>
        <v>7216</v>
      </c>
      <c r="M46" s="58" t="s">
        <v>12</v>
      </c>
      <c r="N46" s="69">
        <f>$I$46*$O$4</f>
        <v>7216</v>
      </c>
      <c r="O46" s="68">
        <f>N46</f>
        <v>7216</v>
      </c>
      <c r="P46" s="263" t="s">
        <v>12</v>
      </c>
      <c r="Q46" s="281">
        <f>$I$46*$R$4</f>
        <v>7216</v>
      </c>
      <c r="R46" s="289">
        <f>Q46</f>
        <v>7216</v>
      </c>
      <c r="S46" s="121">
        <f>AVERAGE(L46,O46,R46)</f>
        <v>7216</v>
      </c>
      <c r="T46" s="119" t="s">
        <v>12</v>
      </c>
      <c r="U46" s="140" t="s">
        <v>12</v>
      </c>
    </row>
    <row r="47" spans="1:21" ht="13.8" thickBot="1" x14ac:dyDescent="0.3">
      <c r="B47" s="567" t="s">
        <v>8</v>
      </c>
      <c r="C47" s="34">
        <f>ROUND(C46*Labor!$D$3,0)</f>
        <v>0</v>
      </c>
      <c r="D47" s="35">
        <f>ROUND(D46*Labor!$D$4,0)</f>
        <v>0</v>
      </c>
      <c r="E47" s="35">
        <f>ROUND(E46*Labor!$D$5,0)</f>
        <v>353</v>
      </c>
      <c r="F47" s="35">
        <f>ROUND(F46*Labor!$D$6,0)</f>
        <v>394</v>
      </c>
      <c r="G47" s="35">
        <f>ROUND(G46*Labor!$D$7,0)</f>
        <v>0</v>
      </c>
      <c r="H47" s="35">
        <f>ROUND(H46*Labor!$D$8,0)</f>
        <v>0</v>
      </c>
      <c r="I47" s="39">
        <f>SUM(C47:H47)</f>
        <v>747</v>
      </c>
      <c r="J47" s="292">
        <f>HLOOKUP(Labor!$B$11,InflationTable,2)*I47</f>
        <v>1009.048980934043</v>
      </c>
      <c r="K47" s="269">
        <f>J47*$L$4</f>
        <v>455081.09040125337</v>
      </c>
      <c r="L47" s="308">
        <f>K47</f>
        <v>455081.09040125337</v>
      </c>
      <c r="M47" s="84">
        <f>HLOOKUP(Labor!$B$11,InflationTable,3)*$I$47</f>
        <v>1036.6087738895774</v>
      </c>
      <c r="N47" s="63">
        <f>M47*$O$4</f>
        <v>467510.5570241994</v>
      </c>
      <c r="O47" s="95">
        <f>N47</f>
        <v>467510.5570241994</v>
      </c>
      <c r="P47" s="268">
        <f>HLOOKUP(Labor!$B$11,InflationTable,4)*$I$47</f>
        <v>1049.0304290061895</v>
      </c>
      <c r="Q47" s="269">
        <f>P47*$R$4</f>
        <v>473112.72348179144</v>
      </c>
      <c r="R47" s="308">
        <f>Q47</f>
        <v>473112.72348179144</v>
      </c>
      <c r="S47" s="128">
        <f>AVERAGE(L47,O47,R47)</f>
        <v>465234.79030241474</v>
      </c>
      <c r="T47" s="149" t="s">
        <v>12</v>
      </c>
      <c r="U47" s="142" t="s">
        <v>12</v>
      </c>
    </row>
    <row r="48" spans="1:21" x14ac:dyDescent="0.25">
      <c r="B48" s="565" t="s">
        <v>117</v>
      </c>
      <c r="C48" s="346">
        <v>0</v>
      </c>
      <c r="D48" s="346">
        <v>0</v>
      </c>
      <c r="E48" s="346">
        <v>30</v>
      </c>
      <c r="F48" s="346">
        <v>40</v>
      </c>
      <c r="G48" s="346">
        <v>0</v>
      </c>
      <c r="H48" s="346">
        <v>0</v>
      </c>
      <c r="I48" s="347">
        <f>SUM(C48:H48)</f>
        <v>70</v>
      </c>
      <c r="J48" s="293" t="s">
        <v>12</v>
      </c>
      <c r="K48" s="327">
        <f>I48*$L$4</f>
        <v>31570</v>
      </c>
      <c r="L48" s="328">
        <f>K48</f>
        <v>31570</v>
      </c>
      <c r="M48" s="61" t="s">
        <v>12</v>
      </c>
      <c r="N48" s="348">
        <f>$I$48*$O$4</f>
        <v>31570</v>
      </c>
      <c r="O48" s="349">
        <f>N48</f>
        <v>31570</v>
      </c>
      <c r="P48" s="293" t="s">
        <v>12</v>
      </c>
      <c r="Q48" s="327">
        <f>$I$48*$R$4</f>
        <v>31570</v>
      </c>
      <c r="R48" s="328">
        <f>Q48</f>
        <v>31570</v>
      </c>
      <c r="S48" s="129">
        <f>AVERAGE(L48,O48,R48)</f>
        <v>31570</v>
      </c>
      <c r="T48" s="119" t="s">
        <v>12</v>
      </c>
      <c r="U48" s="140" t="s">
        <v>12</v>
      </c>
    </row>
    <row r="49" spans="2:21" ht="13.8" thickBot="1" x14ac:dyDescent="0.3">
      <c r="B49" s="568" t="s">
        <v>8</v>
      </c>
      <c r="C49" s="34">
        <f>ROUND(C48*Labor!$D$3,0)</f>
        <v>0</v>
      </c>
      <c r="D49" s="35">
        <f>ROUND(D48*Labor!$D$4,0)</f>
        <v>0</v>
      </c>
      <c r="E49" s="35">
        <f>ROUND(E48*Labor!$D$5,0)</f>
        <v>1324</v>
      </c>
      <c r="F49" s="35">
        <f>ROUND(F48*Labor!$D$6,0)</f>
        <v>1971</v>
      </c>
      <c r="G49" s="35">
        <f>ROUND(G48*Labor!$D$7,0)</f>
        <v>0</v>
      </c>
      <c r="H49" s="35">
        <f>ROUND(H48*Labor!$D$8,0)</f>
        <v>0</v>
      </c>
      <c r="I49" s="39">
        <f>SUM(C49:H49)</f>
        <v>3295</v>
      </c>
      <c r="J49" s="268">
        <f>HLOOKUP(Labor!$B$11,InflationTable,2)*$I$49</f>
        <v>4450.8920912686372</v>
      </c>
      <c r="K49" s="269">
        <f>J49*$L$4</f>
        <v>2007352.3331621555</v>
      </c>
      <c r="L49" s="308">
        <f>K49</f>
        <v>2007352.3331621555</v>
      </c>
      <c r="M49" s="84">
        <f>HLOOKUP(Labor!$B$11,InflationTable,3)*$I$49</f>
        <v>4572.4577107980695</v>
      </c>
      <c r="N49" s="63">
        <f>M49*$O$4</f>
        <v>2062178.4275699293</v>
      </c>
      <c r="O49" s="95">
        <f>N49</f>
        <v>2062178.4275699293</v>
      </c>
      <c r="P49" s="268">
        <f>HLOOKUP(Labor!$B$11,InflationTable,4)*$I$49</f>
        <v>4627.2493488291757</v>
      </c>
      <c r="Q49" s="269">
        <f>P49*$R$4</f>
        <v>2086889.4563219582</v>
      </c>
      <c r="R49" s="308">
        <f>Q49</f>
        <v>2086889.4563219582</v>
      </c>
      <c r="S49" s="132">
        <f>AVERAGE(L49,O49,R49)</f>
        <v>2052140.0723513477</v>
      </c>
      <c r="T49" s="149" t="s">
        <v>12</v>
      </c>
      <c r="U49" s="142" t="s">
        <v>12</v>
      </c>
    </row>
    <row r="50" spans="2:21" x14ac:dyDescent="0.25">
      <c r="B50" s="560" t="s">
        <v>66</v>
      </c>
      <c r="C50" s="36">
        <f t="shared" ref="C50:I50" si="6">C46+C48</f>
        <v>0</v>
      </c>
      <c r="D50" s="36">
        <f t="shared" si="6"/>
        <v>0</v>
      </c>
      <c r="E50" s="36">
        <f t="shared" si="6"/>
        <v>38</v>
      </c>
      <c r="F50" s="36">
        <f t="shared" si="6"/>
        <v>48</v>
      </c>
      <c r="G50" s="36">
        <f t="shared" si="6"/>
        <v>0</v>
      </c>
      <c r="H50" s="36">
        <f t="shared" si="6"/>
        <v>0</v>
      </c>
      <c r="I50" s="46">
        <f t="shared" si="6"/>
        <v>86</v>
      </c>
      <c r="J50" s="301" t="s">
        <v>12</v>
      </c>
      <c r="K50" s="309">
        <f>K46+K48</f>
        <v>38786</v>
      </c>
      <c r="L50" s="310">
        <f>L46+L48</f>
        <v>38786</v>
      </c>
      <c r="M50" s="85" t="s">
        <v>12</v>
      </c>
      <c r="N50" s="86">
        <f>N46+N48</f>
        <v>38786</v>
      </c>
      <c r="O50" s="97">
        <f>O46+O48</f>
        <v>38786</v>
      </c>
      <c r="P50" s="301" t="s">
        <v>12</v>
      </c>
      <c r="Q50" s="309">
        <f>Q46+Q48</f>
        <v>38786</v>
      </c>
      <c r="R50" s="310">
        <f>R46+R48</f>
        <v>38786</v>
      </c>
      <c r="S50" s="121">
        <f>AVERAGE(L50,O50,R50)</f>
        <v>38786</v>
      </c>
      <c r="T50" s="136" t="s">
        <v>12</v>
      </c>
      <c r="U50" s="148" t="s">
        <v>12</v>
      </c>
    </row>
    <row r="51" spans="2:21" ht="13.8" thickBot="1" x14ac:dyDescent="0.3">
      <c r="B51" s="561" t="s">
        <v>67</v>
      </c>
      <c r="C51" s="240">
        <f t="shared" ref="C51:H51" si="7">C47+C49</f>
        <v>0</v>
      </c>
      <c r="D51" s="240">
        <f t="shared" si="7"/>
        <v>0</v>
      </c>
      <c r="E51" s="240">
        <f t="shared" si="7"/>
        <v>1677</v>
      </c>
      <c r="F51" s="240">
        <f t="shared" si="7"/>
        <v>2365</v>
      </c>
      <c r="G51" s="240">
        <f t="shared" si="7"/>
        <v>0</v>
      </c>
      <c r="H51" s="240">
        <f t="shared" si="7"/>
        <v>0</v>
      </c>
      <c r="I51" s="222">
        <f>I49+I47+C44</f>
        <v>5042</v>
      </c>
      <c r="J51" s="311">
        <f t="shared" ref="J51:R51" si="8">J49+J47+J44</f>
        <v>6810.7429208426311</v>
      </c>
      <c r="K51" s="305">
        <f t="shared" si="8"/>
        <v>3071645.0573000265</v>
      </c>
      <c r="L51" s="306">
        <f t="shared" si="8"/>
        <v>3071645.0573000265</v>
      </c>
      <c r="M51" s="252">
        <f t="shared" si="8"/>
        <v>6996.7622998008701</v>
      </c>
      <c r="N51" s="253">
        <f t="shared" si="8"/>
        <v>3155539.7972101923</v>
      </c>
      <c r="O51" s="254">
        <f t="shared" si="8"/>
        <v>3155539.7972101923</v>
      </c>
      <c r="P51" s="311">
        <f t="shared" si="8"/>
        <v>7080.604314657573</v>
      </c>
      <c r="Q51" s="305">
        <f t="shared" si="8"/>
        <v>3193352.5459105652</v>
      </c>
      <c r="R51" s="306">
        <f t="shared" si="8"/>
        <v>3193352.5459105652</v>
      </c>
      <c r="S51" s="248">
        <f>S49+S47</f>
        <v>2517374.8626537626</v>
      </c>
      <c r="T51" s="251">
        <f>T44</f>
        <v>622804.27081983234</v>
      </c>
      <c r="U51" s="224" t="s">
        <v>12</v>
      </c>
    </row>
    <row r="52" spans="2:21" ht="14.4" thickTop="1" thickBot="1" x14ac:dyDescent="0.3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2" thickTop="1" x14ac:dyDescent="0.3">
      <c r="B53" s="564" t="s">
        <v>26</v>
      </c>
      <c r="C53" s="5"/>
      <c r="D53" s="5"/>
      <c r="E53" s="5"/>
      <c r="F53" s="112" t="s">
        <v>6</v>
      </c>
      <c r="G53" s="1415"/>
      <c r="H53" s="1416"/>
      <c r="I53" s="1417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 x14ac:dyDescent="0.25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22" t="s">
        <v>57</v>
      </c>
      <c r="L54" s="1423"/>
      <c r="M54" s="57" t="s">
        <v>61</v>
      </c>
      <c r="N54" s="1432" t="s">
        <v>57</v>
      </c>
      <c r="O54" s="1433"/>
      <c r="P54" s="277" t="s">
        <v>61</v>
      </c>
      <c r="Q54" s="1422" t="s">
        <v>57</v>
      </c>
      <c r="R54" s="1423"/>
      <c r="S54" s="131"/>
      <c r="T54" s="37"/>
      <c r="U54" s="138"/>
    </row>
    <row r="55" spans="2:21" x14ac:dyDescent="0.25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 x14ac:dyDescent="0.25">
      <c r="B56" s="566" t="s">
        <v>4</v>
      </c>
      <c r="C56" s="21">
        <v>0</v>
      </c>
      <c r="D56" s="21">
        <v>0</v>
      </c>
      <c r="E56" s="21">
        <v>8</v>
      </c>
      <c r="F56" s="21">
        <v>8</v>
      </c>
      <c r="G56" s="21">
        <v>4</v>
      </c>
      <c r="H56" s="21">
        <v>0</v>
      </c>
      <c r="I56" s="52">
        <f t="shared" ref="I56:I63" si="9">SUM(C56:H56)</f>
        <v>20</v>
      </c>
      <c r="J56" s="263" t="s">
        <v>12</v>
      </c>
      <c r="K56" s="281">
        <f>I56*$L$4</f>
        <v>9020</v>
      </c>
      <c r="L56" s="289">
        <f t="shared" ref="L56:L63" si="10">K56</f>
        <v>9020</v>
      </c>
      <c r="M56" s="58" t="s">
        <v>12</v>
      </c>
      <c r="N56" s="69">
        <f>$I$56*$O$4</f>
        <v>9020</v>
      </c>
      <c r="O56" s="68">
        <f t="shared" ref="O56:O63" si="11">N56</f>
        <v>9020</v>
      </c>
      <c r="P56" s="263" t="s">
        <v>12</v>
      </c>
      <c r="Q56" s="281">
        <f>$I$56*$R$4</f>
        <v>9020</v>
      </c>
      <c r="R56" s="289">
        <f t="shared" ref="R56:R63" si="12">Q56</f>
        <v>9020</v>
      </c>
      <c r="S56" s="121">
        <f t="shared" ref="S56:S65" si="13">AVERAGE(L56,O56,R56)</f>
        <v>9020</v>
      </c>
      <c r="T56" s="119" t="s">
        <v>12</v>
      </c>
      <c r="U56" s="140" t="s">
        <v>12</v>
      </c>
    </row>
    <row r="57" spans="2:21" ht="13.8" thickBot="1" x14ac:dyDescent="0.3">
      <c r="B57" s="567" t="s">
        <v>8</v>
      </c>
      <c r="C57" s="34">
        <f>ROUND(C56*Labor!$D$3,0)</f>
        <v>0</v>
      </c>
      <c r="D57" s="35">
        <f>ROUND(D56*Labor!$D$4,0)</f>
        <v>0</v>
      </c>
      <c r="E57" s="35">
        <f>ROUND(E56*Labor!$D$5,0)</f>
        <v>353</v>
      </c>
      <c r="F57" s="35">
        <f>ROUND(F56*Labor!$D$6,0)</f>
        <v>394</v>
      </c>
      <c r="G57" s="35">
        <f>ROUND(G56*Labor!$D$7,0)</f>
        <v>222</v>
      </c>
      <c r="H57" s="35">
        <f>ROUND(H56*Labor!$D$8,0)</f>
        <v>0</v>
      </c>
      <c r="I57" s="39">
        <f t="shared" si="9"/>
        <v>969</v>
      </c>
      <c r="J57" s="268">
        <f>HLOOKUP(Labor!$B$11,InflationTable,2)*I57</f>
        <v>1308.926991332112</v>
      </c>
      <c r="K57" s="269">
        <f>J57*$L$4</f>
        <v>590326.07309078251</v>
      </c>
      <c r="L57" s="308">
        <f t="shared" si="10"/>
        <v>590326.07309078251</v>
      </c>
      <c r="M57" s="84">
        <f>HLOOKUP(Labor!$B$11,InflationTable,3)*$I$57</f>
        <v>1344.677244844713</v>
      </c>
      <c r="N57" s="63">
        <f>M57*$O$4</f>
        <v>606449.43742496555</v>
      </c>
      <c r="O57" s="95">
        <f t="shared" si="11"/>
        <v>606449.43742496555</v>
      </c>
      <c r="P57" s="268">
        <f>HLOOKUP(Labor!$B$11,InflationTable,4)*$I$57</f>
        <v>1360.7904761807197</v>
      </c>
      <c r="Q57" s="269">
        <f>P57*$R$4</f>
        <v>613716.50475750456</v>
      </c>
      <c r="R57" s="308">
        <f t="shared" si="12"/>
        <v>613716.50475750456</v>
      </c>
      <c r="S57" s="128">
        <f t="shared" si="13"/>
        <v>603497.33842441754</v>
      </c>
      <c r="T57" s="149" t="s">
        <v>12</v>
      </c>
      <c r="U57" s="142" t="s">
        <v>12</v>
      </c>
    </row>
    <row r="58" spans="2:21" x14ac:dyDescent="0.25">
      <c r="B58" s="559" t="s">
        <v>114</v>
      </c>
      <c r="C58" s="346">
        <v>0</v>
      </c>
      <c r="D58" s="346">
        <v>0</v>
      </c>
      <c r="E58" s="346">
        <v>3</v>
      </c>
      <c r="F58" s="346">
        <v>4</v>
      </c>
      <c r="G58" s="346">
        <v>3</v>
      </c>
      <c r="H58" s="346">
        <v>0</v>
      </c>
      <c r="I58" s="347">
        <f t="shared" si="9"/>
        <v>10</v>
      </c>
      <c r="J58" s="293" t="s">
        <v>12</v>
      </c>
      <c r="K58" s="327">
        <f>I58*$L$4</f>
        <v>4510</v>
      </c>
      <c r="L58" s="328">
        <f t="shared" si="10"/>
        <v>4510</v>
      </c>
      <c r="M58" s="61" t="s">
        <v>12</v>
      </c>
      <c r="N58" s="348">
        <f>$I$58*$O$4</f>
        <v>4510</v>
      </c>
      <c r="O58" s="349">
        <f t="shared" si="11"/>
        <v>4510</v>
      </c>
      <c r="P58" s="293" t="s">
        <v>12</v>
      </c>
      <c r="Q58" s="327">
        <f>$I$58*$R$4</f>
        <v>4510</v>
      </c>
      <c r="R58" s="328">
        <f t="shared" si="12"/>
        <v>4510</v>
      </c>
      <c r="S58" s="129">
        <f t="shared" si="13"/>
        <v>4510</v>
      </c>
      <c r="T58" s="136" t="s">
        <v>12</v>
      </c>
      <c r="U58" s="147" t="s">
        <v>12</v>
      </c>
    </row>
    <row r="59" spans="2:21" ht="13.8" thickBot="1" x14ac:dyDescent="0.3">
      <c r="B59" s="567" t="s">
        <v>8</v>
      </c>
      <c r="C59" s="34">
        <f>ROUND(C58*Labor!$D$3,0)</f>
        <v>0</v>
      </c>
      <c r="D59" s="35">
        <f>ROUND(D58*Labor!$D$4,0)</f>
        <v>0</v>
      </c>
      <c r="E59" s="35">
        <f>ROUND(E58*Labor!$D$5,0)</f>
        <v>132</v>
      </c>
      <c r="F59" s="35">
        <f>ROUND(F58*Labor!$D$6,0)</f>
        <v>197</v>
      </c>
      <c r="G59" s="35">
        <f>ROUND(G58*Labor!$D$7,0)</f>
        <v>166</v>
      </c>
      <c r="H59" s="35">
        <f>ROUND(H58*Labor!$D$8,0)</f>
        <v>0</v>
      </c>
      <c r="I59" s="39">
        <f t="shared" si="9"/>
        <v>495</v>
      </c>
      <c r="J59" s="292">
        <f>HLOOKUP(Labor!$B$11,InflationTable,2)*I59</f>
        <v>668.64691507677549</v>
      </c>
      <c r="K59" s="269">
        <f>J59*$L$4</f>
        <v>301559.75869962573</v>
      </c>
      <c r="L59" s="308">
        <f t="shared" si="10"/>
        <v>301559.75869962573</v>
      </c>
      <c r="M59" s="362">
        <f>HLOOKUP(Labor!$B$11,InflationTable,3)*I59</f>
        <v>686.90942848104532</v>
      </c>
      <c r="N59" s="63">
        <f>M59*$O$4</f>
        <v>309796.15224495146</v>
      </c>
      <c r="O59" s="95">
        <f t="shared" si="11"/>
        <v>309796.15224495146</v>
      </c>
      <c r="P59" s="268">
        <f>HLOOKUP(Labor!$B$11,InflationTable,4)*$I$59</f>
        <v>695.14064572699306</v>
      </c>
      <c r="Q59" s="269">
        <f>P59*$R$4</f>
        <v>313508.43122287386</v>
      </c>
      <c r="R59" s="308">
        <f t="shared" si="12"/>
        <v>313508.43122287386</v>
      </c>
      <c r="S59" s="128">
        <f t="shared" si="13"/>
        <v>308288.11405581702</v>
      </c>
      <c r="T59" s="149" t="s">
        <v>12</v>
      </c>
      <c r="U59" s="142" t="s">
        <v>12</v>
      </c>
    </row>
    <row r="60" spans="2:21" x14ac:dyDescent="0.25">
      <c r="B60" s="559" t="s">
        <v>115</v>
      </c>
      <c r="C60" s="346">
        <v>0</v>
      </c>
      <c r="D60" s="346">
        <v>0</v>
      </c>
      <c r="E60" s="346">
        <v>5</v>
      </c>
      <c r="F60" s="346">
        <v>10</v>
      </c>
      <c r="G60" s="346">
        <v>0</v>
      </c>
      <c r="H60" s="346">
        <v>0</v>
      </c>
      <c r="I60" s="347">
        <f t="shared" si="9"/>
        <v>15</v>
      </c>
      <c r="J60" s="293" t="s">
        <v>12</v>
      </c>
      <c r="K60" s="327">
        <f>I60*$L$4</f>
        <v>6765</v>
      </c>
      <c r="L60" s="328">
        <f t="shared" si="10"/>
        <v>6765</v>
      </c>
      <c r="M60" s="61" t="s">
        <v>12</v>
      </c>
      <c r="N60" s="348">
        <f>$I$60*$O$4</f>
        <v>6765</v>
      </c>
      <c r="O60" s="349">
        <f t="shared" si="11"/>
        <v>6765</v>
      </c>
      <c r="P60" s="293" t="s">
        <v>12</v>
      </c>
      <c r="Q60" s="327">
        <f>$I$60*$R$4</f>
        <v>6765</v>
      </c>
      <c r="R60" s="328">
        <f t="shared" si="12"/>
        <v>6765</v>
      </c>
      <c r="S60" s="129">
        <f t="shared" si="13"/>
        <v>6765</v>
      </c>
      <c r="T60" s="136" t="s">
        <v>12</v>
      </c>
      <c r="U60" s="147" t="s">
        <v>12</v>
      </c>
    </row>
    <row r="61" spans="2:21" ht="13.8" thickBot="1" x14ac:dyDescent="0.3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221</v>
      </c>
      <c r="F61" s="35">
        <f>ROUND(F60*Labor!$D$6,0)</f>
        <v>493</v>
      </c>
      <c r="G61" s="35">
        <f>ROUND(G60*Labor!$D$7,0)</f>
        <v>0</v>
      </c>
      <c r="H61" s="35">
        <f>ROUND(H60*Labor!$D$8,0)</f>
        <v>0</v>
      </c>
      <c r="I61" s="39">
        <f t="shared" si="9"/>
        <v>714</v>
      </c>
      <c r="J61" s="292">
        <f>HLOOKUP(Labor!$B$11,InflationTable,2)*I61</f>
        <v>964.47251992892461</v>
      </c>
      <c r="K61" s="269">
        <f>J61*$L$4</f>
        <v>434977.10648794501</v>
      </c>
      <c r="L61" s="308">
        <f t="shared" si="10"/>
        <v>434977.10648794501</v>
      </c>
      <c r="M61" s="84">
        <f>HLOOKUP(Labor!$B$11,InflationTable,3)*$I$61</f>
        <v>990.81481199084112</v>
      </c>
      <c r="N61" s="63">
        <f>M61*$O$4</f>
        <v>446857.48020786932</v>
      </c>
      <c r="O61" s="95">
        <f t="shared" si="11"/>
        <v>446857.48020786932</v>
      </c>
      <c r="P61" s="268">
        <f>HLOOKUP(Labor!$B$11,InflationTable,4)*$I$61</f>
        <v>1002.6877192910566</v>
      </c>
      <c r="Q61" s="269">
        <f>P61*$R$4</f>
        <v>452212.16140026652</v>
      </c>
      <c r="R61" s="308">
        <f t="shared" si="12"/>
        <v>452212.16140026652</v>
      </c>
      <c r="S61" s="128">
        <f t="shared" si="13"/>
        <v>444682.24936536024</v>
      </c>
      <c r="T61" s="149" t="s">
        <v>12</v>
      </c>
      <c r="U61" s="142" t="s">
        <v>12</v>
      </c>
    </row>
    <row r="62" spans="2:21" x14ac:dyDescent="0.25">
      <c r="B62" s="559" t="s">
        <v>116</v>
      </c>
      <c r="C62" s="346">
        <v>0</v>
      </c>
      <c r="D62" s="346">
        <v>0</v>
      </c>
      <c r="E62" s="346">
        <v>2</v>
      </c>
      <c r="F62" s="346">
        <v>3</v>
      </c>
      <c r="G62" s="346">
        <v>0</v>
      </c>
      <c r="H62" s="346">
        <v>0</v>
      </c>
      <c r="I62" s="347">
        <f t="shared" si="9"/>
        <v>5</v>
      </c>
      <c r="J62" s="293" t="s">
        <v>12</v>
      </c>
      <c r="K62" s="327">
        <f>I62*$L$4</f>
        <v>2255</v>
      </c>
      <c r="L62" s="328">
        <f t="shared" si="10"/>
        <v>2255</v>
      </c>
      <c r="M62" s="61" t="s">
        <v>12</v>
      </c>
      <c r="N62" s="348">
        <f>$I$62*$O$4</f>
        <v>2255</v>
      </c>
      <c r="O62" s="349">
        <f t="shared" si="11"/>
        <v>2255</v>
      </c>
      <c r="P62" s="293" t="s">
        <v>12</v>
      </c>
      <c r="Q62" s="327">
        <f>$I$62*$R$4</f>
        <v>2255</v>
      </c>
      <c r="R62" s="328">
        <f t="shared" si="12"/>
        <v>2255</v>
      </c>
      <c r="S62" s="129">
        <f t="shared" si="13"/>
        <v>2255</v>
      </c>
      <c r="T62" s="136" t="s">
        <v>12</v>
      </c>
      <c r="U62" s="147" t="s">
        <v>12</v>
      </c>
    </row>
    <row r="63" spans="2:21" ht="13.8" thickBot="1" x14ac:dyDescent="0.3">
      <c r="B63" s="567" t="s">
        <v>8</v>
      </c>
      <c r="C63" s="34">
        <f>ROUND(C62*Labor!$D$3,0)</f>
        <v>0</v>
      </c>
      <c r="D63" s="35">
        <f>ROUND(D62*Labor!$D$4,0)</f>
        <v>0</v>
      </c>
      <c r="E63" s="35">
        <f>ROUND(E62*Labor!$D$5,0)</f>
        <v>88</v>
      </c>
      <c r="F63" s="35">
        <f>ROUND(F62*Labor!$D$6,0)</f>
        <v>148</v>
      </c>
      <c r="G63" s="35">
        <f>ROUND(G62*Labor!$D$7,0)</f>
        <v>0</v>
      </c>
      <c r="H63" s="35">
        <f>ROUND(H62*Labor!$D$8,0)</f>
        <v>0</v>
      </c>
      <c r="I63" s="39">
        <f t="shared" si="9"/>
        <v>236</v>
      </c>
      <c r="J63" s="268">
        <f>HLOOKUP(Labor!$B$11,InflationTable,2)*I63</f>
        <v>318.78923627902833</v>
      </c>
      <c r="K63" s="269">
        <f>J63*$L$4</f>
        <v>143773.94556184177</v>
      </c>
      <c r="L63" s="300">
        <f t="shared" si="10"/>
        <v>143773.94556184177</v>
      </c>
      <c r="M63" s="84">
        <f>HLOOKUP(Labor!$B$11,InflationTable,3)*$I$63</f>
        <v>327.49621236672061</v>
      </c>
      <c r="N63" s="63">
        <f>M63*$O$4</f>
        <v>147700.79177739099</v>
      </c>
      <c r="O63" s="98">
        <f t="shared" si="11"/>
        <v>147700.79177739099</v>
      </c>
      <c r="P63" s="268">
        <f>HLOOKUP(Labor!$B$11,InflationTable,4)*$I$63</f>
        <v>331.42059069004114</v>
      </c>
      <c r="Q63" s="269">
        <f>P63*$R$4</f>
        <v>149470.68640120854</v>
      </c>
      <c r="R63" s="300">
        <f t="shared" si="12"/>
        <v>149470.68640120854</v>
      </c>
      <c r="S63" s="128">
        <f t="shared" si="13"/>
        <v>146981.80791348044</v>
      </c>
      <c r="T63" s="137" t="s">
        <v>12</v>
      </c>
      <c r="U63" s="142" t="s">
        <v>12</v>
      </c>
    </row>
    <row r="64" spans="2:21" x14ac:dyDescent="0.25">
      <c r="B64" s="560" t="s">
        <v>66</v>
      </c>
      <c r="C64" s="36">
        <f t="shared" ref="C64:I65" si="14">C56+C58+C60+C62</f>
        <v>0</v>
      </c>
      <c r="D64" s="36">
        <f t="shared" si="14"/>
        <v>0</v>
      </c>
      <c r="E64" s="36">
        <f t="shared" si="14"/>
        <v>18</v>
      </c>
      <c r="F64" s="36">
        <f t="shared" si="14"/>
        <v>25</v>
      </c>
      <c r="G64" s="36">
        <f t="shared" si="14"/>
        <v>7</v>
      </c>
      <c r="H64" s="36">
        <f t="shared" si="14"/>
        <v>0</v>
      </c>
      <c r="I64" s="46">
        <f t="shared" si="14"/>
        <v>50</v>
      </c>
      <c r="J64" s="301" t="s">
        <v>12</v>
      </c>
      <c r="K64" s="285">
        <f>K56+K58+K60+K62</f>
        <v>22550</v>
      </c>
      <c r="L64" s="312">
        <f>L56+L58+L60+L62</f>
        <v>22550</v>
      </c>
      <c r="M64" s="85" t="s">
        <v>12</v>
      </c>
      <c r="N64" s="33">
        <f>N56+N58+N60+N62</f>
        <v>22550</v>
      </c>
      <c r="O64" s="99">
        <f>O56+O58+O60+O62</f>
        <v>22550</v>
      </c>
      <c r="P64" s="301" t="s">
        <v>12</v>
      </c>
      <c r="Q64" s="285">
        <f>Q56+Q58+Q60+Q62</f>
        <v>22550</v>
      </c>
      <c r="R64" s="312">
        <f>R56+R58+R60+R62</f>
        <v>22550</v>
      </c>
      <c r="S64" s="129">
        <f t="shared" si="13"/>
        <v>22550</v>
      </c>
      <c r="T64" s="136" t="s">
        <v>12</v>
      </c>
      <c r="U64" s="147" t="s">
        <v>12</v>
      </c>
    </row>
    <row r="65" spans="2:22" ht="13.8" thickBot="1" x14ac:dyDescent="0.3">
      <c r="B65" s="561" t="s">
        <v>67</v>
      </c>
      <c r="C65" s="240">
        <f t="shared" si="14"/>
        <v>0</v>
      </c>
      <c r="D65" s="240">
        <f t="shared" si="14"/>
        <v>0</v>
      </c>
      <c r="E65" s="240">
        <f t="shared" si="14"/>
        <v>794</v>
      </c>
      <c r="F65" s="240">
        <f t="shared" si="14"/>
        <v>1232</v>
      </c>
      <c r="G65" s="240">
        <f t="shared" si="14"/>
        <v>388</v>
      </c>
      <c r="H65" s="240">
        <f t="shared" si="14"/>
        <v>0</v>
      </c>
      <c r="I65" s="243">
        <f t="shared" si="14"/>
        <v>2414</v>
      </c>
      <c r="J65" s="313">
        <f>J57+J59+J61+J63</f>
        <v>3260.8356626168406</v>
      </c>
      <c r="K65" s="275">
        <f>K57+K59+K61+K63</f>
        <v>1470636.8838401951</v>
      </c>
      <c r="L65" s="276">
        <f>L57+L59+L61+L63</f>
        <v>1470636.8838401951</v>
      </c>
      <c r="M65" s="242">
        <f>M57+M59+M61+M63</f>
        <v>3349.8976976833201</v>
      </c>
      <c r="N65" s="240">
        <f>N57+N59+N61+N63</f>
        <v>1510803.8616551773</v>
      </c>
      <c r="O65" s="243">
        <f>O57+O59+O61+O63</f>
        <v>1510803.8616551773</v>
      </c>
      <c r="P65" s="313">
        <f>P57+P59+P61+P63</f>
        <v>3390.0394318888102</v>
      </c>
      <c r="Q65" s="275">
        <f>Q57+Q59+Q61+Q63</f>
        <v>1528907.7837818535</v>
      </c>
      <c r="R65" s="276">
        <f>R57+R59+R61+R63</f>
        <v>1528907.7837818535</v>
      </c>
      <c r="S65" s="255">
        <f t="shared" si="13"/>
        <v>1503449.5097590752</v>
      </c>
      <c r="T65" s="249" t="s">
        <v>12</v>
      </c>
      <c r="U65" s="224" t="s">
        <v>12</v>
      </c>
    </row>
    <row r="66" spans="2:22" ht="13.8" thickTop="1" x14ac:dyDescent="0.25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8" thickBot="1" x14ac:dyDescent="0.3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8.2" thickTop="1" thickBot="1" x14ac:dyDescent="0.35">
      <c r="B68" s="564" t="s">
        <v>28</v>
      </c>
      <c r="C68" s="5"/>
      <c r="D68" s="5"/>
      <c r="E68" s="5"/>
      <c r="F68" s="112" t="s">
        <v>6</v>
      </c>
      <c r="G68" s="1415"/>
      <c r="H68" s="1416"/>
      <c r="I68" s="1417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 x14ac:dyDescent="0.25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22" t="s">
        <v>57</v>
      </c>
      <c r="L69" s="1423"/>
      <c r="M69" s="57" t="s">
        <v>61</v>
      </c>
      <c r="N69" s="1432" t="s">
        <v>57</v>
      </c>
      <c r="O69" s="1436"/>
      <c r="P69" s="318" t="s">
        <v>61</v>
      </c>
      <c r="Q69" s="1422" t="s">
        <v>57</v>
      </c>
      <c r="R69" s="1423"/>
      <c r="S69" s="170"/>
      <c r="T69" s="133"/>
      <c r="U69" s="37"/>
    </row>
    <row r="70" spans="2:22" x14ac:dyDescent="0.25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 x14ac:dyDescent="0.25">
      <c r="B71" s="557" t="s">
        <v>111</v>
      </c>
      <c r="C71" s="21">
        <v>0</v>
      </c>
      <c r="D71" s="21">
        <v>0</v>
      </c>
      <c r="E71" s="21">
        <v>0</v>
      </c>
      <c r="F71" s="21">
        <v>36</v>
      </c>
      <c r="G71" s="21">
        <v>36</v>
      </c>
      <c r="H71" s="21">
        <v>0</v>
      </c>
      <c r="I71" s="52">
        <f>SUM(C71:H71)</f>
        <v>72</v>
      </c>
      <c r="J71" s="263" t="s">
        <v>12</v>
      </c>
      <c r="K71" s="281">
        <f>I71*$L$4</f>
        <v>32472</v>
      </c>
      <c r="L71" s="289">
        <f>K71</f>
        <v>32472</v>
      </c>
      <c r="M71" s="58" t="s">
        <v>12</v>
      </c>
      <c r="N71" s="69">
        <f>$I$71*$O$4</f>
        <v>32472</v>
      </c>
      <c r="O71" s="68">
        <f>N71</f>
        <v>32472</v>
      </c>
      <c r="P71" s="263" t="s">
        <v>12</v>
      </c>
      <c r="Q71" s="281">
        <f>$I$71*$R$4</f>
        <v>32472</v>
      </c>
      <c r="R71" s="289">
        <f>Q71</f>
        <v>32472</v>
      </c>
      <c r="S71" s="121">
        <f>AVERAGE(L71,O71,R71)</f>
        <v>32472</v>
      </c>
      <c r="T71" s="135" t="s">
        <v>12</v>
      </c>
      <c r="U71" s="136" t="s">
        <v>12</v>
      </c>
    </row>
    <row r="72" spans="2:22" ht="13.8" thickBot="1" x14ac:dyDescent="0.3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1773</v>
      </c>
      <c r="G72" s="35">
        <f>ROUND(G71*Labor!$D$7,0)</f>
        <v>1997</v>
      </c>
      <c r="H72" s="35">
        <f>ROUND(H71*Labor!$D$8,0)</f>
        <v>0</v>
      </c>
      <c r="I72" s="39">
        <f>SUM(C72:H72)</f>
        <v>3770</v>
      </c>
      <c r="J72" s="268">
        <f>HLOOKUP(Labor!$B$11,InflationTable,2)*I72</f>
        <v>5092.5229693726133</v>
      </c>
      <c r="K72" s="269">
        <f>J72*$L$4</f>
        <v>2296727.8591870484</v>
      </c>
      <c r="L72" s="308">
        <f>K72</f>
        <v>2296727.8591870484</v>
      </c>
      <c r="M72" s="362">
        <f>HLOOKUP(Labor!$B$11,InflationTable,3)*$I$72</f>
        <v>5231.61322297685</v>
      </c>
      <c r="N72" s="63">
        <f>M72*$O$4</f>
        <v>2359457.5635625594</v>
      </c>
      <c r="O72" s="95">
        <f>N72</f>
        <v>2359457.5635625594</v>
      </c>
      <c r="P72" s="268">
        <f>HLOOKUP(Labor!$B$11,InflationTable,4)*$I72</f>
        <v>5294.3035038197249</v>
      </c>
      <c r="Q72" s="269">
        <f>P72*$R$4</f>
        <v>2387730.8802226959</v>
      </c>
      <c r="R72" s="308">
        <f>Q72</f>
        <v>2387730.8802226959</v>
      </c>
      <c r="S72" s="128">
        <f>AVERAGE(L72,O72,R72)</f>
        <v>2347972.1009907681</v>
      </c>
      <c r="T72" s="137" t="s">
        <v>12</v>
      </c>
      <c r="U72" s="149" t="s">
        <v>12</v>
      </c>
    </row>
    <row r="73" spans="2:22" x14ac:dyDescent="0.25">
      <c r="B73" s="559" t="s">
        <v>110</v>
      </c>
      <c r="C73" s="346">
        <v>0</v>
      </c>
      <c r="D73" s="346">
        <v>24</v>
      </c>
      <c r="E73" s="346">
        <v>24</v>
      </c>
      <c r="F73" s="346">
        <v>0</v>
      </c>
      <c r="G73" s="346">
        <v>0</v>
      </c>
      <c r="H73" s="346">
        <v>0</v>
      </c>
      <c r="I73" s="347">
        <f>SUM(C73:H73)</f>
        <v>48</v>
      </c>
      <c r="J73" s="293" t="s">
        <v>12</v>
      </c>
      <c r="K73" s="327">
        <f>I73*$L$4</f>
        <v>21648</v>
      </c>
      <c r="L73" s="328">
        <f>K73</f>
        <v>21648</v>
      </c>
      <c r="M73" s="61" t="s">
        <v>12</v>
      </c>
      <c r="N73" s="348">
        <f>$I$73*$O$4</f>
        <v>21648</v>
      </c>
      <c r="O73" s="349">
        <f>N73</f>
        <v>21648</v>
      </c>
      <c r="P73" s="293" t="s">
        <v>12</v>
      </c>
      <c r="Q73" s="327">
        <f>$I$73*$R$4</f>
        <v>21648</v>
      </c>
      <c r="R73" s="328">
        <f>Q73</f>
        <v>21648</v>
      </c>
      <c r="S73" s="129">
        <f>AVERAGE(L73,O73,R73)</f>
        <v>21648</v>
      </c>
      <c r="T73" s="135" t="s">
        <v>12</v>
      </c>
      <c r="U73" s="136" t="s">
        <v>12</v>
      </c>
    </row>
    <row r="74" spans="2:22" ht="13.8" thickBot="1" x14ac:dyDescent="0.3">
      <c r="B74" s="568" t="s">
        <v>8</v>
      </c>
      <c r="C74" s="34">
        <f>ROUND(C73*Labor!$D$3,0)</f>
        <v>0</v>
      </c>
      <c r="D74" s="35">
        <f>ROUND(D73*Labor!$D$4,0)</f>
        <v>981</v>
      </c>
      <c r="E74" s="35">
        <f>ROUND(E73*Labor!$D$5,0)</f>
        <v>1059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2040</v>
      </c>
      <c r="J74" s="268">
        <f>HLOOKUP(Labor!$B$11,InflationTable,2)*I74</f>
        <v>2755.635771225499</v>
      </c>
      <c r="K74" s="269">
        <f>J74*$L$4</f>
        <v>1242791.7328226999</v>
      </c>
      <c r="L74" s="308">
        <f>K74</f>
        <v>1242791.7328226999</v>
      </c>
      <c r="M74" s="362">
        <f>HLOOKUP(Labor!$B$11,InflationTable,3)*$I$74</f>
        <v>2830.8994628309747</v>
      </c>
      <c r="N74" s="63">
        <f>M74*$O$4</f>
        <v>1276735.6577367696</v>
      </c>
      <c r="O74" s="95">
        <f>N74</f>
        <v>1276735.6577367696</v>
      </c>
      <c r="P74" s="268">
        <f>HLOOKUP(Labor!$B$11,InflationTable,4)*$I74</f>
        <v>2864.8220551173044</v>
      </c>
      <c r="Q74" s="269">
        <f>P74*$R$4</f>
        <v>1292034.7468579044</v>
      </c>
      <c r="R74" s="308">
        <f>Q74</f>
        <v>1292034.7468579044</v>
      </c>
      <c r="S74" s="128">
        <f>AVERAGE(L74,O74,R74)</f>
        <v>1270520.7124724579</v>
      </c>
      <c r="T74" s="137" t="s">
        <v>12</v>
      </c>
      <c r="U74" s="149" t="s">
        <v>12</v>
      </c>
    </row>
    <row r="75" spans="2:22" x14ac:dyDescent="0.25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 x14ac:dyDescent="0.25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1804</v>
      </c>
      <c r="L76" s="289">
        <f t="shared" ref="L76:L81" si="16">K76</f>
        <v>1804</v>
      </c>
      <c r="M76" s="58" t="s">
        <v>12</v>
      </c>
      <c r="N76" s="69">
        <f>$I76*$O$4</f>
        <v>1804</v>
      </c>
      <c r="O76" s="68">
        <f t="shared" ref="O76:O81" si="17">N76</f>
        <v>1804</v>
      </c>
      <c r="P76" s="263" t="s">
        <v>12</v>
      </c>
      <c r="Q76" s="281">
        <f>$I76*$R$4</f>
        <v>1804</v>
      </c>
      <c r="R76" s="289">
        <f t="shared" ref="R76:R81" si="18">Q76</f>
        <v>1804</v>
      </c>
      <c r="S76" s="121">
        <f t="shared" ref="S76:S81" si="19">AVERAGE(L76,O76,R76)</f>
        <v>1804</v>
      </c>
      <c r="T76" s="135" t="s">
        <v>12</v>
      </c>
      <c r="U76" s="136" t="s">
        <v>12</v>
      </c>
    </row>
    <row r="77" spans="2:22" ht="13.8" thickBot="1" x14ac:dyDescent="0.3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283.66838821438961</v>
      </c>
      <c r="K77" s="269">
        <f>J77*$L$4</f>
        <v>127934.44308468972</v>
      </c>
      <c r="L77" s="308">
        <f t="shared" si="16"/>
        <v>127934.44308468972</v>
      </c>
      <c r="M77" s="362">
        <f>HLOOKUP(Labor!$B$11,InflationTable,3)*$I77</f>
        <v>291.41612117377679</v>
      </c>
      <c r="N77" s="63">
        <f>M77*$O$4</f>
        <v>131428.67064937332</v>
      </c>
      <c r="O77" s="95">
        <f t="shared" si="17"/>
        <v>131428.67064937332</v>
      </c>
      <c r="P77" s="268">
        <f>HLOOKUP(Labor!$B$11,InflationTable,4)*$I77</f>
        <v>294.90815273266372</v>
      </c>
      <c r="Q77" s="269">
        <f>P77*$R$4</f>
        <v>133003.57688243134</v>
      </c>
      <c r="R77" s="308">
        <f t="shared" si="18"/>
        <v>133003.57688243134</v>
      </c>
      <c r="S77" s="128">
        <f t="shared" si="19"/>
        <v>130788.8968721648</v>
      </c>
      <c r="T77" s="137" t="s">
        <v>12</v>
      </c>
      <c r="U77" s="149" t="s">
        <v>12</v>
      </c>
    </row>
    <row r="78" spans="2:22" x14ac:dyDescent="0.25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2255</v>
      </c>
      <c r="L78" s="328">
        <f t="shared" si="16"/>
        <v>2255</v>
      </c>
      <c r="M78" s="61" t="s">
        <v>12</v>
      </c>
      <c r="N78" s="348">
        <f>$I78*$O$4</f>
        <v>2255</v>
      </c>
      <c r="O78" s="349">
        <f t="shared" si="17"/>
        <v>2255</v>
      </c>
      <c r="P78" s="293" t="s">
        <v>12</v>
      </c>
      <c r="Q78" s="327">
        <f>$I78*$R$4</f>
        <v>2255</v>
      </c>
      <c r="R78" s="328">
        <f t="shared" si="18"/>
        <v>2255</v>
      </c>
      <c r="S78" s="129">
        <f t="shared" si="19"/>
        <v>2255</v>
      </c>
      <c r="T78" s="135" t="s">
        <v>12</v>
      </c>
      <c r="U78" s="136" t="s">
        <v>12</v>
      </c>
    </row>
    <row r="79" spans="2:22" ht="13.8" thickBot="1" x14ac:dyDescent="0.3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322.84164182494817</v>
      </c>
      <c r="K79" s="269">
        <f>J79*$L$4</f>
        <v>145601.58046305162</v>
      </c>
      <c r="L79" s="308">
        <f t="shared" si="16"/>
        <v>145601.58046305162</v>
      </c>
      <c r="M79" s="362">
        <f>HLOOKUP(Labor!$B$11,InflationTable,3)*$I79</f>
        <v>331.65929981206023</v>
      </c>
      <c r="N79" s="63">
        <f>M79*$O$4</f>
        <v>149578.34421523917</v>
      </c>
      <c r="O79" s="95">
        <f t="shared" si="17"/>
        <v>149578.34421523917</v>
      </c>
      <c r="P79" s="268">
        <f>HLOOKUP(Labor!$B$11,InflationTable,4)*$I79</f>
        <v>335.63356430050777</v>
      </c>
      <c r="Q79" s="269">
        <f>P79*$R$4</f>
        <v>151370.737499529</v>
      </c>
      <c r="R79" s="308">
        <f t="shared" si="18"/>
        <v>151370.737499529</v>
      </c>
      <c r="S79" s="172">
        <f t="shared" si="19"/>
        <v>148850.22072593993</v>
      </c>
      <c r="T79" s="118" t="s">
        <v>12</v>
      </c>
      <c r="U79" s="119" t="s">
        <v>12</v>
      </c>
    </row>
    <row r="80" spans="2:22" x14ac:dyDescent="0.25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2706</v>
      </c>
      <c r="L80" s="328">
        <f t="shared" si="16"/>
        <v>2706</v>
      </c>
      <c r="M80" s="61" t="s">
        <v>12</v>
      </c>
      <c r="N80" s="348">
        <f>$I80*$O$4</f>
        <v>2706</v>
      </c>
      <c r="O80" s="349">
        <f t="shared" si="17"/>
        <v>2706</v>
      </c>
      <c r="P80" s="293" t="s">
        <v>12</v>
      </c>
      <c r="Q80" s="327">
        <f>$I80*$R$4</f>
        <v>2706</v>
      </c>
      <c r="R80" s="328">
        <f t="shared" si="18"/>
        <v>2706</v>
      </c>
      <c r="S80" s="121">
        <f t="shared" si="19"/>
        <v>2706</v>
      </c>
      <c r="T80" s="135" t="s">
        <v>12</v>
      </c>
      <c r="U80" s="136" t="s">
        <v>12</v>
      </c>
    </row>
    <row r="81" spans="2:21" ht="13.8" thickBot="1" x14ac:dyDescent="0.3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424.15178047294444</v>
      </c>
      <c r="K81" s="269">
        <f>J81*$L$4</f>
        <v>191292.45299329795</v>
      </c>
      <c r="L81" s="308">
        <f t="shared" si="16"/>
        <v>191292.45299329795</v>
      </c>
      <c r="M81" s="362">
        <f>HLOOKUP(Labor!$B$11,InflationTable,3)*$I81</f>
        <v>435.73648594555198</v>
      </c>
      <c r="N81" s="63">
        <f>M81*$O$4</f>
        <v>196517.15516144395</v>
      </c>
      <c r="O81" s="95">
        <f t="shared" si="17"/>
        <v>196517.15516144395</v>
      </c>
      <c r="P81" s="268">
        <f>HLOOKUP(Labor!$B$11,InflationTable,4)*$I81</f>
        <v>440.95790456217338</v>
      </c>
      <c r="Q81" s="269">
        <f>P81*$R$4</f>
        <v>198872.0149575402</v>
      </c>
      <c r="R81" s="308">
        <f t="shared" si="18"/>
        <v>198872.0149575402</v>
      </c>
      <c r="S81" s="128">
        <f t="shared" si="19"/>
        <v>195560.54103742738</v>
      </c>
      <c r="T81" s="137" t="s">
        <v>12</v>
      </c>
      <c r="U81" s="149" t="s">
        <v>12</v>
      </c>
    </row>
    <row r="82" spans="2:21" x14ac:dyDescent="0.25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 x14ac:dyDescent="0.25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43.5</v>
      </c>
      <c r="L83" s="289">
        <f>K83</f>
        <v>43.5</v>
      </c>
      <c r="M83" s="58" t="s">
        <v>12</v>
      </c>
      <c r="N83" s="89">
        <f>$I83*M$5</f>
        <v>43.5</v>
      </c>
      <c r="O83" s="68">
        <f>N83</f>
        <v>43.5</v>
      </c>
      <c r="P83" s="263" t="s">
        <v>12</v>
      </c>
      <c r="Q83" s="314">
        <f>$I83*P$5</f>
        <v>43.5</v>
      </c>
      <c r="R83" s="289">
        <f>Q83</f>
        <v>43.5</v>
      </c>
      <c r="S83" s="121">
        <f>AVERAGE(L83,O83,R83)</f>
        <v>43.5</v>
      </c>
      <c r="T83" s="135" t="s">
        <v>12</v>
      </c>
      <c r="U83" s="136" t="s">
        <v>12</v>
      </c>
    </row>
    <row r="84" spans="2:21" ht="13.8" thickBot="1" x14ac:dyDescent="0.3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32.419244367358814</v>
      </c>
      <c r="K84" s="269">
        <f>J84*$J$5</f>
        <v>2820.4742599602168</v>
      </c>
      <c r="L84" s="308">
        <f>K84</f>
        <v>2820.4742599602168</v>
      </c>
      <c r="M84" s="362">
        <f>HLOOKUP(Labor!$B$11,InflationTable,3)*$I84</f>
        <v>33.304699562717346</v>
      </c>
      <c r="N84" s="63">
        <f>M84*$M$5</f>
        <v>2897.508861956409</v>
      </c>
      <c r="O84" s="95">
        <f>N84</f>
        <v>2897.508861956409</v>
      </c>
      <c r="P84" s="268">
        <f>HLOOKUP(Labor!$B$11,InflationTable,4)*$I84</f>
        <v>33.703788883732997</v>
      </c>
      <c r="Q84" s="269">
        <f>P84*$P$5</f>
        <v>2932.2296328847706</v>
      </c>
      <c r="R84" s="308">
        <f>Q84</f>
        <v>2932.2296328847706</v>
      </c>
      <c r="S84" s="132">
        <f>AVERAGE(L84,O84,R84)</f>
        <v>2883.4042516004652</v>
      </c>
      <c r="T84" s="137" t="s">
        <v>12</v>
      </c>
      <c r="U84" s="149" t="s">
        <v>12</v>
      </c>
    </row>
    <row r="85" spans="2:21" x14ac:dyDescent="0.25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4" t="s">
        <v>57</v>
      </c>
      <c r="O85" s="1435"/>
      <c r="P85" s="259" t="s">
        <v>55</v>
      </c>
      <c r="Q85" s="1431" t="s">
        <v>57</v>
      </c>
      <c r="R85" s="1439"/>
      <c r="S85" s="170"/>
      <c r="T85" s="133"/>
      <c r="U85" s="37"/>
    </row>
    <row r="86" spans="2:21" x14ac:dyDescent="0.25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1305</v>
      </c>
      <c r="L86" s="282">
        <f>K86/$E$85</f>
        <v>261</v>
      </c>
      <c r="M86" s="58" t="s">
        <v>12</v>
      </c>
      <c r="N86" s="60">
        <f>$I$86*$M$5</f>
        <v>1305</v>
      </c>
      <c r="O86" s="59">
        <f>N86/$E$85</f>
        <v>261</v>
      </c>
      <c r="P86" s="263" t="s">
        <v>12</v>
      </c>
      <c r="Q86" s="283">
        <f>$I$86*$P$5</f>
        <v>1305</v>
      </c>
      <c r="R86" s="282">
        <f>Q86/$E$85</f>
        <v>261</v>
      </c>
      <c r="S86" s="121">
        <f>AVERAGE(L86,O86,R86)</f>
        <v>261</v>
      </c>
      <c r="T86" s="135" t="s">
        <v>12</v>
      </c>
      <c r="U86" s="136" t="s">
        <v>12</v>
      </c>
    </row>
    <row r="87" spans="2:21" ht="13.8" thickBot="1" x14ac:dyDescent="0.3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1102.2543084901995</v>
      </c>
      <c r="K87" s="269">
        <f>J87*$J$5</f>
        <v>95896.12483864736</v>
      </c>
      <c r="L87" s="270">
        <f>K87/$E$85</f>
        <v>19179.224967729471</v>
      </c>
      <c r="M87" s="91">
        <f>HLOOKUP(Labor!$B$11,InflationTable,3)*$I87</f>
        <v>1132.3597851323898</v>
      </c>
      <c r="N87" s="63">
        <f>M87*$M$5</f>
        <v>98515.301306517911</v>
      </c>
      <c r="O87" s="64">
        <f>N87/$E$85</f>
        <v>19703.060261303581</v>
      </c>
      <c r="P87" s="292">
        <f>HLOOKUP(Labor!$B$11,InflationTable,4)*$I87</f>
        <v>1145.9288220469218</v>
      </c>
      <c r="Q87" s="269">
        <f>P87*$P$5</f>
        <v>99695.807518082205</v>
      </c>
      <c r="R87" s="270">
        <f>Q87/$E$85</f>
        <v>19939.16150361644</v>
      </c>
      <c r="S87" s="128">
        <f>AVERAGE(L87,O87,R87)</f>
        <v>19607.148910883163</v>
      </c>
      <c r="T87" s="137" t="s">
        <v>12</v>
      </c>
      <c r="U87" s="149" t="s">
        <v>12</v>
      </c>
    </row>
    <row r="88" spans="2:21" x14ac:dyDescent="0.25">
      <c r="B88" s="560" t="s">
        <v>66</v>
      </c>
      <c r="C88" s="42">
        <f t="shared" ref="C88:I89" si="20">C71+C73+C76+C78+C80+C83+C86</f>
        <v>0</v>
      </c>
      <c r="D88" s="42">
        <f t="shared" si="20"/>
        <v>25</v>
      </c>
      <c r="E88" s="42">
        <f t="shared" si="20"/>
        <v>25.2</v>
      </c>
      <c r="F88" s="42">
        <f t="shared" si="20"/>
        <v>48.3</v>
      </c>
      <c r="G88" s="42">
        <f t="shared" si="20"/>
        <v>47</v>
      </c>
      <c r="H88" s="42">
        <f t="shared" si="20"/>
        <v>5</v>
      </c>
      <c r="I88" s="53">
        <f t="shared" si="20"/>
        <v>150.5</v>
      </c>
      <c r="J88" s="293" t="s">
        <v>12</v>
      </c>
      <c r="K88" s="315" t="s">
        <v>12</v>
      </c>
      <c r="L88" s="316">
        <f>L86+K83+K80+K78+K76+K73+K71</f>
        <v>61189.5</v>
      </c>
      <c r="M88" s="92" t="s">
        <v>12</v>
      </c>
      <c r="N88" s="42" t="s">
        <v>12</v>
      </c>
      <c r="O88" s="90">
        <f>O86+N83+N80+N78+N76+N73+N71</f>
        <v>61189.5</v>
      </c>
      <c r="P88" s="293" t="s">
        <v>12</v>
      </c>
      <c r="Q88" s="315" t="s">
        <v>12</v>
      </c>
      <c r="R88" s="316">
        <f>R86+Q83+Q80+Q78+Q76+Q73+Q71</f>
        <v>61189.5</v>
      </c>
      <c r="S88" s="150">
        <f>AVERAGE(L88,O88,R88)</f>
        <v>61189.5</v>
      </c>
      <c r="T88" s="133"/>
      <c r="U88" s="37"/>
    </row>
    <row r="89" spans="2:21" ht="13.8" thickBot="1" x14ac:dyDescent="0.3">
      <c r="B89" s="561" t="s">
        <v>67</v>
      </c>
      <c r="C89" s="240">
        <f t="shared" si="20"/>
        <v>0</v>
      </c>
      <c r="D89" s="240">
        <f t="shared" si="20"/>
        <v>1022</v>
      </c>
      <c r="E89" s="240">
        <f t="shared" si="20"/>
        <v>1112</v>
      </c>
      <c r="F89" s="240">
        <f t="shared" si="20"/>
        <v>2380</v>
      </c>
      <c r="G89" s="240">
        <f t="shared" si="20"/>
        <v>2606</v>
      </c>
      <c r="H89" s="240">
        <f t="shared" si="20"/>
        <v>293</v>
      </c>
      <c r="I89" s="243">
        <f t="shared" si="20"/>
        <v>7413</v>
      </c>
      <c r="J89" s="274">
        <f>J72+J74+J77+J79+J81+J84+J87</f>
        <v>10013.494103967952</v>
      </c>
      <c r="K89" s="317" t="s">
        <v>12</v>
      </c>
      <c r="L89" s="306">
        <f>L87+K84+K81+K79+K77+K74+K72</f>
        <v>4026347.7677784776</v>
      </c>
      <c r="M89" s="242">
        <f>M72+M74+M77+M79+M81+M84+M87</f>
        <v>10286.98907743432</v>
      </c>
      <c r="N89" s="256" t="s">
        <v>12</v>
      </c>
      <c r="O89" s="254">
        <f>O87+N84+N81+N79+N77+N74+N72</f>
        <v>4136317.9604486455</v>
      </c>
      <c r="P89" s="274">
        <f>P72+P74+P77+P79+P81+P84+P87</f>
        <v>10410.257791463031</v>
      </c>
      <c r="Q89" s="317" t="s">
        <v>12</v>
      </c>
      <c r="R89" s="306">
        <f>R87+Q84+Q81+Q79+Q77+Q74+Q72</f>
        <v>4185883.3475566022</v>
      </c>
      <c r="S89" s="248">
        <f>AVERAGE(L89,O89,R89)</f>
        <v>4116183.0252612419</v>
      </c>
      <c r="T89" s="246"/>
      <c r="U89" s="236"/>
    </row>
    <row r="90" spans="2:21" ht="14.4" thickTop="1" thickBot="1" x14ac:dyDescent="0.3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2" thickTop="1" x14ac:dyDescent="0.3">
      <c r="B91" s="562" t="s">
        <v>30</v>
      </c>
      <c r="C91" s="5"/>
      <c r="D91" s="5"/>
      <c r="E91" s="5"/>
      <c r="F91" s="112" t="s">
        <v>6</v>
      </c>
      <c r="G91" s="1415"/>
      <c r="H91" s="1416"/>
      <c r="I91" s="1417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 x14ac:dyDescent="0.25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22" t="s">
        <v>57</v>
      </c>
      <c r="L92" s="1423"/>
      <c r="M92" s="57" t="s">
        <v>61</v>
      </c>
      <c r="N92" s="1432" t="s">
        <v>57</v>
      </c>
      <c r="O92" s="1436"/>
      <c r="P92" s="318" t="s">
        <v>61</v>
      </c>
      <c r="Q92" s="1431" t="s">
        <v>57</v>
      </c>
      <c r="R92" s="1439"/>
      <c r="S92" s="131"/>
      <c r="T92" s="133"/>
      <c r="U92" s="37"/>
    </row>
    <row r="93" spans="2:21" x14ac:dyDescent="0.25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 x14ac:dyDescent="0.25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5412</v>
      </c>
      <c r="L94" s="289">
        <f>K94</f>
        <v>5412</v>
      </c>
      <c r="M94" s="58" t="s">
        <v>12</v>
      </c>
      <c r="N94" s="69">
        <f>$I94*O$4</f>
        <v>5412</v>
      </c>
      <c r="O94" s="59">
        <f>N94</f>
        <v>5412</v>
      </c>
      <c r="P94" s="263" t="s">
        <v>12</v>
      </c>
      <c r="Q94" s="281">
        <f>$I94*R$4</f>
        <v>5412</v>
      </c>
      <c r="R94" s="289">
        <f>Q94</f>
        <v>5412</v>
      </c>
      <c r="S94" s="173">
        <f t="shared" ref="S94:S99" si="21">AVERAGE(L94,O94,R94)</f>
        <v>5412</v>
      </c>
      <c r="T94" s="135" t="s">
        <v>12</v>
      </c>
      <c r="U94" s="136" t="s">
        <v>12</v>
      </c>
    </row>
    <row r="95" spans="2:21" ht="13.8" thickBot="1" x14ac:dyDescent="0.3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915.84365337788643</v>
      </c>
      <c r="K95" s="269">
        <f>J95*$L$4</f>
        <v>413045.4876734268</v>
      </c>
      <c r="L95" s="308">
        <f>K95</f>
        <v>413045.4876734268</v>
      </c>
      <c r="M95" s="84">
        <f>HLOOKUP(Labor!$B$11,InflationTable,3)*$I95</f>
        <v>940.85776264676508</v>
      </c>
      <c r="N95" s="63">
        <f>M95*O$4</f>
        <v>424326.85095369106</v>
      </c>
      <c r="O95" s="64">
        <f>N95</f>
        <v>424326.85095369106</v>
      </c>
      <c r="P95" s="268">
        <f>HLOOKUP(Labor!$B$11,InflationTable,4)*$I95</f>
        <v>952.13203596545713</v>
      </c>
      <c r="Q95" s="269">
        <f>P95*R$4</f>
        <v>429411.54822042119</v>
      </c>
      <c r="R95" s="308">
        <f>Q95</f>
        <v>429411.54822042119</v>
      </c>
      <c r="S95" s="171">
        <f t="shared" si="21"/>
        <v>422261.29561584635</v>
      </c>
      <c r="T95" s="137" t="s">
        <v>12</v>
      </c>
      <c r="U95" s="149" t="s">
        <v>12</v>
      </c>
    </row>
    <row r="96" spans="2:21" x14ac:dyDescent="0.25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13530</v>
      </c>
      <c r="L96" s="328">
        <f>K96</f>
        <v>13530</v>
      </c>
      <c r="M96" s="61" t="s">
        <v>12</v>
      </c>
      <c r="N96" s="348">
        <f>$I96*O$4</f>
        <v>13530</v>
      </c>
      <c r="O96" s="349">
        <f>N96</f>
        <v>13530</v>
      </c>
      <c r="P96" s="293" t="s">
        <v>12</v>
      </c>
      <c r="Q96" s="327">
        <f>$I96*R$4</f>
        <v>13530</v>
      </c>
      <c r="R96" s="328">
        <f>Q96</f>
        <v>13530</v>
      </c>
      <c r="S96" s="173">
        <f t="shared" si="21"/>
        <v>13530</v>
      </c>
      <c r="T96" s="135" t="s">
        <v>12</v>
      </c>
      <c r="U96" s="136" t="s">
        <v>12</v>
      </c>
    </row>
    <row r="97" spans="2:22" ht="13.8" thickBot="1" x14ac:dyDescent="0.3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1943.8038601928888</v>
      </c>
      <c r="K97" s="269">
        <f>J97*$L$4</f>
        <v>876655.54094699281</v>
      </c>
      <c r="L97" s="300">
        <f>K97</f>
        <v>876655.54094699281</v>
      </c>
      <c r="M97" s="84">
        <f>HLOOKUP(Labor!$B$11,InflationTable,3)*$I97</f>
        <v>1996.8942779479275</v>
      </c>
      <c r="N97" s="63">
        <f>M97*O$4</f>
        <v>900599.31935451529</v>
      </c>
      <c r="O97" s="64">
        <f>N97</f>
        <v>900599.31935451529</v>
      </c>
      <c r="P97" s="292">
        <f>HLOOKUP(Labor!$B$11,InflationTable,4)*$I97</f>
        <v>2020.8230084871575</v>
      </c>
      <c r="Q97" s="269">
        <f>P97*R$4</f>
        <v>911391.17682770803</v>
      </c>
      <c r="R97" s="300">
        <f>Q97</f>
        <v>911391.17682770803</v>
      </c>
      <c r="S97" s="128">
        <f t="shared" si="21"/>
        <v>896215.34570973867</v>
      </c>
      <c r="T97" s="137" t="s">
        <v>12</v>
      </c>
      <c r="U97" s="149" t="s">
        <v>12</v>
      </c>
    </row>
    <row r="98" spans="2:22" x14ac:dyDescent="0.25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18942</v>
      </c>
      <c r="L98" s="321">
        <f>L94+L96</f>
        <v>18942</v>
      </c>
      <c r="M98" s="85" t="s">
        <v>12</v>
      </c>
      <c r="N98" s="36">
        <f>N94+N96</f>
        <v>18942</v>
      </c>
      <c r="O98" s="100">
        <f>O94+O96</f>
        <v>18942</v>
      </c>
      <c r="P98" s="301" t="s">
        <v>12</v>
      </c>
      <c r="Q98" s="320">
        <f>Q94+Q96</f>
        <v>18942</v>
      </c>
      <c r="R98" s="322">
        <f>R94+R96</f>
        <v>18942</v>
      </c>
      <c r="S98" s="121">
        <f t="shared" si="21"/>
        <v>18942</v>
      </c>
      <c r="T98" s="135" t="s">
        <v>12</v>
      </c>
      <c r="U98" s="136" t="s">
        <v>12</v>
      </c>
    </row>
    <row r="99" spans="2:22" ht="13.8" thickBot="1" x14ac:dyDescent="0.3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2859.6475135707751</v>
      </c>
      <c r="K99" s="275">
        <f>K95+K97</f>
        <v>1289701.0286204196</v>
      </c>
      <c r="L99" s="276">
        <f>L95+L97</f>
        <v>1289701.0286204196</v>
      </c>
      <c r="M99" s="242">
        <f>M95+M97</f>
        <v>2937.7520405946925</v>
      </c>
      <c r="N99" s="240">
        <f>N95+N97</f>
        <v>1324926.1703082062</v>
      </c>
      <c r="O99" s="243">
        <f>O95+O97</f>
        <v>1324926.1703082062</v>
      </c>
      <c r="P99" s="313">
        <f>P95+P97</f>
        <v>2972.9550444526149</v>
      </c>
      <c r="Q99" s="275">
        <f>Q95+Q97</f>
        <v>1340802.7250481292</v>
      </c>
      <c r="R99" s="276">
        <f>R95+R97</f>
        <v>1340802.7250481292</v>
      </c>
      <c r="S99" s="257">
        <f t="shared" si="21"/>
        <v>1318476.6413255848</v>
      </c>
      <c r="T99" s="258" t="s">
        <v>12</v>
      </c>
      <c r="U99" s="249" t="s">
        <v>12</v>
      </c>
    </row>
    <row r="100" spans="2:22" ht="14.4" thickTop="1" thickBot="1" x14ac:dyDescent="0.3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8.600000000000001" thickTop="1" thickBot="1" x14ac:dyDescent="0.35">
      <c r="B101" s="556" t="s">
        <v>121</v>
      </c>
      <c r="C101" s="234" t="str">
        <f>C2</f>
        <v>NO2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2019</v>
      </c>
      <c r="L101" s="83"/>
      <c r="M101" s="79" t="str">
        <f>M2</f>
        <v>Year 2</v>
      </c>
      <c r="N101" s="79">
        <f>N2</f>
        <v>2020</v>
      </c>
      <c r="O101" s="41"/>
      <c r="P101" s="233" t="str">
        <f>P2</f>
        <v>Year 3</v>
      </c>
      <c r="Q101" s="233">
        <f>Q2</f>
        <v>2021</v>
      </c>
      <c r="R101" s="83"/>
      <c r="S101" s="152"/>
      <c r="T101" s="130"/>
      <c r="U101" s="570"/>
    </row>
    <row r="102" spans="2:22" ht="13.8" thickBot="1" x14ac:dyDescent="0.3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 x14ac:dyDescent="0.25">
      <c r="B103" s="572" t="s">
        <v>97</v>
      </c>
      <c r="C103" s="196">
        <f>C15</f>
        <v>0</v>
      </c>
      <c r="D103" s="184">
        <f t="shared" ref="D103:I103" si="23">D15</f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ref="J103:S103" si="24">J15</f>
        <v>NA</v>
      </c>
      <c r="K103" s="327">
        <f t="shared" si="24"/>
        <v>3306</v>
      </c>
      <c r="L103" s="328">
        <f t="shared" si="24"/>
        <v>472.28571428571428</v>
      </c>
      <c r="M103" s="186" t="str">
        <f t="shared" si="24"/>
        <v>NA</v>
      </c>
      <c r="N103" s="184">
        <f t="shared" si="24"/>
        <v>3306</v>
      </c>
      <c r="O103" s="185">
        <f t="shared" si="24"/>
        <v>472.28571428571428</v>
      </c>
      <c r="P103" s="326" t="str">
        <f t="shared" si="24"/>
        <v>NA</v>
      </c>
      <c r="Q103" s="327">
        <f t="shared" si="24"/>
        <v>3306</v>
      </c>
      <c r="R103" s="328">
        <f t="shared" si="24"/>
        <v>472.28571428571428</v>
      </c>
      <c r="S103" s="185">
        <f t="shared" si="24"/>
        <v>472.28571428571428</v>
      </c>
      <c r="T103" s="37"/>
      <c r="U103" s="138"/>
    </row>
    <row r="104" spans="2:22" ht="13.8" thickBot="1" x14ac:dyDescent="0.3">
      <c r="B104" s="573" t="s">
        <v>76</v>
      </c>
      <c r="C104" s="203">
        <f>C16</f>
        <v>0</v>
      </c>
      <c r="D104" s="204">
        <f t="shared" ref="D104:I104" si="25">D16</f>
        <v>0</v>
      </c>
      <c r="E104" s="204">
        <f t="shared" si="25"/>
        <v>0</v>
      </c>
      <c r="F104" s="204">
        <f t="shared" si="25"/>
        <v>690</v>
      </c>
      <c r="G104" s="204">
        <f t="shared" si="25"/>
        <v>777</v>
      </c>
      <c r="H104" s="204">
        <f t="shared" si="25"/>
        <v>586</v>
      </c>
      <c r="I104" s="205">
        <f t="shared" si="25"/>
        <v>2053</v>
      </c>
      <c r="J104" s="329">
        <f t="shared" ref="J104:T104" si="26">J16</f>
        <v>2773.1961952578181</v>
      </c>
      <c r="K104" s="330">
        <f t="shared" si="26"/>
        <v>241268.06898743019</v>
      </c>
      <c r="L104" s="331">
        <f t="shared" si="26"/>
        <v>34466.866998204314</v>
      </c>
      <c r="M104" s="203">
        <f t="shared" si="26"/>
        <v>2848.9395084274461</v>
      </c>
      <c r="N104" s="204">
        <f t="shared" si="26"/>
        <v>247857.73723318783</v>
      </c>
      <c r="O104" s="205">
        <f t="shared" si="26"/>
        <v>35408.248176169691</v>
      </c>
      <c r="P104" s="329">
        <f t="shared" si="26"/>
        <v>2883.0782740959935</v>
      </c>
      <c r="Q104" s="330">
        <f t="shared" si="26"/>
        <v>250827.80984635142</v>
      </c>
      <c r="R104" s="331">
        <f t="shared" si="26"/>
        <v>35832.544263764488</v>
      </c>
      <c r="S104" s="205">
        <f t="shared" si="26"/>
        <v>35235.8864793795</v>
      </c>
      <c r="T104" s="206" t="str">
        <f t="shared" si="26"/>
        <v>NA</v>
      </c>
      <c r="U104" s="392" t="s">
        <v>12</v>
      </c>
    </row>
    <row r="105" spans="2:22" x14ac:dyDescent="0.25">
      <c r="B105" s="574" t="s">
        <v>98</v>
      </c>
      <c r="C105" s="196">
        <f>C28</f>
        <v>0</v>
      </c>
      <c r="D105" s="184">
        <f t="shared" ref="D105:S105" si="27">D28</f>
        <v>8</v>
      </c>
      <c r="E105" s="184">
        <f t="shared" si="27"/>
        <v>8</v>
      </c>
      <c r="F105" s="184">
        <f t="shared" si="27"/>
        <v>4</v>
      </c>
      <c r="G105" s="184">
        <f t="shared" si="27"/>
        <v>0</v>
      </c>
      <c r="H105" s="184">
        <f t="shared" si="27"/>
        <v>0</v>
      </c>
      <c r="I105" s="185">
        <f t="shared" si="27"/>
        <v>20</v>
      </c>
      <c r="J105" s="326" t="str">
        <f t="shared" si="27"/>
        <v>NA</v>
      </c>
      <c r="K105" s="327">
        <f t="shared" si="27"/>
        <v>9110.2000000000007</v>
      </c>
      <c r="L105" s="328">
        <f t="shared" si="27"/>
        <v>1301.457142857143</v>
      </c>
      <c r="M105" s="186" t="str">
        <f t="shared" si="27"/>
        <v>NA</v>
      </c>
      <c r="N105" s="184">
        <f t="shared" si="27"/>
        <v>9110.2000000000007</v>
      </c>
      <c r="O105" s="185">
        <f t="shared" si="27"/>
        <v>1301.457142857143</v>
      </c>
      <c r="P105" s="326" t="str">
        <f t="shared" si="27"/>
        <v>NA</v>
      </c>
      <c r="Q105" s="327">
        <f t="shared" si="27"/>
        <v>9110.2000000000007</v>
      </c>
      <c r="R105" s="328">
        <f t="shared" si="27"/>
        <v>1301.457142857143</v>
      </c>
      <c r="S105" s="185">
        <f t="shared" si="27"/>
        <v>1301.457142857143</v>
      </c>
      <c r="T105" s="37"/>
      <c r="U105" s="138"/>
    </row>
    <row r="106" spans="2:22" ht="13.8" thickBot="1" x14ac:dyDescent="0.3">
      <c r="B106" s="573" t="s">
        <v>76</v>
      </c>
      <c r="C106" s="207">
        <f>C29</f>
        <v>0</v>
      </c>
      <c r="D106" s="208">
        <f t="shared" ref="D106:U106" si="28">D29</f>
        <v>327</v>
      </c>
      <c r="E106" s="208">
        <f t="shared" si="28"/>
        <v>353</v>
      </c>
      <c r="F106" s="208">
        <f t="shared" si="28"/>
        <v>197</v>
      </c>
      <c r="G106" s="208">
        <f t="shared" si="28"/>
        <v>0</v>
      </c>
      <c r="H106" s="208">
        <f t="shared" si="28"/>
        <v>0</v>
      </c>
      <c r="I106" s="209">
        <f t="shared" si="28"/>
        <v>877</v>
      </c>
      <c r="J106" s="332">
        <f t="shared" si="28"/>
        <v>1184.6532212572365</v>
      </c>
      <c r="K106" s="296">
        <f t="shared" si="28"/>
        <v>0</v>
      </c>
      <c r="L106" s="297">
        <f t="shared" si="28"/>
        <v>1146349.179690524</v>
      </c>
      <c r="M106" s="207">
        <f t="shared" si="28"/>
        <v>1217.0092298542963</v>
      </c>
      <c r="N106" s="208">
        <f t="shared" si="28"/>
        <v>0</v>
      </c>
      <c r="O106" s="209">
        <f t="shared" si="28"/>
        <v>1177659.0037366995</v>
      </c>
      <c r="P106" s="332">
        <f t="shared" si="28"/>
        <v>1231.5926187930766</v>
      </c>
      <c r="Q106" s="296">
        <f t="shared" si="28"/>
        <v>0</v>
      </c>
      <c r="R106" s="297">
        <f t="shared" si="28"/>
        <v>1191770.859972009</v>
      </c>
      <c r="S106" s="209">
        <f t="shared" si="28"/>
        <v>78904.852510938334</v>
      </c>
      <c r="T106" s="210" t="str">
        <f t="shared" si="28"/>
        <v>NA</v>
      </c>
      <c r="U106" s="575">
        <f t="shared" si="28"/>
        <v>1093021.4952888058</v>
      </c>
    </row>
    <row r="107" spans="2:22" x14ac:dyDescent="0.25">
      <c r="B107" s="574" t="s">
        <v>96</v>
      </c>
      <c r="C107" s="197">
        <f>C38</f>
        <v>0</v>
      </c>
      <c r="D107" s="25">
        <f t="shared" ref="D107:S107" si="29">D38</f>
        <v>60</v>
      </c>
      <c r="E107" s="25">
        <f t="shared" si="29"/>
        <v>60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198">
        <f t="shared" si="29"/>
        <v>120</v>
      </c>
      <c r="J107" s="333" t="str">
        <f t="shared" si="29"/>
        <v>NA</v>
      </c>
      <c r="K107" s="334">
        <f t="shared" si="29"/>
        <v>54120</v>
      </c>
      <c r="L107" s="335">
        <f t="shared" si="29"/>
        <v>54120</v>
      </c>
      <c r="M107" s="199" t="str">
        <f t="shared" si="29"/>
        <v>NA</v>
      </c>
      <c r="N107" s="25">
        <f t="shared" si="29"/>
        <v>54120</v>
      </c>
      <c r="O107" s="198">
        <f t="shared" si="29"/>
        <v>54120</v>
      </c>
      <c r="P107" s="333" t="str">
        <f t="shared" si="29"/>
        <v>NA</v>
      </c>
      <c r="Q107" s="334">
        <f t="shared" si="29"/>
        <v>54120</v>
      </c>
      <c r="R107" s="335">
        <f t="shared" si="29"/>
        <v>54120</v>
      </c>
      <c r="S107" s="185">
        <f t="shared" si="29"/>
        <v>54120</v>
      </c>
      <c r="T107" s="200" t="str">
        <f>T21</f>
        <v>NA</v>
      </c>
      <c r="U107" s="147" t="s">
        <v>12</v>
      </c>
    </row>
    <row r="108" spans="2:22" ht="13.8" thickBot="1" x14ac:dyDescent="0.3">
      <c r="B108" s="573" t="s">
        <v>76</v>
      </c>
      <c r="C108" s="211">
        <f>C39</f>
        <v>0</v>
      </c>
      <c r="D108" s="208">
        <f t="shared" ref="D108:T108" si="30">D39</f>
        <v>60</v>
      </c>
      <c r="E108" s="208">
        <f t="shared" si="30"/>
        <v>60</v>
      </c>
      <c r="F108" s="208">
        <f t="shared" si="30"/>
        <v>0</v>
      </c>
      <c r="G108" s="208">
        <f t="shared" si="30"/>
        <v>0</v>
      </c>
      <c r="H108" s="208">
        <f t="shared" si="30"/>
        <v>0</v>
      </c>
      <c r="I108" s="209">
        <f t="shared" si="30"/>
        <v>5898</v>
      </c>
      <c r="J108" s="332">
        <f t="shared" si="30"/>
        <v>7967.0293032784284</v>
      </c>
      <c r="K108" s="296">
        <f t="shared" si="30"/>
        <v>3593130.2157785711</v>
      </c>
      <c r="L108" s="297">
        <f t="shared" si="30"/>
        <v>3593130.2157785711</v>
      </c>
      <c r="M108" s="207">
        <f t="shared" si="30"/>
        <v>8184.6299175377881</v>
      </c>
      <c r="N108" s="208">
        <f t="shared" si="30"/>
        <v>3691268.0928095425</v>
      </c>
      <c r="O108" s="209">
        <f t="shared" si="30"/>
        <v>3691268.0928095425</v>
      </c>
      <c r="P108" s="332">
        <f t="shared" si="30"/>
        <v>8282.7061181773843</v>
      </c>
      <c r="Q108" s="296">
        <f t="shared" si="30"/>
        <v>3735500.4592980007</v>
      </c>
      <c r="R108" s="297">
        <f t="shared" si="30"/>
        <v>3735500.4592980007</v>
      </c>
      <c r="S108" s="209">
        <f t="shared" si="30"/>
        <v>3673299.589295371</v>
      </c>
      <c r="T108" s="209">
        <f t="shared" si="30"/>
        <v>498243.41665586591</v>
      </c>
      <c r="U108" s="392" t="s">
        <v>12</v>
      </c>
    </row>
    <row r="109" spans="2:22" x14ac:dyDescent="0.25">
      <c r="B109" s="574" t="s">
        <v>99</v>
      </c>
      <c r="C109" s="197">
        <f>C50</f>
        <v>0</v>
      </c>
      <c r="D109" s="25">
        <f t="shared" ref="D109:S109" si="31">D50</f>
        <v>0</v>
      </c>
      <c r="E109" s="25">
        <f t="shared" si="31"/>
        <v>38</v>
      </c>
      <c r="F109" s="25">
        <f t="shared" si="31"/>
        <v>48</v>
      </c>
      <c r="G109" s="25">
        <f t="shared" si="31"/>
        <v>0</v>
      </c>
      <c r="H109" s="25">
        <f t="shared" si="31"/>
        <v>0</v>
      </c>
      <c r="I109" s="198">
        <f t="shared" si="31"/>
        <v>86</v>
      </c>
      <c r="J109" s="333" t="str">
        <f t="shared" si="31"/>
        <v>NA</v>
      </c>
      <c r="K109" s="334">
        <f t="shared" si="31"/>
        <v>38786</v>
      </c>
      <c r="L109" s="335">
        <f t="shared" si="31"/>
        <v>38786</v>
      </c>
      <c r="M109" s="199" t="str">
        <f t="shared" si="31"/>
        <v>NA</v>
      </c>
      <c r="N109" s="25">
        <f t="shared" si="31"/>
        <v>38786</v>
      </c>
      <c r="O109" s="198">
        <f t="shared" si="31"/>
        <v>38786</v>
      </c>
      <c r="P109" s="333" t="str">
        <f t="shared" si="31"/>
        <v>NA</v>
      </c>
      <c r="Q109" s="334">
        <f t="shared" si="31"/>
        <v>38786</v>
      </c>
      <c r="R109" s="335">
        <f t="shared" si="31"/>
        <v>38786</v>
      </c>
      <c r="S109" s="185">
        <f t="shared" si="31"/>
        <v>38786</v>
      </c>
      <c r="T109" s="37"/>
      <c r="U109" s="138"/>
    </row>
    <row r="110" spans="2:22" ht="13.8" thickBot="1" x14ac:dyDescent="0.3">
      <c r="B110" s="573" t="s">
        <v>76</v>
      </c>
      <c r="C110" s="207">
        <f>C51</f>
        <v>0</v>
      </c>
      <c r="D110" s="208">
        <f t="shared" ref="D110:T110" si="32">D51</f>
        <v>0</v>
      </c>
      <c r="E110" s="208">
        <f t="shared" si="32"/>
        <v>1677</v>
      </c>
      <c r="F110" s="208">
        <f t="shared" si="32"/>
        <v>2365</v>
      </c>
      <c r="G110" s="208">
        <f t="shared" si="32"/>
        <v>0</v>
      </c>
      <c r="H110" s="208">
        <f t="shared" si="32"/>
        <v>0</v>
      </c>
      <c r="I110" s="209">
        <f t="shared" si="32"/>
        <v>5042</v>
      </c>
      <c r="J110" s="332">
        <f t="shared" si="32"/>
        <v>6810.7429208426311</v>
      </c>
      <c r="K110" s="296">
        <f t="shared" si="32"/>
        <v>3071645.0573000265</v>
      </c>
      <c r="L110" s="297">
        <f t="shared" si="32"/>
        <v>3071645.0573000265</v>
      </c>
      <c r="M110" s="211">
        <f t="shared" si="32"/>
        <v>6996.7622998008701</v>
      </c>
      <c r="N110" s="208">
        <f t="shared" si="32"/>
        <v>3155539.7972101923</v>
      </c>
      <c r="O110" s="209">
        <f t="shared" si="32"/>
        <v>3155539.7972101923</v>
      </c>
      <c r="P110" s="332">
        <f t="shared" si="32"/>
        <v>7080.604314657573</v>
      </c>
      <c r="Q110" s="296">
        <f t="shared" si="32"/>
        <v>3193352.5459105652</v>
      </c>
      <c r="R110" s="297">
        <f t="shared" si="32"/>
        <v>3193352.5459105652</v>
      </c>
      <c r="S110" s="209">
        <f t="shared" si="32"/>
        <v>2517374.8626537626</v>
      </c>
      <c r="T110" s="209">
        <f t="shared" si="32"/>
        <v>622804.27081983234</v>
      </c>
      <c r="U110" s="576" t="s">
        <v>12</v>
      </c>
    </row>
    <row r="111" spans="2:22" x14ac:dyDescent="0.25">
      <c r="B111" s="574" t="s">
        <v>100</v>
      </c>
      <c r="C111" s="197">
        <f t="shared" ref="C111:H112" si="33">C64</f>
        <v>0</v>
      </c>
      <c r="D111" s="25">
        <f t="shared" si="33"/>
        <v>0</v>
      </c>
      <c r="E111" s="25">
        <f t="shared" si="33"/>
        <v>18</v>
      </c>
      <c r="F111" s="25">
        <f t="shared" si="33"/>
        <v>25</v>
      </c>
      <c r="G111" s="25">
        <f t="shared" si="33"/>
        <v>7</v>
      </c>
      <c r="H111" s="25">
        <f t="shared" si="33"/>
        <v>0</v>
      </c>
      <c r="I111" s="198">
        <f t="shared" ref="I111:S111" si="34">I64</f>
        <v>50</v>
      </c>
      <c r="J111" s="333" t="str">
        <f t="shared" si="34"/>
        <v>NA</v>
      </c>
      <c r="K111" s="334">
        <f t="shared" si="34"/>
        <v>22550</v>
      </c>
      <c r="L111" s="335">
        <f t="shared" si="34"/>
        <v>22550</v>
      </c>
      <c r="M111" s="199" t="str">
        <f t="shared" si="34"/>
        <v>NA</v>
      </c>
      <c r="N111" s="25">
        <f t="shared" si="34"/>
        <v>22550</v>
      </c>
      <c r="O111" s="198">
        <f t="shared" si="34"/>
        <v>22550</v>
      </c>
      <c r="P111" s="333" t="str">
        <f t="shared" si="34"/>
        <v>NA</v>
      </c>
      <c r="Q111" s="334">
        <f t="shared" si="34"/>
        <v>22550</v>
      </c>
      <c r="R111" s="335">
        <f t="shared" si="34"/>
        <v>22550</v>
      </c>
      <c r="S111" s="185">
        <f t="shared" si="34"/>
        <v>22550</v>
      </c>
      <c r="T111" s="212" t="str">
        <f t="shared" ref="I111:U112" si="35">T64</f>
        <v>NA</v>
      </c>
      <c r="U111" s="577" t="str">
        <f t="shared" si="35"/>
        <v>NA</v>
      </c>
    </row>
    <row r="112" spans="2:22" ht="13.8" thickBot="1" x14ac:dyDescent="0.3">
      <c r="B112" s="573" t="s">
        <v>76</v>
      </c>
      <c r="C112" s="207">
        <f t="shared" si="33"/>
        <v>0</v>
      </c>
      <c r="D112" s="208">
        <f t="shared" si="33"/>
        <v>0</v>
      </c>
      <c r="E112" s="208">
        <f t="shared" si="33"/>
        <v>794</v>
      </c>
      <c r="F112" s="208">
        <f t="shared" si="33"/>
        <v>1232</v>
      </c>
      <c r="G112" s="208">
        <f t="shared" si="33"/>
        <v>388</v>
      </c>
      <c r="H112" s="208">
        <f t="shared" si="33"/>
        <v>0</v>
      </c>
      <c r="I112" s="209">
        <f t="shared" si="35"/>
        <v>2414</v>
      </c>
      <c r="J112" s="332">
        <f t="shared" si="35"/>
        <v>3260.8356626168406</v>
      </c>
      <c r="K112" s="296">
        <f t="shared" si="35"/>
        <v>1470636.8838401951</v>
      </c>
      <c r="L112" s="297">
        <f t="shared" si="35"/>
        <v>1470636.8838401951</v>
      </c>
      <c r="M112" s="207">
        <f t="shared" si="35"/>
        <v>3349.8976976833201</v>
      </c>
      <c r="N112" s="208">
        <f t="shared" si="35"/>
        <v>1510803.8616551773</v>
      </c>
      <c r="O112" s="209">
        <f t="shared" si="35"/>
        <v>1510803.8616551773</v>
      </c>
      <c r="P112" s="339">
        <f t="shared" si="35"/>
        <v>3390.0394318888102</v>
      </c>
      <c r="Q112" s="296">
        <f t="shared" si="35"/>
        <v>1528907.7837818535</v>
      </c>
      <c r="R112" s="297">
        <f t="shared" si="35"/>
        <v>1528907.7837818535</v>
      </c>
      <c r="S112" s="209">
        <f t="shared" si="35"/>
        <v>1503449.5097590752</v>
      </c>
      <c r="T112" s="210" t="str">
        <f t="shared" si="35"/>
        <v>NA</v>
      </c>
      <c r="U112" s="392" t="s">
        <v>12</v>
      </c>
    </row>
    <row r="113" spans="2:21" x14ac:dyDescent="0.25">
      <c r="B113" s="574" t="s">
        <v>101</v>
      </c>
      <c r="C113" s="213">
        <f>C88</f>
        <v>0</v>
      </c>
      <c r="D113" s="214">
        <f t="shared" ref="D113:S113" si="36">D88</f>
        <v>25</v>
      </c>
      <c r="E113" s="214">
        <f t="shared" si="36"/>
        <v>25.2</v>
      </c>
      <c r="F113" s="214">
        <f t="shared" si="36"/>
        <v>48.3</v>
      </c>
      <c r="G113" s="214">
        <f t="shared" si="36"/>
        <v>47</v>
      </c>
      <c r="H113" s="214">
        <f t="shared" si="36"/>
        <v>5</v>
      </c>
      <c r="I113" s="215">
        <f t="shared" si="36"/>
        <v>150.5</v>
      </c>
      <c r="J113" s="336" t="str">
        <f t="shared" si="36"/>
        <v>NA</v>
      </c>
      <c r="K113" s="337" t="str">
        <f t="shared" si="36"/>
        <v>NA</v>
      </c>
      <c r="L113" s="294">
        <f t="shared" si="36"/>
        <v>61189.5</v>
      </c>
      <c r="M113" s="216" t="str">
        <f t="shared" si="36"/>
        <v>NA</v>
      </c>
      <c r="N113" s="217" t="str">
        <f t="shared" si="36"/>
        <v>NA</v>
      </c>
      <c r="O113" s="215">
        <f t="shared" si="36"/>
        <v>61189.5</v>
      </c>
      <c r="P113" s="336" t="str">
        <f t="shared" si="36"/>
        <v>NA</v>
      </c>
      <c r="Q113" s="337" t="str">
        <f t="shared" si="36"/>
        <v>NA</v>
      </c>
      <c r="R113" s="294">
        <f t="shared" si="36"/>
        <v>61189.5</v>
      </c>
      <c r="S113" s="185">
        <f t="shared" si="36"/>
        <v>61189.5</v>
      </c>
      <c r="T113" s="136" t="s">
        <v>12</v>
      </c>
      <c r="U113" s="147" t="s">
        <v>12</v>
      </c>
    </row>
    <row r="114" spans="2:21" ht="13.8" thickBot="1" x14ac:dyDescent="0.3">
      <c r="B114" s="573" t="s">
        <v>76</v>
      </c>
      <c r="C114" s="207">
        <f>C89</f>
        <v>0</v>
      </c>
      <c r="D114" s="208">
        <f t="shared" ref="D114:T114" si="37">D89</f>
        <v>1022</v>
      </c>
      <c r="E114" s="208">
        <f t="shared" si="37"/>
        <v>1112</v>
      </c>
      <c r="F114" s="208">
        <f t="shared" si="37"/>
        <v>2380</v>
      </c>
      <c r="G114" s="208">
        <f t="shared" si="37"/>
        <v>2606</v>
      </c>
      <c r="H114" s="208">
        <f t="shared" si="37"/>
        <v>293</v>
      </c>
      <c r="I114" s="209">
        <f t="shared" si="37"/>
        <v>7413</v>
      </c>
      <c r="J114" s="332">
        <f t="shared" si="37"/>
        <v>10013.494103967952</v>
      </c>
      <c r="K114" s="338" t="str">
        <f t="shared" si="37"/>
        <v>NA</v>
      </c>
      <c r="L114" s="297">
        <f t="shared" si="37"/>
        <v>4026347.7677784776</v>
      </c>
      <c r="M114" s="211">
        <f t="shared" si="37"/>
        <v>10286.98907743432</v>
      </c>
      <c r="N114" s="219" t="str">
        <f t="shared" si="37"/>
        <v>NA</v>
      </c>
      <c r="O114" s="209">
        <f t="shared" si="37"/>
        <v>4136317.9604486455</v>
      </c>
      <c r="P114" s="332">
        <f t="shared" si="37"/>
        <v>10410.257791463031</v>
      </c>
      <c r="Q114" s="338" t="str">
        <f t="shared" si="37"/>
        <v>NA</v>
      </c>
      <c r="R114" s="297">
        <f t="shared" si="37"/>
        <v>4185883.3475566022</v>
      </c>
      <c r="S114" s="209">
        <f t="shared" si="37"/>
        <v>4116183.0252612419</v>
      </c>
      <c r="T114" s="209">
        <f t="shared" si="37"/>
        <v>0</v>
      </c>
      <c r="U114" s="392" t="s">
        <v>12</v>
      </c>
    </row>
    <row r="115" spans="2:21" x14ac:dyDescent="0.25">
      <c r="B115" s="574" t="s">
        <v>102</v>
      </c>
      <c r="C115" s="197">
        <f>C98</f>
        <v>0</v>
      </c>
      <c r="D115" s="25">
        <f t="shared" ref="D115:S115" si="38">D98</f>
        <v>0</v>
      </c>
      <c r="E115" s="25">
        <f t="shared" si="38"/>
        <v>16</v>
      </c>
      <c r="F115" s="25">
        <f t="shared" si="38"/>
        <v>8</v>
      </c>
      <c r="G115" s="25">
        <f t="shared" si="38"/>
        <v>12</v>
      </c>
      <c r="H115" s="25">
        <f t="shared" si="38"/>
        <v>6</v>
      </c>
      <c r="I115" s="198">
        <f t="shared" si="38"/>
        <v>42</v>
      </c>
      <c r="J115" s="333" t="str">
        <f t="shared" si="38"/>
        <v>NA</v>
      </c>
      <c r="K115" s="334">
        <f t="shared" si="38"/>
        <v>18942</v>
      </c>
      <c r="L115" s="335">
        <f t="shared" si="38"/>
        <v>18942</v>
      </c>
      <c r="M115" s="199" t="str">
        <f t="shared" si="38"/>
        <v>NA</v>
      </c>
      <c r="N115" s="25">
        <f t="shared" si="38"/>
        <v>18942</v>
      </c>
      <c r="O115" s="198">
        <f t="shared" si="38"/>
        <v>18942</v>
      </c>
      <c r="P115" s="333" t="str">
        <f t="shared" si="38"/>
        <v>NA</v>
      </c>
      <c r="Q115" s="334">
        <f t="shared" si="38"/>
        <v>18942</v>
      </c>
      <c r="R115" s="335">
        <f t="shared" si="38"/>
        <v>18942</v>
      </c>
      <c r="S115" s="185">
        <f t="shared" si="38"/>
        <v>18942</v>
      </c>
      <c r="T115" s="136" t="s">
        <v>12</v>
      </c>
      <c r="U115" s="147" t="s">
        <v>12</v>
      </c>
    </row>
    <row r="116" spans="2:21" ht="13.8" thickBot="1" x14ac:dyDescent="0.3">
      <c r="B116" s="578" t="s">
        <v>76</v>
      </c>
      <c r="C116" s="220">
        <f>C99</f>
        <v>0</v>
      </c>
      <c r="D116" s="221">
        <f t="shared" ref="D116:T116" si="39">D99</f>
        <v>0</v>
      </c>
      <c r="E116" s="221">
        <f t="shared" si="39"/>
        <v>706</v>
      </c>
      <c r="F116" s="221">
        <f t="shared" si="39"/>
        <v>394</v>
      </c>
      <c r="G116" s="221">
        <f t="shared" si="39"/>
        <v>666</v>
      </c>
      <c r="H116" s="221">
        <f t="shared" si="39"/>
        <v>351</v>
      </c>
      <c r="I116" s="222">
        <f t="shared" si="39"/>
        <v>2117</v>
      </c>
      <c r="J116" s="304">
        <f t="shared" si="39"/>
        <v>2859.6475135707751</v>
      </c>
      <c r="K116" s="305">
        <f t="shared" si="39"/>
        <v>1289701.0286204196</v>
      </c>
      <c r="L116" s="306">
        <f t="shared" si="39"/>
        <v>1289701.0286204196</v>
      </c>
      <c r="M116" s="220">
        <f t="shared" si="39"/>
        <v>2937.7520405946925</v>
      </c>
      <c r="N116" s="221">
        <f t="shared" si="39"/>
        <v>1324926.1703082062</v>
      </c>
      <c r="O116" s="222">
        <f t="shared" si="39"/>
        <v>1324926.1703082062</v>
      </c>
      <c r="P116" s="311">
        <f t="shared" si="39"/>
        <v>2972.9550444526149</v>
      </c>
      <c r="Q116" s="305">
        <f t="shared" si="39"/>
        <v>1340802.7250481292</v>
      </c>
      <c r="R116" s="306">
        <f t="shared" si="39"/>
        <v>1340802.7250481292</v>
      </c>
      <c r="S116" s="222">
        <f t="shared" si="39"/>
        <v>1318476.6413255848</v>
      </c>
      <c r="T116" s="223" t="str">
        <f t="shared" si="39"/>
        <v>NA</v>
      </c>
      <c r="U116" s="224" t="s">
        <v>12</v>
      </c>
    </row>
    <row r="117" spans="2:21" ht="18" thickTop="1" x14ac:dyDescent="0.3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 x14ac:dyDescent="0.25">
      <c r="B118" s="580" t="s">
        <v>75</v>
      </c>
      <c r="C118" s="195">
        <f t="shared" ref="C118:I119" si="40">C103+C105+C107+C109+C111+C113+C115</f>
        <v>0</v>
      </c>
      <c r="D118" s="101">
        <f t="shared" si="40"/>
        <v>93</v>
      </c>
      <c r="E118" s="101">
        <f t="shared" si="40"/>
        <v>165.2</v>
      </c>
      <c r="F118" s="101">
        <f t="shared" si="40"/>
        <v>147.30000000000001</v>
      </c>
      <c r="G118" s="101">
        <f t="shared" si="40"/>
        <v>80</v>
      </c>
      <c r="H118" s="101">
        <f t="shared" si="40"/>
        <v>21</v>
      </c>
      <c r="I118" s="102">
        <f t="shared" si="40"/>
        <v>506.5</v>
      </c>
      <c r="J118" s="340" t="s">
        <v>12</v>
      </c>
      <c r="K118" s="281">
        <f>K103+K105+K107+K109+K111+K115</f>
        <v>146814.20000000001</v>
      </c>
      <c r="L118" s="289">
        <f>L103+L105+L107+L109+L111+L113+L115</f>
        <v>197361.24285714288</v>
      </c>
      <c r="M118" s="103" t="s">
        <v>12</v>
      </c>
      <c r="N118" s="101">
        <f>N103+N105+N107+N109+N111+N115</f>
        <v>146814.20000000001</v>
      </c>
      <c r="O118" s="102">
        <f>O103+O105+O107+O109+O111+O113+O115</f>
        <v>197361.24285714288</v>
      </c>
      <c r="P118" s="340" t="s">
        <v>12</v>
      </c>
      <c r="Q118" s="281">
        <f>Q103+Q105+Q107+Q109+Q111+Q115</f>
        <v>146814.20000000001</v>
      </c>
      <c r="R118" s="289">
        <f>R103+R105+R107+R109+R111+R113+R115</f>
        <v>197361.24285714288</v>
      </c>
      <c r="S118" s="174">
        <f>S103+S105+S107+S109+S111+S113+S115</f>
        <v>197361.24285714288</v>
      </c>
      <c r="T118" s="102"/>
      <c r="U118" s="140" t="s">
        <v>12</v>
      </c>
    </row>
    <row r="119" spans="2:21" s="235" customFormat="1" ht="16.2" thickBot="1" x14ac:dyDescent="0.35">
      <c r="B119" s="581" t="s">
        <v>76</v>
      </c>
      <c r="C119" s="582">
        <f t="shared" si="40"/>
        <v>0</v>
      </c>
      <c r="D119" s="583">
        <f t="shared" si="40"/>
        <v>1409</v>
      </c>
      <c r="E119" s="583">
        <f t="shared" si="40"/>
        <v>4702</v>
      </c>
      <c r="F119" s="583">
        <f t="shared" si="40"/>
        <v>7258</v>
      </c>
      <c r="G119" s="583">
        <f t="shared" si="40"/>
        <v>4437</v>
      </c>
      <c r="H119" s="583">
        <f t="shared" si="40"/>
        <v>1230</v>
      </c>
      <c r="I119" s="584">
        <f t="shared" si="40"/>
        <v>25814</v>
      </c>
      <c r="J119" s="585">
        <f>J104+J106+J108+J110+J112+J114+J116</f>
        <v>34869.598920791679</v>
      </c>
      <c r="K119" s="586">
        <f>K104+K106+K108+K110+K112+K116</f>
        <v>9666381.2545266412</v>
      </c>
      <c r="L119" s="587">
        <f>L104+L106+L108+L110+L112+L114+L116</f>
        <v>14632277.000006421</v>
      </c>
      <c r="M119" s="582">
        <f>M104+M106+M108+M110+M112+M114+M116</f>
        <v>35821.979771332735</v>
      </c>
      <c r="N119" s="588">
        <f>N104+N106+N108+N110+N112+N116</f>
        <v>9930395.6592163071</v>
      </c>
      <c r="O119" s="584">
        <f>O104+O106+O108+O110+O112+O114+O116</f>
        <v>15031923.134344632</v>
      </c>
      <c r="P119" s="589">
        <f>P104+P106+P108+P110+P112+P114+P116</f>
        <v>36251.233593528486</v>
      </c>
      <c r="Q119" s="586">
        <f>Q104+Q106+Q108+Q110+Q112+Q116</f>
        <v>10049391.323884901</v>
      </c>
      <c r="R119" s="587">
        <f>R104+R106+R108+R110+R112+R114+R116</f>
        <v>15212050.265830923</v>
      </c>
      <c r="S119" s="590">
        <f>S104+S106+S108+S110+S112+S114+S116</f>
        <v>13242924.367285354</v>
      </c>
      <c r="T119" s="584">
        <f>SUM(T104,T106,T108,T110,T112,T114,T116)</f>
        <v>1121047.6874756983</v>
      </c>
      <c r="U119" s="591">
        <f>SUM(U104,U106,U108,U110,U112,U114,U116)</f>
        <v>1093021.4952888058</v>
      </c>
    </row>
  </sheetData>
  <mergeCells count="35"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count="1">
    <dataValidation allowBlank="1" showInputMessage="1" showErrorMessage="1" sqref="D34 D21" xr:uid="{00000000-0002-0000-05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29"/>
  <sheetViews>
    <sheetView topLeftCell="A51" zoomScaleNormal="100" workbookViewId="0">
      <selection activeCell="J29" sqref="J29"/>
    </sheetView>
  </sheetViews>
  <sheetFormatPr defaultRowHeight="13.2" x14ac:dyDescent="0.25"/>
  <cols>
    <col min="1" max="1" width="34" customWidth="1"/>
    <col min="2" max="2" width="12.88671875" customWidth="1"/>
    <col min="3" max="3" width="10.33203125" bestFit="1" customWidth="1"/>
    <col min="4" max="4" width="14.44140625" bestFit="1" customWidth="1"/>
    <col min="5" max="5" width="14.6640625" style="10" customWidth="1"/>
    <col min="6" max="6" width="12.33203125" customWidth="1"/>
    <col min="7" max="7" width="11.109375" customWidth="1"/>
    <col min="8" max="8" width="13" customWidth="1"/>
    <col min="9" max="9" width="15" customWidth="1"/>
    <col min="10" max="10" width="14.44140625" customWidth="1"/>
    <col min="11" max="11" width="14.109375" bestFit="1" customWidth="1"/>
    <col min="12" max="12" width="13.88671875" bestFit="1" customWidth="1"/>
    <col min="13" max="13" width="14.5546875" customWidth="1"/>
    <col min="14" max="14" width="14.109375" bestFit="1" customWidth="1"/>
    <col min="15" max="15" width="12.109375" customWidth="1"/>
    <col min="16" max="16" width="13.88671875" customWidth="1"/>
    <col min="17" max="17" width="14.109375" bestFit="1" customWidth="1"/>
    <col min="18" max="18" width="15.44140625" customWidth="1"/>
    <col min="19" max="19" width="18.44140625" customWidth="1"/>
    <col min="20" max="20" width="19.33203125" bestFit="1" customWidth="1"/>
  </cols>
  <sheetData>
    <row r="1" spans="1:21" ht="17.399999999999999" x14ac:dyDescent="0.3">
      <c r="A1" s="473" t="s">
        <v>0</v>
      </c>
      <c r="B1" s="474" t="s">
        <v>80</v>
      </c>
      <c r="C1" s="6"/>
      <c r="D1" s="475" t="s">
        <v>31</v>
      </c>
      <c r="E1" s="476">
        <v>43331</v>
      </c>
      <c r="F1" s="6"/>
      <c r="G1" s="6"/>
      <c r="H1" s="43"/>
      <c r="I1" s="477" t="s">
        <v>5</v>
      </c>
      <c r="J1" s="478">
        <v>2019</v>
      </c>
      <c r="K1" s="479"/>
      <c r="L1" s="480" t="s">
        <v>10</v>
      </c>
      <c r="M1" s="481">
        <f>J1+1</f>
        <v>2020</v>
      </c>
      <c r="N1" s="6"/>
      <c r="O1" s="482" t="s">
        <v>11</v>
      </c>
      <c r="P1" s="483">
        <f>M1+1</f>
        <v>2021</v>
      </c>
      <c r="Q1" s="65"/>
      <c r="R1" s="1440" t="s">
        <v>77</v>
      </c>
      <c r="S1" s="1441"/>
      <c r="T1" s="507" t="s">
        <v>79</v>
      </c>
    </row>
    <row r="2" spans="1:21" ht="15.6" x14ac:dyDescent="0.3">
      <c r="A2" s="484"/>
      <c r="B2" s="112"/>
      <c r="C2" s="29"/>
      <c r="D2" s="80"/>
      <c r="E2" s="7"/>
      <c r="F2" s="5"/>
      <c r="G2" s="5"/>
      <c r="H2" s="145" t="s">
        <v>59</v>
      </c>
      <c r="I2" s="425" t="s">
        <v>71</v>
      </c>
      <c r="J2" s="426"/>
      <c r="K2" s="403" t="s">
        <v>69</v>
      </c>
      <c r="L2" s="396" t="s">
        <v>71</v>
      </c>
      <c r="M2" s="5"/>
      <c r="N2" s="145" t="s">
        <v>69</v>
      </c>
      <c r="O2" s="425" t="s">
        <v>71</v>
      </c>
      <c r="P2" s="426"/>
      <c r="Q2" s="403" t="s">
        <v>69</v>
      </c>
      <c r="R2" s="5"/>
      <c r="S2" s="159" t="s">
        <v>69</v>
      </c>
      <c r="T2" s="227"/>
    </row>
    <row r="3" spans="1:21" x14ac:dyDescent="0.25">
      <c r="A3" s="484"/>
      <c r="B3" s="5"/>
      <c r="C3" s="5"/>
      <c r="D3" s="5"/>
      <c r="E3" s="7"/>
      <c r="F3" s="5"/>
      <c r="G3" s="5"/>
      <c r="H3" s="50">
        <v>0.2</v>
      </c>
      <c r="I3" s="94">
        <v>153</v>
      </c>
      <c r="J3" s="427" t="s">
        <v>81</v>
      </c>
      <c r="K3" s="157">
        <v>9</v>
      </c>
      <c r="L3" s="94">
        <v>153</v>
      </c>
      <c r="M3" s="428" t="s">
        <v>81</v>
      </c>
      <c r="N3" s="157">
        <v>9</v>
      </c>
      <c r="O3" s="94">
        <v>153</v>
      </c>
      <c r="P3" s="427" t="s">
        <v>81</v>
      </c>
      <c r="Q3" s="156">
        <v>9</v>
      </c>
      <c r="R3" s="428" t="s">
        <v>81</v>
      </c>
      <c r="S3" s="106">
        <f t="shared" ref="S3:S9" si="0">AVERAGE(K3,N3,Q3)</f>
        <v>9</v>
      </c>
      <c r="T3" s="227"/>
    </row>
    <row r="4" spans="1:21" ht="12.75" customHeight="1" x14ac:dyDescent="0.25">
      <c r="A4" s="485" t="s">
        <v>2</v>
      </c>
      <c r="B4" s="1442"/>
      <c r="C4" s="1443"/>
      <c r="D4" s="1443"/>
      <c r="E4" s="1443"/>
      <c r="F4" s="1443"/>
      <c r="G4" s="1443"/>
      <c r="H4" s="1444"/>
      <c r="I4" s="426"/>
      <c r="J4" s="427" t="s">
        <v>83</v>
      </c>
      <c r="K4" s="157">
        <v>81</v>
      </c>
      <c r="L4" s="5"/>
      <c r="M4" s="428" t="s">
        <v>83</v>
      </c>
      <c r="N4" s="157">
        <v>81</v>
      </c>
      <c r="O4" s="429"/>
      <c r="P4" s="427" t="s">
        <v>83</v>
      </c>
      <c r="Q4" s="157">
        <v>81</v>
      </c>
      <c r="R4" s="428" t="s">
        <v>83</v>
      </c>
      <c r="S4" s="106">
        <f t="shared" si="0"/>
        <v>81</v>
      </c>
      <c r="T4" s="227"/>
    </row>
    <row r="5" spans="1:21" ht="12.75" customHeight="1" x14ac:dyDescent="0.25">
      <c r="A5" s="485"/>
      <c r="B5" s="430"/>
      <c r="C5" s="430"/>
      <c r="D5" s="430"/>
      <c r="E5" s="430"/>
      <c r="F5" s="430"/>
      <c r="G5" s="430"/>
      <c r="H5" s="158"/>
      <c r="I5" s="429"/>
      <c r="J5" s="427" t="s">
        <v>84</v>
      </c>
      <c r="K5" s="157">
        <v>124</v>
      </c>
      <c r="L5" s="431"/>
      <c r="M5" s="428" t="s">
        <v>84</v>
      </c>
      <c r="N5" s="157">
        <v>124</v>
      </c>
      <c r="O5" s="429"/>
      <c r="P5" s="427" t="s">
        <v>84</v>
      </c>
      <c r="Q5" s="157">
        <v>124</v>
      </c>
      <c r="R5" s="428" t="s">
        <v>84</v>
      </c>
      <c r="S5" s="106">
        <f t="shared" si="0"/>
        <v>124</v>
      </c>
      <c r="T5" s="227"/>
    </row>
    <row r="6" spans="1:21" ht="12.75" customHeight="1" x14ac:dyDescent="0.25">
      <c r="A6" s="485"/>
      <c r="B6" s="430"/>
      <c r="C6" s="430"/>
      <c r="D6" s="430"/>
      <c r="E6" s="430"/>
      <c r="F6" s="430"/>
      <c r="G6" s="430"/>
      <c r="H6" s="158"/>
      <c r="I6" s="429"/>
      <c r="J6" s="427" t="s">
        <v>82</v>
      </c>
      <c r="K6" s="157">
        <v>401</v>
      </c>
      <c r="L6" s="431"/>
      <c r="M6" s="428" t="s">
        <v>82</v>
      </c>
      <c r="N6" s="157">
        <v>401</v>
      </c>
      <c r="O6" s="429"/>
      <c r="P6" s="427" t="s">
        <v>82</v>
      </c>
      <c r="Q6" s="157">
        <v>401</v>
      </c>
      <c r="R6" s="428" t="s">
        <v>82</v>
      </c>
      <c r="S6" s="106">
        <f t="shared" si="0"/>
        <v>401</v>
      </c>
      <c r="T6" s="227"/>
    </row>
    <row r="7" spans="1:21" ht="12.75" customHeight="1" x14ac:dyDescent="0.25">
      <c r="A7" s="485"/>
      <c r="B7" s="430"/>
      <c r="C7" s="430"/>
      <c r="D7" s="430"/>
      <c r="E7" s="430"/>
      <c r="F7" s="430"/>
      <c r="G7" s="430"/>
      <c r="H7" s="158"/>
      <c r="I7" s="429"/>
      <c r="J7" s="427" t="s">
        <v>85</v>
      </c>
      <c r="K7" s="157">
        <v>188</v>
      </c>
      <c r="L7" s="431"/>
      <c r="M7" s="428" t="s">
        <v>85</v>
      </c>
      <c r="N7" s="157">
        <v>188</v>
      </c>
      <c r="O7" s="429"/>
      <c r="P7" s="427" t="s">
        <v>85</v>
      </c>
      <c r="Q7" s="157">
        <v>188</v>
      </c>
      <c r="R7" s="428" t="s">
        <v>85</v>
      </c>
      <c r="S7" s="106">
        <f t="shared" si="0"/>
        <v>188</v>
      </c>
      <c r="T7" s="5"/>
      <c r="U7" s="288"/>
    </row>
    <row r="8" spans="1:21" ht="12.75" customHeight="1" x14ac:dyDescent="0.25">
      <c r="A8" s="485"/>
      <c r="B8" s="430"/>
      <c r="C8" s="430"/>
      <c r="D8" s="430"/>
      <c r="E8" s="430"/>
      <c r="F8" s="430"/>
      <c r="G8" s="430"/>
      <c r="H8" s="158"/>
      <c r="I8" s="429"/>
      <c r="J8" s="427" t="s">
        <v>86</v>
      </c>
      <c r="K8" s="157">
        <v>38</v>
      </c>
      <c r="L8" s="431"/>
      <c r="M8" s="428" t="s">
        <v>86</v>
      </c>
      <c r="N8" s="157">
        <v>38</v>
      </c>
      <c r="O8" s="429"/>
      <c r="P8" s="427" t="s">
        <v>86</v>
      </c>
      <c r="Q8" s="157">
        <v>38</v>
      </c>
      <c r="R8" s="428" t="s">
        <v>86</v>
      </c>
      <c r="S8" s="106">
        <f t="shared" si="0"/>
        <v>38</v>
      </c>
      <c r="T8" s="227"/>
    </row>
    <row r="9" spans="1:21" ht="12.75" customHeight="1" thickBot="1" x14ac:dyDescent="0.3">
      <c r="A9" s="485"/>
      <c r="B9" s="430"/>
      <c r="C9" s="430"/>
      <c r="D9" s="430"/>
      <c r="E9" s="430"/>
      <c r="F9" s="430"/>
      <c r="G9" s="430"/>
      <c r="H9" s="158"/>
      <c r="I9" s="429"/>
      <c r="J9" s="427" t="s">
        <v>87</v>
      </c>
      <c r="K9" s="157">
        <v>424</v>
      </c>
      <c r="L9" s="431"/>
      <c r="M9" s="428" t="s">
        <v>87</v>
      </c>
      <c r="N9" s="162">
        <v>424</v>
      </c>
      <c r="O9" s="429"/>
      <c r="P9" s="427" t="s">
        <v>87</v>
      </c>
      <c r="Q9" s="162">
        <v>424</v>
      </c>
      <c r="R9" s="428" t="s">
        <v>87</v>
      </c>
      <c r="S9" s="160">
        <f t="shared" si="0"/>
        <v>424</v>
      </c>
      <c r="T9" s="227"/>
    </row>
    <row r="10" spans="1:21" ht="12.75" customHeight="1" x14ac:dyDescent="0.25">
      <c r="A10" s="485"/>
      <c r="B10" s="430"/>
      <c r="C10" s="430"/>
      <c r="D10" s="430"/>
      <c r="E10" s="430"/>
      <c r="F10" s="430"/>
      <c r="G10" s="430"/>
      <c r="H10" s="158"/>
      <c r="I10" s="429"/>
      <c r="J10" s="429" t="s">
        <v>89</v>
      </c>
      <c r="K10" s="169">
        <f>SUM(K3:K9)</f>
        <v>1265</v>
      </c>
      <c r="L10" s="431"/>
      <c r="M10" s="431" t="s">
        <v>88</v>
      </c>
      <c r="N10" s="164">
        <f>SUM(N3:N9)</f>
        <v>1265</v>
      </c>
      <c r="O10" s="429"/>
      <c r="P10" s="429" t="s">
        <v>88</v>
      </c>
      <c r="Q10" s="164">
        <f>SUM(Q3:Q9)</f>
        <v>1265</v>
      </c>
      <c r="R10" s="431" t="s">
        <v>89</v>
      </c>
      <c r="S10" s="161">
        <f>AVERAGE(K10,N10,Q10)</f>
        <v>1265</v>
      </c>
      <c r="T10" s="227"/>
    </row>
    <row r="11" spans="1:21" ht="12.75" customHeight="1" x14ac:dyDescent="0.25">
      <c r="A11" s="485"/>
      <c r="B11" s="430"/>
      <c r="C11" s="430"/>
      <c r="D11" s="430"/>
      <c r="E11" s="430"/>
      <c r="F11" s="430"/>
      <c r="G11" s="430"/>
      <c r="H11" s="158"/>
      <c r="I11" s="429"/>
      <c r="J11" s="429" t="s">
        <v>144</v>
      </c>
      <c r="K11" s="532">
        <f>(K3*4/12+K4*5/12+K5*6/12+K6*7/12+K7*8/12+K8*9/12+K9)/K10</f>
        <v>0.71976284584980232</v>
      </c>
      <c r="L11" s="448"/>
      <c r="M11" s="429" t="s">
        <v>144</v>
      </c>
      <c r="N11" s="532">
        <f>(N3*4/12+N4*5/12+N5*6/12+N6*7/12+N7*8/12+N8*9/12+N9)/N10</f>
        <v>0.71976284584980232</v>
      </c>
      <c r="O11" s="533"/>
      <c r="P11" s="429" t="s">
        <v>144</v>
      </c>
      <c r="Q11" s="532">
        <f>(Q3*4/12+Q4*5/12+Q5*6/12+Q6*7/12+Q7*8/12+Q8*9/12+Q9)/Q10</f>
        <v>0.71976284584980232</v>
      </c>
      <c r="R11" s="448"/>
      <c r="S11" s="165"/>
      <c r="T11" s="227"/>
    </row>
    <row r="12" spans="1:21" ht="12.75" customHeight="1" x14ac:dyDescent="0.25">
      <c r="A12" s="485"/>
      <c r="B12" s="430"/>
      <c r="C12" s="430"/>
      <c r="D12" s="430"/>
      <c r="E12" s="430"/>
      <c r="F12" s="430"/>
      <c r="G12" s="430"/>
      <c r="H12" s="158"/>
      <c r="I12" s="429"/>
      <c r="J12" s="429" t="s">
        <v>70</v>
      </c>
      <c r="K12" s="59">
        <f>K10*$H$3</f>
        <v>253</v>
      </c>
      <c r="L12" s="431"/>
      <c r="M12" s="431" t="s">
        <v>70</v>
      </c>
      <c r="N12" s="59">
        <f>N10*$H$3</f>
        <v>253</v>
      </c>
      <c r="O12" s="429"/>
      <c r="P12" s="429" t="s">
        <v>70</v>
      </c>
      <c r="Q12" s="406">
        <f>Q10*$H$3</f>
        <v>253</v>
      </c>
      <c r="R12" s="115" t="s">
        <v>71</v>
      </c>
      <c r="S12" s="116">
        <f>AVERAGE(I3,L3,O3)</f>
        <v>153</v>
      </c>
      <c r="T12" s="227"/>
    </row>
    <row r="13" spans="1:21" ht="18.75" customHeight="1" thickBot="1" x14ac:dyDescent="0.35">
      <c r="A13" s="486" t="s">
        <v>73</v>
      </c>
      <c r="B13" s="410"/>
      <c r="C13" s="410"/>
      <c r="D13" s="410"/>
      <c r="E13" s="411"/>
      <c r="F13" s="410"/>
      <c r="G13" s="410"/>
      <c r="H13" s="236"/>
      <c r="I13" s="412"/>
      <c r="J13" s="413"/>
      <c r="K13" s="414"/>
      <c r="L13" s="410"/>
      <c r="M13" s="410"/>
      <c r="N13" s="236"/>
      <c r="O13" s="412"/>
      <c r="P13" s="413"/>
      <c r="Q13" s="414"/>
      <c r="R13" s="416" t="s">
        <v>17</v>
      </c>
      <c r="S13" s="417" t="s">
        <v>78</v>
      </c>
      <c r="T13" s="514"/>
    </row>
    <row r="14" spans="1:21" ht="16.2" thickTop="1" x14ac:dyDescent="0.3">
      <c r="A14" s="487" t="s">
        <v>122</v>
      </c>
      <c r="B14" s="5"/>
      <c r="C14" s="431" t="s">
        <v>54</v>
      </c>
      <c r="D14" s="28">
        <v>7</v>
      </c>
      <c r="E14" s="112" t="s">
        <v>6</v>
      </c>
      <c r="F14" s="1415"/>
      <c r="G14" s="1416"/>
      <c r="H14" s="1417"/>
      <c r="I14" s="181" t="s">
        <v>3</v>
      </c>
      <c r="J14" s="409"/>
      <c r="K14" s="180"/>
      <c r="L14" s="181" t="s">
        <v>3</v>
      </c>
      <c r="M14" s="426"/>
      <c r="N14" s="67"/>
      <c r="O14" s="181" t="s">
        <v>3</v>
      </c>
      <c r="P14" s="426"/>
      <c r="Q14" s="67"/>
      <c r="R14" s="225"/>
      <c r="S14" s="415"/>
      <c r="T14" s="227"/>
    </row>
    <row r="15" spans="1:21" x14ac:dyDescent="0.25">
      <c r="A15" s="488" t="s">
        <v>44</v>
      </c>
      <c r="B15" s="6"/>
      <c r="C15" s="6"/>
      <c r="D15" s="6"/>
      <c r="E15" s="11"/>
      <c r="F15" s="6"/>
      <c r="G15" s="6"/>
      <c r="H15" s="47" t="s">
        <v>55</v>
      </c>
      <c r="I15" s="318" t="s">
        <v>55</v>
      </c>
      <c r="J15" s="1431" t="s">
        <v>57</v>
      </c>
      <c r="K15" s="1423"/>
      <c r="L15" s="57" t="s">
        <v>55</v>
      </c>
      <c r="M15" s="1432" t="s">
        <v>57</v>
      </c>
      <c r="N15" s="1433"/>
      <c r="O15" s="277" t="s">
        <v>55</v>
      </c>
      <c r="P15" s="1422" t="s">
        <v>57</v>
      </c>
      <c r="Q15" s="1423"/>
      <c r="R15" s="125"/>
      <c r="S15" s="145"/>
      <c r="T15" s="538"/>
    </row>
    <row r="16" spans="1:21" x14ac:dyDescent="0.25">
      <c r="A16" s="489" t="s">
        <v>53</v>
      </c>
      <c r="B16" s="23" t="s">
        <v>45</v>
      </c>
      <c r="C16" s="24" t="s">
        <v>46</v>
      </c>
      <c r="D16" s="23" t="s">
        <v>47</v>
      </c>
      <c r="E16" s="23" t="s">
        <v>48</v>
      </c>
      <c r="F16" s="23" t="s">
        <v>49</v>
      </c>
      <c r="G16" s="23" t="s">
        <v>50</v>
      </c>
      <c r="H16" s="47" t="s">
        <v>13</v>
      </c>
      <c r="I16" s="260" t="s">
        <v>56</v>
      </c>
      <c r="J16" s="261" t="s">
        <v>13</v>
      </c>
      <c r="K16" s="262" t="s">
        <v>68</v>
      </c>
      <c r="L16" s="77" t="s">
        <v>56</v>
      </c>
      <c r="M16" s="24" t="s">
        <v>13</v>
      </c>
      <c r="N16" s="38" t="s">
        <v>68</v>
      </c>
      <c r="O16" s="261" t="s">
        <v>56</v>
      </c>
      <c r="P16" s="261" t="s">
        <v>13</v>
      </c>
      <c r="Q16" s="262" t="s">
        <v>68</v>
      </c>
      <c r="R16" s="123"/>
      <c r="S16" s="146"/>
      <c r="T16" s="517"/>
    </row>
    <row r="17" spans="1:20" x14ac:dyDescent="0.25">
      <c r="A17" s="490" t="s">
        <v>51</v>
      </c>
      <c r="B17" s="21">
        <v>0</v>
      </c>
      <c r="C17" s="21">
        <v>0</v>
      </c>
      <c r="D17" s="21">
        <v>0</v>
      </c>
      <c r="E17" s="21">
        <v>10</v>
      </c>
      <c r="F17" s="21">
        <v>10</v>
      </c>
      <c r="G17" s="21">
        <v>10</v>
      </c>
      <c r="H17" s="48">
        <f>SUM(B17:G17)</f>
        <v>30</v>
      </c>
      <c r="I17" s="263" t="s">
        <v>12</v>
      </c>
      <c r="J17" s="283">
        <f>H17*$I$3</f>
        <v>4590</v>
      </c>
      <c r="K17" s="282">
        <f>J17/$D$14</f>
        <v>655.71428571428567</v>
      </c>
      <c r="L17" s="58" t="s">
        <v>12</v>
      </c>
      <c r="M17" s="432">
        <f>H17*$L$3</f>
        <v>4590</v>
      </c>
      <c r="N17" s="68">
        <f>M17/$D$14</f>
        <v>655.71428571428567</v>
      </c>
      <c r="O17" s="263" t="s">
        <v>12</v>
      </c>
      <c r="P17" s="433">
        <f>$H17*$O$3</f>
        <v>4590</v>
      </c>
      <c r="Q17" s="289">
        <f>P17/$D$14</f>
        <v>655.71428571428567</v>
      </c>
      <c r="R17" s="121">
        <f>AVERAGE(K17,N17,Q17)</f>
        <v>655.71428571428567</v>
      </c>
      <c r="S17" s="119" t="s">
        <v>12</v>
      </c>
      <c r="T17" s="232" t="s">
        <v>12</v>
      </c>
    </row>
    <row r="18" spans="1:20" s="1" customFormat="1" ht="13.8" thickBot="1" x14ac:dyDescent="0.3">
      <c r="A18" s="491" t="s">
        <v>52</v>
      </c>
      <c r="B18" s="373">
        <f>ROUND(B17*Labor!$D$3,0)</f>
        <v>0</v>
      </c>
      <c r="C18" s="374">
        <f>ROUND(C17*Labor!$D$4,0)</f>
        <v>0</v>
      </c>
      <c r="D18" s="374">
        <f>ROUND(D17*Labor!$D$5,0)</f>
        <v>0</v>
      </c>
      <c r="E18" s="374">
        <f>ROUND(E17*Labor!$D$6,0)</f>
        <v>493</v>
      </c>
      <c r="F18" s="374">
        <f>ROUND(F17*Labor!$D$7,0)</f>
        <v>555</v>
      </c>
      <c r="G18" s="374">
        <f>ROUND(G17*Labor!$D$8,0)</f>
        <v>586</v>
      </c>
      <c r="H18" s="375">
        <f>SUM(B18:G18)</f>
        <v>1634</v>
      </c>
      <c r="I18" s="332">
        <f>HLOOKUP(Labor!$B$11,InflationTable,2)*$H18</f>
        <v>2207.210220677679</v>
      </c>
      <c r="J18" s="296">
        <f>I18*$I$3</f>
        <v>337703.16376368486</v>
      </c>
      <c r="K18" s="297">
        <f>J18/$D$14</f>
        <v>48243.309109097834</v>
      </c>
      <c r="L18" s="376">
        <f>HLOOKUP(Labor!$B$11,InflationTable,3)*$H18</f>
        <v>2267.4949618950059</v>
      </c>
      <c r="M18" s="377">
        <f>L18*$I$3</f>
        <v>346926.72916993592</v>
      </c>
      <c r="N18" s="378">
        <f>M18/$D$14</f>
        <v>49560.961309990846</v>
      </c>
      <c r="O18" s="339">
        <f>HLOOKUP(Labor!$B$11,InflationTable,4)*$H18</f>
        <v>2294.6662931674882</v>
      </c>
      <c r="P18" s="296">
        <f>O18*$I$3</f>
        <v>351083.9428546257</v>
      </c>
      <c r="Q18" s="297">
        <f>P18/$D$14</f>
        <v>50154.848979232243</v>
      </c>
      <c r="R18" s="211">
        <f>AVERAGE(K18,N18,Q18)</f>
        <v>49319.706466106982</v>
      </c>
      <c r="S18" s="218" t="s">
        <v>12</v>
      </c>
      <c r="T18" s="228" t="s">
        <v>12</v>
      </c>
    </row>
    <row r="19" spans="1:20" x14ac:dyDescent="0.25">
      <c r="A19" s="492" t="s">
        <v>7</v>
      </c>
      <c r="B19" s="5"/>
      <c r="C19" s="5"/>
      <c r="D19" s="5"/>
      <c r="E19" s="7"/>
      <c r="F19" s="5"/>
      <c r="G19" s="8"/>
      <c r="H19" s="37"/>
      <c r="I19" s="404"/>
      <c r="J19" s="404"/>
      <c r="K19" s="405"/>
      <c r="L19" s="426"/>
      <c r="M19" s="426"/>
      <c r="N19" s="67"/>
      <c r="O19" s="404"/>
      <c r="P19" s="404"/>
      <c r="Q19" s="405"/>
      <c r="R19" s="122"/>
      <c r="S19" s="37"/>
      <c r="T19" s="227"/>
    </row>
    <row r="20" spans="1:20" x14ac:dyDescent="0.25">
      <c r="A20" s="490" t="s">
        <v>51</v>
      </c>
      <c r="B20" s="21">
        <v>0</v>
      </c>
      <c r="C20" s="21">
        <v>0</v>
      </c>
      <c r="D20" s="21">
        <v>0</v>
      </c>
      <c r="E20" s="21">
        <v>4</v>
      </c>
      <c r="F20" s="21">
        <v>4</v>
      </c>
      <c r="G20" s="21">
        <v>0</v>
      </c>
      <c r="H20" s="48">
        <f>SUM(B20:G20)</f>
        <v>8</v>
      </c>
      <c r="I20" s="263" t="s">
        <v>12</v>
      </c>
      <c r="J20" s="283">
        <f>H20*$I$3</f>
        <v>1224</v>
      </c>
      <c r="K20" s="282">
        <f>J20/$D$14</f>
        <v>174.85714285714286</v>
      </c>
      <c r="L20" s="58" t="s">
        <v>12</v>
      </c>
      <c r="M20" s="60">
        <f>H20*$L$3</f>
        <v>1224</v>
      </c>
      <c r="N20" s="59">
        <f>M20/$D$14</f>
        <v>174.85714285714286</v>
      </c>
      <c r="O20" s="263" t="s">
        <v>12</v>
      </c>
      <c r="P20" s="291">
        <f>$H20*$O$3</f>
        <v>1224</v>
      </c>
      <c r="Q20" s="282">
        <f>P20/$D$14</f>
        <v>174.85714285714286</v>
      </c>
      <c r="R20" s="121">
        <f>AVERAGE(K20,N20,Q20)</f>
        <v>174.85714285714286</v>
      </c>
      <c r="S20" s="119" t="s">
        <v>12</v>
      </c>
      <c r="T20" s="232" t="s">
        <v>12</v>
      </c>
    </row>
    <row r="21" spans="1:20" s="1" customFormat="1" ht="13.8" thickBot="1" x14ac:dyDescent="0.3">
      <c r="A21" s="491" t="s">
        <v>52</v>
      </c>
      <c r="B21" s="373">
        <f>ROUND(B20*Labor!$D$3,0)</f>
        <v>0</v>
      </c>
      <c r="C21" s="374">
        <f>ROUND(C20*Labor!$D$4,0)</f>
        <v>0</v>
      </c>
      <c r="D21" s="374">
        <f>ROUND(D20*Labor!$D$5,0)</f>
        <v>0</v>
      </c>
      <c r="E21" s="374">
        <f>ROUND(E20*Labor!$D$6,0)</f>
        <v>197</v>
      </c>
      <c r="F21" s="374">
        <f>ROUND(F20*Labor!$D$7,0)</f>
        <v>222</v>
      </c>
      <c r="G21" s="374">
        <f>ROUND(G20*Labor!$D$8,0)</f>
        <v>0</v>
      </c>
      <c r="H21" s="375">
        <f>SUM(B21:G21)</f>
        <v>419</v>
      </c>
      <c r="I21" s="332">
        <f>HLOOKUP(Labor!$B$11,InflationTable,2)*H21</f>
        <v>565.98597458013921</v>
      </c>
      <c r="J21" s="296">
        <f>I21*$I$3</f>
        <v>86595.854110761298</v>
      </c>
      <c r="K21" s="297">
        <f>J21/$D$14</f>
        <v>12370.836301537329</v>
      </c>
      <c r="L21" s="376">
        <f>HLOOKUP(Labor!$B$11,InflationTable,3)*H21</f>
        <v>581.44454653244031</v>
      </c>
      <c r="M21" s="377">
        <f>L21*$I$3</f>
        <v>88961.015619463375</v>
      </c>
      <c r="N21" s="378">
        <f>M21/$D$14</f>
        <v>12708.716517066196</v>
      </c>
      <c r="O21" s="339">
        <f>HLOOKUP(Labor!$B$11,InflationTable,4)*H21</f>
        <v>588.41198092850516</v>
      </c>
      <c r="P21" s="296">
        <f>O21*$I$3</f>
        <v>90027.033082061287</v>
      </c>
      <c r="Q21" s="297">
        <f>P21/$D$14</f>
        <v>12861.004726008756</v>
      </c>
      <c r="R21" s="211">
        <f>AVERAGE(K21,N21,Q21)</f>
        <v>12646.852514870761</v>
      </c>
      <c r="S21" s="218" t="s">
        <v>12</v>
      </c>
      <c r="T21" s="228" t="s">
        <v>12</v>
      </c>
    </row>
    <row r="22" spans="1:20" x14ac:dyDescent="0.25">
      <c r="A22" s="493" t="s">
        <v>66</v>
      </c>
      <c r="B22" s="33">
        <f t="shared" ref="B22:H23" si="1">B17+B20</f>
        <v>0</v>
      </c>
      <c r="C22" s="33">
        <f t="shared" si="1"/>
        <v>0</v>
      </c>
      <c r="D22" s="33">
        <f t="shared" si="1"/>
        <v>0</v>
      </c>
      <c r="E22" s="33">
        <f t="shared" si="1"/>
        <v>14</v>
      </c>
      <c r="F22" s="33">
        <f t="shared" si="1"/>
        <v>14</v>
      </c>
      <c r="G22" s="33">
        <f t="shared" si="1"/>
        <v>10</v>
      </c>
      <c r="H22" s="49">
        <f t="shared" si="1"/>
        <v>38</v>
      </c>
      <c r="I22" s="284" t="s">
        <v>12</v>
      </c>
      <c r="J22" s="285">
        <f>J17+J20</f>
        <v>5814</v>
      </c>
      <c r="K22" s="286">
        <f>K17+K20</f>
        <v>830.57142857142856</v>
      </c>
      <c r="L22" s="61" t="s">
        <v>12</v>
      </c>
      <c r="M22" s="426">
        <f>H22*$L$3</f>
        <v>5814</v>
      </c>
      <c r="N22" s="62">
        <f>M22/$D$14</f>
        <v>830.57142857142856</v>
      </c>
      <c r="O22" s="293" t="s">
        <v>12</v>
      </c>
      <c r="P22" s="433">
        <f>$H22*$O$3</f>
        <v>5814</v>
      </c>
      <c r="Q22" s="294">
        <f>P22/$D$14</f>
        <v>830.57142857142856</v>
      </c>
      <c r="R22" s="129">
        <f>AVERAGE(K22,N22,Q22)</f>
        <v>830.57142857142856</v>
      </c>
      <c r="S22" s="136" t="s">
        <v>12</v>
      </c>
      <c r="T22" s="230" t="s">
        <v>12</v>
      </c>
    </row>
    <row r="23" spans="1:20" s="1" customFormat="1" ht="13.8" thickBot="1" x14ac:dyDescent="0.3">
      <c r="A23" s="494" t="s">
        <v>67</v>
      </c>
      <c r="B23" s="240">
        <f t="shared" si="1"/>
        <v>0</v>
      </c>
      <c r="C23" s="240">
        <f t="shared" si="1"/>
        <v>0</v>
      </c>
      <c r="D23" s="240">
        <f t="shared" si="1"/>
        <v>0</v>
      </c>
      <c r="E23" s="240">
        <f t="shared" si="1"/>
        <v>690</v>
      </c>
      <c r="F23" s="240">
        <f t="shared" si="1"/>
        <v>777</v>
      </c>
      <c r="G23" s="240">
        <f t="shared" si="1"/>
        <v>586</v>
      </c>
      <c r="H23" s="241">
        <f t="shared" si="1"/>
        <v>2053</v>
      </c>
      <c r="I23" s="274">
        <f>I18+I21</f>
        <v>2773.1961952578181</v>
      </c>
      <c r="J23" s="275">
        <f>J18+J21</f>
        <v>424299.01787444617</v>
      </c>
      <c r="K23" s="276">
        <f>K18+K21</f>
        <v>60614.145410635159</v>
      </c>
      <c r="L23" s="408">
        <f>L18+L21</f>
        <v>2848.9395084274461</v>
      </c>
      <c r="M23" s="240">
        <f>M18+M21</f>
        <v>435887.74478939932</v>
      </c>
      <c r="N23" s="243">
        <f>N18+N21</f>
        <v>62269.677827057043</v>
      </c>
      <c r="O23" s="274">
        <f>O18+O21</f>
        <v>2883.0782740959935</v>
      </c>
      <c r="P23" s="305">
        <f>O23*$O$3</f>
        <v>441110.97593668703</v>
      </c>
      <c r="Q23" s="306">
        <f>P23/$D$14</f>
        <v>63015.853705241003</v>
      </c>
      <c r="R23" s="255">
        <f>AVERAGE(K23,N23,Q23)</f>
        <v>61966.558980977738</v>
      </c>
      <c r="S23" s="249" t="s">
        <v>12</v>
      </c>
      <c r="T23" s="231" t="s">
        <v>12</v>
      </c>
    </row>
    <row r="24" spans="1:20" ht="14.4" thickTop="1" thickBot="1" x14ac:dyDescent="0.3">
      <c r="E24"/>
    </row>
    <row r="25" spans="1:20" ht="16.2" thickTop="1" x14ac:dyDescent="0.3">
      <c r="A25" s="495" t="s">
        <v>16</v>
      </c>
      <c r="B25" s="418"/>
      <c r="C25" s="431" t="s">
        <v>54</v>
      </c>
      <c r="D25" s="70">
        <v>7</v>
      </c>
      <c r="E25" s="112" t="s">
        <v>6</v>
      </c>
      <c r="F25" s="1415"/>
      <c r="G25" s="1416"/>
      <c r="H25" s="1417"/>
      <c r="I25" s="181" t="s">
        <v>16</v>
      </c>
      <c r="J25" s="426"/>
      <c r="K25" s="180"/>
      <c r="L25" s="181" t="s">
        <v>16</v>
      </c>
      <c r="M25" s="5"/>
      <c r="N25" s="37"/>
      <c r="O25" s="181" t="s">
        <v>16</v>
      </c>
      <c r="P25" s="426"/>
      <c r="Q25" s="180"/>
      <c r="R25" s="122"/>
      <c r="S25" s="37"/>
      <c r="T25" s="508"/>
    </row>
    <row r="26" spans="1:20" x14ac:dyDescent="0.25">
      <c r="A26" s="484"/>
      <c r="B26" s="23" t="s">
        <v>60</v>
      </c>
      <c r="C26" s="23" t="s">
        <v>62</v>
      </c>
      <c r="D26" s="5"/>
      <c r="E26" s="5"/>
      <c r="F26" s="5"/>
      <c r="G26" s="6"/>
      <c r="H26" s="43"/>
      <c r="I26" s="277" t="s">
        <v>61</v>
      </c>
      <c r="J26" s="1422" t="s">
        <v>57</v>
      </c>
      <c r="K26" s="1423"/>
      <c r="L26" s="93" t="s">
        <v>61</v>
      </c>
      <c r="M26" s="1432" t="s">
        <v>57</v>
      </c>
      <c r="N26" s="1433"/>
      <c r="O26" s="278" t="s">
        <v>61</v>
      </c>
      <c r="P26" s="1422" t="s">
        <v>57</v>
      </c>
      <c r="Q26" s="1423"/>
      <c r="R26" s="131"/>
      <c r="S26" s="37"/>
      <c r="T26" s="227"/>
    </row>
    <row r="27" spans="1:20" x14ac:dyDescent="0.25">
      <c r="A27" s="26" t="s">
        <v>58</v>
      </c>
      <c r="B27" s="23"/>
      <c r="C27" s="23"/>
      <c r="D27" s="9"/>
      <c r="E27" s="72"/>
      <c r="F27" s="72"/>
      <c r="G27" s="72"/>
      <c r="H27" s="73"/>
      <c r="I27" s="260" t="s">
        <v>56</v>
      </c>
      <c r="J27" s="261" t="s">
        <v>13</v>
      </c>
      <c r="K27" s="262" t="s">
        <v>68</v>
      </c>
      <c r="L27" s="77" t="s">
        <v>56</v>
      </c>
      <c r="M27" s="24" t="s">
        <v>13</v>
      </c>
      <c r="N27" s="38" t="s">
        <v>68</v>
      </c>
      <c r="O27" s="260" t="s">
        <v>56</v>
      </c>
      <c r="P27" s="261" t="s">
        <v>13</v>
      </c>
      <c r="Q27" s="262" t="s">
        <v>68</v>
      </c>
      <c r="R27" s="123"/>
      <c r="S27" s="37"/>
      <c r="T27" s="227"/>
    </row>
    <row r="28" spans="1:20" s="1" customFormat="1" x14ac:dyDescent="0.25">
      <c r="A28" s="496" t="s">
        <v>14</v>
      </c>
      <c r="B28" s="458">
        <f>VLOOKUP(B$1,Monitor_Costs,2,FALSE)</f>
        <v>11000</v>
      </c>
      <c r="C28" s="381">
        <f>VLOOKUP(B1,Monitor_Costs,3,FALSE)</f>
        <v>2019</v>
      </c>
      <c r="D28" s="459"/>
      <c r="E28" s="93"/>
      <c r="F28" s="460"/>
      <c r="G28" s="460"/>
      <c r="H28" s="466"/>
      <c r="I28" s="384">
        <f>HLOOKUP(C28,InflationTable,2)*$B$28</f>
        <v>14858.820335039454</v>
      </c>
      <c r="J28" s="384">
        <f>I28*$K$10</f>
        <v>18796407.723824911</v>
      </c>
      <c r="K28" s="385">
        <f>J28/$D$25</f>
        <v>2685201.1034035585</v>
      </c>
      <c r="L28" s="467">
        <f>HLOOKUP($C$28,InflationTable,3)*$B$28</f>
        <v>15264.653966245451</v>
      </c>
      <c r="M28" s="468">
        <f>L28*$K$10</f>
        <v>19309787.267300494</v>
      </c>
      <c r="N28" s="407">
        <f>M28/$D$25</f>
        <v>2758541.0381857851</v>
      </c>
      <c r="O28" s="383">
        <f>HLOOKUP($C$28,InflationTable,4)*$B$28</f>
        <v>15447.569905044289</v>
      </c>
      <c r="P28" s="384">
        <f>O28*$Q$10</f>
        <v>19541175.929881025</v>
      </c>
      <c r="Q28" s="385">
        <f>P28/$D$25</f>
        <v>2791596.5614115749</v>
      </c>
      <c r="R28" s="462" t="s">
        <v>12</v>
      </c>
      <c r="S28" s="380" t="s">
        <v>12</v>
      </c>
      <c r="T28" s="509">
        <f>AVERAGE(K28,N28,Q28)</f>
        <v>2745112.901000306</v>
      </c>
    </row>
    <row r="29" spans="1:20" s="1" customFormat="1" ht="13.8" thickBot="1" x14ac:dyDescent="0.3">
      <c r="A29" s="497" t="s">
        <v>15</v>
      </c>
      <c r="B29" s="469"/>
      <c r="C29" s="469"/>
      <c r="D29" s="469"/>
      <c r="E29" s="470"/>
      <c r="F29" s="469"/>
      <c r="G29" s="469"/>
      <c r="H29" s="368"/>
      <c r="I29" s="369"/>
      <c r="J29" s="296">
        <f>I28*$K$12</f>
        <v>3759281.5447649821</v>
      </c>
      <c r="K29" s="297">
        <f>J29/$D$25</f>
        <v>537040.22068071167</v>
      </c>
      <c r="L29" s="469"/>
      <c r="M29" s="208">
        <f>L28*$K$12</f>
        <v>3861957.4534600992</v>
      </c>
      <c r="N29" s="209">
        <f>M29/$D$25</f>
        <v>551708.20763715706</v>
      </c>
      <c r="O29" s="471"/>
      <c r="P29" s="296">
        <f>O28*$K$12</f>
        <v>3908235.1859762049</v>
      </c>
      <c r="Q29" s="297">
        <f>P29/$D$25</f>
        <v>558319.31228231499</v>
      </c>
      <c r="R29" s="472" t="s">
        <v>12</v>
      </c>
      <c r="S29" s="218" t="s">
        <v>12</v>
      </c>
      <c r="T29" s="229">
        <f>AVERAGE(K29,N29,Q29)</f>
        <v>549022.5802000612</v>
      </c>
    </row>
    <row r="30" spans="1:20" x14ac:dyDescent="0.25">
      <c r="A30" s="498" t="s">
        <v>17</v>
      </c>
      <c r="B30" s="107" t="s">
        <v>45</v>
      </c>
      <c r="C30" s="108" t="s">
        <v>46</v>
      </c>
      <c r="D30" s="107" t="s">
        <v>47</v>
      </c>
      <c r="E30" s="107" t="s">
        <v>48</v>
      </c>
      <c r="F30" s="107" t="s">
        <v>49</v>
      </c>
      <c r="G30" s="107" t="s">
        <v>50</v>
      </c>
      <c r="H30" s="350" t="s">
        <v>74</v>
      </c>
      <c r="I30" s="623"/>
      <c r="J30" s="623"/>
      <c r="K30" s="629"/>
      <c r="L30" s="110"/>
      <c r="M30" s="108"/>
      <c r="N30" s="111"/>
      <c r="O30" s="352"/>
      <c r="P30" s="352"/>
      <c r="Q30" s="356"/>
      <c r="R30" s="125"/>
      <c r="S30" s="37"/>
      <c r="T30" s="227"/>
    </row>
    <row r="31" spans="1:20" x14ac:dyDescent="0.25">
      <c r="A31" s="499" t="s">
        <v>142</v>
      </c>
      <c r="B31" s="31">
        <v>0</v>
      </c>
      <c r="C31" s="21">
        <v>0</v>
      </c>
      <c r="D31" s="21">
        <v>0</v>
      </c>
      <c r="E31" s="21">
        <v>4</v>
      </c>
      <c r="F31" s="21">
        <v>0</v>
      </c>
      <c r="G31" s="21">
        <v>0</v>
      </c>
      <c r="H31" s="48">
        <f>SUM(B31:G31)</f>
        <v>4</v>
      </c>
      <c r="I31" s="263" t="s">
        <v>12</v>
      </c>
      <c r="J31" s="281">
        <f>H31*($K$10+$K$12)</f>
        <v>6072</v>
      </c>
      <c r="K31" s="282">
        <f>J31/$D$25</f>
        <v>867.42857142857144</v>
      </c>
      <c r="L31" s="58" t="s">
        <v>12</v>
      </c>
      <c r="M31" s="69">
        <f>$H$31*($N$10+$N$12)</f>
        <v>6072</v>
      </c>
      <c r="N31" s="59">
        <f>M31/$D$25</f>
        <v>867.42857142857144</v>
      </c>
      <c r="O31" s="263" t="s">
        <v>12</v>
      </c>
      <c r="P31" s="281">
        <f>$H$31*($Q$10+$Q$12)</f>
        <v>6072</v>
      </c>
      <c r="Q31" s="282">
        <f>P31/$D$25</f>
        <v>867.42857142857144</v>
      </c>
      <c r="R31" s="151">
        <f>AVERAGE(K31,N31,Q31)</f>
        <v>867.42857142857144</v>
      </c>
      <c r="S31" s="119" t="s">
        <v>12</v>
      </c>
      <c r="T31" s="232" t="s">
        <v>12</v>
      </c>
    </row>
    <row r="32" spans="1:20" s="1" customFormat="1" ht="13.8" thickBot="1" x14ac:dyDescent="0.3">
      <c r="A32" s="491" t="s">
        <v>8</v>
      </c>
      <c r="B32" s="389">
        <f>ROUND(B31*Labor!$D$3,0)</f>
        <v>0</v>
      </c>
      <c r="C32" s="374">
        <f>ROUND(C31*Labor!$D$4,0)</f>
        <v>0</v>
      </c>
      <c r="D32" s="374">
        <f>ROUND(D31*Labor!$D$5,0)</f>
        <v>0</v>
      </c>
      <c r="E32" s="374">
        <f>ROUND(E31*Labor!$D$6,0)</f>
        <v>197</v>
      </c>
      <c r="F32" s="374">
        <f>ROUND(F31*Labor!$D$7,0)</f>
        <v>0</v>
      </c>
      <c r="G32" s="374">
        <f>ROUND(G31*Labor!$D$8,0)</f>
        <v>0</v>
      </c>
      <c r="H32" s="375">
        <f>SUM(B32:G32)</f>
        <v>197</v>
      </c>
      <c r="I32" s="339">
        <f>HLOOKUP(Labor!$B$11,InflationTable,2)*H32</f>
        <v>266.10796418207025</v>
      </c>
      <c r="J32" s="296">
        <f>I32*($K$10+$K$12)</f>
        <v>403951.88962838263</v>
      </c>
      <c r="K32" s="297">
        <f>J32/$D$25</f>
        <v>57707.412804054664</v>
      </c>
      <c r="L32" s="376">
        <f>HLOOKUP(Labor!$B$11,InflationTable,3)*$H32</f>
        <v>273.3760755773049</v>
      </c>
      <c r="M32" s="377">
        <f>L32*$K$10</f>
        <v>345820.73560529068</v>
      </c>
      <c r="N32" s="378">
        <f>M32/$D$25</f>
        <v>49402.96222932724</v>
      </c>
      <c r="O32" s="332">
        <f>HLOOKUP(Labor!$B$11,InflationTable,4)*$H32</f>
        <v>276.65193375397502</v>
      </c>
      <c r="P32" s="296">
        <f>O32*$Q$10</f>
        <v>349964.6961987784</v>
      </c>
      <c r="Q32" s="297">
        <f>P32/$D$25</f>
        <v>49994.956599825484</v>
      </c>
      <c r="R32" s="391">
        <f>AVERAGE(K32,N32,Q32)</f>
        <v>52368.443877735794</v>
      </c>
      <c r="S32" s="218" t="s">
        <v>12</v>
      </c>
      <c r="T32" s="228" t="s">
        <v>12</v>
      </c>
    </row>
    <row r="33" spans="1:20" x14ac:dyDescent="0.25">
      <c r="A33" s="492" t="s">
        <v>143</v>
      </c>
      <c r="B33" s="346">
        <v>0</v>
      </c>
      <c r="C33" s="365">
        <v>8</v>
      </c>
      <c r="D33" s="365">
        <v>8</v>
      </c>
      <c r="E33" s="365">
        <v>0</v>
      </c>
      <c r="F33" s="365">
        <v>0</v>
      </c>
      <c r="G33" s="365">
        <v>0</v>
      </c>
      <c r="H33" s="366">
        <f>SUM(B33:G33)</f>
        <v>16</v>
      </c>
      <c r="I33" s="293" t="s">
        <v>12</v>
      </c>
      <c r="J33" s="334">
        <f>H33*$K$10</f>
        <v>20240</v>
      </c>
      <c r="K33" s="294">
        <f>J33/$D$25</f>
        <v>2891.4285714285716</v>
      </c>
      <c r="L33" s="61" t="s">
        <v>12</v>
      </c>
      <c r="M33" s="348">
        <f>H33*$N$10</f>
        <v>20240</v>
      </c>
      <c r="N33" s="62">
        <f>M33/$D$25</f>
        <v>2891.4285714285716</v>
      </c>
      <c r="O33" s="293" t="s">
        <v>12</v>
      </c>
      <c r="P33" s="327">
        <f>$H33*Q$10</f>
        <v>20240</v>
      </c>
      <c r="Q33" s="294">
        <f>P33/$D$25</f>
        <v>2891.4285714285716</v>
      </c>
      <c r="R33" s="129">
        <f>AVERAGE(K33,N33,Q33)</f>
        <v>2891.4285714285711</v>
      </c>
      <c r="S33" s="136" t="s">
        <v>12</v>
      </c>
      <c r="T33" s="230" t="s">
        <v>12</v>
      </c>
    </row>
    <row r="34" spans="1:20" s="1" customFormat="1" ht="13.8" thickBot="1" x14ac:dyDescent="0.3">
      <c r="A34" s="500" t="s">
        <v>8</v>
      </c>
      <c r="B34" s="373">
        <f>ROUND(B33*Labor!$D$3,0)</f>
        <v>0</v>
      </c>
      <c r="C34" s="374">
        <f>ROUND(C33*Labor!$D$4,0)</f>
        <v>327</v>
      </c>
      <c r="D34" s="374">
        <f>ROUND(D33*Labor!$D$5,0)</f>
        <v>353</v>
      </c>
      <c r="E34" s="374">
        <f>ROUND(E33*Labor!$D$6,0)</f>
        <v>0</v>
      </c>
      <c r="F34" s="374">
        <f>ROUND(F33*Labor!$D$7,0)</f>
        <v>0</v>
      </c>
      <c r="G34" s="374">
        <f>ROUND(G33*Labor!$D$8,0)</f>
        <v>0</v>
      </c>
      <c r="H34" s="375">
        <f>SUM(B34:G34)</f>
        <v>680</v>
      </c>
      <c r="I34" s="332">
        <f>HLOOKUP(Labor!$B$11,InflationTable,2)*H34</f>
        <v>918.54525707516632</v>
      </c>
      <c r="J34" s="296">
        <f>I34*$K$10</f>
        <v>1161959.7502000853</v>
      </c>
      <c r="K34" s="297">
        <f>J34/$D$25</f>
        <v>165994.25002858363</v>
      </c>
      <c r="L34" s="376">
        <f>HLOOKUP(Labor!$B$11,InflationTable,3)*$H34</f>
        <v>943.63315427699149</v>
      </c>
      <c r="M34" s="377">
        <f>L34*$N$10</f>
        <v>1193695.9401603942</v>
      </c>
      <c r="N34" s="378">
        <f>M34/$D$25</f>
        <v>170527.99145148488</v>
      </c>
      <c r="O34" s="339">
        <f>HLOOKUP(Labor!$B$11,InflationTable,4)*$H34</f>
        <v>954.9406850391016</v>
      </c>
      <c r="P34" s="296">
        <f>O34*$Q$10</f>
        <v>1207999.9665744635</v>
      </c>
      <c r="Q34" s="297">
        <f>P34/$D$25</f>
        <v>172571.42379635194</v>
      </c>
      <c r="R34" s="211">
        <f>AVERAGE(K34,N34,Q34)</f>
        <v>169697.8884254735</v>
      </c>
      <c r="S34" s="393" t="s">
        <v>12</v>
      </c>
      <c r="T34" s="228" t="s">
        <v>12</v>
      </c>
    </row>
    <row r="35" spans="1:20" x14ac:dyDescent="0.25">
      <c r="A35" s="493" t="s">
        <v>66</v>
      </c>
      <c r="B35" s="33">
        <f t="shared" ref="B35:H35" si="2">B31+B33</f>
        <v>0</v>
      </c>
      <c r="C35" s="33">
        <f t="shared" si="2"/>
        <v>8</v>
      </c>
      <c r="D35" s="33">
        <f t="shared" si="2"/>
        <v>8</v>
      </c>
      <c r="E35" s="33">
        <f t="shared" si="2"/>
        <v>4</v>
      </c>
      <c r="F35" s="33">
        <f t="shared" si="2"/>
        <v>0</v>
      </c>
      <c r="G35" s="33">
        <f t="shared" si="2"/>
        <v>0</v>
      </c>
      <c r="H35" s="49">
        <f t="shared" si="2"/>
        <v>20</v>
      </c>
      <c r="I35" s="284" t="s">
        <v>12</v>
      </c>
      <c r="J35" s="285">
        <f>J31+J33</f>
        <v>26312</v>
      </c>
      <c r="K35" s="286">
        <f>K31+K33</f>
        <v>3758.8571428571431</v>
      </c>
      <c r="L35" s="44" t="s">
        <v>12</v>
      </c>
      <c r="M35" s="33">
        <f>M31+M33</f>
        <v>26312</v>
      </c>
      <c r="N35" s="40">
        <f>N31+N33</f>
        <v>3758.8571428571431</v>
      </c>
      <c r="O35" s="284" t="s">
        <v>12</v>
      </c>
      <c r="P35" s="285">
        <f>P31+P33</f>
        <v>26312</v>
      </c>
      <c r="Q35" s="286">
        <f>Q31+Q33</f>
        <v>3758.8571428571431</v>
      </c>
      <c r="R35" s="175">
        <f>AVERAGE(K35,N35,Q35)</f>
        <v>3758.8571428571431</v>
      </c>
      <c r="S35" s="136" t="s">
        <v>12</v>
      </c>
      <c r="T35" s="230" t="s">
        <v>12</v>
      </c>
    </row>
    <row r="36" spans="1:20" s="1" customFormat="1" ht="13.8" thickBot="1" x14ac:dyDescent="0.3">
      <c r="A36" s="494" t="s">
        <v>67</v>
      </c>
      <c r="B36" s="240">
        <f t="shared" ref="B36:I36" si="3">B34+B32</f>
        <v>0</v>
      </c>
      <c r="C36" s="240">
        <f t="shared" si="3"/>
        <v>327</v>
      </c>
      <c r="D36" s="240">
        <f t="shared" si="3"/>
        <v>353</v>
      </c>
      <c r="E36" s="240">
        <f t="shared" si="3"/>
        <v>197</v>
      </c>
      <c r="F36" s="240">
        <f t="shared" si="3"/>
        <v>0</v>
      </c>
      <c r="G36" s="240">
        <f t="shared" si="3"/>
        <v>0</v>
      </c>
      <c r="H36" s="241">
        <f t="shared" si="3"/>
        <v>877</v>
      </c>
      <c r="I36" s="313">
        <f t="shared" si="3"/>
        <v>1184.6532212572365</v>
      </c>
      <c r="J36" s="287"/>
      <c r="K36" s="276">
        <f>K34+K32+K29+K28</f>
        <v>3445942.9869169085</v>
      </c>
      <c r="L36" s="242">
        <f>L34+L32</f>
        <v>1217.0092298542963</v>
      </c>
      <c r="M36" s="247"/>
      <c r="N36" s="243">
        <f>N34+N32+N29+N28</f>
        <v>3530180.1995037543</v>
      </c>
      <c r="O36" s="274">
        <f>O34+O32</f>
        <v>1231.5926187930766</v>
      </c>
      <c r="P36" s="287"/>
      <c r="Q36" s="276">
        <f>Q34+Q32+Q29+Q28</f>
        <v>3572482.2540900675</v>
      </c>
      <c r="R36" s="248">
        <f>SUM(R34,R32)</f>
        <v>222066.33230320929</v>
      </c>
      <c r="S36" s="249" t="s">
        <v>12</v>
      </c>
      <c r="T36" s="510">
        <f>SUM(T28:T29)</f>
        <v>3294135.4812003672</v>
      </c>
    </row>
    <row r="37" spans="1:20" ht="14.4" thickTop="1" thickBot="1" x14ac:dyDescent="0.3">
      <c r="E37"/>
    </row>
    <row r="38" spans="1:20" ht="15.6" x14ac:dyDescent="0.3">
      <c r="A38" s="539" t="s">
        <v>146</v>
      </c>
      <c r="B38" s="5"/>
      <c r="C38" s="5"/>
      <c r="D38" s="5"/>
      <c r="E38" s="112" t="s">
        <v>6</v>
      </c>
      <c r="F38" s="1424"/>
      <c r="G38" s="1425"/>
      <c r="H38" s="1426"/>
      <c r="I38" s="81" t="s">
        <v>22</v>
      </c>
      <c r="J38" s="426"/>
      <c r="K38" s="180"/>
      <c r="L38" s="81" t="s">
        <v>22</v>
      </c>
      <c r="M38" s="426"/>
      <c r="N38" s="67"/>
      <c r="O38" s="81" t="s">
        <v>22</v>
      </c>
      <c r="P38" s="426"/>
      <c r="Q38" s="67"/>
      <c r="R38" s="124"/>
      <c r="S38" s="37"/>
      <c r="T38" s="227"/>
    </row>
    <row r="39" spans="1:20" x14ac:dyDescent="0.25">
      <c r="A39" s="484"/>
      <c r="B39" s="5"/>
      <c r="C39" s="5"/>
      <c r="D39" s="5"/>
      <c r="E39" s="112"/>
      <c r="F39" s="1418"/>
      <c r="G39" s="1418"/>
      <c r="H39" s="1419"/>
      <c r="I39" s="277" t="s">
        <v>61</v>
      </c>
      <c r="J39" s="1437" t="s">
        <v>57</v>
      </c>
      <c r="K39" s="1438"/>
      <c r="L39" s="57" t="s">
        <v>61</v>
      </c>
      <c r="M39" s="1432" t="s">
        <v>57</v>
      </c>
      <c r="N39" s="1433"/>
      <c r="O39" s="277" t="s">
        <v>61</v>
      </c>
      <c r="P39" s="1422" t="s">
        <v>57</v>
      </c>
      <c r="Q39" s="1423"/>
      <c r="R39" s="131"/>
      <c r="S39" s="37"/>
      <c r="T39" s="227"/>
    </row>
    <row r="40" spans="1:20" x14ac:dyDescent="0.25">
      <c r="A40" s="501" t="s">
        <v>18</v>
      </c>
      <c r="B40" s="23" t="s">
        <v>60</v>
      </c>
      <c r="C40" s="23" t="s">
        <v>62</v>
      </c>
      <c r="D40" s="9"/>
      <c r="E40" s="72"/>
      <c r="F40" s="72"/>
      <c r="G40" s="72"/>
      <c r="H40" s="37"/>
      <c r="I40" s="261" t="s">
        <v>56</v>
      </c>
      <c r="J40" s="261" t="s">
        <v>13</v>
      </c>
      <c r="K40" s="262" t="s">
        <v>68</v>
      </c>
      <c r="L40" s="77" t="s">
        <v>56</v>
      </c>
      <c r="M40" s="24" t="s">
        <v>13</v>
      </c>
      <c r="N40" s="38" t="s">
        <v>68</v>
      </c>
      <c r="O40" s="260" t="s">
        <v>56</v>
      </c>
      <c r="P40" s="261" t="s">
        <v>13</v>
      </c>
      <c r="Q40" s="262" t="s">
        <v>68</v>
      </c>
      <c r="R40" s="123"/>
      <c r="S40" s="37"/>
      <c r="T40" s="227"/>
    </row>
    <row r="41" spans="1:20" s="1" customFormat="1" ht="13.8" thickBot="1" x14ac:dyDescent="0.3">
      <c r="A41" s="398"/>
      <c r="B41" s="458">
        <f>VLOOKUP(B$1,Monitor_Costs,4,FALSE)</f>
        <v>800</v>
      </c>
      <c r="C41" s="381">
        <f>VLOOKUP(B$1,Monitor_Costs,5,FALSE)</f>
        <v>2019</v>
      </c>
      <c r="D41" s="112"/>
      <c r="E41" s="396"/>
      <c r="F41" s="112"/>
      <c r="G41" s="465"/>
      <c r="H41" s="45"/>
      <c r="I41" s="384">
        <f>HLOOKUP($C$41,InflationTable,2)*$B$41*K$11</f>
        <v>777.80558620501176</v>
      </c>
      <c r="J41" s="296">
        <f>I41*($K$10)</f>
        <v>983924.06654933991</v>
      </c>
      <c r="K41" s="385">
        <f>J41</f>
        <v>983924.06654933991</v>
      </c>
      <c r="L41" s="386">
        <f>HLOOKUP($C$41,InflationTable,3)*$B$41*N$11</f>
        <v>799.04951124780348</v>
      </c>
      <c r="M41" s="387">
        <f>L41*N$10</f>
        <v>1010797.6317284714</v>
      </c>
      <c r="N41" s="388">
        <f>M41</f>
        <v>1010797.6317284714</v>
      </c>
      <c r="O41" s="384">
        <f>HLOOKUP($C$41,InflationTable,4)*$B$41*Q$11</f>
        <v>808.62450009588645</v>
      </c>
      <c r="P41" s="384">
        <f>O41*Q$10</f>
        <v>1022909.9926212963</v>
      </c>
      <c r="Q41" s="385">
        <f>P41</f>
        <v>1022909.9926212963</v>
      </c>
      <c r="R41" s="462" t="s">
        <v>12</v>
      </c>
      <c r="S41" s="382">
        <f>AVERAGE(K41,N41,Q41)</f>
        <v>1005877.2302997025</v>
      </c>
      <c r="T41" s="511" t="s">
        <v>12</v>
      </c>
    </row>
    <row r="42" spans="1:20" x14ac:dyDescent="0.25">
      <c r="A42" s="484"/>
      <c r="B42" s="23" t="s">
        <v>45</v>
      </c>
      <c r="C42" s="24" t="s">
        <v>46</v>
      </c>
      <c r="D42" s="23" t="s">
        <v>47</v>
      </c>
      <c r="E42" s="23" t="s">
        <v>48</v>
      </c>
      <c r="F42" s="23" t="s">
        <v>49</v>
      </c>
      <c r="G42" s="23" t="s">
        <v>50</v>
      </c>
      <c r="H42" s="47" t="s">
        <v>74</v>
      </c>
      <c r="I42" s="261"/>
      <c r="J42" s="261"/>
      <c r="K42" s="262"/>
      <c r="L42" s="77"/>
      <c r="M42" s="24"/>
      <c r="N42" s="38"/>
      <c r="O42" s="261"/>
      <c r="P42" s="261"/>
      <c r="Q42" s="262"/>
      <c r="R42" s="120"/>
      <c r="S42" s="37"/>
      <c r="T42" s="227"/>
    </row>
    <row r="43" spans="1:20" x14ac:dyDescent="0.25">
      <c r="A43" s="501" t="s">
        <v>141</v>
      </c>
      <c r="B43" s="21">
        <v>0</v>
      </c>
      <c r="C43" s="21">
        <v>60</v>
      </c>
      <c r="D43" s="21">
        <v>60</v>
      </c>
      <c r="E43" s="21">
        <v>0</v>
      </c>
      <c r="F43" s="21">
        <v>0</v>
      </c>
      <c r="G43" s="21">
        <v>0</v>
      </c>
      <c r="H43" s="48">
        <f>SUM(B43:G43)</f>
        <v>120</v>
      </c>
      <c r="I43" s="299" t="s">
        <v>12</v>
      </c>
      <c r="J43" s="281">
        <f>$H43*K$10*K$11</f>
        <v>109260</v>
      </c>
      <c r="K43" s="289">
        <f>J43</f>
        <v>109260</v>
      </c>
      <c r="L43" s="58" t="s">
        <v>12</v>
      </c>
      <c r="M43" s="69">
        <f>$H43*N$10*N$11</f>
        <v>109260</v>
      </c>
      <c r="N43" s="68">
        <f>M43</f>
        <v>109260</v>
      </c>
      <c r="O43" s="299" t="s">
        <v>12</v>
      </c>
      <c r="P43" s="281">
        <f>$H43*Q$10*Q$11</f>
        <v>109260</v>
      </c>
      <c r="Q43" s="289">
        <f>P43</f>
        <v>109260</v>
      </c>
      <c r="R43" s="121">
        <f>AVERAGE(K43,N43,Q43)</f>
        <v>109260</v>
      </c>
      <c r="S43" s="119" t="s">
        <v>12</v>
      </c>
      <c r="T43" s="232" t="s">
        <v>12</v>
      </c>
    </row>
    <row r="44" spans="1:20" s="1" customFormat="1" ht="13.8" thickBot="1" x14ac:dyDescent="0.3">
      <c r="A44" s="491" t="s">
        <v>8</v>
      </c>
      <c r="B44" s="373">
        <f>ROUND(B43*Labor!$D$3,0)</f>
        <v>0</v>
      </c>
      <c r="C44" s="374">
        <f>ROUND(C43*Labor!$D$4,0)</f>
        <v>2451</v>
      </c>
      <c r="D44" s="374">
        <f>ROUND(D43*Labor!$D$5,0)</f>
        <v>2647</v>
      </c>
      <c r="E44" s="374">
        <f>ROUND(E43*Labor!$D$6,0)</f>
        <v>0</v>
      </c>
      <c r="F44" s="374">
        <f>ROUND(F43*Labor!$D$7,0)</f>
        <v>0</v>
      </c>
      <c r="G44" s="374">
        <f>ROUND(G43*Labor!$D$8,0)</f>
        <v>0</v>
      </c>
      <c r="H44" s="375">
        <f>SUM(B44:G44)</f>
        <v>5098</v>
      </c>
      <c r="I44" s="296">
        <f>HLOOKUP(Labor!$B$11,InflationTable,2)*H44*K$11</f>
        <v>4956.5660980914372</v>
      </c>
      <c r="J44" s="296">
        <f>I44*K$10</f>
        <v>6270056.1140856678</v>
      </c>
      <c r="K44" s="390">
        <f>J44</f>
        <v>6270056.1140856678</v>
      </c>
      <c r="L44" s="376">
        <f>HLOOKUP(Labor!$B$11,InflationTable,3)*H44*N$11</f>
        <v>5091.9430104266276</v>
      </c>
      <c r="M44" s="377">
        <f>L44*N$10</f>
        <v>6441307.9081896842</v>
      </c>
      <c r="N44" s="378">
        <f>M44</f>
        <v>6441307.9081896842</v>
      </c>
      <c r="O44" s="296">
        <f>HLOOKUP(Labor!$B$11,InflationTable,4)*$H$44*Q$11</f>
        <v>5152.9596268610367</v>
      </c>
      <c r="P44" s="296">
        <f>O44*Q$10</f>
        <v>6518493.9279792113</v>
      </c>
      <c r="Q44" s="390">
        <f>P44</f>
        <v>6518493.9279792113</v>
      </c>
      <c r="R44" s="211">
        <f>AVERAGE(K44,N44,Q44)</f>
        <v>6409952.6500848541</v>
      </c>
      <c r="S44" s="393" t="s">
        <v>12</v>
      </c>
      <c r="T44" s="228" t="s">
        <v>12</v>
      </c>
    </row>
    <row r="45" spans="1:20" x14ac:dyDescent="0.25">
      <c r="A45" s="493" t="s">
        <v>66</v>
      </c>
      <c r="B45" s="36">
        <f t="shared" ref="B45:H45" si="4">B43</f>
        <v>0</v>
      </c>
      <c r="C45" s="36">
        <f t="shared" si="4"/>
        <v>60</v>
      </c>
      <c r="D45" s="36">
        <f t="shared" si="4"/>
        <v>60</v>
      </c>
      <c r="E45" s="36">
        <f t="shared" si="4"/>
        <v>0</v>
      </c>
      <c r="F45" s="36">
        <f t="shared" si="4"/>
        <v>0</v>
      </c>
      <c r="G45" s="36">
        <f t="shared" si="4"/>
        <v>0</v>
      </c>
      <c r="H45" s="51">
        <f t="shared" si="4"/>
        <v>120</v>
      </c>
      <c r="I45" s="307" t="s">
        <v>12</v>
      </c>
      <c r="J45" s="302">
        <f>J43</f>
        <v>109260</v>
      </c>
      <c r="K45" s="303">
        <f>K43</f>
        <v>109260</v>
      </c>
      <c r="L45" s="85" t="s">
        <v>12</v>
      </c>
      <c r="M45" s="82">
        <f>M43</f>
        <v>109260</v>
      </c>
      <c r="N45" s="96">
        <f>N43</f>
        <v>109260</v>
      </c>
      <c r="O45" s="301" t="s">
        <v>12</v>
      </c>
      <c r="P45" s="302">
        <f>P43</f>
        <v>109260</v>
      </c>
      <c r="Q45" s="303">
        <f>Q43</f>
        <v>109260</v>
      </c>
      <c r="R45" s="96">
        <f>R43</f>
        <v>109260</v>
      </c>
      <c r="S45" s="136" t="s">
        <v>12</v>
      </c>
      <c r="T45" s="230" t="s">
        <v>12</v>
      </c>
    </row>
    <row r="46" spans="1:20" ht="13.8" thickBot="1" x14ac:dyDescent="0.3">
      <c r="A46" s="494" t="s">
        <v>67</v>
      </c>
      <c r="B46" s="435">
        <f t="shared" ref="B46:G46" si="5">B45</f>
        <v>0</v>
      </c>
      <c r="C46" s="435">
        <f t="shared" si="5"/>
        <v>60</v>
      </c>
      <c r="D46" s="435">
        <f t="shared" si="5"/>
        <v>60</v>
      </c>
      <c r="E46" s="435">
        <f t="shared" si="5"/>
        <v>0</v>
      </c>
      <c r="F46" s="435">
        <f t="shared" si="5"/>
        <v>0</v>
      </c>
      <c r="G46" s="435">
        <f t="shared" si="5"/>
        <v>0</v>
      </c>
      <c r="H46" s="457">
        <f>H44+B41</f>
        <v>5898</v>
      </c>
      <c r="I46" s="1377">
        <f t="shared" ref="I46:Q46" si="6">I44+I41</f>
        <v>5734.3716842964486</v>
      </c>
      <c r="J46" s="451">
        <f t="shared" si="6"/>
        <v>7253980.180635008</v>
      </c>
      <c r="K46" s="442">
        <f t="shared" si="6"/>
        <v>7253980.180635008</v>
      </c>
      <c r="L46" s="452">
        <f t="shared" si="6"/>
        <v>5890.9925216744314</v>
      </c>
      <c r="M46" s="453">
        <f>M44+M41</f>
        <v>7452105.5399181554</v>
      </c>
      <c r="N46" s="443">
        <f t="shared" si="6"/>
        <v>7452105.5399181554</v>
      </c>
      <c r="O46" s="454">
        <f t="shared" si="6"/>
        <v>5961.5841269569228</v>
      </c>
      <c r="P46" s="451">
        <f>P44+P41</f>
        <v>7541403.9206005074</v>
      </c>
      <c r="Q46" s="442">
        <f t="shared" si="6"/>
        <v>7541403.9206005074</v>
      </c>
      <c r="R46" s="464">
        <f>R44</f>
        <v>6409952.6500848541</v>
      </c>
      <c r="S46" s="456">
        <f>S41</f>
        <v>1005877.2302997025</v>
      </c>
      <c r="T46" s="512" t="s">
        <v>12</v>
      </c>
    </row>
    <row r="47" spans="1:20" ht="13.8" thickTop="1" x14ac:dyDescent="0.25">
      <c r="E47"/>
    </row>
    <row r="48" spans="1:20" ht="15.6" x14ac:dyDescent="0.3">
      <c r="A48" s="540" t="s">
        <v>147</v>
      </c>
      <c r="B48" s="5"/>
      <c r="C48" s="5"/>
      <c r="D48" s="5"/>
      <c r="E48" s="112" t="s">
        <v>6</v>
      </c>
      <c r="F48" s="1415"/>
      <c r="G48" s="1416"/>
      <c r="H48" s="1417"/>
      <c r="I48" s="181" t="s">
        <v>24</v>
      </c>
      <c r="J48" s="426"/>
      <c r="K48" s="180"/>
      <c r="L48" s="181" t="s">
        <v>24</v>
      </c>
      <c r="M48" s="426"/>
      <c r="N48" s="67"/>
      <c r="O48" s="181" t="s">
        <v>24</v>
      </c>
      <c r="P48" s="426"/>
      <c r="Q48" s="67"/>
      <c r="R48" s="225"/>
      <c r="S48" s="37"/>
      <c r="T48" s="227"/>
    </row>
    <row r="49" spans="1:20" x14ac:dyDescent="0.25">
      <c r="A49" s="484"/>
      <c r="B49" s="5"/>
      <c r="C49" s="5"/>
      <c r="D49" s="5"/>
      <c r="E49" s="112"/>
      <c r="F49" s="1418"/>
      <c r="G49" s="1418"/>
      <c r="H49" s="1419"/>
      <c r="I49" s="277" t="s">
        <v>61</v>
      </c>
      <c r="J49" s="1422" t="s">
        <v>57</v>
      </c>
      <c r="K49" s="1423"/>
      <c r="L49" s="57" t="s">
        <v>61</v>
      </c>
      <c r="M49" s="1432" t="s">
        <v>57</v>
      </c>
      <c r="N49" s="1433"/>
      <c r="O49" s="277" t="s">
        <v>61</v>
      </c>
      <c r="P49" s="1422" t="s">
        <v>57</v>
      </c>
      <c r="Q49" s="1423"/>
      <c r="R49" s="131"/>
      <c r="S49" s="37"/>
      <c r="T49" s="227"/>
    </row>
    <row r="50" spans="1:20" x14ac:dyDescent="0.25">
      <c r="A50" s="501" t="s">
        <v>19</v>
      </c>
      <c r="B50" s="23" t="s">
        <v>60</v>
      </c>
      <c r="C50" s="23" t="s">
        <v>62</v>
      </c>
      <c r="D50" s="9"/>
      <c r="E50" s="72"/>
      <c r="F50" s="72"/>
      <c r="G50" s="72"/>
      <c r="H50" s="73"/>
      <c r="I50" s="260" t="s">
        <v>56</v>
      </c>
      <c r="J50" s="261" t="s">
        <v>13</v>
      </c>
      <c r="K50" s="262" t="s">
        <v>68</v>
      </c>
      <c r="L50" s="77" t="s">
        <v>56</v>
      </c>
      <c r="M50" s="24" t="s">
        <v>13</v>
      </c>
      <c r="N50" s="38" t="s">
        <v>68</v>
      </c>
      <c r="O50" s="260" t="s">
        <v>56</v>
      </c>
      <c r="P50" s="261" t="s">
        <v>13</v>
      </c>
      <c r="Q50" s="262" t="s">
        <v>68</v>
      </c>
      <c r="R50" s="123"/>
      <c r="S50" s="73"/>
      <c r="T50" s="227"/>
    </row>
    <row r="51" spans="1:20" s="1" customFormat="1" x14ac:dyDescent="0.25">
      <c r="A51" s="398"/>
      <c r="B51" s="458">
        <f>VLOOKUP(B$1,Monitor_Costs,6,FALSE)</f>
        <v>1000</v>
      </c>
      <c r="C51" s="381">
        <f>VLOOKUP(B$1,Monitor_Costs,7,FALSE)</f>
        <v>2019</v>
      </c>
      <c r="D51" s="459"/>
      <c r="E51" s="93"/>
      <c r="F51" s="460"/>
      <c r="G51" s="460"/>
      <c r="H51" s="461"/>
      <c r="I51" s="384">
        <f>HLOOKUP(C51,InflationTable,2)*B51*K$11</f>
        <v>972.25698275626473</v>
      </c>
      <c r="J51" s="384">
        <f>I51*K$10</f>
        <v>1229905.0831866749</v>
      </c>
      <c r="K51" s="385">
        <f>J51</f>
        <v>1229905.0831866749</v>
      </c>
      <c r="L51" s="387">
        <f>HLOOKUP($C$51,InflationTable,3)*$B$51*N$11</f>
        <v>998.81188905975432</v>
      </c>
      <c r="M51" s="387">
        <f>L51*N$10</f>
        <v>1263497.0396605893</v>
      </c>
      <c r="N51" s="388">
        <f>M51</f>
        <v>1263497.0396605893</v>
      </c>
      <c r="O51" s="384">
        <f>HLOOKUP($C$51,InflationTable,4)*$B$51*Q$11</f>
        <v>1010.780625119858</v>
      </c>
      <c r="P51" s="384">
        <f>O51*Q$10</f>
        <v>1278637.4907766203</v>
      </c>
      <c r="Q51" s="385">
        <f>P51</f>
        <v>1278637.4907766203</v>
      </c>
      <c r="R51" s="462" t="s">
        <v>12</v>
      </c>
      <c r="S51" s="463">
        <f>AVERAGE(K51,N51,Q51)</f>
        <v>1257346.5378746281</v>
      </c>
      <c r="T51" s="511" t="s">
        <v>12</v>
      </c>
    </row>
    <row r="52" spans="1:20" x14ac:dyDescent="0.25">
      <c r="A52" s="484"/>
      <c r="B52" s="23" t="s">
        <v>45</v>
      </c>
      <c r="C52" s="24" t="s">
        <v>46</v>
      </c>
      <c r="D52" s="23" t="s">
        <v>47</v>
      </c>
      <c r="E52" s="23" t="s">
        <v>48</v>
      </c>
      <c r="F52" s="23" t="s">
        <v>49</v>
      </c>
      <c r="G52" s="23" t="s">
        <v>50</v>
      </c>
      <c r="H52" s="47" t="s">
        <v>74</v>
      </c>
      <c r="I52" s="260"/>
      <c r="J52" s="261"/>
      <c r="K52" s="262"/>
      <c r="L52" s="77"/>
      <c r="M52" s="24"/>
      <c r="N52" s="38"/>
      <c r="O52" s="260"/>
      <c r="P52" s="261"/>
      <c r="Q52" s="262"/>
      <c r="R52" s="134"/>
      <c r="S52" s="136"/>
      <c r="T52" s="227"/>
    </row>
    <row r="53" spans="1:20" x14ac:dyDescent="0.25">
      <c r="A53" s="501" t="s">
        <v>140</v>
      </c>
      <c r="B53" s="21">
        <v>0</v>
      </c>
      <c r="C53" s="21">
        <v>6</v>
      </c>
      <c r="D53" s="21">
        <v>3</v>
      </c>
      <c r="E53" s="21">
        <v>3</v>
      </c>
      <c r="F53" s="21">
        <v>0</v>
      </c>
      <c r="G53" s="21">
        <v>0</v>
      </c>
      <c r="H53" s="52">
        <f>SUM(B53:G53)</f>
        <v>12</v>
      </c>
      <c r="I53" s="263" t="s">
        <v>12</v>
      </c>
      <c r="J53" s="281">
        <f>$H53*K$10*K$11</f>
        <v>10926</v>
      </c>
      <c r="K53" s="289">
        <f>J53</f>
        <v>10926</v>
      </c>
      <c r="L53" s="58" t="s">
        <v>12</v>
      </c>
      <c r="M53" s="69">
        <f>$H53*N$10*N$11</f>
        <v>10926</v>
      </c>
      <c r="N53" s="68">
        <f>M53</f>
        <v>10926</v>
      </c>
      <c r="O53" s="263" t="s">
        <v>12</v>
      </c>
      <c r="P53" s="281">
        <f>$H53*Q$10*Q$11</f>
        <v>10926</v>
      </c>
      <c r="Q53" s="289">
        <f>P53</f>
        <v>10926</v>
      </c>
      <c r="R53" s="121">
        <f>AVERAGE(K53,N53,Q53)</f>
        <v>10926</v>
      </c>
      <c r="S53" s="119" t="s">
        <v>12</v>
      </c>
      <c r="T53" s="232" t="s">
        <v>12</v>
      </c>
    </row>
    <row r="54" spans="1:20" s="1" customFormat="1" ht="13.8" thickBot="1" x14ac:dyDescent="0.3">
      <c r="A54" s="491" t="s">
        <v>8</v>
      </c>
      <c r="B54" s="373">
        <f>ROUND(B53*Labor!$D$3,0)</f>
        <v>0</v>
      </c>
      <c r="C54" s="374">
        <f>ROUND(C53*Labor!$D$4,0)</f>
        <v>245</v>
      </c>
      <c r="D54" s="374">
        <f>ROUND(D53*Labor!$D$5,0)</f>
        <v>132</v>
      </c>
      <c r="E54" s="374">
        <f>ROUND(E53*Labor!$D$6,0)</f>
        <v>148</v>
      </c>
      <c r="F54" s="374">
        <f>ROUND(F53*Labor!$D$7,0)</f>
        <v>0</v>
      </c>
      <c r="G54" s="374">
        <f>ROUND(G53*Labor!$D$8,0)</f>
        <v>0</v>
      </c>
      <c r="H54" s="209">
        <f>SUM(B54:G54)</f>
        <v>525</v>
      </c>
      <c r="I54" s="332">
        <f>HLOOKUP(Labor!$B$11,InflationTable,2)*H54*K$11</f>
        <v>510.43491594703897</v>
      </c>
      <c r="J54" s="296">
        <f>I54*K$10</f>
        <v>645700.16867300426</v>
      </c>
      <c r="K54" s="297">
        <f>J54</f>
        <v>645700.16867300426</v>
      </c>
      <c r="L54" s="376">
        <f>HLOOKUP(Labor!$B$11,InflationTable,3)*$H$54*N$11</f>
        <v>524.37624175637109</v>
      </c>
      <c r="M54" s="377">
        <f>L54*N$10</f>
        <v>663335.94582180947</v>
      </c>
      <c r="N54" s="378">
        <f>M54</f>
        <v>663335.94582180947</v>
      </c>
      <c r="O54" s="383">
        <f>HLOOKUP(Labor!$B$11,InflationTable,4)*$H$54*Q$11</f>
        <v>530.65982818792543</v>
      </c>
      <c r="P54" s="384">
        <f>O54*Q$10</f>
        <v>671284.68265772564</v>
      </c>
      <c r="Q54" s="385">
        <f>P54</f>
        <v>671284.68265772564</v>
      </c>
      <c r="R54" s="379">
        <f>AVERAGE(K54,N54,Q54)</f>
        <v>660106.93238417979</v>
      </c>
      <c r="S54" s="380" t="s">
        <v>12</v>
      </c>
      <c r="T54" s="511" t="s">
        <v>12</v>
      </c>
    </row>
    <row r="55" spans="1:20" x14ac:dyDescent="0.25">
      <c r="A55" s="502" t="s">
        <v>139</v>
      </c>
      <c r="B55" s="346">
        <v>0</v>
      </c>
      <c r="C55" s="346">
        <v>16</v>
      </c>
      <c r="D55" s="346">
        <v>8</v>
      </c>
      <c r="E55" s="346">
        <v>32</v>
      </c>
      <c r="F55" s="346">
        <v>0</v>
      </c>
      <c r="G55" s="346">
        <v>0</v>
      </c>
      <c r="H55" s="347">
        <f>SUM(B55:G55)</f>
        <v>56</v>
      </c>
      <c r="I55" s="293" t="s">
        <v>12</v>
      </c>
      <c r="J55" s="327">
        <f>$H55*K$10*K$11</f>
        <v>50988</v>
      </c>
      <c r="K55" s="328">
        <f>J55</f>
        <v>50988</v>
      </c>
      <c r="L55" s="61" t="s">
        <v>12</v>
      </c>
      <c r="M55" s="348">
        <f>$H55*N$10*N$11</f>
        <v>50988</v>
      </c>
      <c r="N55" s="349">
        <f>M55</f>
        <v>50988</v>
      </c>
      <c r="O55" s="263" t="s">
        <v>12</v>
      </c>
      <c r="P55" s="281">
        <f>$H55*Q$10*Q$11</f>
        <v>50988</v>
      </c>
      <c r="Q55" s="289">
        <f>P55</f>
        <v>50988</v>
      </c>
      <c r="R55" s="121">
        <f>AVERAGE(K55,N55,Q55)</f>
        <v>50988</v>
      </c>
      <c r="S55" s="119" t="s">
        <v>12</v>
      </c>
      <c r="T55" s="232" t="s">
        <v>12</v>
      </c>
    </row>
    <row r="56" spans="1:20" s="1" customFormat="1" ht="13.8" thickBot="1" x14ac:dyDescent="0.3">
      <c r="A56" s="500" t="s">
        <v>8</v>
      </c>
      <c r="B56" s="373">
        <f>ROUND(B55*Labor!$D$3,0)</f>
        <v>0</v>
      </c>
      <c r="C56" s="374">
        <f>ROUND(C55*Labor!$D$4,0)</f>
        <v>654</v>
      </c>
      <c r="D56" s="374">
        <f>ROUND(D55*Labor!$D$5,0)</f>
        <v>353</v>
      </c>
      <c r="E56" s="374">
        <f>ROUND(E55*Labor!$D$6,0)</f>
        <v>1576</v>
      </c>
      <c r="F56" s="374">
        <f>ROUND(F55*Labor!$D$7,0)</f>
        <v>0</v>
      </c>
      <c r="G56" s="374">
        <f>ROUND(G55*Labor!$D$8,0)</f>
        <v>0</v>
      </c>
      <c r="H56" s="209">
        <f>SUM(B56:G56)</f>
        <v>2583</v>
      </c>
      <c r="I56" s="332">
        <f>HLOOKUP(Labor!$B$11,InflationTable,2)*$H$56*K$11</f>
        <v>2511.3397864594317</v>
      </c>
      <c r="J56" s="296">
        <f>I56*K$10</f>
        <v>3176844.8298711809</v>
      </c>
      <c r="K56" s="297">
        <f>J56</f>
        <v>3176844.8298711809</v>
      </c>
      <c r="L56" s="376">
        <f>HLOOKUP(Labor!$B$11,InflationTable,3)*$H$56*N$11</f>
        <v>2579.9311094413456</v>
      </c>
      <c r="M56" s="377">
        <f>L56*N$10</f>
        <v>3263612.8534433022</v>
      </c>
      <c r="N56" s="378">
        <f>M56</f>
        <v>3263612.8534433022</v>
      </c>
      <c r="O56" s="332">
        <f>HLOOKUP(Labor!$B$11,InflationTable,4)*$H$56*Q$11</f>
        <v>2610.8463546845933</v>
      </c>
      <c r="P56" s="296">
        <f>O56*Q$10</f>
        <v>3302720.6386760105</v>
      </c>
      <c r="Q56" s="297">
        <f>P56</f>
        <v>3302720.6386760105</v>
      </c>
      <c r="R56" s="450">
        <f>AVERAGE(K56,N56,Q56)</f>
        <v>3247726.1073301644</v>
      </c>
      <c r="S56" s="218" t="s">
        <v>12</v>
      </c>
      <c r="T56" s="228" t="s">
        <v>12</v>
      </c>
    </row>
    <row r="57" spans="1:20" x14ac:dyDescent="0.25">
      <c r="A57" s="493" t="s">
        <v>66</v>
      </c>
      <c r="B57" s="36">
        <f t="shared" ref="B57:H57" si="7">B53+B55</f>
        <v>0</v>
      </c>
      <c r="C57" s="36">
        <f t="shared" si="7"/>
        <v>22</v>
      </c>
      <c r="D57" s="36">
        <f t="shared" si="7"/>
        <v>11</v>
      </c>
      <c r="E57" s="36">
        <f t="shared" si="7"/>
        <v>35</v>
      </c>
      <c r="F57" s="36">
        <f t="shared" si="7"/>
        <v>0</v>
      </c>
      <c r="G57" s="36">
        <f t="shared" si="7"/>
        <v>0</v>
      </c>
      <c r="H57" s="46">
        <f t="shared" si="7"/>
        <v>68</v>
      </c>
      <c r="I57" s="301" t="s">
        <v>12</v>
      </c>
      <c r="J57" s="309">
        <f>J53+J55</f>
        <v>61914</v>
      </c>
      <c r="K57" s="310">
        <f>K53+K55</f>
        <v>61914</v>
      </c>
      <c r="L57" s="85" t="s">
        <v>12</v>
      </c>
      <c r="M57" s="86">
        <f>M53+M55</f>
        <v>61914</v>
      </c>
      <c r="N57" s="97">
        <f>N53+N55</f>
        <v>61914</v>
      </c>
      <c r="O57" s="301" t="s">
        <v>12</v>
      </c>
      <c r="P57" s="309">
        <f>P53+P55</f>
        <v>61914</v>
      </c>
      <c r="Q57" s="310">
        <f>Q53+Q55</f>
        <v>61914</v>
      </c>
      <c r="R57" s="121">
        <f>AVERAGE(K57,N57,Q57)</f>
        <v>61914</v>
      </c>
      <c r="S57" s="136" t="s">
        <v>12</v>
      </c>
      <c r="T57" s="513" t="s">
        <v>12</v>
      </c>
    </row>
    <row r="58" spans="1:20" s="1" customFormat="1" ht="13.8" thickBot="1" x14ac:dyDescent="0.3">
      <c r="A58" s="494" t="s">
        <v>67</v>
      </c>
      <c r="B58" s="240">
        <f t="shared" ref="B58:G58" si="8">B54+B56</f>
        <v>0</v>
      </c>
      <c r="C58" s="240">
        <f t="shared" si="8"/>
        <v>899</v>
      </c>
      <c r="D58" s="240">
        <f t="shared" si="8"/>
        <v>485</v>
      </c>
      <c r="E58" s="240">
        <f t="shared" si="8"/>
        <v>1724</v>
      </c>
      <c r="F58" s="240">
        <f t="shared" si="8"/>
        <v>0</v>
      </c>
      <c r="G58" s="240">
        <f t="shared" si="8"/>
        <v>0</v>
      </c>
      <c r="H58" s="222">
        <f>H56+H54+B51</f>
        <v>4108</v>
      </c>
      <c r="I58" s="311">
        <f t="shared" ref="I58:Q58" si="9">I56+I54+I51</f>
        <v>3994.0316851627354</v>
      </c>
      <c r="J58" s="305">
        <f t="shared" si="9"/>
        <v>5052450.0817308603</v>
      </c>
      <c r="K58" s="306">
        <f t="shared" si="9"/>
        <v>5052450.0817308603</v>
      </c>
      <c r="L58" s="252">
        <f t="shared" si="9"/>
        <v>4103.1192402574707</v>
      </c>
      <c r="M58" s="253">
        <f t="shared" si="9"/>
        <v>5190445.8389257006</v>
      </c>
      <c r="N58" s="254">
        <f t="shared" si="9"/>
        <v>5190445.8389257006</v>
      </c>
      <c r="O58" s="304">
        <f t="shared" si="9"/>
        <v>4152.2868079923765</v>
      </c>
      <c r="P58" s="305">
        <f t="shared" si="9"/>
        <v>5252642.812110357</v>
      </c>
      <c r="Q58" s="306">
        <f t="shared" si="9"/>
        <v>5252642.812110357</v>
      </c>
      <c r="R58" s="257">
        <f>R56+R54</f>
        <v>3907833.0397143443</v>
      </c>
      <c r="S58" s="251">
        <f>S51</f>
        <v>1257346.5378746281</v>
      </c>
      <c r="T58" s="231" t="s">
        <v>12</v>
      </c>
    </row>
    <row r="59" spans="1:20" ht="13.8" thickTop="1" x14ac:dyDescent="0.25">
      <c r="E59"/>
    </row>
    <row r="60" spans="1:20" ht="15.6" x14ac:dyDescent="0.3">
      <c r="A60" s="540" t="s">
        <v>148</v>
      </c>
      <c r="B60" s="5"/>
      <c r="C60" s="5"/>
      <c r="D60" s="5"/>
      <c r="E60" s="112" t="s">
        <v>6</v>
      </c>
      <c r="F60" s="1415"/>
      <c r="G60" s="1416"/>
      <c r="H60" s="1417"/>
      <c r="I60" s="181" t="s">
        <v>26</v>
      </c>
      <c r="J60" s="426"/>
      <c r="K60" s="67"/>
      <c r="L60" s="245" t="s">
        <v>26</v>
      </c>
      <c r="M60" s="426"/>
      <c r="N60" s="426"/>
      <c r="O60" s="245" t="s">
        <v>26</v>
      </c>
      <c r="P60" s="426"/>
      <c r="Q60" s="67"/>
      <c r="R60" s="225"/>
      <c r="S60" s="37"/>
      <c r="T60" s="227"/>
    </row>
    <row r="61" spans="1:20" x14ac:dyDescent="0.25">
      <c r="A61" s="484"/>
      <c r="B61" s="5"/>
      <c r="C61" s="5"/>
      <c r="D61" s="5"/>
      <c r="E61" s="7"/>
      <c r="F61" s="5"/>
      <c r="G61" s="5"/>
      <c r="H61" s="45" t="s">
        <v>61</v>
      </c>
      <c r="I61" s="277" t="s">
        <v>61</v>
      </c>
      <c r="J61" s="1422" t="s">
        <v>57</v>
      </c>
      <c r="K61" s="1423"/>
      <c r="L61" s="57" t="s">
        <v>61</v>
      </c>
      <c r="M61" s="1432" t="s">
        <v>57</v>
      </c>
      <c r="N61" s="1433"/>
      <c r="O61" s="277" t="s">
        <v>61</v>
      </c>
      <c r="P61" s="1422" t="s">
        <v>57</v>
      </c>
      <c r="Q61" s="1423"/>
      <c r="R61" s="131"/>
      <c r="S61" s="37"/>
      <c r="T61" s="227"/>
    </row>
    <row r="62" spans="1:20" x14ac:dyDescent="0.25">
      <c r="A62" s="501" t="s">
        <v>27</v>
      </c>
      <c r="B62" s="23" t="s">
        <v>45</v>
      </c>
      <c r="C62" s="24" t="s">
        <v>46</v>
      </c>
      <c r="D62" s="23" t="s">
        <v>47</v>
      </c>
      <c r="E62" s="23" t="s">
        <v>48</v>
      </c>
      <c r="F62" s="23" t="s">
        <v>49</v>
      </c>
      <c r="G62" s="23" t="s">
        <v>50</v>
      </c>
      <c r="H62" s="45" t="s">
        <v>13</v>
      </c>
      <c r="I62" s="260" t="s">
        <v>56</v>
      </c>
      <c r="J62" s="261" t="s">
        <v>13</v>
      </c>
      <c r="K62" s="262" t="s">
        <v>68</v>
      </c>
      <c r="L62" s="77" t="s">
        <v>56</v>
      </c>
      <c r="M62" s="24" t="s">
        <v>13</v>
      </c>
      <c r="N62" s="38" t="s">
        <v>68</v>
      </c>
      <c r="O62" s="260" t="s">
        <v>56</v>
      </c>
      <c r="P62" s="261" t="s">
        <v>13</v>
      </c>
      <c r="Q62" s="262" t="s">
        <v>68</v>
      </c>
      <c r="R62" s="123"/>
      <c r="S62" s="37"/>
      <c r="T62" s="227"/>
    </row>
    <row r="63" spans="1:20" x14ac:dyDescent="0.25">
      <c r="A63" s="503" t="s">
        <v>4</v>
      </c>
      <c r="B63" s="21">
        <v>0</v>
      </c>
      <c r="C63" s="21">
        <v>6</v>
      </c>
      <c r="D63" s="21">
        <v>3</v>
      </c>
      <c r="E63" s="21">
        <v>3</v>
      </c>
      <c r="F63" s="21">
        <v>2</v>
      </c>
      <c r="G63" s="21">
        <v>0</v>
      </c>
      <c r="H63" s="52">
        <f t="shared" ref="H63:H70" si="10">SUM(B63:G63)</f>
        <v>14</v>
      </c>
      <c r="I63" s="263" t="s">
        <v>12</v>
      </c>
      <c r="J63" s="281">
        <f>$H63*K$10*K$11</f>
        <v>12747</v>
      </c>
      <c r="K63" s="289">
        <f t="shared" ref="K63:K70" si="11">J63</f>
        <v>12747</v>
      </c>
      <c r="L63" s="58" t="s">
        <v>12</v>
      </c>
      <c r="M63" s="69">
        <f>$H63*N$10*N$11</f>
        <v>12747</v>
      </c>
      <c r="N63" s="68">
        <f t="shared" ref="N63:N70" si="12">M63</f>
        <v>12747</v>
      </c>
      <c r="O63" s="263" t="s">
        <v>12</v>
      </c>
      <c r="P63" s="281">
        <f>$H63*Q$10*Q$11</f>
        <v>12747</v>
      </c>
      <c r="Q63" s="289">
        <f t="shared" ref="Q63:Q70" si="13">P63</f>
        <v>12747</v>
      </c>
      <c r="R63" s="121">
        <f t="shared" ref="R63:R72" si="14">AVERAGE(K63,N63,Q63)</f>
        <v>12747</v>
      </c>
      <c r="S63" s="119" t="s">
        <v>12</v>
      </c>
      <c r="T63" s="232" t="s">
        <v>12</v>
      </c>
    </row>
    <row r="64" spans="1:20" s="1" customFormat="1" ht="13.8" thickBot="1" x14ac:dyDescent="0.3">
      <c r="A64" s="491" t="s">
        <v>8</v>
      </c>
      <c r="B64" s="373">
        <f>ROUND(B63*Labor!$D$3,0)</f>
        <v>0</v>
      </c>
      <c r="C64" s="374">
        <f>ROUND(C63*Labor!$D$4,0)</f>
        <v>245</v>
      </c>
      <c r="D64" s="374">
        <f>ROUND(D63*Labor!$D$5,0)</f>
        <v>132</v>
      </c>
      <c r="E64" s="374">
        <f>ROUND(E63*Labor!$D$6,0)</f>
        <v>148</v>
      </c>
      <c r="F64" s="374">
        <f>ROUND(F63*Labor!$D$7,0)</f>
        <v>111</v>
      </c>
      <c r="G64" s="374">
        <f>ROUND(G63*Labor!$D$8,0)</f>
        <v>0</v>
      </c>
      <c r="H64" s="209">
        <f t="shared" si="10"/>
        <v>636</v>
      </c>
      <c r="I64" s="332">
        <f>HLOOKUP(Labor!$B$11,InflationTable,2)*H64*K$11</f>
        <v>618.35544103298434</v>
      </c>
      <c r="J64" s="296">
        <f>I64*K$10</f>
        <v>782219.63290672516</v>
      </c>
      <c r="K64" s="297">
        <f t="shared" si="11"/>
        <v>782219.63290672516</v>
      </c>
      <c r="L64" s="376">
        <f>HLOOKUP(Labor!$B$11,InflationTable,3)*$H$64*N$11</f>
        <v>635.24436144200376</v>
      </c>
      <c r="M64" s="377">
        <f>L64*N$10</f>
        <v>803584.11722413474</v>
      </c>
      <c r="N64" s="378">
        <f t="shared" si="12"/>
        <v>803584.11722413474</v>
      </c>
      <c r="O64" s="339">
        <f>HLOOKUP(Labor!$B$11,InflationTable,4)*$H$64*Q$11</f>
        <v>642.85647757622974</v>
      </c>
      <c r="P64" s="296">
        <f>O64*Q$10</f>
        <v>813213.44413393061</v>
      </c>
      <c r="Q64" s="297">
        <f t="shared" si="13"/>
        <v>813213.44413393061</v>
      </c>
      <c r="R64" s="211">
        <f t="shared" si="14"/>
        <v>799672.39808826346</v>
      </c>
      <c r="S64" s="218" t="s">
        <v>12</v>
      </c>
      <c r="T64" s="228" t="s">
        <v>12</v>
      </c>
    </row>
    <row r="65" spans="1:20" x14ac:dyDescent="0.25">
      <c r="A65" s="492" t="s">
        <v>138</v>
      </c>
      <c r="B65" s="346">
        <v>0</v>
      </c>
      <c r="C65" s="346">
        <v>1</v>
      </c>
      <c r="D65" s="346">
        <v>2</v>
      </c>
      <c r="E65" s="346">
        <v>4</v>
      </c>
      <c r="F65" s="346">
        <v>2</v>
      </c>
      <c r="G65" s="346">
        <v>0</v>
      </c>
      <c r="H65" s="347">
        <f t="shared" si="10"/>
        <v>9</v>
      </c>
      <c r="I65" s="293" t="s">
        <v>12</v>
      </c>
      <c r="J65" s="327">
        <f>$H65*K$10*K$11</f>
        <v>8194.5</v>
      </c>
      <c r="K65" s="328">
        <f t="shared" si="11"/>
        <v>8194.5</v>
      </c>
      <c r="L65" s="61" t="s">
        <v>12</v>
      </c>
      <c r="M65" s="348">
        <f>$H65*N$10*N$11</f>
        <v>8194.5</v>
      </c>
      <c r="N65" s="349">
        <f t="shared" si="12"/>
        <v>8194.5</v>
      </c>
      <c r="O65" s="293" t="s">
        <v>12</v>
      </c>
      <c r="P65" s="327">
        <f>$H65*Q$10*Q$11</f>
        <v>8194.5</v>
      </c>
      <c r="Q65" s="328">
        <f t="shared" si="13"/>
        <v>8194.5</v>
      </c>
      <c r="R65" s="129">
        <f t="shared" si="14"/>
        <v>8194.5</v>
      </c>
      <c r="S65" s="136" t="s">
        <v>12</v>
      </c>
      <c r="T65" s="230" t="s">
        <v>12</v>
      </c>
    </row>
    <row r="66" spans="1:20" s="1" customFormat="1" ht="13.8" thickBot="1" x14ac:dyDescent="0.3">
      <c r="A66" s="491" t="s">
        <v>8</v>
      </c>
      <c r="B66" s="373">
        <f>ROUND(B65*Labor!$D$3,0)</f>
        <v>0</v>
      </c>
      <c r="C66" s="374">
        <f>ROUND(C65*Labor!$D$4,0)</f>
        <v>41</v>
      </c>
      <c r="D66" s="374">
        <f>ROUND(D65*Labor!$D$5,0)</f>
        <v>88</v>
      </c>
      <c r="E66" s="374">
        <f>ROUND(E65*Labor!$D$6,0)</f>
        <v>197</v>
      </c>
      <c r="F66" s="374">
        <f>ROUND(F65*Labor!$D$7,0)</f>
        <v>111</v>
      </c>
      <c r="G66" s="374">
        <f>ROUND(G65*Labor!$D$8,0)</f>
        <v>0</v>
      </c>
      <c r="H66" s="209">
        <f t="shared" si="10"/>
        <v>437</v>
      </c>
      <c r="I66" s="332">
        <f>HLOOKUP(Labor!$B$11,InflationTable,2)*H66*K$11</f>
        <v>424.87630146448765</v>
      </c>
      <c r="J66" s="296">
        <f>I66*K$10</f>
        <v>537468.52135257691</v>
      </c>
      <c r="K66" s="297">
        <f t="shared" si="11"/>
        <v>537468.52135257691</v>
      </c>
      <c r="L66" s="376">
        <f>HLOOKUP(Labor!$B$11,InflationTable,3)*H66*N$11</f>
        <v>436.48079551911263</v>
      </c>
      <c r="M66" s="377">
        <f>L66*N$10</f>
        <v>552148.2063316775</v>
      </c>
      <c r="N66" s="378">
        <f t="shared" si="12"/>
        <v>552148.2063316775</v>
      </c>
      <c r="O66" s="339">
        <f>HLOOKUP(Labor!$B$11,InflationTable,4)*$H$66*Q$11</f>
        <v>441.71113317737797</v>
      </c>
      <c r="P66" s="296">
        <f>O66*Q$10</f>
        <v>558764.58346938319</v>
      </c>
      <c r="Q66" s="297">
        <f t="shared" si="13"/>
        <v>558764.58346938319</v>
      </c>
      <c r="R66" s="211">
        <f t="shared" si="14"/>
        <v>549460.43705121253</v>
      </c>
      <c r="S66" s="218" t="s">
        <v>12</v>
      </c>
      <c r="T66" s="228" t="s">
        <v>12</v>
      </c>
    </row>
    <row r="67" spans="1:20" x14ac:dyDescent="0.25">
      <c r="A67" s="492" t="s">
        <v>137</v>
      </c>
      <c r="B67" s="346">
        <v>0</v>
      </c>
      <c r="C67" s="346">
        <v>0</v>
      </c>
      <c r="D67" s="346">
        <v>4</v>
      </c>
      <c r="E67" s="346">
        <v>8</v>
      </c>
      <c r="F67" s="346">
        <v>0</v>
      </c>
      <c r="G67" s="346">
        <v>0</v>
      </c>
      <c r="H67" s="347">
        <f t="shared" si="10"/>
        <v>12</v>
      </c>
      <c r="I67" s="293" t="s">
        <v>12</v>
      </c>
      <c r="J67" s="327">
        <f>$H67*K$10*K$11</f>
        <v>10926</v>
      </c>
      <c r="K67" s="328">
        <f t="shared" si="11"/>
        <v>10926</v>
      </c>
      <c r="L67" s="61" t="s">
        <v>12</v>
      </c>
      <c r="M67" s="348">
        <f>$H67*N$10*N$11</f>
        <v>10926</v>
      </c>
      <c r="N67" s="349">
        <f t="shared" si="12"/>
        <v>10926</v>
      </c>
      <c r="O67" s="293" t="s">
        <v>12</v>
      </c>
      <c r="P67" s="327">
        <f>$H67*Q$10*Q$11</f>
        <v>10926</v>
      </c>
      <c r="Q67" s="328">
        <f t="shared" si="13"/>
        <v>10926</v>
      </c>
      <c r="R67" s="129">
        <f t="shared" si="14"/>
        <v>10926</v>
      </c>
      <c r="S67" s="136" t="s">
        <v>12</v>
      </c>
      <c r="T67" s="230" t="s">
        <v>12</v>
      </c>
    </row>
    <row r="68" spans="1:20" s="1" customFormat="1" ht="13.8" thickBot="1" x14ac:dyDescent="0.3">
      <c r="A68" s="491" t="s">
        <v>8</v>
      </c>
      <c r="B68" s="373">
        <f>ROUND(B67*Labor!$D$3,0)</f>
        <v>0</v>
      </c>
      <c r="C68" s="374">
        <f>ROUND(C67*Labor!$D$4,0)</f>
        <v>0</v>
      </c>
      <c r="D68" s="374">
        <f>ROUND(D67*Labor!$D$5,0)</f>
        <v>176</v>
      </c>
      <c r="E68" s="374">
        <f>ROUND(E67*Labor!$D$6,0)</f>
        <v>394</v>
      </c>
      <c r="F68" s="374">
        <f>ROUND(F67*Labor!$D$7,0)</f>
        <v>0</v>
      </c>
      <c r="G68" s="374">
        <f>ROUND(G67*Labor!$D$8,0)</f>
        <v>0</v>
      </c>
      <c r="H68" s="209">
        <f t="shared" si="10"/>
        <v>570</v>
      </c>
      <c r="I68" s="332">
        <f>HLOOKUP(Labor!$B$11,InflationTable,2)*H68*K$11</f>
        <v>554.18648017107091</v>
      </c>
      <c r="J68" s="296">
        <f>I68*K$10</f>
        <v>701045.89741640468</v>
      </c>
      <c r="K68" s="297">
        <f t="shared" si="11"/>
        <v>701045.89741640468</v>
      </c>
      <c r="L68" s="376">
        <f>HLOOKUP(Labor!$B$11,InflationTable,3)*$H$68*N$11</f>
        <v>569.32277676406</v>
      </c>
      <c r="M68" s="377">
        <f>L68*N$10</f>
        <v>720193.31260653585</v>
      </c>
      <c r="N68" s="378">
        <f t="shared" si="12"/>
        <v>720193.31260653585</v>
      </c>
      <c r="O68" s="332">
        <f>HLOOKUP(Labor!$B$11,InflationTable,4)*$H$68*Q$11</f>
        <v>576.14495631831915</v>
      </c>
      <c r="P68" s="296">
        <f>O68*Q$10</f>
        <v>728823.36974267371</v>
      </c>
      <c r="Q68" s="297">
        <f t="shared" si="13"/>
        <v>728823.36974267371</v>
      </c>
      <c r="R68" s="211">
        <f t="shared" si="14"/>
        <v>716687.52658853808</v>
      </c>
      <c r="S68" s="218" t="s">
        <v>12</v>
      </c>
      <c r="T68" s="228" t="s">
        <v>12</v>
      </c>
    </row>
    <row r="69" spans="1:20" x14ac:dyDescent="0.25">
      <c r="A69" s="492" t="s">
        <v>136</v>
      </c>
      <c r="B69" s="346">
        <v>0</v>
      </c>
      <c r="C69" s="346">
        <v>1</v>
      </c>
      <c r="D69" s="346">
        <v>1</v>
      </c>
      <c r="E69" s="346">
        <v>2</v>
      </c>
      <c r="F69" s="346">
        <v>0</v>
      </c>
      <c r="G69" s="346">
        <v>0</v>
      </c>
      <c r="H69" s="347">
        <f t="shared" si="10"/>
        <v>4</v>
      </c>
      <c r="I69" s="293" t="s">
        <v>12</v>
      </c>
      <c r="J69" s="327">
        <f>$H69*K$10*K$11</f>
        <v>3641.9999999999995</v>
      </c>
      <c r="K69" s="328">
        <f t="shared" si="11"/>
        <v>3641.9999999999995</v>
      </c>
      <c r="L69" s="61" t="s">
        <v>12</v>
      </c>
      <c r="M69" s="348">
        <f>$H69*N$10*N$11</f>
        <v>3641.9999999999995</v>
      </c>
      <c r="N69" s="349">
        <f t="shared" si="12"/>
        <v>3641.9999999999995</v>
      </c>
      <c r="O69" s="293" t="s">
        <v>12</v>
      </c>
      <c r="P69" s="327">
        <f>$H69*Q$10*Q$11</f>
        <v>3641.9999999999995</v>
      </c>
      <c r="Q69" s="328">
        <f t="shared" si="13"/>
        <v>3641.9999999999995</v>
      </c>
      <c r="R69" s="129">
        <f t="shared" si="14"/>
        <v>3641.9999999999995</v>
      </c>
      <c r="S69" s="136" t="s">
        <v>12</v>
      </c>
      <c r="T69" s="230" t="s">
        <v>12</v>
      </c>
    </row>
    <row r="70" spans="1:20" s="1" customFormat="1" ht="13.8" thickBot="1" x14ac:dyDescent="0.3">
      <c r="A70" s="491" t="s">
        <v>8</v>
      </c>
      <c r="B70" s="373">
        <f>ROUND(B69*Labor!$D$3,0)</f>
        <v>0</v>
      </c>
      <c r="C70" s="374">
        <f>ROUND(C69*Labor!$D$4,0)</f>
        <v>41</v>
      </c>
      <c r="D70" s="374">
        <f>ROUND(D69*Labor!$D$5,0)</f>
        <v>44</v>
      </c>
      <c r="E70" s="374">
        <f>ROUND(E69*Labor!$D$6,0)</f>
        <v>99</v>
      </c>
      <c r="F70" s="374">
        <f>ROUND(F69*Labor!$D$7,0)</f>
        <v>0</v>
      </c>
      <c r="G70" s="374">
        <f>ROUND(G69*Labor!$D$8,0)</f>
        <v>0</v>
      </c>
      <c r="H70" s="209">
        <f t="shared" si="10"/>
        <v>184</v>
      </c>
      <c r="I70" s="332">
        <f>HLOOKUP(Labor!$B$11,InflationTable,2)*H70*K$11</f>
        <v>178.89528482715269</v>
      </c>
      <c r="J70" s="296">
        <f>I70*K$10</f>
        <v>226302.53530634815</v>
      </c>
      <c r="K70" s="390">
        <f t="shared" si="11"/>
        <v>226302.53530634815</v>
      </c>
      <c r="L70" s="376">
        <f>HLOOKUP(Labor!$B$11,InflationTable,3)*$H$70*N$11</f>
        <v>183.78138758699481</v>
      </c>
      <c r="M70" s="377">
        <f>L70*N$10</f>
        <v>232483.45529754844</v>
      </c>
      <c r="N70" s="449">
        <f t="shared" si="12"/>
        <v>232483.45529754844</v>
      </c>
      <c r="O70" s="332">
        <f>HLOOKUP(Labor!$B$11,InflationTable,4)*$H$70*Q$11</f>
        <v>185.98363502205387</v>
      </c>
      <c r="P70" s="296">
        <f>O70*Q$10</f>
        <v>235269.29830289815</v>
      </c>
      <c r="Q70" s="390">
        <f t="shared" si="13"/>
        <v>235269.29830289815</v>
      </c>
      <c r="R70" s="211">
        <f t="shared" si="14"/>
        <v>231351.76296893158</v>
      </c>
      <c r="S70" s="393" t="s">
        <v>12</v>
      </c>
      <c r="T70" s="228" t="s">
        <v>12</v>
      </c>
    </row>
    <row r="71" spans="1:20" x14ac:dyDescent="0.25">
      <c r="A71" s="493" t="s">
        <v>66</v>
      </c>
      <c r="B71" s="36">
        <f t="shared" ref="B71:H72" si="15">B63+B65+B67+B69</f>
        <v>0</v>
      </c>
      <c r="C71" s="36">
        <f t="shared" si="15"/>
        <v>8</v>
      </c>
      <c r="D71" s="36">
        <f t="shared" si="15"/>
        <v>10</v>
      </c>
      <c r="E71" s="36">
        <f t="shared" si="15"/>
        <v>17</v>
      </c>
      <c r="F71" s="36">
        <f t="shared" si="15"/>
        <v>4</v>
      </c>
      <c r="G71" s="36">
        <f t="shared" si="15"/>
        <v>0</v>
      </c>
      <c r="H71" s="46">
        <f t="shared" si="15"/>
        <v>39</v>
      </c>
      <c r="I71" s="301" t="s">
        <v>12</v>
      </c>
      <c r="J71" s="285">
        <f>J63+J65+J67+J69</f>
        <v>35509.5</v>
      </c>
      <c r="K71" s="312">
        <f>K63+K65+K67+K69</f>
        <v>35509.5</v>
      </c>
      <c r="L71" s="85" t="s">
        <v>12</v>
      </c>
      <c r="M71" s="33">
        <f>M63+M65+M67+M69</f>
        <v>35509.5</v>
      </c>
      <c r="N71" s="99">
        <f>N63+N65+N67+N69</f>
        <v>35509.5</v>
      </c>
      <c r="O71" s="301" t="s">
        <v>12</v>
      </c>
      <c r="P71" s="285">
        <f>P63+P65+P67+P69</f>
        <v>35509.5</v>
      </c>
      <c r="Q71" s="312">
        <f>Q63+Q65+Q67+Q69</f>
        <v>35509.5</v>
      </c>
      <c r="R71" s="129">
        <f t="shared" si="14"/>
        <v>35509.5</v>
      </c>
      <c r="S71" s="136" t="s">
        <v>12</v>
      </c>
      <c r="T71" s="230" t="s">
        <v>12</v>
      </c>
    </row>
    <row r="72" spans="1:20" s="1" customFormat="1" ht="13.8" thickBot="1" x14ac:dyDescent="0.3">
      <c r="A72" s="494" t="s">
        <v>67</v>
      </c>
      <c r="B72" s="240">
        <f t="shared" si="15"/>
        <v>0</v>
      </c>
      <c r="C72" s="240">
        <f t="shared" si="15"/>
        <v>327</v>
      </c>
      <c r="D72" s="240">
        <f t="shared" si="15"/>
        <v>440</v>
      </c>
      <c r="E72" s="240">
        <f t="shared" si="15"/>
        <v>838</v>
      </c>
      <c r="F72" s="240">
        <f t="shared" si="15"/>
        <v>222</v>
      </c>
      <c r="G72" s="240">
        <f t="shared" si="15"/>
        <v>0</v>
      </c>
      <c r="H72" s="243">
        <f t="shared" si="15"/>
        <v>1827</v>
      </c>
      <c r="I72" s="313">
        <f>I64+I66+I68+I70</f>
        <v>1776.3135074956956</v>
      </c>
      <c r="J72" s="275">
        <f>J64+J66+J68+J70</f>
        <v>2247036.5869820551</v>
      </c>
      <c r="K72" s="276">
        <f>K64+K66+K68+K70</f>
        <v>2247036.5869820551</v>
      </c>
      <c r="L72" s="242">
        <f>L64+L66+L68+L70</f>
        <v>1824.829321312171</v>
      </c>
      <c r="M72" s="240">
        <f>M64+M66+M68+M70</f>
        <v>2308409.0914598964</v>
      </c>
      <c r="N72" s="243">
        <f>N64+N66+N68+N70</f>
        <v>2308409.0914598964</v>
      </c>
      <c r="O72" s="313">
        <f>O64+O66+O68+O70</f>
        <v>1846.6962020939809</v>
      </c>
      <c r="P72" s="275">
        <f>P64+P66+P68+P70</f>
        <v>2336070.6956488858</v>
      </c>
      <c r="Q72" s="276">
        <f>Q64+Q66+Q68+Q70</f>
        <v>2336070.6956488858</v>
      </c>
      <c r="R72" s="255">
        <f t="shared" si="14"/>
        <v>2297172.1246969458</v>
      </c>
      <c r="S72" s="249" t="s">
        <v>12</v>
      </c>
      <c r="T72" s="231" t="s">
        <v>12</v>
      </c>
    </row>
    <row r="73" spans="1:20" s="1" customFormat="1" ht="13.8" thickTop="1" x14ac:dyDescent="0.25">
      <c r="A73" s="610"/>
      <c r="B73" s="622"/>
      <c r="C73" s="622"/>
      <c r="D73" s="622"/>
      <c r="E73" s="622"/>
      <c r="F73" s="622"/>
      <c r="G73" s="622"/>
      <c r="H73" s="622"/>
      <c r="I73" s="623"/>
      <c r="J73" s="623"/>
      <c r="K73" s="623"/>
      <c r="L73" s="622"/>
      <c r="M73" s="622"/>
      <c r="N73" s="622"/>
      <c r="O73" s="623"/>
      <c r="P73" s="623"/>
      <c r="Q73" s="623"/>
      <c r="R73" s="625"/>
      <c r="S73" s="626"/>
      <c r="T73" s="626"/>
    </row>
    <row r="74" spans="1:20" x14ac:dyDescent="0.25">
      <c r="E74"/>
    </row>
    <row r="75" spans="1:20" ht="15.6" x14ac:dyDescent="0.3">
      <c r="A75" s="540" t="s">
        <v>149</v>
      </c>
      <c r="B75" s="5"/>
      <c r="C75" s="5"/>
      <c r="D75" s="5"/>
      <c r="E75" s="112" t="s">
        <v>6</v>
      </c>
      <c r="F75" s="1415"/>
      <c r="G75" s="1416"/>
      <c r="H75" s="1417"/>
      <c r="I75" s="181" t="s">
        <v>28</v>
      </c>
      <c r="J75" s="426"/>
      <c r="K75" s="67"/>
      <c r="L75" s="181" t="s">
        <v>28</v>
      </c>
      <c r="M75" s="426"/>
      <c r="N75" s="67"/>
      <c r="O75" s="181" t="s">
        <v>28</v>
      </c>
      <c r="P75" s="426"/>
      <c r="Q75" s="67"/>
      <c r="R75" s="225"/>
      <c r="S75" s="133"/>
      <c r="T75" s="227"/>
    </row>
    <row r="76" spans="1:20" x14ac:dyDescent="0.25">
      <c r="A76" s="484"/>
      <c r="B76" s="5"/>
      <c r="C76" s="5"/>
      <c r="D76" s="5"/>
      <c r="E76" s="7"/>
      <c r="F76" s="5"/>
      <c r="G76" s="5"/>
      <c r="H76" s="45" t="s">
        <v>61</v>
      </c>
      <c r="I76" s="277" t="s">
        <v>61</v>
      </c>
      <c r="J76" s="1422" t="s">
        <v>57</v>
      </c>
      <c r="K76" s="1423"/>
      <c r="L76" s="57" t="s">
        <v>61</v>
      </c>
      <c r="M76" s="1432" t="s">
        <v>57</v>
      </c>
      <c r="N76" s="1436"/>
      <c r="O76" s="318" t="s">
        <v>61</v>
      </c>
      <c r="P76" s="1422" t="s">
        <v>57</v>
      </c>
      <c r="Q76" s="1423"/>
      <c r="R76" s="126"/>
      <c r="S76" s="133"/>
      <c r="T76" s="227"/>
    </row>
    <row r="77" spans="1:20" x14ac:dyDescent="0.25">
      <c r="A77" s="484"/>
      <c r="B77" s="23" t="s">
        <v>45</v>
      </c>
      <c r="C77" s="24" t="s">
        <v>46</v>
      </c>
      <c r="D77" s="23" t="s">
        <v>47</v>
      </c>
      <c r="E77" s="23" t="s">
        <v>48</v>
      </c>
      <c r="F77" s="23" t="s">
        <v>49</v>
      </c>
      <c r="G77" s="23" t="s">
        <v>50</v>
      </c>
      <c r="H77" s="45" t="s">
        <v>13</v>
      </c>
      <c r="I77" s="260" t="s">
        <v>56</v>
      </c>
      <c r="J77" s="261" t="s">
        <v>13</v>
      </c>
      <c r="K77" s="262" t="s">
        <v>68</v>
      </c>
      <c r="L77" s="77" t="s">
        <v>56</v>
      </c>
      <c r="M77" s="24" t="s">
        <v>13</v>
      </c>
      <c r="N77" s="38" t="s">
        <v>68</v>
      </c>
      <c r="O77" s="260" t="s">
        <v>56</v>
      </c>
      <c r="P77" s="261" t="s">
        <v>13</v>
      </c>
      <c r="Q77" s="262" t="s">
        <v>68</v>
      </c>
      <c r="R77" s="120"/>
      <c r="S77" s="133"/>
      <c r="T77" s="227"/>
    </row>
    <row r="78" spans="1:20" x14ac:dyDescent="0.25">
      <c r="A78" s="488" t="s">
        <v>132</v>
      </c>
      <c r="B78" s="21">
        <v>0</v>
      </c>
      <c r="C78" s="21">
        <v>0</v>
      </c>
      <c r="D78" s="21">
        <v>0</v>
      </c>
      <c r="E78" s="21">
        <v>20</v>
      </c>
      <c r="F78" s="21">
        <v>16</v>
      </c>
      <c r="G78" s="21">
        <v>0</v>
      </c>
      <c r="H78" s="52">
        <f>SUM(B78:G78)</f>
        <v>36</v>
      </c>
      <c r="I78" s="263" t="s">
        <v>12</v>
      </c>
      <c r="J78" s="281">
        <f>$H78*K$10*K$11</f>
        <v>32778</v>
      </c>
      <c r="K78" s="289">
        <f>J78</f>
        <v>32778</v>
      </c>
      <c r="L78" s="58" t="s">
        <v>12</v>
      </c>
      <c r="M78" s="69">
        <f>$H$78*$N$10*N$11</f>
        <v>32778</v>
      </c>
      <c r="N78" s="68">
        <f>M78</f>
        <v>32778</v>
      </c>
      <c r="O78" s="263" t="s">
        <v>12</v>
      </c>
      <c r="P78" s="281">
        <f>$H$78*Q$10*Q$11</f>
        <v>32778</v>
      </c>
      <c r="Q78" s="289">
        <f>P78</f>
        <v>32778</v>
      </c>
      <c r="R78" s="121">
        <f>AVERAGE(K78,N78,Q78)</f>
        <v>32778</v>
      </c>
      <c r="S78" s="135" t="s">
        <v>12</v>
      </c>
      <c r="T78" s="230" t="s">
        <v>12</v>
      </c>
    </row>
    <row r="79" spans="1:20" s="1" customFormat="1" ht="13.8" thickBot="1" x14ac:dyDescent="0.3">
      <c r="A79" s="500" t="s">
        <v>8</v>
      </c>
      <c r="B79" s="373">
        <f>ROUND(B78*Labor!$D$3,0)</f>
        <v>0</v>
      </c>
      <c r="C79" s="374">
        <f>ROUND(C78*Labor!$D$4,0)</f>
        <v>0</v>
      </c>
      <c r="D79" s="374">
        <f>ROUND(D78*Labor!$D$5,0)</f>
        <v>0</v>
      </c>
      <c r="E79" s="374">
        <f>ROUND(E78*Labor!$D$6,0)</f>
        <v>985</v>
      </c>
      <c r="F79" s="374">
        <f>ROUND(F78*Labor!$D$7,0)</f>
        <v>887</v>
      </c>
      <c r="G79" s="374">
        <f>ROUND(G78*Labor!$D$8,0)</f>
        <v>0</v>
      </c>
      <c r="H79" s="209">
        <f>SUM(B79:G79)</f>
        <v>1872</v>
      </c>
      <c r="I79" s="332">
        <f>HLOOKUP(Labor!$B$11,InflationTable,2)*H79*K$11</f>
        <v>1820.0650717197273</v>
      </c>
      <c r="J79" s="296">
        <f>I79*K$10</f>
        <v>2302382.3157254551</v>
      </c>
      <c r="K79" s="297">
        <f>J79</f>
        <v>2302382.3157254551</v>
      </c>
      <c r="L79" s="376">
        <f>HLOOKUP(Labor!$B$11,InflationTable,3)*$H$79*N$11</f>
        <v>1869.7758563198602</v>
      </c>
      <c r="M79" s="377">
        <f>L79*$N$10</f>
        <v>2365266.4582446232</v>
      </c>
      <c r="N79" s="378">
        <f>M79</f>
        <v>2365266.4582446232</v>
      </c>
      <c r="O79" s="339">
        <f>HLOOKUP(Labor!$B$11,InflationTable,4)*$H79*Q$11</f>
        <v>1892.1813302243745</v>
      </c>
      <c r="P79" s="296">
        <f>O79*$Q$10</f>
        <v>2393609.382733834</v>
      </c>
      <c r="Q79" s="297">
        <f>P79</f>
        <v>2393609.382733834</v>
      </c>
      <c r="R79" s="211">
        <f>AVERAGE(K79,N79,Q79)</f>
        <v>2353752.7189013041</v>
      </c>
      <c r="S79" s="393" t="s">
        <v>12</v>
      </c>
      <c r="T79" s="228" t="s">
        <v>12</v>
      </c>
    </row>
    <row r="80" spans="1:20" x14ac:dyDescent="0.25">
      <c r="A80" s="492" t="s">
        <v>133</v>
      </c>
      <c r="B80" s="346">
        <v>0</v>
      </c>
      <c r="C80" s="346">
        <v>26</v>
      </c>
      <c r="D80" s="346">
        <v>0</v>
      </c>
      <c r="E80" s="346">
        <v>0</v>
      </c>
      <c r="F80" s="346">
        <v>0</v>
      </c>
      <c r="G80" s="346">
        <v>0</v>
      </c>
      <c r="H80" s="347">
        <f>SUM(B80:G80)</f>
        <v>26</v>
      </c>
      <c r="I80" s="293" t="s">
        <v>12</v>
      </c>
      <c r="J80" s="327">
        <f>$H80*K$10*K$11</f>
        <v>23673</v>
      </c>
      <c r="K80" s="328">
        <f>J80</f>
        <v>23673</v>
      </c>
      <c r="L80" s="61" t="s">
        <v>12</v>
      </c>
      <c r="M80" s="348">
        <f>$H$80*$N$10*N$11</f>
        <v>23673</v>
      </c>
      <c r="N80" s="349">
        <f>M80</f>
        <v>23673</v>
      </c>
      <c r="O80" s="293" t="s">
        <v>12</v>
      </c>
      <c r="P80" s="327">
        <f>$H$80*Q$10*Q$11</f>
        <v>23673</v>
      </c>
      <c r="Q80" s="328">
        <f>P80</f>
        <v>23673</v>
      </c>
      <c r="R80" s="129">
        <f>AVERAGE(K80,N80,Q80)</f>
        <v>23673</v>
      </c>
      <c r="S80" s="135" t="s">
        <v>12</v>
      </c>
      <c r="T80" s="230" t="s">
        <v>12</v>
      </c>
    </row>
    <row r="81" spans="1:20" s="1" customFormat="1" ht="13.8" thickBot="1" x14ac:dyDescent="0.3">
      <c r="A81" s="500" t="s">
        <v>8</v>
      </c>
      <c r="B81" s="373">
        <f>ROUND(B80*Labor!$D$3,0)</f>
        <v>0</v>
      </c>
      <c r="C81" s="374">
        <f>ROUND(C80*Labor!$D$4,0)</f>
        <v>1062</v>
      </c>
      <c r="D81" s="374">
        <f>ROUND(D80*Labor!$D$5,0)</f>
        <v>0</v>
      </c>
      <c r="E81" s="374">
        <f>ROUND(E80*Labor!$D$6,0)</f>
        <v>0</v>
      </c>
      <c r="F81" s="374">
        <f>ROUND(F80*Labor!$D$7,0)</f>
        <v>0</v>
      </c>
      <c r="G81" s="374">
        <f>ROUND(G80*Labor!$D$8,0)</f>
        <v>0</v>
      </c>
      <c r="H81" s="209">
        <f>SUM(B81:G81)</f>
        <v>1062</v>
      </c>
      <c r="I81" s="332">
        <f>HLOOKUP(Labor!$B$11,InflationTable,2)*H81*K$11</f>
        <v>1032.5369156871529</v>
      </c>
      <c r="J81" s="296">
        <f>I81*K$10</f>
        <v>1306159.1983442486</v>
      </c>
      <c r="K81" s="297">
        <f>J81</f>
        <v>1306159.1983442486</v>
      </c>
      <c r="L81" s="376">
        <f>HLOOKUP(Labor!$B$11,InflationTable,3)*$H$81*N$11</f>
        <v>1060.7382261814591</v>
      </c>
      <c r="M81" s="377">
        <f>L81*$N$10</f>
        <v>1341833.8561195459</v>
      </c>
      <c r="N81" s="378">
        <f>M81</f>
        <v>1341833.8561195459</v>
      </c>
      <c r="O81" s="339">
        <f>HLOOKUP(Labor!$B$11,InflationTable,4)*$H81*Q$11</f>
        <v>1073.4490238772892</v>
      </c>
      <c r="P81" s="296">
        <f>O81*$Q$10</f>
        <v>1357913.0152047707</v>
      </c>
      <c r="Q81" s="297">
        <f>P81</f>
        <v>1357913.0152047707</v>
      </c>
      <c r="R81" s="211">
        <f>AVERAGE(K81,N81,Q81)</f>
        <v>1335302.0232228551</v>
      </c>
      <c r="S81" s="393" t="s">
        <v>12</v>
      </c>
      <c r="T81" s="228" t="s">
        <v>12</v>
      </c>
    </row>
    <row r="82" spans="1:20" x14ac:dyDescent="0.25">
      <c r="A82" s="492" t="s">
        <v>20</v>
      </c>
      <c r="B82" s="107" t="s">
        <v>45</v>
      </c>
      <c r="C82" s="108" t="s">
        <v>46</v>
      </c>
      <c r="D82" s="107" t="s">
        <v>47</v>
      </c>
      <c r="E82" s="107" t="s">
        <v>48</v>
      </c>
      <c r="F82" s="107" t="s">
        <v>49</v>
      </c>
      <c r="G82" s="107" t="s">
        <v>50</v>
      </c>
      <c r="H82" s="109" t="s">
        <v>13</v>
      </c>
      <c r="I82" s="351"/>
      <c r="J82" s="352"/>
      <c r="K82" s="356"/>
      <c r="L82" s="110"/>
      <c r="M82" s="108"/>
      <c r="N82" s="111"/>
      <c r="O82" s="351"/>
      <c r="P82" s="352"/>
      <c r="Q82" s="356"/>
      <c r="R82" s="123"/>
      <c r="S82" s="133"/>
      <c r="T82" s="227"/>
    </row>
    <row r="83" spans="1:20" x14ac:dyDescent="0.25">
      <c r="A83" s="489" t="s">
        <v>4</v>
      </c>
      <c r="B83" s="21">
        <v>0</v>
      </c>
      <c r="C83" s="21">
        <v>0</v>
      </c>
      <c r="D83" s="21">
        <v>0</v>
      </c>
      <c r="E83" s="21">
        <v>2</v>
      </c>
      <c r="F83" s="21">
        <v>2</v>
      </c>
      <c r="G83" s="21">
        <v>0</v>
      </c>
      <c r="H83" s="52">
        <f t="shared" ref="H83:H88" si="16">SUM(B83:G83)</f>
        <v>4</v>
      </c>
      <c r="I83" s="263" t="s">
        <v>12</v>
      </c>
      <c r="J83" s="281">
        <f>$H83*K$10*K$11</f>
        <v>3641.9999999999995</v>
      </c>
      <c r="K83" s="289">
        <f t="shared" ref="K83:K88" si="17">J83</f>
        <v>3641.9999999999995</v>
      </c>
      <c r="L83" s="58" t="s">
        <v>12</v>
      </c>
      <c r="M83" s="69">
        <f>$H83*$N$10*N$11</f>
        <v>3641.9999999999995</v>
      </c>
      <c r="N83" s="68">
        <f t="shared" ref="N83:N88" si="18">M83</f>
        <v>3641.9999999999995</v>
      </c>
      <c r="O83" s="263" t="s">
        <v>12</v>
      </c>
      <c r="P83" s="281">
        <f>$H83*Q$10*Q$11</f>
        <v>3641.9999999999995</v>
      </c>
      <c r="Q83" s="289">
        <f t="shared" ref="Q83:Q88" si="19">P83</f>
        <v>3641.9999999999995</v>
      </c>
      <c r="R83" s="121">
        <f t="shared" ref="R83:R88" si="20">AVERAGE(K83,N83,Q83)</f>
        <v>3641.9999999999995</v>
      </c>
      <c r="S83" s="135" t="s">
        <v>12</v>
      </c>
      <c r="T83" s="230" t="s">
        <v>12</v>
      </c>
    </row>
    <row r="84" spans="1:20" s="1" customFormat="1" ht="13.8" thickBot="1" x14ac:dyDescent="0.3">
      <c r="A84" s="500" t="s">
        <v>8</v>
      </c>
      <c r="B84" s="373">
        <f>ROUND(B83*Labor!$D$3,0)</f>
        <v>0</v>
      </c>
      <c r="C84" s="374">
        <f>ROUND(C83*Labor!$D$4,0)</f>
        <v>0</v>
      </c>
      <c r="D84" s="374">
        <f>ROUND(D83*Labor!$D$5,0)</f>
        <v>0</v>
      </c>
      <c r="E84" s="374">
        <f>ROUND(E83*Labor!$D$6,0)</f>
        <v>99</v>
      </c>
      <c r="F84" s="374">
        <f>ROUND(F83*Labor!$D$7,0)</f>
        <v>111</v>
      </c>
      <c r="G84" s="374">
        <f>ROUND(G83*Labor!$D$8,0)</f>
        <v>0</v>
      </c>
      <c r="H84" s="209">
        <f t="shared" si="16"/>
        <v>210</v>
      </c>
      <c r="I84" s="332">
        <f>HLOOKUP(Labor!$B$11,InflationTable,2)*H84*K$11</f>
        <v>204.17396637881558</v>
      </c>
      <c r="J84" s="296">
        <f>I84*K$10</f>
        <v>258280.06746920172</v>
      </c>
      <c r="K84" s="297">
        <f t="shared" si="17"/>
        <v>258280.06746920172</v>
      </c>
      <c r="L84" s="450">
        <f>HLOOKUP(Labor!$B$11,InflationTable,3)*$H84*N$11</f>
        <v>209.75049670254842</v>
      </c>
      <c r="M84" s="377">
        <f>L84*$N$10</f>
        <v>265334.37832872377</v>
      </c>
      <c r="N84" s="378">
        <f t="shared" si="18"/>
        <v>265334.37832872377</v>
      </c>
      <c r="O84" s="339">
        <f>HLOOKUP(Labor!$B$11,InflationTable,4)*$H84*Q$11</f>
        <v>212.26393127517019</v>
      </c>
      <c r="P84" s="296">
        <f>O84*$Q$10</f>
        <v>268513.87306309032</v>
      </c>
      <c r="Q84" s="297">
        <f t="shared" si="19"/>
        <v>268513.87306309032</v>
      </c>
      <c r="R84" s="211">
        <f t="shared" si="20"/>
        <v>264042.77295367193</v>
      </c>
      <c r="S84" s="393" t="s">
        <v>12</v>
      </c>
      <c r="T84" s="228" t="s">
        <v>12</v>
      </c>
    </row>
    <row r="85" spans="1:20" x14ac:dyDescent="0.25">
      <c r="A85" s="492" t="s">
        <v>134</v>
      </c>
      <c r="B85" s="346">
        <v>0</v>
      </c>
      <c r="C85" s="346">
        <v>1</v>
      </c>
      <c r="D85" s="346">
        <v>1</v>
      </c>
      <c r="E85" s="346">
        <v>2</v>
      </c>
      <c r="F85" s="346">
        <v>1</v>
      </c>
      <c r="G85" s="346">
        <v>0</v>
      </c>
      <c r="H85" s="347">
        <f t="shared" si="16"/>
        <v>5</v>
      </c>
      <c r="I85" s="293" t="s">
        <v>12</v>
      </c>
      <c r="J85" s="327">
        <f>$H85*K$10</f>
        <v>6325</v>
      </c>
      <c r="K85" s="328">
        <f t="shared" si="17"/>
        <v>6325</v>
      </c>
      <c r="L85" s="61" t="s">
        <v>12</v>
      </c>
      <c r="M85" s="348">
        <f>$H85*$N$10</f>
        <v>6325</v>
      </c>
      <c r="N85" s="349">
        <f t="shared" si="18"/>
        <v>6325</v>
      </c>
      <c r="O85" s="293" t="s">
        <v>12</v>
      </c>
      <c r="P85" s="327">
        <f>$H85*$Q$10</f>
        <v>6325</v>
      </c>
      <c r="Q85" s="328">
        <f t="shared" si="19"/>
        <v>6325</v>
      </c>
      <c r="R85" s="129">
        <f t="shared" si="20"/>
        <v>6325</v>
      </c>
      <c r="S85" s="135" t="s">
        <v>12</v>
      </c>
      <c r="T85" s="230" t="s">
        <v>12</v>
      </c>
    </row>
    <row r="86" spans="1:20" s="1" customFormat="1" ht="13.8" thickBot="1" x14ac:dyDescent="0.3">
      <c r="A86" s="500" t="s">
        <v>8</v>
      </c>
      <c r="B86" s="373">
        <f>ROUND(B85*Labor!$D$3,0)</f>
        <v>0</v>
      </c>
      <c r="C86" s="374">
        <f>ROUND(C85*Labor!$D$4,0)</f>
        <v>41</v>
      </c>
      <c r="D86" s="374">
        <f>ROUND(D85*Labor!$D$5,0)</f>
        <v>44</v>
      </c>
      <c r="E86" s="374">
        <f>ROUND(E85*Labor!$D$6,0)</f>
        <v>99</v>
      </c>
      <c r="F86" s="374">
        <f>ROUND(F85*Labor!$D$7,0)</f>
        <v>55</v>
      </c>
      <c r="G86" s="374">
        <f>ROUND(G85*Labor!$D$8,0)</f>
        <v>0</v>
      </c>
      <c r="H86" s="209">
        <f t="shared" si="16"/>
        <v>239</v>
      </c>
      <c r="I86" s="339">
        <f>HLOOKUP(Labor!$B$11,InflationTable,2)*H86</f>
        <v>322.84164182494817</v>
      </c>
      <c r="J86" s="296">
        <f>I86*K$10</f>
        <v>408394.67690855946</v>
      </c>
      <c r="K86" s="297">
        <f t="shared" si="17"/>
        <v>408394.67690855946</v>
      </c>
      <c r="L86" s="376">
        <f>HLOOKUP(Labor!$B$11,InflationTable,3)*$H86</f>
        <v>331.65929981206023</v>
      </c>
      <c r="M86" s="377">
        <f>L86*$N$10</f>
        <v>419549.01426225621</v>
      </c>
      <c r="N86" s="378">
        <f t="shared" si="18"/>
        <v>419549.01426225621</v>
      </c>
      <c r="O86" s="383">
        <f>HLOOKUP(Labor!$B$11,InflationTable,4)*$H86</f>
        <v>335.63356430050777</v>
      </c>
      <c r="P86" s="384">
        <f>O86*$Q$10</f>
        <v>424576.45884014235</v>
      </c>
      <c r="Q86" s="385">
        <f t="shared" si="19"/>
        <v>424576.45884014235</v>
      </c>
      <c r="R86" s="446">
        <f t="shared" si="20"/>
        <v>417506.71667031926</v>
      </c>
      <c r="S86" s="444" t="s">
        <v>12</v>
      </c>
      <c r="T86" s="511" t="s">
        <v>12</v>
      </c>
    </row>
    <row r="87" spans="1:20" x14ac:dyDescent="0.25">
      <c r="A87" s="492" t="s">
        <v>135</v>
      </c>
      <c r="B87" s="346">
        <v>0</v>
      </c>
      <c r="C87" s="346">
        <v>0</v>
      </c>
      <c r="D87" s="346">
        <v>0</v>
      </c>
      <c r="E87" s="346">
        <v>3</v>
      </c>
      <c r="F87" s="346">
        <v>2</v>
      </c>
      <c r="G87" s="346">
        <v>0</v>
      </c>
      <c r="H87" s="347">
        <f t="shared" si="16"/>
        <v>5</v>
      </c>
      <c r="I87" s="293" t="s">
        <v>12</v>
      </c>
      <c r="J87" s="327">
        <f>H87*$K$10*K$11</f>
        <v>4552.5</v>
      </c>
      <c r="K87" s="328">
        <f t="shared" si="17"/>
        <v>4552.5</v>
      </c>
      <c r="L87" s="61" t="s">
        <v>12</v>
      </c>
      <c r="M87" s="348">
        <f>$H87*$N$10*N$11</f>
        <v>4552.5</v>
      </c>
      <c r="N87" s="349">
        <f t="shared" si="18"/>
        <v>4552.5</v>
      </c>
      <c r="O87" s="263" t="s">
        <v>12</v>
      </c>
      <c r="P87" s="281">
        <f>$H87*$Q$10*Q$11</f>
        <v>4552.5</v>
      </c>
      <c r="Q87" s="289">
        <f t="shared" si="19"/>
        <v>4552.5</v>
      </c>
      <c r="R87" s="121">
        <f t="shared" si="20"/>
        <v>4552.5</v>
      </c>
      <c r="S87" s="135" t="s">
        <v>12</v>
      </c>
      <c r="T87" s="230" t="s">
        <v>12</v>
      </c>
    </row>
    <row r="88" spans="1:20" s="1" customFormat="1" ht="13.8" thickBot="1" x14ac:dyDescent="0.3">
      <c r="A88" s="500" t="s">
        <v>8</v>
      </c>
      <c r="B88" s="373">
        <f>ROUND(B87*Labor!$D$3,0)</f>
        <v>0</v>
      </c>
      <c r="C88" s="374">
        <f>ROUND(C87*Labor!$D$4,0)</f>
        <v>0</v>
      </c>
      <c r="D88" s="374">
        <f>ROUND(D87*Labor!$D$5,0)</f>
        <v>0</v>
      </c>
      <c r="E88" s="374">
        <f>ROUND(E87*Labor!$D$6,0)</f>
        <v>148</v>
      </c>
      <c r="F88" s="374">
        <f>ROUND(F87*Labor!$D$7,0)</f>
        <v>111</v>
      </c>
      <c r="G88" s="374">
        <f>ROUND(G87*Labor!$D$8,0)</f>
        <v>0</v>
      </c>
      <c r="H88" s="209">
        <f t="shared" si="16"/>
        <v>259</v>
      </c>
      <c r="I88" s="332">
        <f>HLOOKUP(Labor!$B$11,InflationTable,2)*H88*K$11</f>
        <v>251.81455853387254</v>
      </c>
      <c r="J88" s="534">
        <f>I88*K$10</f>
        <v>318545.41654534877</v>
      </c>
      <c r="K88" s="297">
        <f t="shared" si="17"/>
        <v>318545.41654534877</v>
      </c>
      <c r="L88" s="376">
        <f>HLOOKUP(Labor!$B$11,InflationTable,3)*$H88*N$11</f>
        <v>258.69227926647636</v>
      </c>
      <c r="M88" s="377">
        <f>L88*$N$10</f>
        <v>327245.73327209259</v>
      </c>
      <c r="N88" s="378">
        <f t="shared" si="18"/>
        <v>327245.73327209259</v>
      </c>
      <c r="O88" s="339">
        <f>HLOOKUP(Labor!$B$11,InflationTable,4)*$H88*Q$11</f>
        <v>261.79218190604325</v>
      </c>
      <c r="P88" s="296">
        <f>O88*$Q$10</f>
        <v>331167.11011114472</v>
      </c>
      <c r="Q88" s="297">
        <f t="shared" si="19"/>
        <v>331167.11011114472</v>
      </c>
      <c r="R88" s="211">
        <f t="shared" si="20"/>
        <v>325652.75330952869</v>
      </c>
      <c r="S88" s="393" t="s">
        <v>12</v>
      </c>
      <c r="T88" s="228" t="s">
        <v>12</v>
      </c>
    </row>
    <row r="89" spans="1:20" x14ac:dyDescent="0.25">
      <c r="A89" s="484"/>
      <c r="B89" s="36"/>
      <c r="C89" s="447"/>
      <c r="D89" s="447"/>
      <c r="E89" s="447"/>
      <c r="F89" s="447"/>
      <c r="G89" s="447"/>
      <c r="H89" s="109" t="s">
        <v>55</v>
      </c>
      <c r="I89" s="259"/>
      <c r="J89" s="1431"/>
      <c r="K89" s="1439"/>
      <c r="L89" s="364"/>
      <c r="M89" s="1434"/>
      <c r="N89" s="1435"/>
      <c r="O89" s="259"/>
      <c r="P89" s="1431"/>
      <c r="Q89" s="1439"/>
      <c r="R89" s="170"/>
      <c r="S89" s="133"/>
      <c r="T89" s="227"/>
    </row>
    <row r="90" spans="1:20" x14ac:dyDescent="0.25">
      <c r="A90" s="501" t="s">
        <v>29</v>
      </c>
      <c r="B90" s="23" t="s">
        <v>45</v>
      </c>
      <c r="C90" s="24" t="s">
        <v>46</v>
      </c>
      <c r="D90" s="23" t="s">
        <v>47</v>
      </c>
      <c r="E90" s="23" t="s">
        <v>48</v>
      </c>
      <c r="F90" s="23" t="s">
        <v>49</v>
      </c>
      <c r="G90" s="23" t="s">
        <v>50</v>
      </c>
      <c r="H90" s="45" t="s">
        <v>17</v>
      </c>
      <c r="I90" s="260"/>
      <c r="J90" s="261"/>
      <c r="K90" s="262"/>
      <c r="L90" s="77"/>
      <c r="M90" s="24"/>
      <c r="N90" s="38"/>
      <c r="O90" s="260"/>
      <c r="P90" s="261"/>
      <c r="Q90" s="262"/>
      <c r="R90" s="120"/>
      <c r="S90" s="133"/>
      <c r="T90" s="227"/>
    </row>
    <row r="91" spans="1:20" x14ac:dyDescent="0.25">
      <c r="A91" s="503" t="s">
        <v>63</v>
      </c>
      <c r="B91" s="21">
        <v>0</v>
      </c>
      <c r="C91" s="21">
        <v>0</v>
      </c>
      <c r="D91" s="21">
        <v>0.2</v>
      </c>
      <c r="E91" s="21">
        <v>0.3</v>
      </c>
      <c r="F91" s="21">
        <v>0</v>
      </c>
      <c r="G91" s="21">
        <v>0</v>
      </c>
      <c r="H91" s="52">
        <f>SUM(B91:G91)</f>
        <v>0.5</v>
      </c>
      <c r="I91" s="263" t="s">
        <v>12</v>
      </c>
      <c r="J91" s="314">
        <f>H91*$I$3</f>
        <v>76.5</v>
      </c>
      <c r="K91" s="289">
        <f>J91</f>
        <v>76.5</v>
      </c>
      <c r="L91" s="58" t="s">
        <v>12</v>
      </c>
      <c r="M91" s="89">
        <f>$H91*L$3</f>
        <v>76.5</v>
      </c>
      <c r="N91" s="68">
        <f>M91</f>
        <v>76.5</v>
      </c>
      <c r="O91" s="263" t="s">
        <v>12</v>
      </c>
      <c r="P91" s="314">
        <f>$H91*O$3</f>
        <v>76.5</v>
      </c>
      <c r="Q91" s="289">
        <f>P91</f>
        <v>76.5</v>
      </c>
      <c r="R91" s="151">
        <f>AVERAGE(K91,N91,Q91)</f>
        <v>76.5</v>
      </c>
      <c r="S91" s="135" t="s">
        <v>12</v>
      </c>
      <c r="T91" s="230" t="s">
        <v>12</v>
      </c>
    </row>
    <row r="92" spans="1:20" s="1" customFormat="1" ht="13.8" thickBot="1" x14ac:dyDescent="0.3">
      <c r="A92" s="491" t="s">
        <v>64</v>
      </c>
      <c r="B92" s="373">
        <f>ROUND(B91*Labor!$D$3,0)</f>
        <v>0</v>
      </c>
      <c r="C92" s="374">
        <f>ROUND(C91*Labor!$D$4,0)</f>
        <v>0</v>
      </c>
      <c r="D92" s="374">
        <f>ROUND(D91*Labor!$D$5,0)</f>
        <v>9</v>
      </c>
      <c r="E92" s="374">
        <f>ROUND(E91*Labor!$D$6,0)</f>
        <v>15</v>
      </c>
      <c r="F92" s="374">
        <f>ROUND(F91*Labor!$D$7,0)</f>
        <v>0</v>
      </c>
      <c r="G92" s="374">
        <f>ROUND(G91*Labor!$D$8,0)</f>
        <v>0</v>
      </c>
      <c r="H92" s="209">
        <f>SUM(B92:G92)</f>
        <v>24</v>
      </c>
      <c r="I92" s="332">
        <f>HLOOKUP(Labor!$B$11,InflationTable,2)*H92</f>
        <v>32.419244367358814</v>
      </c>
      <c r="J92" s="296">
        <f>I92*$I$3</f>
        <v>4960.1443882058984</v>
      </c>
      <c r="K92" s="297">
        <f>J92</f>
        <v>4960.1443882058984</v>
      </c>
      <c r="L92" s="376">
        <f>HLOOKUP(Labor!$B$11,InflationTable,3)*$H92</f>
        <v>33.304699562717346</v>
      </c>
      <c r="M92" s="377">
        <f>L92*$L$3</f>
        <v>5095.6190330957543</v>
      </c>
      <c r="N92" s="378">
        <f>M92</f>
        <v>5095.6190330957543</v>
      </c>
      <c r="O92" s="339">
        <f>HLOOKUP(Labor!$B$11,InflationTable,4)*$H92</f>
        <v>33.703788883732997</v>
      </c>
      <c r="P92" s="296">
        <f>O92*$O$3</f>
        <v>5156.6796992111485</v>
      </c>
      <c r="Q92" s="297">
        <f>P92</f>
        <v>5156.6796992111485</v>
      </c>
      <c r="R92" s="391">
        <f>AVERAGE(K92,N92,Q92)</f>
        <v>5070.8143735042677</v>
      </c>
      <c r="S92" s="393" t="s">
        <v>12</v>
      </c>
      <c r="T92" s="228" t="s">
        <v>12</v>
      </c>
    </row>
    <row r="93" spans="1:20" x14ac:dyDescent="0.25">
      <c r="A93" s="484"/>
      <c r="B93" s="32"/>
      <c r="C93" s="431" t="s">
        <v>54</v>
      </c>
      <c r="D93" s="28">
        <v>5</v>
      </c>
      <c r="E93" s="7"/>
      <c r="F93" s="5"/>
      <c r="G93" s="5"/>
      <c r="H93" s="109" t="s">
        <v>55</v>
      </c>
      <c r="I93" s="259"/>
      <c r="J93" s="1431"/>
      <c r="K93" s="1439"/>
      <c r="L93" s="364"/>
      <c r="M93" s="1434"/>
      <c r="N93" s="1435"/>
      <c r="O93" s="259"/>
      <c r="P93" s="1431"/>
      <c r="Q93" s="1439"/>
      <c r="R93" s="170"/>
      <c r="S93" s="133"/>
      <c r="T93" s="227"/>
    </row>
    <row r="94" spans="1:20" x14ac:dyDescent="0.25">
      <c r="A94" s="501" t="s">
        <v>65</v>
      </c>
      <c r="B94" s="23" t="s">
        <v>45</v>
      </c>
      <c r="C94" s="24" t="s">
        <v>46</v>
      </c>
      <c r="D94" s="23" t="s">
        <v>47</v>
      </c>
      <c r="E94" s="23" t="s">
        <v>48</v>
      </c>
      <c r="F94" s="23" t="s">
        <v>49</v>
      </c>
      <c r="G94" s="23" t="s">
        <v>50</v>
      </c>
      <c r="H94" s="45" t="s">
        <v>17</v>
      </c>
      <c r="I94" s="260"/>
      <c r="J94" s="261"/>
      <c r="K94" s="262"/>
      <c r="L94" s="77"/>
      <c r="M94" s="24"/>
      <c r="N94" s="38"/>
      <c r="O94" s="260"/>
      <c r="P94" s="261"/>
      <c r="Q94" s="262"/>
      <c r="R94" s="120"/>
      <c r="S94" s="133"/>
      <c r="T94" s="227"/>
    </row>
    <row r="95" spans="1:20" x14ac:dyDescent="0.25">
      <c r="A95" s="503" t="s">
        <v>63</v>
      </c>
      <c r="B95" s="21">
        <v>0</v>
      </c>
      <c r="C95" s="21">
        <v>0</v>
      </c>
      <c r="D95" s="21">
        <v>0</v>
      </c>
      <c r="E95" s="21">
        <v>5</v>
      </c>
      <c r="F95" s="21">
        <v>5</v>
      </c>
      <c r="G95" s="21">
        <v>5</v>
      </c>
      <c r="H95" s="52">
        <f>SUM(B95:G95)</f>
        <v>15</v>
      </c>
      <c r="I95" s="263" t="s">
        <v>12</v>
      </c>
      <c r="J95" s="283">
        <f>H95*$I$3</f>
        <v>2295</v>
      </c>
      <c r="K95" s="282">
        <f>J95/$D$93</f>
        <v>459</v>
      </c>
      <c r="L95" s="58" t="s">
        <v>12</v>
      </c>
      <c r="M95" s="60">
        <f>$H$95*$L$3</f>
        <v>2295</v>
      </c>
      <c r="N95" s="59">
        <f>M95/$D$93</f>
        <v>459</v>
      </c>
      <c r="O95" s="263" t="s">
        <v>12</v>
      </c>
      <c r="P95" s="283">
        <f>$H$95*$O$3</f>
        <v>2295</v>
      </c>
      <c r="Q95" s="282">
        <f>P95/$D$93</f>
        <v>459</v>
      </c>
      <c r="R95" s="121">
        <f>AVERAGE(K95,N95,Q95)</f>
        <v>459</v>
      </c>
      <c r="S95" s="135" t="s">
        <v>12</v>
      </c>
      <c r="T95" s="230" t="s">
        <v>12</v>
      </c>
    </row>
    <row r="96" spans="1:20" s="1" customFormat="1" ht="13.8" thickBot="1" x14ac:dyDescent="0.3">
      <c r="A96" s="491" t="s">
        <v>64</v>
      </c>
      <c r="B96" s="373">
        <f>ROUND(B95*Labor!$D$3,0)</f>
        <v>0</v>
      </c>
      <c r="C96" s="374">
        <f>ROUND(C95*Labor!$D$4,0)</f>
        <v>0</v>
      </c>
      <c r="D96" s="374">
        <f>ROUND(D95*Labor!$D$5,0)</f>
        <v>0</v>
      </c>
      <c r="E96" s="374">
        <f>ROUND(E95*Labor!$D$6,0)</f>
        <v>246</v>
      </c>
      <c r="F96" s="374">
        <f>ROUND(F95*Labor!$D$7,0)</f>
        <v>277</v>
      </c>
      <c r="G96" s="374">
        <f>ROUND(G95*Labor!$D$8,0)</f>
        <v>293</v>
      </c>
      <c r="H96" s="209">
        <f>SUM(B96:G96)</f>
        <v>816</v>
      </c>
      <c r="I96" s="332">
        <f>HLOOKUP(Labor!$B$11,InflationTable,2)*H96</f>
        <v>1102.2543084901995</v>
      </c>
      <c r="J96" s="296">
        <f>I96*$I$3</f>
        <v>168644.90919900051</v>
      </c>
      <c r="K96" s="297">
        <f>J96/$D$93</f>
        <v>33728.981839800101</v>
      </c>
      <c r="L96" s="445">
        <f>HLOOKUP(Labor!$B$11,InflationTable,3)*$H96</f>
        <v>1132.3597851323898</v>
      </c>
      <c r="M96" s="377">
        <f>L96*$L$3</f>
        <v>173251.04712525563</v>
      </c>
      <c r="N96" s="378">
        <f>M96/$D$93</f>
        <v>34650.209425051129</v>
      </c>
      <c r="O96" s="339">
        <f>HLOOKUP(Labor!$B$11,InflationTable,4)*$H96</f>
        <v>1145.9288220469218</v>
      </c>
      <c r="P96" s="296">
        <f>O96*$O$3</f>
        <v>175327.10977317905</v>
      </c>
      <c r="Q96" s="297">
        <f>P96/$D$93</f>
        <v>35065.421954635807</v>
      </c>
      <c r="R96" s="211">
        <f>AVERAGE(K96,N96,Q96)</f>
        <v>34481.537739829007</v>
      </c>
      <c r="S96" s="393" t="s">
        <v>12</v>
      </c>
      <c r="T96" s="228" t="s">
        <v>12</v>
      </c>
    </row>
    <row r="97" spans="1:21" x14ac:dyDescent="0.25">
      <c r="A97" s="493" t="s">
        <v>66</v>
      </c>
      <c r="B97" s="42">
        <f t="shared" ref="B97:H98" si="21">B78+B80+B83+B85+B87+B91+B95</f>
        <v>0</v>
      </c>
      <c r="C97" s="42">
        <f t="shared" si="21"/>
        <v>27</v>
      </c>
      <c r="D97" s="42">
        <f t="shared" si="21"/>
        <v>1.2</v>
      </c>
      <c r="E97" s="42">
        <f t="shared" si="21"/>
        <v>32.299999999999997</v>
      </c>
      <c r="F97" s="42">
        <f t="shared" si="21"/>
        <v>26</v>
      </c>
      <c r="G97" s="42">
        <f t="shared" si="21"/>
        <v>5</v>
      </c>
      <c r="H97" s="53">
        <f t="shared" si="21"/>
        <v>91.5</v>
      </c>
      <c r="I97" s="293" t="s">
        <v>12</v>
      </c>
      <c r="J97" s="315" t="s">
        <v>12</v>
      </c>
      <c r="K97" s="316">
        <f>K95+K91+K87+K85+K83+K80+K78</f>
        <v>71506</v>
      </c>
      <c r="L97" s="92" t="s">
        <v>12</v>
      </c>
      <c r="M97" s="42" t="s">
        <v>12</v>
      </c>
      <c r="N97" s="90">
        <f>N95+N91+N87+N85+N83+N80+N78</f>
        <v>71506</v>
      </c>
      <c r="O97" s="293" t="s">
        <v>12</v>
      </c>
      <c r="P97" s="315" t="s">
        <v>12</v>
      </c>
      <c r="Q97" s="316">
        <f>Q95+Q91+Q87+Q85+Q83+Q80+Q78</f>
        <v>71506</v>
      </c>
      <c r="R97" s="176">
        <f>AVERAGE(K97,N97,Q97)</f>
        <v>71506</v>
      </c>
      <c r="S97" s="133"/>
      <c r="T97" s="227"/>
    </row>
    <row r="98" spans="1:21" s="1" customFormat="1" ht="13.8" thickBot="1" x14ac:dyDescent="0.3">
      <c r="A98" s="494" t="s">
        <v>67</v>
      </c>
      <c r="B98" s="240">
        <f t="shared" si="21"/>
        <v>0</v>
      </c>
      <c r="C98" s="240">
        <f t="shared" si="21"/>
        <v>1103</v>
      </c>
      <c r="D98" s="240">
        <f t="shared" si="21"/>
        <v>53</v>
      </c>
      <c r="E98" s="240">
        <f t="shared" si="21"/>
        <v>1592</v>
      </c>
      <c r="F98" s="240">
        <f t="shared" si="21"/>
        <v>1441</v>
      </c>
      <c r="G98" s="240">
        <f t="shared" si="21"/>
        <v>293</v>
      </c>
      <c r="H98" s="243">
        <f t="shared" si="21"/>
        <v>4482</v>
      </c>
      <c r="I98" s="313">
        <f>I79+I81+I84+I86+I88+I92+I96</f>
        <v>4766.1057070020743</v>
      </c>
      <c r="J98" s="317" t="s">
        <v>12</v>
      </c>
      <c r="K98" s="535">
        <f>K96+J92+J88+J86+J84+J81+J79</f>
        <v>4632450.8012208194</v>
      </c>
      <c r="L98" s="242">
        <f>L79+L81+L84+L86+L88+L92+L96</f>
        <v>4896.2806429775119</v>
      </c>
      <c r="M98" s="256" t="s">
        <v>12</v>
      </c>
      <c r="N98" s="254">
        <f>N96+M92+M88+M86+M84+M81+M79</f>
        <v>4758975.2686853893</v>
      </c>
      <c r="O98" s="313">
        <f>O79+O81+O84+O86+O88+O92+O96</f>
        <v>4954.9526425140402</v>
      </c>
      <c r="P98" s="317" t="s">
        <v>12</v>
      </c>
      <c r="Q98" s="306">
        <f>Q96+P92+P88+P86+P84+P81+P79</f>
        <v>4816001.9416068289</v>
      </c>
      <c r="R98" s="248">
        <f>AVERAGE(K98,N98,Q98)</f>
        <v>4735809.3371710125</v>
      </c>
      <c r="S98" s="536"/>
      <c r="T98" s="537"/>
    </row>
    <row r="99" spans="1:21" ht="13.8" thickTop="1" x14ac:dyDescent="0.25">
      <c r="E99"/>
    </row>
    <row r="100" spans="1:21" ht="15.6" x14ac:dyDescent="0.3">
      <c r="A100" s="540" t="s">
        <v>150</v>
      </c>
      <c r="B100" s="5"/>
      <c r="C100" s="5"/>
      <c r="D100" s="5"/>
      <c r="E100" s="112" t="s">
        <v>6</v>
      </c>
      <c r="F100" s="1415"/>
      <c r="G100" s="1416"/>
      <c r="H100" s="1417"/>
      <c r="I100" s="181" t="s">
        <v>30</v>
      </c>
      <c r="J100" s="426"/>
      <c r="K100" s="67"/>
      <c r="L100" s="181" t="s">
        <v>30</v>
      </c>
      <c r="M100" s="426"/>
      <c r="N100" s="67"/>
      <c r="O100" s="181" t="s">
        <v>30</v>
      </c>
      <c r="P100" s="319"/>
      <c r="Q100" s="180"/>
      <c r="R100" s="225"/>
      <c r="S100" s="133"/>
      <c r="T100" s="227"/>
    </row>
    <row r="101" spans="1:21" x14ac:dyDescent="0.25">
      <c r="A101" s="484"/>
      <c r="B101" s="5"/>
      <c r="C101" s="5"/>
      <c r="D101" s="5"/>
      <c r="E101" s="7"/>
      <c r="F101" s="5"/>
      <c r="G101" s="5"/>
      <c r="H101" s="45" t="s">
        <v>61</v>
      </c>
      <c r="I101" s="277" t="s">
        <v>61</v>
      </c>
      <c r="J101" s="1422" t="s">
        <v>57</v>
      </c>
      <c r="K101" s="1423"/>
      <c r="L101" s="57" t="s">
        <v>61</v>
      </c>
      <c r="M101" s="1432" t="s">
        <v>57</v>
      </c>
      <c r="N101" s="1436"/>
      <c r="O101" s="318" t="s">
        <v>61</v>
      </c>
      <c r="P101" s="1431" t="s">
        <v>57</v>
      </c>
      <c r="Q101" s="1439"/>
      <c r="R101" s="131"/>
      <c r="S101" s="133"/>
      <c r="T101" s="227"/>
    </row>
    <row r="102" spans="1:21" x14ac:dyDescent="0.25">
      <c r="A102" s="484"/>
      <c r="B102" s="23" t="s">
        <v>45</v>
      </c>
      <c r="C102" s="24" t="s">
        <v>46</v>
      </c>
      <c r="D102" s="23" t="s">
        <v>47</v>
      </c>
      <c r="E102" s="23" t="s">
        <v>48</v>
      </c>
      <c r="F102" s="23" t="s">
        <v>49</v>
      </c>
      <c r="G102" s="23" t="s">
        <v>50</v>
      </c>
      <c r="H102" s="45" t="s">
        <v>13</v>
      </c>
      <c r="I102" s="260" t="s">
        <v>56</v>
      </c>
      <c r="J102" s="261" t="s">
        <v>13</v>
      </c>
      <c r="K102" s="262" t="s">
        <v>68</v>
      </c>
      <c r="L102" s="77" t="s">
        <v>56</v>
      </c>
      <c r="M102" s="24" t="s">
        <v>13</v>
      </c>
      <c r="N102" s="38" t="s">
        <v>68</v>
      </c>
      <c r="O102" s="260" t="s">
        <v>56</v>
      </c>
      <c r="P102" s="261" t="s">
        <v>13</v>
      </c>
      <c r="Q102" s="262" t="s">
        <v>68</v>
      </c>
      <c r="R102" s="123"/>
      <c r="S102" s="133"/>
      <c r="T102" s="227"/>
    </row>
    <row r="103" spans="1:21" x14ac:dyDescent="0.25">
      <c r="A103" s="501" t="s">
        <v>130</v>
      </c>
      <c r="B103" s="21">
        <v>0</v>
      </c>
      <c r="C103" s="21">
        <v>0</v>
      </c>
      <c r="D103" s="21">
        <v>0</v>
      </c>
      <c r="E103" s="21">
        <v>0</v>
      </c>
      <c r="F103" s="21">
        <v>8</v>
      </c>
      <c r="G103" s="21">
        <v>4</v>
      </c>
      <c r="H103" s="52">
        <f>SUM(B103:G103)</f>
        <v>12</v>
      </c>
      <c r="I103" s="263" t="s">
        <v>12</v>
      </c>
      <c r="J103" s="281">
        <f>H103*$K$10*K$11</f>
        <v>10926</v>
      </c>
      <c r="K103" s="289">
        <f>J103</f>
        <v>10926</v>
      </c>
      <c r="L103" s="58" t="s">
        <v>12</v>
      </c>
      <c r="M103" s="69">
        <f>$H103*N$10*N$11</f>
        <v>10926</v>
      </c>
      <c r="N103" s="68">
        <f>M103</f>
        <v>10926</v>
      </c>
      <c r="O103" s="263" t="s">
        <v>12</v>
      </c>
      <c r="P103" s="281">
        <f>$H103*Q$10*Q$11</f>
        <v>10926</v>
      </c>
      <c r="Q103" s="289">
        <f>P103</f>
        <v>10926</v>
      </c>
      <c r="R103" s="173">
        <f t="shared" ref="R103:R108" si="22">AVERAGE(K103,N103,Q103)</f>
        <v>10926</v>
      </c>
      <c r="S103" s="135" t="s">
        <v>12</v>
      </c>
      <c r="T103" s="230" t="s">
        <v>12</v>
      </c>
    </row>
    <row r="104" spans="1:21" s="1" customFormat="1" ht="13.8" thickBot="1" x14ac:dyDescent="0.3">
      <c r="A104" s="491" t="s">
        <v>8</v>
      </c>
      <c r="B104" s="373">
        <f>ROUND(B103*Labor!$D$3,0)</f>
        <v>0</v>
      </c>
      <c r="C104" s="374">
        <f>ROUND(C103*Labor!$D$4,0)</f>
        <v>0</v>
      </c>
      <c r="D104" s="374">
        <f>ROUND(D103*Labor!$D$5,0)</f>
        <v>0</v>
      </c>
      <c r="E104" s="374">
        <f>ROUND(E103*Labor!$D$6,0)</f>
        <v>0</v>
      </c>
      <c r="F104" s="374">
        <f>ROUND(F103*Labor!$D$7,0)</f>
        <v>444</v>
      </c>
      <c r="G104" s="374">
        <f>ROUND(G103*Labor!$D$8,0)</f>
        <v>234</v>
      </c>
      <c r="H104" s="209">
        <f>SUM(B104:G104)</f>
        <v>678</v>
      </c>
      <c r="I104" s="332">
        <f>HLOOKUP(Labor!$B$11,InflationTable,2)*H104*K$11</f>
        <v>659.19023430874745</v>
      </c>
      <c r="J104" s="296">
        <f>I104*$K$10</f>
        <v>833875.64640056551</v>
      </c>
      <c r="K104" s="297">
        <f>J104</f>
        <v>833875.64640056551</v>
      </c>
      <c r="L104" s="376">
        <f>HLOOKUP(Labor!$B$11,InflationTable,3)*$H104*N$11</f>
        <v>677.19446078251349</v>
      </c>
      <c r="M104" s="377">
        <f>L104*N$10</f>
        <v>856650.9928898795</v>
      </c>
      <c r="N104" s="378">
        <f>M104</f>
        <v>856650.9928898795</v>
      </c>
      <c r="O104" s="332">
        <f>HLOOKUP(Labor!$B$11,InflationTable,4)*$H104*Q$11</f>
        <v>685.30926383126382</v>
      </c>
      <c r="P104" s="296">
        <f>O104*Q$10</f>
        <v>866916.21874654875</v>
      </c>
      <c r="Q104" s="297">
        <f>P104</f>
        <v>866916.21874654875</v>
      </c>
      <c r="R104" s="450">
        <f t="shared" si="22"/>
        <v>852480.952678998</v>
      </c>
      <c r="S104" s="393" t="s">
        <v>12</v>
      </c>
      <c r="T104" s="228" t="s">
        <v>12</v>
      </c>
    </row>
    <row r="105" spans="1:21" x14ac:dyDescent="0.25">
      <c r="A105" s="492" t="s">
        <v>131</v>
      </c>
      <c r="B105" s="21">
        <v>0</v>
      </c>
      <c r="C105" s="21">
        <v>0</v>
      </c>
      <c r="D105" s="21">
        <v>16</v>
      </c>
      <c r="E105" s="21">
        <v>8</v>
      </c>
      <c r="F105" s="21">
        <v>4</v>
      </c>
      <c r="G105" s="21">
        <v>2</v>
      </c>
      <c r="H105" s="52">
        <f>SUM(B105:G105)</f>
        <v>30</v>
      </c>
      <c r="I105" s="263" t="s">
        <v>12</v>
      </c>
      <c r="J105" s="281">
        <f>H105*$K$10*K$11</f>
        <v>27315</v>
      </c>
      <c r="K105" s="289">
        <f>J105</f>
        <v>27315</v>
      </c>
      <c r="L105" s="58" t="s">
        <v>12</v>
      </c>
      <c r="M105" s="69">
        <f>$H105*N$10*N$11</f>
        <v>27315</v>
      </c>
      <c r="N105" s="68">
        <f>M105</f>
        <v>27315</v>
      </c>
      <c r="O105" s="263" t="s">
        <v>12</v>
      </c>
      <c r="P105" s="281">
        <f>$H105*Q$10*Q$11</f>
        <v>27315</v>
      </c>
      <c r="Q105" s="289">
        <f>P105</f>
        <v>27315</v>
      </c>
      <c r="R105" s="173">
        <f t="shared" si="22"/>
        <v>27315</v>
      </c>
      <c r="S105" s="135" t="s">
        <v>12</v>
      </c>
      <c r="T105" s="230" t="s">
        <v>12</v>
      </c>
    </row>
    <row r="106" spans="1:21" s="1" customFormat="1" ht="13.8" thickBot="1" x14ac:dyDescent="0.3">
      <c r="A106" s="500" t="s">
        <v>8</v>
      </c>
      <c r="B106" s="373">
        <f>ROUND(B105*Labor!$D$3,0)</f>
        <v>0</v>
      </c>
      <c r="C106" s="374">
        <f>ROUND(C105*Labor!$D$4,0)</f>
        <v>0</v>
      </c>
      <c r="D106" s="374">
        <f>ROUND(D105*Labor!$D$5,0)</f>
        <v>706</v>
      </c>
      <c r="E106" s="374">
        <f>ROUND(E105*Labor!$D$6,0)</f>
        <v>394</v>
      </c>
      <c r="F106" s="374">
        <f>ROUND(F105*Labor!$D$7,0)</f>
        <v>222</v>
      </c>
      <c r="G106" s="374">
        <f>ROUND(G105*Labor!$D$8,0)</f>
        <v>117</v>
      </c>
      <c r="H106" s="209">
        <f>SUM(B106:G106)</f>
        <v>1439</v>
      </c>
      <c r="I106" s="332">
        <f>HLOOKUP(Labor!$B$11,InflationTable,2)*H106*K$11</f>
        <v>1399.077798186265</v>
      </c>
      <c r="J106" s="296">
        <f>I106*$K$10</f>
        <v>1769833.4147056253</v>
      </c>
      <c r="K106" s="390">
        <f>J106</f>
        <v>1769833.4147056253</v>
      </c>
      <c r="L106" s="376">
        <f>HLOOKUP(Labor!$B$11,InflationTable,3)*$H106*N$11</f>
        <v>1437.2903083569865</v>
      </c>
      <c r="M106" s="377">
        <f>L106*N$10</f>
        <v>1818172.240071588</v>
      </c>
      <c r="N106" s="378">
        <f>M106</f>
        <v>1818172.240071588</v>
      </c>
      <c r="O106" s="339">
        <f>HLOOKUP(Labor!$B$11,InflationTable,4)*$H106*Q$11</f>
        <v>1454.5133195474757</v>
      </c>
      <c r="P106" s="296">
        <f>O106*Q$10</f>
        <v>1839959.3492275567</v>
      </c>
      <c r="Q106" s="390">
        <f>P106</f>
        <v>1839959.3492275567</v>
      </c>
      <c r="R106" s="211">
        <f t="shared" si="22"/>
        <v>1809321.6680015901</v>
      </c>
      <c r="S106" s="444" t="s">
        <v>12</v>
      </c>
      <c r="T106" s="511" t="s">
        <v>12</v>
      </c>
    </row>
    <row r="107" spans="1:21" x14ac:dyDescent="0.25">
      <c r="A107" s="493" t="s">
        <v>66</v>
      </c>
      <c r="B107" s="36">
        <f t="shared" ref="B107:H108" si="23">B103+B105</f>
        <v>0</v>
      </c>
      <c r="C107" s="36">
        <f t="shared" si="23"/>
        <v>0</v>
      </c>
      <c r="D107" s="36">
        <f t="shared" si="23"/>
        <v>16</v>
      </c>
      <c r="E107" s="36">
        <f t="shared" si="23"/>
        <v>8</v>
      </c>
      <c r="F107" s="36">
        <f t="shared" si="23"/>
        <v>12</v>
      </c>
      <c r="G107" s="36">
        <f t="shared" si="23"/>
        <v>6</v>
      </c>
      <c r="H107" s="46">
        <f t="shared" si="23"/>
        <v>42</v>
      </c>
      <c r="I107" s="301" t="s">
        <v>12</v>
      </c>
      <c r="J107" s="285">
        <f>J103+J105</f>
        <v>38241</v>
      </c>
      <c r="K107" s="312">
        <f>K103+K105</f>
        <v>38241</v>
      </c>
      <c r="L107" s="85" t="s">
        <v>12</v>
      </c>
      <c r="M107" s="33">
        <f>M103+M105</f>
        <v>38241</v>
      </c>
      <c r="N107" s="99">
        <f>N103+N105</f>
        <v>38241</v>
      </c>
      <c r="O107" s="301" t="s">
        <v>12</v>
      </c>
      <c r="P107" s="285">
        <f>P103+P105</f>
        <v>38241</v>
      </c>
      <c r="Q107" s="321">
        <f>Q103+Q105</f>
        <v>38241</v>
      </c>
      <c r="R107" s="121">
        <f t="shared" si="22"/>
        <v>38241</v>
      </c>
      <c r="S107" s="135" t="s">
        <v>12</v>
      </c>
      <c r="T107" s="230" t="s">
        <v>12</v>
      </c>
    </row>
    <row r="108" spans="1:21" ht="13.8" thickBot="1" x14ac:dyDescent="0.3">
      <c r="A108" s="494" t="s">
        <v>67</v>
      </c>
      <c r="B108" s="435">
        <f t="shared" si="23"/>
        <v>0</v>
      </c>
      <c r="C108" s="435">
        <f t="shared" si="23"/>
        <v>0</v>
      </c>
      <c r="D108" s="435">
        <f t="shared" si="23"/>
        <v>706</v>
      </c>
      <c r="E108" s="435">
        <f t="shared" si="23"/>
        <v>394</v>
      </c>
      <c r="F108" s="435">
        <f t="shared" si="23"/>
        <v>666</v>
      </c>
      <c r="G108" s="435">
        <f t="shared" si="23"/>
        <v>351</v>
      </c>
      <c r="H108" s="436">
        <f t="shared" si="23"/>
        <v>2117</v>
      </c>
      <c r="I108" s="437">
        <f>I104+I106</f>
        <v>2058.2680324950124</v>
      </c>
      <c r="J108" s="438">
        <f>J104+J106</f>
        <v>2603709.061106191</v>
      </c>
      <c r="K108" s="439">
        <f>K104+K106</f>
        <v>2603709.061106191</v>
      </c>
      <c r="L108" s="440">
        <f>L104+L106</f>
        <v>2114.4847691394998</v>
      </c>
      <c r="M108" s="435">
        <f>M104+M106</f>
        <v>2674823.2329614675</v>
      </c>
      <c r="N108" s="436">
        <f>N104+N106</f>
        <v>2674823.2329614675</v>
      </c>
      <c r="O108" s="437">
        <f>O104+O106</f>
        <v>2139.8225833787396</v>
      </c>
      <c r="P108" s="438">
        <f>P104+P106</f>
        <v>2706875.5679741055</v>
      </c>
      <c r="Q108" s="439">
        <f>Q104+Q106</f>
        <v>2706875.5679741055</v>
      </c>
      <c r="R108" s="455">
        <f t="shared" si="22"/>
        <v>2661802.6206805878</v>
      </c>
      <c r="S108" s="441" t="s">
        <v>12</v>
      </c>
      <c r="T108" s="512" t="s">
        <v>12</v>
      </c>
    </row>
    <row r="109" spans="1:21" ht="13.8" thickTop="1" x14ac:dyDescent="0.25">
      <c r="E109"/>
    </row>
    <row r="110" spans="1:21" ht="18" thickBot="1" x14ac:dyDescent="0.35">
      <c r="A110" s="504" t="s">
        <v>121</v>
      </c>
      <c r="B110" s="79" t="str">
        <f>B1</f>
        <v>O3</v>
      </c>
      <c r="C110" s="4"/>
      <c r="D110" s="4"/>
      <c r="E110" s="12"/>
      <c r="F110" s="4"/>
      <c r="G110" s="4"/>
      <c r="H110" s="41"/>
      <c r="I110" s="233" t="str">
        <f>I1</f>
        <v>Year 1</v>
      </c>
      <c r="J110" s="233">
        <f>J1</f>
        <v>2019</v>
      </c>
      <c r="K110" s="83"/>
      <c r="L110" s="79" t="str">
        <f>L1</f>
        <v>Year 2</v>
      </c>
      <c r="M110" s="79">
        <f>M1</f>
        <v>2020</v>
      </c>
      <c r="N110" s="41"/>
      <c r="O110" s="233" t="str">
        <f>O1</f>
        <v>Year 3</v>
      </c>
      <c r="P110" s="233">
        <f>P1</f>
        <v>2021</v>
      </c>
      <c r="Q110" s="83"/>
      <c r="R110" s="152"/>
      <c r="S110" s="130"/>
      <c r="T110" s="226"/>
    </row>
    <row r="111" spans="1:21" ht="13.8" thickBot="1" x14ac:dyDescent="0.3">
      <c r="A111" s="505"/>
      <c r="B111" s="187" t="s">
        <v>45</v>
      </c>
      <c r="C111" s="190" t="s">
        <v>46</v>
      </c>
      <c r="D111" s="187" t="s">
        <v>47</v>
      </c>
      <c r="E111" s="187" t="s">
        <v>48</v>
      </c>
      <c r="F111" s="187" t="s">
        <v>49</v>
      </c>
      <c r="G111" s="187" t="s">
        <v>50</v>
      </c>
      <c r="H111" s="188" t="s">
        <v>13</v>
      </c>
      <c r="I111" s="434" t="s">
        <v>56</v>
      </c>
      <c r="J111" s="324" t="s">
        <v>13</v>
      </c>
      <c r="K111" s="325" t="s">
        <v>68</v>
      </c>
      <c r="L111" s="189" t="s">
        <v>56</v>
      </c>
      <c r="M111" s="190" t="s">
        <v>13</v>
      </c>
      <c r="N111" s="191" t="s">
        <v>68</v>
      </c>
      <c r="O111" s="323" t="s">
        <v>56</v>
      </c>
      <c r="P111" s="324" t="s">
        <v>13</v>
      </c>
      <c r="Q111" s="356" t="s">
        <v>68</v>
      </c>
      <c r="R111" s="123"/>
      <c r="S111" s="37"/>
      <c r="T111" s="515"/>
      <c r="U111" s="5"/>
    </row>
    <row r="112" spans="1:21" x14ac:dyDescent="0.25">
      <c r="A112" s="492" t="s">
        <v>129</v>
      </c>
      <c r="B112" s="184">
        <f t="shared" ref="B112:R112" si="24">B22</f>
        <v>0</v>
      </c>
      <c r="C112" s="184">
        <f t="shared" si="24"/>
        <v>0</v>
      </c>
      <c r="D112" s="184">
        <f t="shared" si="24"/>
        <v>0</v>
      </c>
      <c r="E112" s="184">
        <f t="shared" si="24"/>
        <v>14</v>
      </c>
      <c r="F112" s="184">
        <f t="shared" si="24"/>
        <v>14</v>
      </c>
      <c r="G112" s="184">
        <f t="shared" si="24"/>
        <v>10</v>
      </c>
      <c r="H112" s="185">
        <f t="shared" si="24"/>
        <v>38</v>
      </c>
      <c r="I112" s="326" t="str">
        <f t="shared" si="24"/>
        <v>NA</v>
      </c>
      <c r="J112" s="327">
        <f t="shared" si="24"/>
        <v>5814</v>
      </c>
      <c r="K112" s="328">
        <f t="shared" si="24"/>
        <v>830.57142857142856</v>
      </c>
      <c r="L112" s="186" t="str">
        <f t="shared" si="24"/>
        <v>NA</v>
      </c>
      <c r="M112" s="184">
        <f t="shared" si="24"/>
        <v>5814</v>
      </c>
      <c r="N112" s="185">
        <f t="shared" si="24"/>
        <v>830.57142857142856</v>
      </c>
      <c r="O112" s="326" t="str">
        <f t="shared" si="24"/>
        <v>NA</v>
      </c>
      <c r="P112" s="327">
        <f t="shared" si="24"/>
        <v>5814</v>
      </c>
      <c r="Q112" s="289">
        <f t="shared" si="24"/>
        <v>830.57142857142856</v>
      </c>
      <c r="R112" s="102">
        <f t="shared" si="24"/>
        <v>830.57142857142856</v>
      </c>
      <c r="S112" s="37"/>
      <c r="T112" s="227"/>
    </row>
    <row r="113" spans="1:20" s="1" customFormat="1" ht="13.8" thickBot="1" x14ac:dyDescent="0.3">
      <c r="A113" s="506" t="s">
        <v>76</v>
      </c>
      <c r="B113" s="204">
        <f t="shared" ref="B113:R113" si="25">B23</f>
        <v>0</v>
      </c>
      <c r="C113" s="204">
        <f t="shared" si="25"/>
        <v>0</v>
      </c>
      <c r="D113" s="204">
        <f t="shared" si="25"/>
        <v>0</v>
      </c>
      <c r="E113" s="204">
        <f t="shared" si="25"/>
        <v>690</v>
      </c>
      <c r="F113" s="204">
        <f t="shared" si="25"/>
        <v>777</v>
      </c>
      <c r="G113" s="204">
        <f t="shared" si="25"/>
        <v>586</v>
      </c>
      <c r="H113" s="205">
        <f t="shared" si="25"/>
        <v>2053</v>
      </c>
      <c r="I113" s="329">
        <f t="shared" si="25"/>
        <v>2773.1961952578181</v>
      </c>
      <c r="J113" s="330">
        <f t="shared" si="25"/>
        <v>424299.01787444617</v>
      </c>
      <c r="K113" s="331">
        <f t="shared" si="25"/>
        <v>60614.145410635159</v>
      </c>
      <c r="L113" s="203">
        <f t="shared" si="25"/>
        <v>2848.9395084274461</v>
      </c>
      <c r="M113" s="204">
        <f t="shared" si="25"/>
        <v>435887.74478939932</v>
      </c>
      <c r="N113" s="205">
        <f t="shared" si="25"/>
        <v>62269.677827057043</v>
      </c>
      <c r="O113" s="329">
        <f t="shared" si="25"/>
        <v>2883.0782740959935</v>
      </c>
      <c r="P113" s="330">
        <f t="shared" si="25"/>
        <v>441110.97593668703</v>
      </c>
      <c r="Q113" s="422">
        <f t="shared" si="25"/>
        <v>63015.853705241003</v>
      </c>
      <c r="R113" s="419">
        <f t="shared" si="25"/>
        <v>61966.558980977738</v>
      </c>
      <c r="S113" s="420" t="str">
        <f>S23</f>
        <v>NA</v>
      </c>
      <c r="T113" s="516" t="s">
        <v>12</v>
      </c>
    </row>
    <row r="114" spans="1:20" x14ac:dyDescent="0.25">
      <c r="A114" s="492" t="s">
        <v>123</v>
      </c>
      <c r="B114" s="184">
        <f t="shared" ref="B114:R114" si="26">B35</f>
        <v>0</v>
      </c>
      <c r="C114" s="184">
        <f t="shared" si="26"/>
        <v>8</v>
      </c>
      <c r="D114" s="184">
        <f t="shared" si="26"/>
        <v>8</v>
      </c>
      <c r="E114" s="184">
        <f t="shared" si="26"/>
        <v>4</v>
      </c>
      <c r="F114" s="184">
        <f t="shared" si="26"/>
        <v>0</v>
      </c>
      <c r="G114" s="184">
        <f t="shared" si="26"/>
        <v>0</v>
      </c>
      <c r="H114" s="185">
        <f t="shared" si="26"/>
        <v>20</v>
      </c>
      <c r="I114" s="326" t="str">
        <f t="shared" si="26"/>
        <v>NA</v>
      </c>
      <c r="J114" s="327">
        <f t="shared" si="26"/>
        <v>26312</v>
      </c>
      <c r="K114" s="328">
        <f t="shared" si="26"/>
        <v>3758.8571428571431</v>
      </c>
      <c r="L114" s="186" t="str">
        <f t="shared" si="26"/>
        <v>NA</v>
      </c>
      <c r="M114" s="184">
        <f t="shared" si="26"/>
        <v>26312</v>
      </c>
      <c r="N114" s="185">
        <f t="shared" si="26"/>
        <v>3758.8571428571431</v>
      </c>
      <c r="O114" s="326" t="str">
        <f t="shared" si="26"/>
        <v>NA</v>
      </c>
      <c r="P114" s="327">
        <f t="shared" si="26"/>
        <v>26312</v>
      </c>
      <c r="Q114" s="289">
        <f t="shared" si="26"/>
        <v>3758.8571428571431</v>
      </c>
      <c r="R114" s="102">
        <f t="shared" si="26"/>
        <v>3758.8571428571431</v>
      </c>
      <c r="S114" s="37"/>
      <c r="T114" s="517"/>
    </row>
    <row r="115" spans="1:20" s="1" customFormat="1" ht="13.8" thickBot="1" x14ac:dyDescent="0.3">
      <c r="A115" s="506" t="s">
        <v>76</v>
      </c>
      <c r="B115" s="208">
        <f t="shared" ref="B115:R115" si="27">B36</f>
        <v>0</v>
      </c>
      <c r="C115" s="208">
        <f t="shared" si="27"/>
        <v>327</v>
      </c>
      <c r="D115" s="208">
        <f t="shared" si="27"/>
        <v>353</v>
      </c>
      <c r="E115" s="208">
        <f t="shared" si="27"/>
        <v>197</v>
      </c>
      <c r="F115" s="208">
        <f t="shared" si="27"/>
        <v>0</v>
      </c>
      <c r="G115" s="208">
        <f t="shared" si="27"/>
        <v>0</v>
      </c>
      <c r="H115" s="209">
        <f t="shared" si="27"/>
        <v>877</v>
      </c>
      <c r="I115" s="332">
        <f t="shared" si="27"/>
        <v>1184.6532212572365</v>
      </c>
      <c r="J115" s="296">
        <f t="shared" si="27"/>
        <v>0</v>
      </c>
      <c r="K115" s="297">
        <f t="shared" si="27"/>
        <v>3445942.9869169085</v>
      </c>
      <c r="L115" s="207">
        <f t="shared" si="27"/>
        <v>1217.0092298542963</v>
      </c>
      <c r="M115" s="208">
        <f t="shared" si="27"/>
        <v>0</v>
      </c>
      <c r="N115" s="209">
        <f t="shared" si="27"/>
        <v>3530180.1995037543</v>
      </c>
      <c r="O115" s="332">
        <f t="shared" si="27"/>
        <v>1231.5926187930766</v>
      </c>
      <c r="P115" s="296">
        <f t="shared" si="27"/>
        <v>0</v>
      </c>
      <c r="Q115" s="385">
        <f t="shared" si="27"/>
        <v>3572482.2540900675</v>
      </c>
      <c r="R115" s="407">
        <f t="shared" si="27"/>
        <v>222066.33230320929</v>
      </c>
      <c r="S115" s="421" t="str">
        <f>S36</f>
        <v>NA</v>
      </c>
      <c r="T115" s="509">
        <f>T36</f>
        <v>3294135.4812003672</v>
      </c>
    </row>
    <row r="116" spans="1:20" x14ac:dyDescent="0.25">
      <c r="A116" s="502" t="s">
        <v>125</v>
      </c>
      <c r="B116" s="25">
        <f t="shared" ref="B116:R116" si="28">B45</f>
        <v>0</v>
      </c>
      <c r="C116" s="25">
        <f t="shared" si="28"/>
        <v>60</v>
      </c>
      <c r="D116" s="25">
        <f t="shared" si="28"/>
        <v>60</v>
      </c>
      <c r="E116" s="25">
        <f t="shared" si="28"/>
        <v>0</v>
      </c>
      <c r="F116" s="25">
        <f t="shared" si="28"/>
        <v>0</v>
      </c>
      <c r="G116" s="25">
        <f t="shared" si="28"/>
        <v>0</v>
      </c>
      <c r="H116" s="198">
        <f t="shared" si="28"/>
        <v>120</v>
      </c>
      <c r="I116" s="333" t="str">
        <f t="shared" si="28"/>
        <v>NA</v>
      </c>
      <c r="J116" s="334">
        <f t="shared" si="28"/>
        <v>109260</v>
      </c>
      <c r="K116" s="335">
        <f t="shared" si="28"/>
        <v>109260</v>
      </c>
      <c r="L116" s="199" t="str">
        <f t="shared" si="28"/>
        <v>NA</v>
      </c>
      <c r="M116" s="25">
        <f t="shared" si="28"/>
        <v>109260</v>
      </c>
      <c r="N116" s="198">
        <f t="shared" si="28"/>
        <v>109260</v>
      </c>
      <c r="O116" s="333" t="str">
        <f t="shared" si="28"/>
        <v>NA</v>
      </c>
      <c r="P116" s="334">
        <f t="shared" si="28"/>
        <v>109260</v>
      </c>
      <c r="Q116" s="423">
        <f t="shared" si="28"/>
        <v>109260</v>
      </c>
      <c r="R116" s="66">
        <f t="shared" si="28"/>
        <v>109260</v>
      </c>
      <c r="S116" s="153" t="str">
        <f>S28</f>
        <v>NA</v>
      </c>
      <c r="T116" s="232" t="s">
        <v>12</v>
      </c>
    </row>
    <row r="117" spans="1:20" s="1" customFormat="1" ht="13.8" thickBot="1" x14ac:dyDescent="0.3">
      <c r="A117" s="506" t="s">
        <v>76</v>
      </c>
      <c r="B117" s="208">
        <f t="shared" ref="B117:R117" si="29">B46</f>
        <v>0</v>
      </c>
      <c r="C117" s="208">
        <f t="shared" si="29"/>
        <v>60</v>
      </c>
      <c r="D117" s="208">
        <f t="shared" si="29"/>
        <v>60</v>
      </c>
      <c r="E117" s="208">
        <f t="shared" si="29"/>
        <v>0</v>
      </c>
      <c r="F117" s="208">
        <f t="shared" si="29"/>
        <v>0</v>
      </c>
      <c r="G117" s="208">
        <f t="shared" si="29"/>
        <v>0</v>
      </c>
      <c r="H117" s="209">
        <f t="shared" si="29"/>
        <v>5898</v>
      </c>
      <c r="I117" s="332">
        <f t="shared" si="29"/>
        <v>5734.3716842964486</v>
      </c>
      <c r="J117" s="296">
        <f t="shared" si="29"/>
        <v>7253980.180635008</v>
      </c>
      <c r="K117" s="297">
        <f t="shared" si="29"/>
        <v>7253980.180635008</v>
      </c>
      <c r="L117" s="207">
        <f t="shared" si="29"/>
        <v>5890.9925216744314</v>
      </c>
      <c r="M117" s="208">
        <f t="shared" si="29"/>
        <v>7452105.5399181554</v>
      </c>
      <c r="N117" s="209">
        <f t="shared" si="29"/>
        <v>7452105.5399181554</v>
      </c>
      <c r="O117" s="332">
        <f t="shared" si="29"/>
        <v>5961.5841269569228</v>
      </c>
      <c r="P117" s="296">
        <f t="shared" si="29"/>
        <v>7541403.9206005074</v>
      </c>
      <c r="Q117" s="385">
        <f t="shared" si="29"/>
        <v>7541403.9206005074</v>
      </c>
      <c r="R117" s="407">
        <f t="shared" si="29"/>
        <v>6409952.6500848541</v>
      </c>
      <c r="S117" s="407">
        <f>S46</f>
        <v>1005877.2302997025</v>
      </c>
      <c r="T117" s="511" t="s">
        <v>12</v>
      </c>
    </row>
    <row r="118" spans="1:20" x14ac:dyDescent="0.25">
      <c r="A118" s="492" t="s">
        <v>124</v>
      </c>
      <c r="B118" s="25">
        <f t="shared" ref="B118:R118" si="30">B57</f>
        <v>0</v>
      </c>
      <c r="C118" s="25">
        <f t="shared" si="30"/>
        <v>22</v>
      </c>
      <c r="D118" s="25">
        <f t="shared" si="30"/>
        <v>11</v>
      </c>
      <c r="E118" s="25">
        <f t="shared" si="30"/>
        <v>35</v>
      </c>
      <c r="F118" s="25">
        <f t="shared" si="30"/>
        <v>0</v>
      </c>
      <c r="G118" s="25">
        <f t="shared" si="30"/>
        <v>0</v>
      </c>
      <c r="H118" s="198">
        <f t="shared" si="30"/>
        <v>68</v>
      </c>
      <c r="I118" s="333" t="str">
        <f t="shared" si="30"/>
        <v>NA</v>
      </c>
      <c r="J118" s="334">
        <f t="shared" si="30"/>
        <v>61914</v>
      </c>
      <c r="K118" s="335">
        <f t="shared" si="30"/>
        <v>61914</v>
      </c>
      <c r="L118" s="199" t="str">
        <f t="shared" si="30"/>
        <v>NA</v>
      </c>
      <c r="M118" s="25">
        <f t="shared" si="30"/>
        <v>61914</v>
      </c>
      <c r="N118" s="198">
        <f t="shared" si="30"/>
        <v>61914</v>
      </c>
      <c r="O118" s="333" t="str">
        <f t="shared" si="30"/>
        <v>NA</v>
      </c>
      <c r="P118" s="334">
        <f t="shared" si="30"/>
        <v>61914</v>
      </c>
      <c r="Q118" s="423">
        <f t="shared" si="30"/>
        <v>61914</v>
      </c>
      <c r="R118" s="66">
        <f t="shared" si="30"/>
        <v>61914</v>
      </c>
      <c r="S118" s="37"/>
      <c r="T118" s="227"/>
    </row>
    <row r="119" spans="1:20" s="1" customFormat="1" ht="13.8" thickBot="1" x14ac:dyDescent="0.3">
      <c r="A119" s="506" t="s">
        <v>76</v>
      </c>
      <c r="B119" s="208">
        <f t="shared" ref="B119:R119" si="31">B58</f>
        <v>0</v>
      </c>
      <c r="C119" s="208">
        <f t="shared" si="31"/>
        <v>899</v>
      </c>
      <c r="D119" s="208">
        <f t="shared" si="31"/>
        <v>485</v>
      </c>
      <c r="E119" s="208">
        <f t="shared" si="31"/>
        <v>1724</v>
      </c>
      <c r="F119" s="208">
        <f t="shared" si="31"/>
        <v>0</v>
      </c>
      <c r="G119" s="208">
        <f t="shared" si="31"/>
        <v>0</v>
      </c>
      <c r="H119" s="209">
        <f t="shared" si="31"/>
        <v>4108</v>
      </c>
      <c r="I119" s="332">
        <f t="shared" si="31"/>
        <v>3994.0316851627354</v>
      </c>
      <c r="J119" s="296">
        <f t="shared" si="31"/>
        <v>5052450.0817308603</v>
      </c>
      <c r="K119" s="297">
        <f t="shared" si="31"/>
        <v>5052450.0817308603</v>
      </c>
      <c r="L119" s="207">
        <f t="shared" si="31"/>
        <v>4103.1192402574707</v>
      </c>
      <c r="M119" s="208">
        <f t="shared" si="31"/>
        <v>5190445.8389257006</v>
      </c>
      <c r="N119" s="209">
        <f t="shared" si="31"/>
        <v>5190445.8389257006</v>
      </c>
      <c r="O119" s="332">
        <f t="shared" si="31"/>
        <v>4152.2868079923765</v>
      </c>
      <c r="P119" s="296">
        <f t="shared" si="31"/>
        <v>5252642.812110357</v>
      </c>
      <c r="Q119" s="385">
        <f t="shared" si="31"/>
        <v>5252642.812110357</v>
      </c>
      <c r="R119" s="407">
        <f t="shared" si="31"/>
        <v>3907833.0397143443</v>
      </c>
      <c r="S119" s="407">
        <f>S58</f>
        <v>1257346.5378746281</v>
      </c>
      <c r="T119" s="516" t="s">
        <v>12</v>
      </c>
    </row>
    <row r="120" spans="1:20" x14ac:dyDescent="0.25">
      <c r="A120" s="492" t="s">
        <v>126</v>
      </c>
      <c r="B120" s="25">
        <f t="shared" ref="B120:T120" si="32">B71</f>
        <v>0</v>
      </c>
      <c r="C120" s="25">
        <f t="shared" si="32"/>
        <v>8</v>
      </c>
      <c r="D120" s="25">
        <f t="shared" si="32"/>
        <v>10</v>
      </c>
      <c r="E120" s="25">
        <f t="shared" si="32"/>
        <v>17</v>
      </c>
      <c r="F120" s="25">
        <f t="shared" si="32"/>
        <v>4</v>
      </c>
      <c r="G120" s="25">
        <f t="shared" si="32"/>
        <v>0</v>
      </c>
      <c r="H120" s="198">
        <f t="shared" si="32"/>
        <v>39</v>
      </c>
      <c r="I120" s="333" t="str">
        <f t="shared" si="32"/>
        <v>NA</v>
      </c>
      <c r="J120" s="334">
        <f t="shared" si="32"/>
        <v>35509.5</v>
      </c>
      <c r="K120" s="335">
        <f t="shared" si="32"/>
        <v>35509.5</v>
      </c>
      <c r="L120" s="199" t="str">
        <f t="shared" si="32"/>
        <v>NA</v>
      </c>
      <c r="M120" s="25">
        <f t="shared" si="32"/>
        <v>35509.5</v>
      </c>
      <c r="N120" s="198">
        <f t="shared" si="32"/>
        <v>35509.5</v>
      </c>
      <c r="O120" s="333" t="str">
        <f t="shared" si="32"/>
        <v>NA</v>
      </c>
      <c r="P120" s="334">
        <f t="shared" si="32"/>
        <v>35509.5</v>
      </c>
      <c r="Q120" s="423">
        <f t="shared" si="32"/>
        <v>35509.5</v>
      </c>
      <c r="R120" s="66">
        <f t="shared" si="32"/>
        <v>35509.5</v>
      </c>
      <c r="S120" s="154" t="str">
        <f t="shared" si="32"/>
        <v>NA</v>
      </c>
      <c r="T120" s="518" t="str">
        <f t="shared" si="32"/>
        <v>NA</v>
      </c>
    </row>
    <row r="121" spans="1:20" s="1" customFormat="1" ht="13.8" thickBot="1" x14ac:dyDescent="0.3">
      <c r="A121" s="506" t="s">
        <v>76</v>
      </c>
      <c r="B121" s="208">
        <f t="shared" ref="B121:S121" si="33">B72</f>
        <v>0</v>
      </c>
      <c r="C121" s="208">
        <f t="shared" si="33"/>
        <v>327</v>
      </c>
      <c r="D121" s="208">
        <f t="shared" si="33"/>
        <v>440</v>
      </c>
      <c r="E121" s="208">
        <f t="shared" si="33"/>
        <v>838</v>
      </c>
      <c r="F121" s="208">
        <f t="shared" si="33"/>
        <v>222</v>
      </c>
      <c r="G121" s="208">
        <f t="shared" si="33"/>
        <v>0</v>
      </c>
      <c r="H121" s="209">
        <f t="shared" si="33"/>
        <v>1827</v>
      </c>
      <c r="I121" s="332">
        <f t="shared" si="33"/>
        <v>1776.3135074956956</v>
      </c>
      <c r="J121" s="296">
        <f t="shared" si="33"/>
        <v>2247036.5869820551</v>
      </c>
      <c r="K121" s="297">
        <f t="shared" si="33"/>
        <v>2247036.5869820551</v>
      </c>
      <c r="L121" s="207">
        <f t="shared" si="33"/>
        <v>1824.829321312171</v>
      </c>
      <c r="M121" s="208">
        <f t="shared" si="33"/>
        <v>2308409.0914598964</v>
      </c>
      <c r="N121" s="209">
        <f t="shared" si="33"/>
        <v>2308409.0914598964</v>
      </c>
      <c r="O121" s="332">
        <f t="shared" si="33"/>
        <v>1846.6962020939809</v>
      </c>
      <c r="P121" s="296">
        <f t="shared" si="33"/>
        <v>2336070.6956488858</v>
      </c>
      <c r="Q121" s="385">
        <f t="shared" si="33"/>
        <v>2336070.6956488858</v>
      </c>
      <c r="R121" s="407">
        <f t="shared" si="33"/>
        <v>2297172.1246969458</v>
      </c>
      <c r="S121" s="421" t="str">
        <f t="shared" si="33"/>
        <v>NA</v>
      </c>
      <c r="T121" s="516" t="s">
        <v>12</v>
      </c>
    </row>
    <row r="122" spans="1:20" x14ac:dyDescent="0.25">
      <c r="A122" s="492" t="s">
        <v>127</v>
      </c>
      <c r="B122" s="214">
        <f t="shared" ref="B122:R122" si="34">B97</f>
        <v>0</v>
      </c>
      <c r="C122" s="214">
        <f t="shared" si="34"/>
        <v>27</v>
      </c>
      <c r="D122" s="214">
        <f t="shared" si="34"/>
        <v>1.2</v>
      </c>
      <c r="E122" s="214">
        <f t="shared" si="34"/>
        <v>32.299999999999997</v>
      </c>
      <c r="F122" s="214">
        <f t="shared" si="34"/>
        <v>26</v>
      </c>
      <c r="G122" s="214">
        <f t="shared" si="34"/>
        <v>5</v>
      </c>
      <c r="H122" s="215">
        <f t="shared" si="34"/>
        <v>91.5</v>
      </c>
      <c r="I122" s="336" t="str">
        <f t="shared" si="34"/>
        <v>NA</v>
      </c>
      <c r="J122" s="337" t="str">
        <f t="shared" si="34"/>
        <v>NA</v>
      </c>
      <c r="K122" s="294">
        <f t="shared" si="34"/>
        <v>71506</v>
      </c>
      <c r="L122" s="216" t="str">
        <f t="shared" si="34"/>
        <v>NA</v>
      </c>
      <c r="M122" s="217" t="str">
        <f t="shared" si="34"/>
        <v>NA</v>
      </c>
      <c r="N122" s="215">
        <f t="shared" si="34"/>
        <v>71506</v>
      </c>
      <c r="O122" s="336" t="str">
        <f t="shared" si="34"/>
        <v>NA</v>
      </c>
      <c r="P122" s="337" t="str">
        <f t="shared" si="34"/>
        <v>NA</v>
      </c>
      <c r="Q122" s="282">
        <f t="shared" si="34"/>
        <v>71506</v>
      </c>
      <c r="R122" s="113">
        <f t="shared" si="34"/>
        <v>71506</v>
      </c>
      <c r="S122" s="136" t="s">
        <v>12</v>
      </c>
      <c r="T122" s="230" t="s">
        <v>12</v>
      </c>
    </row>
    <row r="123" spans="1:20" s="1" customFormat="1" ht="13.8" thickBot="1" x14ac:dyDescent="0.3">
      <c r="A123" s="506" t="s">
        <v>76</v>
      </c>
      <c r="B123" s="208">
        <f t="shared" ref="B123:R123" si="35">B98</f>
        <v>0</v>
      </c>
      <c r="C123" s="208">
        <f t="shared" si="35"/>
        <v>1103</v>
      </c>
      <c r="D123" s="208">
        <f t="shared" si="35"/>
        <v>53</v>
      </c>
      <c r="E123" s="208">
        <f t="shared" si="35"/>
        <v>1592</v>
      </c>
      <c r="F123" s="208">
        <f t="shared" si="35"/>
        <v>1441</v>
      </c>
      <c r="G123" s="208">
        <f t="shared" si="35"/>
        <v>293</v>
      </c>
      <c r="H123" s="209">
        <f t="shared" si="35"/>
        <v>4482</v>
      </c>
      <c r="I123" s="332">
        <f t="shared" si="35"/>
        <v>4766.1057070020743</v>
      </c>
      <c r="J123" s="338" t="str">
        <f t="shared" si="35"/>
        <v>NA</v>
      </c>
      <c r="K123" s="297">
        <f t="shared" si="35"/>
        <v>4632450.8012208194</v>
      </c>
      <c r="L123" s="207">
        <f t="shared" si="35"/>
        <v>4896.2806429775119</v>
      </c>
      <c r="M123" s="219" t="str">
        <f t="shared" si="35"/>
        <v>NA</v>
      </c>
      <c r="N123" s="209">
        <f t="shared" si="35"/>
        <v>4758975.2686853893</v>
      </c>
      <c r="O123" s="332">
        <f t="shared" si="35"/>
        <v>4954.9526425140402</v>
      </c>
      <c r="P123" s="338" t="str">
        <f t="shared" si="35"/>
        <v>NA</v>
      </c>
      <c r="Q123" s="385">
        <f t="shared" si="35"/>
        <v>4816001.9416068289</v>
      </c>
      <c r="R123" s="407">
        <f t="shared" si="35"/>
        <v>4735809.3371710125</v>
      </c>
      <c r="S123" s="407">
        <f>S98</f>
        <v>0</v>
      </c>
      <c r="T123" s="516" t="s">
        <v>12</v>
      </c>
    </row>
    <row r="124" spans="1:20" x14ac:dyDescent="0.25">
      <c r="A124" s="492" t="s">
        <v>128</v>
      </c>
      <c r="B124" s="25">
        <f t="shared" ref="B124:R124" si="36">B107</f>
        <v>0</v>
      </c>
      <c r="C124" s="25">
        <f t="shared" si="36"/>
        <v>0</v>
      </c>
      <c r="D124" s="25">
        <f t="shared" si="36"/>
        <v>16</v>
      </c>
      <c r="E124" s="25">
        <f t="shared" si="36"/>
        <v>8</v>
      </c>
      <c r="F124" s="25">
        <f t="shared" si="36"/>
        <v>12</v>
      </c>
      <c r="G124" s="25">
        <f t="shared" si="36"/>
        <v>6</v>
      </c>
      <c r="H124" s="198">
        <f t="shared" si="36"/>
        <v>42</v>
      </c>
      <c r="I124" s="333" t="str">
        <f t="shared" si="36"/>
        <v>NA</v>
      </c>
      <c r="J124" s="334">
        <f t="shared" si="36"/>
        <v>38241</v>
      </c>
      <c r="K124" s="335">
        <f t="shared" si="36"/>
        <v>38241</v>
      </c>
      <c r="L124" s="199" t="str">
        <f t="shared" si="36"/>
        <v>NA</v>
      </c>
      <c r="M124" s="25">
        <f t="shared" si="36"/>
        <v>38241</v>
      </c>
      <c r="N124" s="198">
        <f t="shared" si="36"/>
        <v>38241</v>
      </c>
      <c r="O124" s="333" t="str">
        <f t="shared" si="36"/>
        <v>NA</v>
      </c>
      <c r="P124" s="334">
        <f t="shared" si="36"/>
        <v>38241</v>
      </c>
      <c r="Q124" s="423">
        <f t="shared" si="36"/>
        <v>38241</v>
      </c>
      <c r="R124" s="66">
        <f t="shared" si="36"/>
        <v>38241</v>
      </c>
      <c r="S124" s="136" t="s">
        <v>12</v>
      </c>
      <c r="T124" s="230" t="s">
        <v>12</v>
      </c>
    </row>
    <row r="125" spans="1:20" ht="13.8" thickBot="1" x14ac:dyDescent="0.3">
      <c r="A125" s="528" t="s">
        <v>76</v>
      </c>
      <c r="B125" s="104">
        <f t="shared" ref="B125:R125" si="37">B108</f>
        <v>0</v>
      </c>
      <c r="C125" s="104">
        <f t="shared" si="37"/>
        <v>0</v>
      </c>
      <c r="D125" s="104">
        <f t="shared" si="37"/>
        <v>706</v>
      </c>
      <c r="E125" s="104">
        <f t="shared" si="37"/>
        <v>394</v>
      </c>
      <c r="F125" s="104">
        <f t="shared" si="37"/>
        <v>666</v>
      </c>
      <c r="G125" s="104">
        <f t="shared" si="37"/>
        <v>351</v>
      </c>
      <c r="H125" s="105">
        <f t="shared" si="37"/>
        <v>2117</v>
      </c>
      <c r="I125" s="424">
        <f t="shared" si="37"/>
        <v>2058.2680324950124</v>
      </c>
      <c r="J125" s="355">
        <f t="shared" si="37"/>
        <v>2603709.061106191</v>
      </c>
      <c r="K125" s="308">
        <f t="shared" si="37"/>
        <v>2603709.061106191</v>
      </c>
      <c r="L125" s="114">
        <f t="shared" si="37"/>
        <v>2114.4847691394998</v>
      </c>
      <c r="M125" s="104">
        <f t="shared" si="37"/>
        <v>2674823.2329614675</v>
      </c>
      <c r="N125" s="105">
        <f t="shared" si="37"/>
        <v>2674823.2329614675</v>
      </c>
      <c r="O125" s="424">
        <f t="shared" si="37"/>
        <v>2139.8225833787396</v>
      </c>
      <c r="P125" s="355">
        <f t="shared" si="37"/>
        <v>2706875.5679741055</v>
      </c>
      <c r="Q125" s="308">
        <f t="shared" si="37"/>
        <v>2706875.5679741055</v>
      </c>
      <c r="R125" s="105">
        <f t="shared" si="37"/>
        <v>2661802.6206805878</v>
      </c>
      <c r="S125" s="155" t="str">
        <f>S108</f>
        <v>NA</v>
      </c>
      <c r="T125" s="519" t="s">
        <v>12</v>
      </c>
    </row>
    <row r="126" spans="1:20" ht="15.6" x14ac:dyDescent="0.3">
      <c r="A126" s="529" t="s">
        <v>13</v>
      </c>
      <c r="B126" s="107" t="s">
        <v>45</v>
      </c>
      <c r="C126" s="108" t="s">
        <v>46</v>
      </c>
      <c r="D126" s="107" t="s">
        <v>47</v>
      </c>
      <c r="E126" s="107" t="s">
        <v>48</v>
      </c>
      <c r="F126" s="107" t="s">
        <v>49</v>
      </c>
      <c r="G126" s="107" t="s">
        <v>50</v>
      </c>
      <c r="H126" s="109" t="s">
        <v>13</v>
      </c>
      <c r="I126" s="110" t="s">
        <v>56</v>
      </c>
      <c r="J126" s="108" t="s">
        <v>13</v>
      </c>
      <c r="K126" s="111" t="s">
        <v>68</v>
      </c>
      <c r="L126" s="110" t="s">
        <v>56</v>
      </c>
      <c r="M126" s="108" t="s">
        <v>13</v>
      </c>
      <c r="N126" s="111" t="s">
        <v>68</v>
      </c>
      <c r="O126" s="110" t="s">
        <v>56</v>
      </c>
      <c r="P126" s="108" t="s">
        <v>13</v>
      </c>
      <c r="Q126" s="111" t="s">
        <v>68</v>
      </c>
      <c r="R126" s="111"/>
      <c r="S126" s="37"/>
      <c r="T126" s="227"/>
    </row>
    <row r="127" spans="1:20" x14ac:dyDescent="0.25">
      <c r="A127" s="530" t="s">
        <v>75</v>
      </c>
      <c r="B127" s="101">
        <f t="shared" ref="B127:H128" si="38">B112+B114+B116+B118+B120+B122+B124</f>
        <v>0</v>
      </c>
      <c r="C127" s="101">
        <f t="shared" si="38"/>
        <v>125</v>
      </c>
      <c r="D127" s="101">
        <f t="shared" si="38"/>
        <v>106.2</v>
      </c>
      <c r="E127" s="101">
        <f t="shared" si="38"/>
        <v>110.3</v>
      </c>
      <c r="F127" s="101">
        <f t="shared" si="38"/>
        <v>56</v>
      </c>
      <c r="G127" s="101">
        <f t="shared" si="38"/>
        <v>21</v>
      </c>
      <c r="H127" s="102">
        <f t="shared" si="38"/>
        <v>418.5</v>
      </c>
      <c r="I127" s="340" t="s">
        <v>12</v>
      </c>
      <c r="J127" s="281">
        <f>J112+J114+J116+J118+J120+J124</f>
        <v>277050.5</v>
      </c>
      <c r="K127" s="289">
        <f>K112+K114+K116+K118+K120+K122+K124</f>
        <v>321019.92857142858</v>
      </c>
      <c r="L127" s="103" t="s">
        <v>12</v>
      </c>
      <c r="M127" s="101">
        <f>M112+M114+M116+M118+M120+M124</f>
        <v>277050.5</v>
      </c>
      <c r="N127" s="102">
        <f>N112+N114+N116+N118+N120+N122+N124</f>
        <v>321019.92857142858</v>
      </c>
      <c r="O127" s="340" t="s">
        <v>12</v>
      </c>
      <c r="P127" s="281">
        <f>P112+P114+P116+P118+P120+P124</f>
        <v>277050.5</v>
      </c>
      <c r="Q127" s="289">
        <f>Q112+Q114+Q116+Q118+Q120+Q122+Q124</f>
        <v>321019.92857142858</v>
      </c>
      <c r="R127" s="102">
        <f>R112+R114+R116+R118+R120+R122+R124</f>
        <v>321019.92857142858</v>
      </c>
      <c r="S127" s="102"/>
      <c r="T127" s="232" t="s">
        <v>12</v>
      </c>
    </row>
    <row r="128" spans="1:20" s="3" customFormat="1" ht="16.2" thickBot="1" x14ac:dyDescent="0.35">
      <c r="A128" s="531" t="s">
        <v>76</v>
      </c>
      <c r="B128" s="520">
        <f t="shared" si="38"/>
        <v>0</v>
      </c>
      <c r="C128" s="520">
        <f t="shared" si="38"/>
        <v>2716</v>
      </c>
      <c r="D128" s="520">
        <f t="shared" si="38"/>
        <v>2097</v>
      </c>
      <c r="E128" s="520">
        <f t="shared" si="38"/>
        <v>5435</v>
      </c>
      <c r="F128" s="520">
        <f t="shared" si="38"/>
        <v>3106</v>
      </c>
      <c r="G128" s="520">
        <f t="shared" si="38"/>
        <v>1230</v>
      </c>
      <c r="H128" s="521">
        <f t="shared" si="38"/>
        <v>21362</v>
      </c>
      <c r="I128" s="522">
        <f>I113+I115+I117+I119+I121+I123+I125</f>
        <v>22286.940032967021</v>
      </c>
      <c r="J128" s="523">
        <f>J113+J115+J117+J119+J121+J125</f>
        <v>17581474.928328559</v>
      </c>
      <c r="K128" s="524">
        <f>K113+K115+K117+K119+K121+K123+K125</f>
        <v>25296183.844002478</v>
      </c>
      <c r="L128" s="525">
        <f>L113+L115+L117+L119+L121+L123+L125</f>
        <v>22895.655233642825</v>
      </c>
      <c r="M128" s="526">
        <f>M113+M115+M117+M119+M121+M125</f>
        <v>18061671.448054619</v>
      </c>
      <c r="N128" s="521">
        <f>N113+N115+N117+N119+N121+N123+N125</f>
        <v>25977208.849281419</v>
      </c>
      <c r="O128" s="522">
        <f>O113+O115+O117+O119+O121+O123+O125</f>
        <v>23170.013255825132</v>
      </c>
      <c r="P128" s="523">
        <f>P113+P115+P117+P119+P121+P125</f>
        <v>18278103.972270541</v>
      </c>
      <c r="Q128" s="524">
        <f>Q113+Q115+Q117+Q119+Q121+Q123+Q125</f>
        <v>26288493.045735992</v>
      </c>
      <c r="R128" s="541">
        <f>R113+R115+R117+R119+R121+R123+R125</f>
        <v>20296602.663631935</v>
      </c>
      <c r="S128" s="521">
        <f>SUM(S113,S115,S117,S119,S121,S123,S125)</f>
        <v>2263223.7681743307</v>
      </c>
      <c r="T128" s="527">
        <f>SUM(T113,T115,T117,T119,T121,T123,T125)</f>
        <v>3294135.4812003672</v>
      </c>
    </row>
    <row r="129" spans="1:1" ht="15.6" thickTop="1" x14ac:dyDescent="0.25">
      <c r="A129" s="235" t="s">
        <v>145</v>
      </c>
    </row>
  </sheetData>
  <mergeCells count="38">
    <mergeCell ref="P101:Q101"/>
    <mergeCell ref="P39:Q39"/>
    <mergeCell ref="P49:Q49"/>
    <mergeCell ref="P61:Q61"/>
    <mergeCell ref="P93:Q93"/>
    <mergeCell ref="P76:Q76"/>
    <mergeCell ref="P89:Q89"/>
    <mergeCell ref="M39:N39"/>
    <mergeCell ref="M49:N49"/>
    <mergeCell ref="M89:N89"/>
    <mergeCell ref="M76:N76"/>
    <mergeCell ref="M101:N101"/>
    <mergeCell ref="M61:N61"/>
    <mergeCell ref="M93:N93"/>
    <mergeCell ref="F38:H38"/>
    <mergeCell ref="J101:K101"/>
    <mergeCell ref="J49:K49"/>
    <mergeCell ref="F100:H100"/>
    <mergeCell ref="J89:K89"/>
    <mergeCell ref="J76:K76"/>
    <mergeCell ref="J39:K39"/>
    <mergeCell ref="F39:H39"/>
    <mergeCell ref="F49:H49"/>
    <mergeCell ref="F48:H48"/>
    <mergeCell ref="J61:K61"/>
    <mergeCell ref="J93:K93"/>
    <mergeCell ref="F60:H60"/>
    <mergeCell ref="F75:H75"/>
    <mergeCell ref="R1:S1"/>
    <mergeCell ref="P26:Q26"/>
    <mergeCell ref="F14:H14"/>
    <mergeCell ref="J26:K26"/>
    <mergeCell ref="B4:H4"/>
    <mergeCell ref="F25:H25"/>
    <mergeCell ref="P15:Q15"/>
    <mergeCell ref="J15:K15"/>
    <mergeCell ref="M15:N15"/>
    <mergeCell ref="M26:N26"/>
  </mergeCells>
  <phoneticPr fontId="2" type="noConversion"/>
  <dataValidations disablePrompts="1" count="1">
    <dataValidation allowBlank="1" showInputMessage="1" showErrorMessage="1" sqref="C41 C28" xr:uid="{00000000-0002-0000-0600-000000000000}"/>
  </dataValidations>
  <pageMargins left="0.25" right="0.21" top="0.64" bottom="0.56999999999999995" header="0.5" footer="0.5"/>
  <pageSetup scale="43" fitToHeight="25" orientation="landscape" r:id="rId1"/>
  <headerFooter alignWithMargins="0"/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69"/>
  <sheetViews>
    <sheetView topLeftCell="D1" zoomScaleNormal="100" workbookViewId="0">
      <selection activeCell="L14" sqref="L14"/>
    </sheetView>
  </sheetViews>
  <sheetFormatPr defaultRowHeight="13.2" x14ac:dyDescent="0.25"/>
  <cols>
    <col min="1" max="1" width="1.109375" customWidth="1"/>
    <col min="2" max="2" width="32.33203125" customWidth="1"/>
    <col min="3" max="3" width="12.88671875" customWidth="1"/>
    <col min="4" max="4" width="10.44140625" bestFit="1" customWidth="1"/>
    <col min="5" max="5" width="11.33203125" customWidth="1"/>
    <col min="6" max="6" width="9.6640625" style="10" customWidth="1"/>
    <col min="7" max="7" width="9.88671875" bestFit="1" customWidth="1"/>
    <col min="8" max="8" width="10" bestFit="1" customWidth="1"/>
    <col min="9" max="9" width="13.33203125" customWidth="1"/>
    <col min="10" max="10" width="15" customWidth="1"/>
    <col min="11" max="11" width="14.44140625" customWidth="1"/>
    <col min="12" max="12" width="14.664062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3.3320312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" thickTop="1" x14ac:dyDescent="0.3">
      <c r="A2" s="615"/>
      <c r="B2" s="596" t="s">
        <v>0</v>
      </c>
      <c r="C2" s="593" t="s">
        <v>164</v>
      </c>
      <c r="D2" s="5"/>
      <c r="E2" s="396" t="s">
        <v>31</v>
      </c>
      <c r="F2" s="1427">
        <v>43331</v>
      </c>
      <c r="G2" s="1428"/>
      <c r="H2" s="5"/>
      <c r="I2" s="5"/>
      <c r="J2" s="594" t="s">
        <v>5</v>
      </c>
      <c r="K2" s="595">
        <v>2019</v>
      </c>
      <c r="L2" s="426"/>
      <c r="M2" s="592" t="s">
        <v>10</v>
      </c>
      <c r="N2" s="550">
        <f>K2+1</f>
        <v>2020</v>
      </c>
      <c r="O2" s="549"/>
      <c r="P2" s="551" t="s">
        <v>11</v>
      </c>
      <c r="Q2" s="552">
        <f>N2+1</f>
        <v>2021</v>
      </c>
      <c r="R2" s="553"/>
      <c r="S2" s="1420" t="s">
        <v>77</v>
      </c>
      <c r="T2" s="1421"/>
      <c r="U2" s="1052" t="s">
        <v>79</v>
      </c>
    </row>
    <row r="3" spans="1:21" x14ac:dyDescent="0.25">
      <c r="A3" s="615"/>
      <c r="F3"/>
      <c r="I3" s="1098" t="s">
        <v>216</v>
      </c>
      <c r="J3" s="1" t="s">
        <v>211</v>
      </c>
      <c r="K3" s="768" t="s">
        <v>212</v>
      </c>
      <c r="L3" s="20">
        <v>42</v>
      </c>
      <c r="M3" s="1" t="s">
        <v>211</v>
      </c>
      <c r="N3" s="768" t="s">
        <v>212</v>
      </c>
      <c r="O3" s="20">
        <v>42</v>
      </c>
      <c r="P3" s="1" t="s">
        <v>211</v>
      </c>
      <c r="Q3" s="768" t="s">
        <v>212</v>
      </c>
      <c r="R3" s="20">
        <v>42</v>
      </c>
      <c r="T3" s="37"/>
      <c r="U3" s="615"/>
    </row>
    <row r="4" spans="1:21" x14ac:dyDescent="0.25">
      <c r="A4" s="615"/>
      <c r="F4"/>
      <c r="I4" s="50">
        <v>3.5000000000000003E-2</v>
      </c>
      <c r="J4" s="1" t="s">
        <v>69</v>
      </c>
      <c r="K4" s="769" t="s">
        <v>213</v>
      </c>
      <c r="L4" s="20">
        <v>0</v>
      </c>
      <c r="M4" s="1" t="s">
        <v>166</v>
      </c>
      <c r="N4" s="769" t="s">
        <v>213</v>
      </c>
      <c r="O4" s="20">
        <v>0</v>
      </c>
      <c r="P4" s="1" t="s">
        <v>166</v>
      </c>
      <c r="Q4" s="769" t="s">
        <v>213</v>
      </c>
      <c r="R4" s="20">
        <v>0</v>
      </c>
      <c r="T4" s="37"/>
      <c r="U4" s="615"/>
    </row>
    <row r="5" spans="1:21" ht="13.8" thickBot="1" x14ac:dyDescent="0.3">
      <c r="A5" s="615"/>
      <c r="B5" s="597" t="s">
        <v>2</v>
      </c>
      <c r="C5" s="1429"/>
      <c r="D5" s="1430"/>
      <c r="E5" s="1430"/>
      <c r="F5" s="1430"/>
      <c r="G5" s="1430"/>
      <c r="H5" s="1430"/>
      <c r="I5" s="1446"/>
      <c r="K5" s="769" t="s">
        <v>214</v>
      </c>
      <c r="L5" s="20">
        <v>86</v>
      </c>
      <c r="N5" s="769" t="s">
        <v>214</v>
      </c>
      <c r="O5" s="20">
        <v>86</v>
      </c>
      <c r="Q5" s="769" t="s">
        <v>214</v>
      </c>
      <c r="R5" s="20">
        <v>86</v>
      </c>
      <c r="T5" s="37"/>
      <c r="U5" s="615"/>
    </row>
    <row r="6" spans="1:21" ht="13.8" thickTop="1" x14ac:dyDescent="0.25">
      <c r="A6" s="615"/>
      <c r="F6"/>
      <c r="I6" s="37"/>
      <c r="J6" s="425" t="s">
        <v>71</v>
      </c>
      <c r="K6" s="770" t="s">
        <v>215</v>
      </c>
      <c r="L6" s="20">
        <v>214</v>
      </c>
      <c r="M6" s="425" t="s">
        <v>71</v>
      </c>
      <c r="N6" s="770" t="s">
        <v>215</v>
      </c>
      <c r="O6" s="20">
        <v>214</v>
      </c>
      <c r="P6" s="425" t="s">
        <v>71</v>
      </c>
      <c r="Q6" s="770" t="s">
        <v>215</v>
      </c>
      <c r="R6" s="20">
        <v>214</v>
      </c>
      <c r="T6" s="37"/>
      <c r="U6" s="615"/>
    </row>
    <row r="7" spans="1:21" x14ac:dyDescent="0.25">
      <c r="A7" s="615"/>
      <c r="F7"/>
      <c r="I7" s="37"/>
      <c r="J7" s="1103">
        <v>116</v>
      </c>
      <c r="K7" s="768" t="s">
        <v>218</v>
      </c>
      <c r="L7" s="20">
        <v>110</v>
      </c>
      <c r="M7" s="1104">
        <v>116</v>
      </c>
      <c r="N7" s="768" t="s">
        <v>218</v>
      </c>
      <c r="O7" s="20">
        <v>110</v>
      </c>
      <c r="P7" s="1103">
        <v>116</v>
      </c>
      <c r="Q7" s="768" t="s">
        <v>218</v>
      </c>
      <c r="R7" s="20">
        <v>110</v>
      </c>
      <c r="T7" s="37"/>
      <c r="U7" s="615"/>
    </row>
    <row r="8" spans="1:21" x14ac:dyDescent="0.25">
      <c r="A8" s="615"/>
      <c r="B8" s="5"/>
      <c r="C8" s="5"/>
      <c r="D8" s="5"/>
      <c r="E8" s="5"/>
      <c r="F8" s="7"/>
      <c r="G8" s="5"/>
      <c r="H8" s="5"/>
      <c r="I8" s="37"/>
      <c r="K8" s="429" t="s">
        <v>13</v>
      </c>
      <c r="L8" s="771">
        <f>SUM(L3:L7)</f>
        <v>452</v>
      </c>
      <c r="M8" s="1105"/>
      <c r="N8" s="429" t="s">
        <v>13</v>
      </c>
      <c r="O8" s="771">
        <f>SUM(O3:O7)</f>
        <v>452</v>
      </c>
      <c r="Q8" s="429" t="s">
        <v>13</v>
      </c>
      <c r="R8" s="771">
        <f>SUM(R3:R7)</f>
        <v>452</v>
      </c>
      <c r="S8" s="429" t="s">
        <v>13</v>
      </c>
      <c r="T8" s="106">
        <f>AVERAGE(L8,O8,R8)</f>
        <v>452</v>
      </c>
      <c r="U8" s="615"/>
    </row>
    <row r="9" spans="1:21" x14ac:dyDescent="0.25">
      <c r="A9" s="615"/>
      <c r="B9" s="5"/>
      <c r="C9" s="5"/>
      <c r="D9" s="5"/>
      <c r="E9" s="5"/>
      <c r="F9" s="7"/>
      <c r="G9" s="5"/>
      <c r="H9" s="5"/>
      <c r="I9" s="37"/>
      <c r="K9" s="429" t="s">
        <v>166</v>
      </c>
      <c r="L9" s="775">
        <f>L3*4+L4*3+L5*2+L6+L7</f>
        <v>664</v>
      </c>
      <c r="N9" s="429" t="s">
        <v>166</v>
      </c>
      <c r="O9" s="775">
        <f>O3*4+O4*3+O5*2+O6+O7</f>
        <v>664</v>
      </c>
      <c r="Q9" s="429" t="s">
        <v>166</v>
      </c>
      <c r="R9" s="775">
        <f>R3*4+R4*3+R5*2+R6+R7</f>
        <v>664</v>
      </c>
      <c r="S9" s="429" t="s">
        <v>166</v>
      </c>
      <c r="T9" s="106">
        <f>AVERAGE(L9,O9,R9)</f>
        <v>664</v>
      </c>
      <c r="U9" s="615"/>
    </row>
    <row r="10" spans="1:21" ht="12.75" customHeight="1" thickBot="1" x14ac:dyDescent="0.3">
      <c r="A10" s="615"/>
      <c r="I10" s="37"/>
      <c r="K10" s="429" t="s">
        <v>70</v>
      </c>
      <c r="L10" s="343">
        <f>L9*$I$4</f>
        <v>23.240000000000002</v>
      </c>
      <c r="N10" s="429" t="s">
        <v>70</v>
      </c>
      <c r="O10" s="343">
        <f>O9*$I$4</f>
        <v>23.240000000000002</v>
      </c>
      <c r="Q10" s="429" t="s">
        <v>70</v>
      </c>
      <c r="R10" s="343">
        <f>R9*$I$4</f>
        <v>23.240000000000002</v>
      </c>
      <c r="S10" s="115" t="s">
        <v>70</v>
      </c>
      <c r="T10" s="773">
        <f>AVERAGE(L10,O10,R10)</f>
        <v>23.24</v>
      </c>
      <c r="U10" s="615"/>
    </row>
    <row r="11" spans="1:21" ht="12.75" customHeight="1" thickTop="1" x14ac:dyDescent="0.25">
      <c r="A11" s="615"/>
      <c r="B11" s="597"/>
      <c r="F11"/>
      <c r="I11" s="37"/>
      <c r="K11" s="429" t="s">
        <v>144</v>
      </c>
      <c r="L11" s="774">
        <f>(L3+L4/2+L5/3+L6/6)/L8</f>
        <v>0.23525073746312686</v>
      </c>
      <c r="N11" s="429" t="s">
        <v>144</v>
      </c>
      <c r="O11" s="774">
        <f>(O3+O4/2+O5/3+O6/6)/O8</f>
        <v>0.23525073746312686</v>
      </c>
      <c r="Q11" s="429" t="s">
        <v>144</v>
      </c>
      <c r="R11" s="774">
        <f>(R3+R4/2+R5/3+R6/6)/R8</f>
        <v>0.23525073746312686</v>
      </c>
      <c r="S11" s="115"/>
      <c r="T11" s="827"/>
      <c r="U11" s="615"/>
    </row>
    <row r="12" spans="1:21" ht="12.75" customHeight="1" x14ac:dyDescent="0.25">
      <c r="A12" s="615"/>
      <c r="B12" s="597"/>
      <c r="F12"/>
      <c r="I12" s="37"/>
      <c r="K12" s="772" t="s">
        <v>217</v>
      </c>
      <c r="L12" s="20">
        <v>362</v>
      </c>
      <c r="M12" s="1"/>
      <c r="N12" s="772" t="s">
        <v>217</v>
      </c>
      <c r="O12" s="20">
        <v>268</v>
      </c>
      <c r="P12" s="1"/>
      <c r="Q12" s="772" t="s">
        <v>217</v>
      </c>
      <c r="R12" s="20">
        <v>268</v>
      </c>
      <c r="S12" s="429" t="s">
        <v>167</v>
      </c>
      <c r="T12" s="1378">
        <f>AVERAGE(L12,O12,R12)</f>
        <v>299.33333333333331</v>
      </c>
      <c r="U12" s="615"/>
    </row>
    <row r="13" spans="1:21" ht="12.75" customHeight="1" x14ac:dyDescent="0.25">
      <c r="A13" s="615"/>
      <c r="B13" s="597"/>
      <c r="F13"/>
      <c r="I13" s="37"/>
      <c r="K13" s="429" t="s">
        <v>70</v>
      </c>
      <c r="L13" s="59">
        <f>L12*$I$4</f>
        <v>12.670000000000002</v>
      </c>
      <c r="N13" s="823" t="s">
        <v>70</v>
      </c>
      <c r="O13" s="1101">
        <f>O12*$I$4</f>
        <v>9.3800000000000008</v>
      </c>
      <c r="Q13" s="429" t="s">
        <v>70</v>
      </c>
      <c r="R13" s="1102">
        <f>R12*$I$4</f>
        <v>9.3800000000000008</v>
      </c>
      <c r="S13" s="115" t="s">
        <v>70</v>
      </c>
      <c r="T13" s="773">
        <f>AVERAGE(L13,O13,R13)</f>
        <v>10.476666666666668</v>
      </c>
      <c r="U13" s="615"/>
    </row>
    <row r="14" spans="1:21" ht="12.75" customHeight="1" thickBot="1" x14ac:dyDescent="0.3">
      <c r="A14" s="615"/>
      <c r="B14" s="597"/>
      <c r="C14" s="410"/>
      <c r="D14" s="410"/>
      <c r="E14" s="410"/>
      <c r="F14" s="410"/>
      <c r="G14" s="410"/>
      <c r="H14" s="410"/>
      <c r="I14" s="236"/>
      <c r="J14" s="410"/>
      <c r="K14" s="342" t="s">
        <v>337</v>
      </c>
      <c r="L14" s="1122">
        <v>947</v>
      </c>
      <c r="M14" s="1123"/>
      <c r="N14" s="342" t="s">
        <v>337</v>
      </c>
      <c r="O14" s="1124">
        <v>947</v>
      </c>
      <c r="P14" s="1123"/>
      <c r="Q14" s="342" t="s">
        <v>337</v>
      </c>
      <c r="R14" s="1124">
        <v>947</v>
      </c>
      <c r="S14" s="1126" t="s">
        <v>337</v>
      </c>
      <c r="T14" s="1100">
        <f>AVERAGE(L14,O14,R14)</f>
        <v>947</v>
      </c>
      <c r="U14" s="615"/>
    </row>
    <row r="15" spans="1:21" ht="30" customHeight="1" thickTop="1" thickBot="1" x14ac:dyDescent="0.35">
      <c r="A15" s="615"/>
      <c r="B15" s="598" t="s">
        <v>73</v>
      </c>
      <c r="C15" s="4"/>
      <c r="D15" s="4"/>
      <c r="E15" s="4"/>
      <c r="F15" s="12"/>
      <c r="G15" s="4"/>
      <c r="H15" s="4"/>
      <c r="I15" s="41"/>
      <c r="K15" s="87"/>
      <c r="L15" s="83"/>
      <c r="N15" s="4"/>
      <c r="O15" s="41"/>
      <c r="Q15" s="87"/>
      <c r="R15" s="83"/>
      <c r="S15" s="1125" t="s">
        <v>17</v>
      </c>
      <c r="T15" s="1099" t="s">
        <v>103</v>
      </c>
      <c r="U15" s="226"/>
    </row>
    <row r="16" spans="1:21" ht="15.6" x14ac:dyDescent="0.3">
      <c r="A16" s="615"/>
      <c r="B16" s="55" t="s">
        <v>3</v>
      </c>
      <c r="C16" s="239"/>
      <c r="D16" s="431" t="s">
        <v>54</v>
      </c>
      <c r="E16" s="28">
        <v>7</v>
      </c>
      <c r="F16" s="112" t="s">
        <v>6</v>
      </c>
      <c r="G16" s="1424"/>
      <c r="H16" s="1425"/>
      <c r="I16" s="1426"/>
      <c r="J16" s="88" t="s">
        <v>3</v>
      </c>
      <c r="K16" s="179"/>
      <c r="L16" s="180"/>
      <c r="M16" s="55" t="s">
        <v>3</v>
      </c>
      <c r="N16" s="426"/>
      <c r="O16" s="67"/>
      <c r="P16" s="55" t="s">
        <v>3</v>
      </c>
      <c r="Q16" s="426"/>
      <c r="R16" s="180"/>
      <c r="S16" s="939"/>
      <c r="T16" s="117"/>
      <c r="U16" s="515"/>
    </row>
    <row r="17" spans="1:22" x14ac:dyDescent="0.25">
      <c r="A17" s="615"/>
      <c r="B17" s="600" t="s">
        <v>44</v>
      </c>
      <c r="C17" s="6"/>
      <c r="D17" s="6"/>
      <c r="E17" s="6"/>
      <c r="F17" s="11"/>
      <c r="G17" s="6"/>
      <c r="H17" s="6"/>
      <c r="I17" s="47" t="s">
        <v>55</v>
      </c>
      <c r="J17" s="259" t="s">
        <v>55</v>
      </c>
      <c r="K17" s="1431" t="s">
        <v>57</v>
      </c>
      <c r="L17" s="1423"/>
      <c r="M17" s="57" t="s">
        <v>55</v>
      </c>
      <c r="N17" s="1432" t="s">
        <v>57</v>
      </c>
      <c r="O17" s="1433"/>
      <c r="P17" s="277" t="s">
        <v>55</v>
      </c>
      <c r="Q17" s="1422" t="s">
        <v>57</v>
      </c>
      <c r="R17" s="1423"/>
      <c r="S17" s="125"/>
      <c r="T17" s="145"/>
      <c r="U17" s="1053"/>
    </row>
    <row r="18" spans="1:22" x14ac:dyDescent="0.25">
      <c r="A18" s="615"/>
      <c r="B18" s="601" t="s">
        <v>53</v>
      </c>
      <c r="C18" s="23" t="s">
        <v>45</v>
      </c>
      <c r="D18" s="24" t="s">
        <v>46</v>
      </c>
      <c r="E18" s="23" t="s">
        <v>47</v>
      </c>
      <c r="F18" s="23" t="s">
        <v>48</v>
      </c>
      <c r="G18" s="23" t="s">
        <v>49</v>
      </c>
      <c r="H18" s="23" t="s">
        <v>50</v>
      </c>
      <c r="I18" s="47" t="s">
        <v>13</v>
      </c>
      <c r="J18" s="260" t="s">
        <v>56</v>
      </c>
      <c r="K18" s="261" t="s">
        <v>13</v>
      </c>
      <c r="L18" s="262" t="s">
        <v>68</v>
      </c>
      <c r="M18" s="77" t="s">
        <v>56</v>
      </c>
      <c r="N18" s="24" t="s">
        <v>13</v>
      </c>
      <c r="O18" s="38" t="s">
        <v>68</v>
      </c>
      <c r="P18" s="261" t="s">
        <v>56</v>
      </c>
      <c r="Q18" s="261" t="s">
        <v>13</v>
      </c>
      <c r="R18" s="262" t="s">
        <v>68</v>
      </c>
      <c r="S18" s="123"/>
      <c r="T18" s="146"/>
      <c r="U18" s="517"/>
    </row>
    <row r="19" spans="1:22" x14ac:dyDescent="0.25">
      <c r="A19" s="615"/>
      <c r="B19" s="602" t="s">
        <v>51</v>
      </c>
      <c r="C19" s="21">
        <v>0</v>
      </c>
      <c r="D19" s="21">
        <v>0</v>
      </c>
      <c r="E19" s="21">
        <v>0</v>
      </c>
      <c r="F19" s="21">
        <v>10</v>
      </c>
      <c r="G19" s="21">
        <v>10</v>
      </c>
      <c r="H19" s="21">
        <v>10</v>
      </c>
      <c r="I19" s="48">
        <f>SUM(C19:H19)</f>
        <v>30</v>
      </c>
      <c r="J19" s="263" t="s">
        <v>12</v>
      </c>
      <c r="K19" s="1030">
        <f>$I19*J$7</f>
        <v>3480</v>
      </c>
      <c r="L19" s="265">
        <f>K19/$E$16</f>
        <v>497.14285714285717</v>
      </c>
      <c r="M19" s="58" t="s">
        <v>12</v>
      </c>
      <c r="N19" s="1031">
        <f>$I19*M$7</f>
        <v>3480</v>
      </c>
      <c r="O19" s="68">
        <f>N19/$E$16</f>
        <v>497.14285714285717</v>
      </c>
      <c r="P19" s="263" t="s">
        <v>12</v>
      </c>
      <c r="Q19" s="433">
        <f>$I19*$M$10</f>
        <v>0</v>
      </c>
      <c r="R19" s="289">
        <f>Q19/$E$16</f>
        <v>0</v>
      </c>
      <c r="S19" s="121">
        <f>AVERAGE(L19,O19,R19)</f>
        <v>331.42857142857144</v>
      </c>
      <c r="T19" s="119" t="s">
        <v>12</v>
      </c>
      <c r="U19" s="1054" t="s">
        <v>12</v>
      </c>
    </row>
    <row r="20" spans="1:22" s="1" customFormat="1" x14ac:dyDescent="0.25">
      <c r="A20" s="616"/>
      <c r="B20" s="603" t="s">
        <v>52</v>
      </c>
      <c r="C20" s="381">
        <f>ROUND(C19*Labor!$D$3,0)</f>
        <v>0</v>
      </c>
      <c r="D20" s="23">
        <f>ROUND(D19*Labor!$D$4,0)</f>
        <v>0</v>
      </c>
      <c r="E20" s="23">
        <f>ROUND(E19*Labor!$D$5,0)</f>
        <v>0</v>
      </c>
      <c r="F20" s="23">
        <f>ROUND(F19*Labor!$D$6,0)</f>
        <v>493</v>
      </c>
      <c r="G20" s="23">
        <f>ROUND(G19*Labor!$D$7,0)</f>
        <v>555</v>
      </c>
      <c r="H20" s="23">
        <f>ROUND(H19*Labor!$D$8,0)</f>
        <v>586</v>
      </c>
      <c r="I20" s="382">
        <f>SUM(C20:H20)</f>
        <v>1634</v>
      </c>
      <c r="J20" s="383">
        <f>HLOOKUP(Labor!$B$11,InflationTable,2)*$I20</f>
        <v>2207.210220677679</v>
      </c>
      <c r="K20" s="384">
        <f>J20*$J$7</f>
        <v>256036.38559861077</v>
      </c>
      <c r="L20" s="385">
        <f>K20/$E$16</f>
        <v>36576.626514087249</v>
      </c>
      <c r="M20" s="386">
        <f>HLOOKUP(Labor!$B$11,InflationTable,3)*$I20</f>
        <v>2267.4949618950059</v>
      </c>
      <c r="N20" s="387">
        <f>M20*$J$7</f>
        <v>263029.41557982069</v>
      </c>
      <c r="O20" s="388">
        <f>N20/$E$16</f>
        <v>37575.630797117243</v>
      </c>
      <c r="P20" s="383">
        <f>HLOOKUP(Labor!$B$11,InflationTable,4)*$I20</f>
        <v>2294.6662931674882</v>
      </c>
      <c r="Q20" s="384">
        <f>P20*$J$7</f>
        <v>266181.29000742862</v>
      </c>
      <c r="R20" s="385">
        <f>Q20/$E$16</f>
        <v>38025.898572489801</v>
      </c>
      <c r="S20" s="379">
        <f>AVERAGE(L20,O20,R20)</f>
        <v>37392.718627898103</v>
      </c>
      <c r="T20" s="380" t="s">
        <v>12</v>
      </c>
      <c r="U20" s="1055" t="s">
        <v>12</v>
      </c>
    </row>
    <row r="21" spans="1:22" x14ac:dyDescent="0.25">
      <c r="A21" s="615"/>
      <c r="B21" s="112" t="s">
        <v>7</v>
      </c>
      <c r="C21" s="5"/>
      <c r="D21" s="5"/>
      <c r="E21" s="5"/>
      <c r="F21" s="7"/>
      <c r="G21" s="5"/>
      <c r="H21" s="8"/>
      <c r="I21" s="37"/>
      <c r="J21" s="266"/>
      <c r="K21" s="266"/>
      <c r="L21" s="267"/>
      <c r="M21" s="426"/>
      <c r="N21" s="426"/>
      <c r="O21" s="65"/>
      <c r="P21" s="404"/>
      <c r="Q21" s="404"/>
      <c r="R21" s="290"/>
      <c r="S21" s="122"/>
      <c r="T21" s="37"/>
      <c r="U21" s="615"/>
    </row>
    <row r="22" spans="1:22" x14ac:dyDescent="0.25">
      <c r="A22" s="615"/>
      <c r="B22" s="602" t="s">
        <v>51</v>
      </c>
      <c r="C22" s="21">
        <v>0</v>
      </c>
      <c r="D22" s="21">
        <v>6</v>
      </c>
      <c r="E22" s="21">
        <v>2</v>
      </c>
      <c r="F22" s="21">
        <v>2</v>
      </c>
      <c r="G22" s="21">
        <v>0</v>
      </c>
      <c r="H22" s="21">
        <v>0</v>
      </c>
      <c r="I22" s="48">
        <f>SUM(C22:H22)</f>
        <v>10</v>
      </c>
      <c r="J22" s="263" t="s">
        <v>12</v>
      </c>
      <c r="K22" s="1030">
        <f>$I22*J$7</f>
        <v>1160</v>
      </c>
      <c r="L22" s="265">
        <f>K22/$E$16</f>
        <v>165.71428571428572</v>
      </c>
      <c r="M22" s="58" t="s">
        <v>12</v>
      </c>
      <c r="N22" s="1031">
        <f>$I22*M$7</f>
        <v>1160</v>
      </c>
      <c r="O22" s="59">
        <f>N22/$E$16</f>
        <v>165.71428571428572</v>
      </c>
      <c r="P22" s="263" t="s">
        <v>12</v>
      </c>
      <c r="Q22" s="1030">
        <f>$I22*P$7</f>
        <v>1160</v>
      </c>
      <c r="R22" s="282">
        <f>Q22/$E$16</f>
        <v>165.71428571428572</v>
      </c>
      <c r="S22" s="121">
        <f>AVERAGE(L22,O22,R22)</f>
        <v>165.71428571428572</v>
      </c>
      <c r="T22" s="119" t="s">
        <v>12</v>
      </c>
      <c r="U22" s="1054" t="s">
        <v>12</v>
      </c>
    </row>
    <row r="23" spans="1:22" s="1" customFormat="1" ht="13.8" thickBot="1" x14ac:dyDescent="0.3">
      <c r="A23" s="616"/>
      <c r="B23" s="604" t="s">
        <v>52</v>
      </c>
      <c r="C23" s="373">
        <f>ROUND(C22*Labor!$D$3,0)</f>
        <v>0</v>
      </c>
      <c r="D23" s="374">
        <f>ROUND(D22*Labor!$D$4,0)</f>
        <v>245</v>
      </c>
      <c r="E23" s="374">
        <f>ROUND(E22*Labor!$D$5,0)</f>
        <v>88</v>
      </c>
      <c r="F23" s="374">
        <f>ROUND(F22*Labor!$D$6,0)</f>
        <v>99</v>
      </c>
      <c r="G23" s="374">
        <f>ROUND(G22*Labor!$D$7,0)</f>
        <v>0</v>
      </c>
      <c r="H23" s="374">
        <f>ROUND(H22*Labor!$D$8,0)</f>
        <v>0</v>
      </c>
      <c r="I23" s="375">
        <f>SUM(C23:H23)</f>
        <v>432</v>
      </c>
      <c r="J23" s="332">
        <f>HLOOKUP(Labor!$B$11,InflationTable,2)*I23</f>
        <v>583.54639861245857</v>
      </c>
      <c r="K23" s="296">
        <f>J23*$J$7</f>
        <v>67691.382239045197</v>
      </c>
      <c r="L23" s="297">
        <f>K23/$E$16</f>
        <v>9670.1974627207419</v>
      </c>
      <c r="M23" s="376">
        <f>HLOOKUP(Labor!$B$11,InflationTable,3)*I23</f>
        <v>599.48459212891225</v>
      </c>
      <c r="N23" s="377">
        <f>M23*$J$7</f>
        <v>69540.212686953819</v>
      </c>
      <c r="O23" s="378">
        <f>N23/$E$16</f>
        <v>9934.3160981362598</v>
      </c>
      <c r="P23" s="339">
        <f>HLOOKUP(Labor!$B$11,InflationTable,4)*I23</f>
        <v>606.66819990719387</v>
      </c>
      <c r="Q23" s="296">
        <f>P23*$J$7</f>
        <v>70373.511189234487</v>
      </c>
      <c r="R23" s="297">
        <f>Q23/$E$16</f>
        <v>10053.358741319213</v>
      </c>
      <c r="S23" s="211">
        <f>AVERAGE(L23,O23,R23)</f>
        <v>9885.9574340587369</v>
      </c>
      <c r="T23" s="218" t="s">
        <v>12</v>
      </c>
      <c r="U23" s="1056" t="s">
        <v>12</v>
      </c>
    </row>
    <row r="24" spans="1:22" x14ac:dyDescent="0.25">
      <c r="A24" s="615"/>
      <c r="B24" s="605" t="s">
        <v>66</v>
      </c>
      <c r="C24" s="33">
        <f t="shared" ref="C24:I25" si="0">C19+C22</f>
        <v>0</v>
      </c>
      <c r="D24" s="33">
        <f t="shared" si="0"/>
        <v>6</v>
      </c>
      <c r="E24" s="33">
        <f t="shared" si="0"/>
        <v>2</v>
      </c>
      <c r="F24" s="33">
        <f t="shared" si="0"/>
        <v>12</v>
      </c>
      <c r="G24" s="33">
        <f t="shared" si="0"/>
        <v>10</v>
      </c>
      <c r="H24" s="33">
        <f t="shared" si="0"/>
        <v>10</v>
      </c>
      <c r="I24" s="49">
        <f t="shared" si="0"/>
        <v>40</v>
      </c>
      <c r="J24" s="271" t="s">
        <v>12</v>
      </c>
      <c r="K24" s="272">
        <f>K19+K22</f>
        <v>4640</v>
      </c>
      <c r="L24" s="273">
        <f>L19+L22</f>
        <v>662.85714285714289</v>
      </c>
      <c r="M24" s="61" t="s">
        <v>12</v>
      </c>
      <c r="N24" s="1032">
        <f>N19+N22</f>
        <v>4640</v>
      </c>
      <c r="O24" s="62">
        <f>N24/$E$16</f>
        <v>662.85714285714289</v>
      </c>
      <c r="P24" s="293" t="s">
        <v>12</v>
      </c>
      <c r="Q24" s="272">
        <f>Q19+Q22</f>
        <v>1160</v>
      </c>
      <c r="R24" s="294">
        <f>Q24/$E$16</f>
        <v>165.71428571428572</v>
      </c>
      <c r="S24" s="129">
        <f>AVERAGE(L24,O24,R24)</f>
        <v>497.14285714285717</v>
      </c>
      <c r="T24" s="136" t="s">
        <v>12</v>
      </c>
      <c r="U24" s="1065" t="s">
        <v>12</v>
      </c>
    </row>
    <row r="25" spans="1:22" ht="13.8" thickBot="1" x14ac:dyDescent="0.3">
      <c r="A25" s="615"/>
      <c r="B25" s="606" t="s">
        <v>67</v>
      </c>
      <c r="C25" s="240">
        <f t="shared" si="0"/>
        <v>0</v>
      </c>
      <c r="D25" s="240">
        <f t="shared" si="0"/>
        <v>245</v>
      </c>
      <c r="E25" s="240">
        <f t="shared" si="0"/>
        <v>88</v>
      </c>
      <c r="F25" s="240">
        <f t="shared" si="0"/>
        <v>592</v>
      </c>
      <c r="G25" s="240">
        <f t="shared" si="0"/>
        <v>555</v>
      </c>
      <c r="H25" s="240">
        <f t="shared" si="0"/>
        <v>586</v>
      </c>
      <c r="I25" s="241">
        <f t="shared" si="0"/>
        <v>2066</v>
      </c>
      <c r="J25" s="274">
        <f>J20+J23</f>
        <v>2790.7566192901377</v>
      </c>
      <c r="K25" s="275">
        <f>K20+K23</f>
        <v>323727.76783765596</v>
      </c>
      <c r="L25" s="276">
        <f>L20+L23</f>
        <v>46246.823976807995</v>
      </c>
      <c r="M25" s="242">
        <f>M20+M23</f>
        <v>2866.9795540239184</v>
      </c>
      <c r="N25" s="240">
        <f>N20+N23</f>
        <v>332569.62826677453</v>
      </c>
      <c r="O25" s="243">
        <f>O20+O23</f>
        <v>47509.946895253503</v>
      </c>
      <c r="P25" s="295">
        <f>P20+P23</f>
        <v>2901.3344930746821</v>
      </c>
      <c r="Q25" s="275">
        <f>Q20+Q23</f>
        <v>336554.80119666312</v>
      </c>
      <c r="R25" s="276">
        <f>R20+R23</f>
        <v>48079.257313809016</v>
      </c>
      <c r="S25" s="211">
        <f>AVERAGE(L25,O25,R25)</f>
        <v>47278.67606195683</v>
      </c>
      <c r="T25" s="218" t="s">
        <v>12</v>
      </c>
      <c r="U25" s="1056" t="s">
        <v>12</v>
      </c>
    </row>
    <row r="26" spans="1:22" ht="14.4" thickTop="1" thickBot="1" x14ac:dyDescent="0.3">
      <c r="A26" s="615"/>
      <c r="B26" s="617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410"/>
      <c r="O26" s="410"/>
      <c r="P26" s="410"/>
      <c r="Q26" s="410"/>
      <c r="R26" s="410"/>
      <c r="S26" s="410"/>
      <c r="T26" s="410"/>
      <c r="U26" s="410"/>
      <c r="V26" s="5"/>
    </row>
    <row r="27" spans="1:22" ht="16.2" thickTop="1" x14ac:dyDescent="0.3">
      <c r="A27" s="615"/>
      <c r="B27" s="181" t="s">
        <v>16</v>
      </c>
      <c r="C27" s="72"/>
      <c r="D27" s="431" t="s">
        <v>54</v>
      </c>
      <c r="E27" s="70">
        <v>7</v>
      </c>
      <c r="F27" s="112" t="s">
        <v>6</v>
      </c>
      <c r="G27" s="1415"/>
      <c r="H27" s="1416"/>
      <c r="I27" s="1417"/>
      <c r="J27" s="181" t="s">
        <v>16</v>
      </c>
      <c r="K27" s="426"/>
      <c r="L27" s="180"/>
      <c r="M27" s="181" t="s">
        <v>16</v>
      </c>
      <c r="N27" s="426"/>
      <c r="O27" s="67"/>
      <c r="P27" s="181" t="s">
        <v>16</v>
      </c>
      <c r="Q27" s="426"/>
      <c r="R27" s="180"/>
      <c r="S27" s="225"/>
      <c r="T27" s="37"/>
      <c r="U27" s="227"/>
    </row>
    <row r="28" spans="1:22" x14ac:dyDescent="0.25">
      <c r="A28" s="615"/>
      <c r="B28" s="5"/>
      <c r="C28" s="107" t="s">
        <v>60</v>
      </c>
      <c r="D28" s="23" t="s">
        <v>62</v>
      </c>
      <c r="E28" s="5"/>
      <c r="F28" s="5"/>
      <c r="G28" s="5"/>
      <c r="H28" s="6"/>
      <c r="I28" s="43"/>
      <c r="J28" s="277" t="s">
        <v>61</v>
      </c>
      <c r="K28" s="1422" t="s">
        <v>57</v>
      </c>
      <c r="L28" s="1423"/>
      <c r="M28" s="93" t="s">
        <v>61</v>
      </c>
      <c r="N28" s="1432" t="s">
        <v>57</v>
      </c>
      <c r="O28" s="1433"/>
      <c r="P28" s="318" t="s">
        <v>61</v>
      </c>
      <c r="Q28" s="1445" t="s">
        <v>57</v>
      </c>
      <c r="R28" s="1423"/>
      <c r="S28" s="131"/>
      <c r="T28" s="37"/>
      <c r="U28" s="227"/>
    </row>
    <row r="29" spans="1:22" x14ac:dyDescent="0.25">
      <c r="A29" s="615"/>
      <c r="B29" s="607" t="s">
        <v>58</v>
      </c>
      <c r="C29" s="23"/>
      <c r="D29" s="23"/>
      <c r="E29" s="9"/>
      <c r="F29" s="72"/>
      <c r="G29" s="72"/>
      <c r="H29" s="72"/>
      <c r="I29" s="73"/>
      <c r="J29" s="260" t="s">
        <v>56</v>
      </c>
      <c r="K29" s="261" t="s">
        <v>13</v>
      </c>
      <c r="L29" s="262" t="s">
        <v>68</v>
      </c>
      <c r="M29" s="77" t="s">
        <v>56</v>
      </c>
      <c r="N29" s="24" t="s">
        <v>13</v>
      </c>
      <c r="O29" s="38" t="s">
        <v>68</v>
      </c>
      <c r="P29" s="260" t="s">
        <v>56</v>
      </c>
      <c r="Q29" s="261" t="s">
        <v>13</v>
      </c>
      <c r="R29" s="262" t="s">
        <v>68</v>
      </c>
      <c r="S29" s="123"/>
      <c r="T29" s="37"/>
      <c r="U29" s="227"/>
    </row>
    <row r="30" spans="1:22" s="1" customFormat="1" x14ac:dyDescent="0.25">
      <c r="A30" s="616"/>
      <c r="B30" s="670" t="s">
        <v>14</v>
      </c>
      <c r="C30" s="458">
        <f>VLOOKUP(C$2,Monitor_Costs,2,FALSE)</f>
        <v>5500</v>
      </c>
      <c r="D30" s="381">
        <f>VLOOKUP(C$2,Monitor_Costs,3,FALSE)</f>
        <v>2019</v>
      </c>
      <c r="E30" s="459"/>
      <c r="F30" s="93"/>
      <c r="G30" s="460"/>
      <c r="H30" s="460"/>
      <c r="I30" s="466"/>
      <c r="J30" s="384">
        <f>HLOOKUP(D30,InflationTable,2)*$C30</f>
        <v>7429.4101675197271</v>
      </c>
      <c r="K30" s="384">
        <f>J30*$L$8</f>
        <v>3358093.3957189168</v>
      </c>
      <c r="L30" s="385">
        <f>K30/$E$27</f>
        <v>479727.62795984524</v>
      </c>
      <c r="M30" s="467">
        <f>HLOOKUP($D$30,InflationTable,3)*$C30</f>
        <v>7632.3269831227253</v>
      </c>
      <c r="N30" s="468">
        <f>M30*$L$8</f>
        <v>3449811.7963714721</v>
      </c>
      <c r="O30" s="671">
        <f>N30/$E$27</f>
        <v>492830.25662449602</v>
      </c>
      <c r="P30" s="383">
        <f>HLOOKUP($D$30,InflationTable,4)*$C30</f>
        <v>7723.7849525221445</v>
      </c>
      <c r="Q30" s="384">
        <f>P30*$L$8</f>
        <v>3491150.7985400092</v>
      </c>
      <c r="R30" s="385">
        <f>Q30/$E$27</f>
        <v>498735.82836285845</v>
      </c>
      <c r="S30" s="462" t="s">
        <v>12</v>
      </c>
      <c r="T30" s="380" t="s">
        <v>12</v>
      </c>
      <c r="U30" s="509">
        <f>AVERAGE(L30,O30,R30)</f>
        <v>490431.23764906655</v>
      </c>
    </row>
    <row r="31" spans="1:22" s="1" customFormat="1" ht="13.8" thickBot="1" x14ac:dyDescent="0.3">
      <c r="A31" s="616"/>
      <c r="B31" s="672" t="s">
        <v>15</v>
      </c>
      <c r="C31" s="1113"/>
      <c r="D31" s="1114"/>
      <c r="E31" s="1114"/>
      <c r="F31" s="159"/>
      <c r="G31" s="1114"/>
      <c r="H31" s="1114"/>
      <c r="I31" s="47"/>
      <c r="J31" s="277"/>
      <c r="K31" s="384">
        <f>J30*$L$10</f>
        <v>172659.49229315846</v>
      </c>
      <c r="L31" s="385">
        <f>K31/$E$27</f>
        <v>24665.641756165493</v>
      </c>
      <c r="M31" s="1114"/>
      <c r="N31" s="468">
        <f>M30*$L$10</f>
        <v>177375.27908777216</v>
      </c>
      <c r="O31" s="1117">
        <f>N31/$E$27</f>
        <v>25339.325583967449</v>
      </c>
      <c r="P31" s="1121"/>
      <c r="Q31" s="384">
        <f>P30*$L$10</f>
        <v>179500.76229661464</v>
      </c>
      <c r="R31" s="385">
        <f>Q31/$E$27</f>
        <v>25642.966042373522</v>
      </c>
      <c r="S31" s="462" t="s">
        <v>12</v>
      </c>
      <c r="T31" s="380" t="s">
        <v>12</v>
      </c>
      <c r="U31" s="509">
        <f>AVERAGE(L31,O31,R31)</f>
        <v>25215.977794168823</v>
      </c>
    </row>
    <row r="32" spans="1:22" s="1" customFormat="1" x14ac:dyDescent="0.25">
      <c r="A32" s="616"/>
      <c r="B32" s="670" t="s">
        <v>168</v>
      </c>
      <c r="C32" s="1111">
        <f>VLOOKUP(C$2,Monitor_Costs,11,FALSE)</f>
        <v>17600</v>
      </c>
      <c r="D32" s="1112">
        <f>VLOOKUP(C$2,Monitor_Costs,12,FALSE)</f>
        <v>2019</v>
      </c>
      <c r="E32" s="1113"/>
      <c r="F32" s="159"/>
      <c r="G32" s="1114"/>
      <c r="H32" s="1114"/>
      <c r="I32" s="466"/>
      <c r="J32" s="749">
        <f>HLOOKUP(D32,InflationTable,2)*$C32</f>
        <v>23774.112536063127</v>
      </c>
      <c r="K32" s="749">
        <f>J32*$L$12</f>
        <v>8606228.7380548511</v>
      </c>
      <c r="L32" s="750">
        <f>K32/$E$27</f>
        <v>1229461.2482935502</v>
      </c>
      <c r="M32" s="1115">
        <f>HLOOKUP($D$30,InflationTable,3)*$C32</f>
        <v>24423.446345992721</v>
      </c>
      <c r="N32" s="752">
        <f>M32*$L$12</f>
        <v>8841287.5772493649</v>
      </c>
      <c r="O32" s="1116">
        <f>N32/$E$27</f>
        <v>1263041.0824641951</v>
      </c>
      <c r="P32" s="1118">
        <f>HLOOKUP($D$30,InflationTable,4)*$C32</f>
        <v>24716.111848070865</v>
      </c>
      <c r="Q32" s="749">
        <f>P32*$L$12</f>
        <v>8947232.4890016522</v>
      </c>
      <c r="R32" s="750">
        <f>Q32/$E$27</f>
        <v>1278176.069857379</v>
      </c>
      <c r="S32" s="756" t="s">
        <v>12</v>
      </c>
      <c r="T32" s="1119" t="s">
        <v>12</v>
      </c>
      <c r="U32" s="1120">
        <f>AVERAGE(L32,O32,R32)</f>
        <v>1256892.8002050414</v>
      </c>
    </row>
    <row r="33" spans="1:22" s="1" customFormat="1" ht="13.8" thickBot="1" x14ac:dyDescent="0.3">
      <c r="A33" s="616"/>
      <c r="B33" s="672" t="s">
        <v>169</v>
      </c>
      <c r="C33" s="720"/>
      <c r="D33" s="373"/>
      <c r="E33" s="469"/>
      <c r="F33" s="470"/>
      <c r="G33" s="469"/>
      <c r="H33" s="469"/>
      <c r="I33" s="368"/>
      <c r="J33" s="369"/>
      <c r="K33" s="296">
        <f>J32*$L$13</f>
        <v>301218.00583191984</v>
      </c>
      <c r="L33" s="297">
        <f>K33/$E$27</f>
        <v>43031.143690274264</v>
      </c>
      <c r="M33" s="673"/>
      <c r="N33" s="377">
        <f>M32*$L$13</f>
        <v>309445.06520372781</v>
      </c>
      <c r="O33" s="209">
        <f>N33/$E$27</f>
        <v>44206.437886246829</v>
      </c>
      <c r="P33" s="676"/>
      <c r="Q33" s="296">
        <f>P32*$L$13</f>
        <v>313153.13711505791</v>
      </c>
      <c r="R33" s="297">
        <f>Q33/$E$27</f>
        <v>44736.162445008275</v>
      </c>
      <c r="S33" s="472" t="s">
        <v>12</v>
      </c>
      <c r="T33" s="218" t="s">
        <v>12</v>
      </c>
      <c r="U33" s="229">
        <f>AVERAGE(L33,O33,R33)</f>
        <v>43991.248007176466</v>
      </c>
    </row>
    <row r="34" spans="1:22" s="1" customFormat="1" ht="13.8" thickBot="1" x14ac:dyDescent="0.3">
      <c r="A34" s="616"/>
      <c r="B34" s="431" t="s">
        <v>174</v>
      </c>
      <c r="C34" s="1111">
        <f>VLOOKUP(C$2,Monitor_Costs,14,FALSE)</f>
        <v>2000</v>
      </c>
      <c r="D34" s="1112">
        <f>VLOOKUP(C$2,Monitor_Costs,15,FALSE)</f>
        <v>2019</v>
      </c>
      <c r="E34" s="112"/>
      <c r="F34" s="396"/>
      <c r="G34" s="112"/>
      <c r="H34" s="112"/>
      <c r="I34" s="145"/>
      <c r="J34" s="1106">
        <f>HLOOKUP($D$34,InflationTable,2)*$C34</f>
        <v>2701.6036972799011</v>
      </c>
      <c r="K34" s="1107">
        <f>$J34*L$14</f>
        <v>2558418.7013240661</v>
      </c>
      <c r="L34" s="1108">
        <f>K34/$E$27</f>
        <v>365488.38590343803</v>
      </c>
      <c r="M34" s="1109">
        <f>HLOOKUP($D$34,InflationTable,3)*$C34</f>
        <v>2775.3916302264456</v>
      </c>
      <c r="N34" s="1109">
        <f>$J34*O$14</f>
        <v>2558418.7013240661</v>
      </c>
      <c r="O34" s="1110">
        <f>N34/$E$27</f>
        <v>365488.38590343803</v>
      </c>
      <c r="P34" s="1107">
        <f>HLOOKUP($D$34,InflationTable,4)*$C34</f>
        <v>2808.6490736444161</v>
      </c>
      <c r="Q34" s="1107">
        <f>$J34*R$14</f>
        <v>2558418.7013240661</v>
      </c>
      <c r="R34" s="1108">
        <f>Q34/$E$27</f>
        <v>365488.38590343803</v>
      </c>
      <c r="S34" s="472" t="s">
        <v>12</v>
      </c>
      <c r="T34" s="218" t="s">
        <v>12</v>
      </c>
      <c r="U34" s="229">
        <f>AVERAGE(L34,O34,R34)</f>
        <v>365488.38590343803</v>
      </c>
    </row>
    <row r="35" spans="1:22" x14ac:dyDescent="0.25">
      <c r="A35" s="615"/>
      <c r="B35" s="610" t="s">
        <v>17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1"/>
      <c r="K35" s="352"/>
      <c r="L35" s="356"/>
      <c r="M35" s="110"/>
      <c r="N35" s="108"/>
      <c r="O35" s="111"/>
      <c r="P35" s="352"/>
      <c r="Q35" s="352"/>
      <c r="R35" s="356"/>
      <c r="S35" s="125"/>
      <c r="T35" s="37"/>
      <c r="U35" s="227"/>
    </row>
    <row r="36" spans="1:22" x14ac:dyDescent="0.25">
      <c r="A36" s="615"/>
      <c r="B36" s="611" t="s">
        <v>119</v>
      </c>
      <c r="C36" s="31">
        <v>0</v>
      </c>
      <c r="D36" s="21">
        <v>0</v>
      </c>
      <c r="E36" s="21">
        <v>4</v>
      </c>
      <c r="F36" s="21">
        <v>0</v>
      </c>
      <c r="G36" s="21">
        <v>0</v>
      </c>
      <c r="H36" s="21">
        <v>0</v>
      </c>
      <c r="I36" s="48">
        <f>SUM(C36:H36)</f>
        <v>4</v>
      </c>
      <c r="J36" s="263" t="s">
        <v>12</v>
      </c>
      <c r="K36" s="281">
        <f>$I36*(L$8+L$10+L$12+L$13)</f>
        <v>3399.64</v>
      </c>
      <c r="L36" s="282">
        <f>K36/$E$27</f>
        <v>485.66285714285715</v>
      </c>
      <c r="M36" s="58" t="s">
        <v>12</v>
      </c>
      <c r="N36" s="69">
        <f>$I36*(O$8+O$10+O$12+O$13)</f>
        <v>3010.48</v>
      </c>
      <c r="O36" s="59">
        <f>N36/$E$27</f>
        <v>430.06857142857143</v>
      </c>
      <c r="P36" s="263" t="s">
        <v>12</v>
      </c>
      <c r="Q36" s="281">
        <f>$I36*(R$8+R$10+R$12+R$13)</f>
        <v>3010.48</v>
      </c>
      <c r="R36" s="282">
        <f>Q36/$E$27</f>
        <v>430.06857142857143</v>
      </c>
      <c r="S36" s="173">
        <f>AVERAGE(L36,O36,R36)</f>
        <v>448.59999999999997</v>
      </c>
      <c r="T36" s="119" t="s">
        <v>12</v>
      </c>
      <c r="U36" s="232" t="s">
        <v>12</v>
      </c>
    </row>
    <row r="37" spans="1:22" s="1" customFormat="1" ht="13.8" thickBot="1" x14ac:dyDescent="0.3">
      <c r="A37" s="616"/>
      <c r="B37" s="604" t="s">
        <v>8</v>
      </c>
      <c r="C37" s="389">
        <f>ROUND(C36*Labor!$D$3,0)</f>
        <v>0</v>
      </c>
      <c r="D37" s="374">
        <f>ROUND(D36*Labor!$D$4,0)</f>
        <v>0</v>
      </c>
      <c r="E37" s="374">
        <f>ROUND(E36*Labor!$D$5,0)</f>
        <v>176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176</v>
      </c>
      <c r="J37" s="332">
        <f>HLOOKUP(Labor!$B$11,InflationTable,2)*I37</f>
        <v>237.74112536063129</v>
      </c>
      <c r="K37" s="296">
        <f>J37*(L$8+L$10+L$12+L$13)</f>
        <v>202058.55985525413</v>
      </c>
      <c r="L37" s="297">
        <f>K37/$E$27</f>
        <v>28865.50855075059</v>
      </c>
      <c r="M37" s="376">
        <f>HLOOKUP(Labor!$B$11,InflationTable,3)*$I37</f>
        <v>244.23446345992721</v>
      </c>
      <c r="N37" s="377">
        <f>M37*(O$8+O$10+O$12+O$13)</f>
        <v>183815.74188921042</v>
      </c>
      <c r="O37" s="378">
        <f>N37/$E$27</f>
        <v>26259.391698458632</v>
      </c>
      <c r="P37" s="332">
        <f>HLOOKUP(Labor!$B$11,InflationTable,4)*$I37</f>
        <v>247.16111848070864</v>
      </c>
      <c r="Q37" s="296">
        <f>P37*(R$8+R$10+R$12+R$13)</f>
        <v>186018.40099095093</v>
      </c>
      <c r="R37" s="297">
        <f>Q37/$E$27</f>
        <v>26574.05728442156</v>
      </c>
      <c r="S37" s="450">
        <f>AVERAGE(L37,O37,R37)</f>
        <v>27232.985844543597</v>
      </c>
      <c r="T37" s="218" t="s">
        <v>12</v>
      </c>
      <c r="U37" s="228" t="s">
        <v>12</v>
      </c>
    </row>
    <row r="38" spans="1:22" s="1" customFormat="1" ht="13.8" thickBot="1" x14ac:dyDescent="0.3">
      <c r="A38" s="616"/>
      <c r="B38" s="610" t="s">
        <v>177</v>
      </c>
      <c r="C38" s="666"/>
      <c r="D38" s="657"/>
      <c r="E38" s="657"/>
      <c r="F38" s="657"/>
      <c r="G38" s="657"/>
      <c r="H38" s="657"/>
      <c r="I38" s="658"/>
      <c r="J38" s="659"/>
      <c r="K38" s="660"/>
      <c r="L38" s="661"/>
      <c r="M38" s="662"/>
      <c r="N38" s="663"/>
      <c r="O38" s="664"/>
      <c r="P38" s="659"/>
      <c r="Q38" s="660"/>
      <c r="R38" s="661"/>
      <c r="S38" s="668"/>
      <c r="T38" s="665"/>
      <c r="U38" s="1058"/>
    </row>
    <row r="39" spans="1:22" x14ac:dyDescent="0.25">
      <c r="A39" s="615"/>
      <c r="B39" s="610" t="s">
        <v>176</v>
      </c>
      <c r="C39" s="346">
        <v>0</v>
      </c>
      <c r="D39" s="365">
        <v>4</v>
      </c>
      <c r="E39" s="365">
        <v>0</v>
      </c>
      <c r="F39" s="365">
        <v>0</v>
      </c>
      <c r="G39" s="365">
        <v>0</v>
      </c>
      <c r="H39" s="365">
        <v>0</v>
      </c>
      <c r="I39" s="366">
        <f>SUM(C39:H39)</f>
        <v>4</v>
      </c>
      <c r="J39" s="293" t="s">
        <v>12</v>
      </c>
      <c r="K39" s="334">
        <f>I39*$L$8</f>
        <v>1808</v>
      </c>
      <c r="L39" s="294">
        <f>K39/$E$27</f>
        <v>258.28571428571428</v>
      </c>
      <c r="M39" s="61" t="s">
        <v>12</v>
      </c>
      <c r="N39" s="348">
        <f>I39*$O$8</f>
        <v>1808</v>
      </c>
      <c r="O39" s="62">
        <f>N39/$E$27</f>
        <v>258.28571428571428</v>
      </c>
      <c r="P39" s="293" t="s">
        <v>12</v>
      </c>
      <c r="Q39" s="327">
        <f>$I39*$O$8</f>
        <v>1808</v>
      </c>
      <c r="R39" s="367">
        <f>Q39/$E$27</f>
        <v>258.28571428571428</v>
      </c>
      <c r="S39" s="129">
        <f>AVERAGE(L39,O39,R39)</f>
        <v>258.28571428571428</v>
      </c>
      <c r="T39" s="136" t="s">
        <v>12</v>
      </c>
      <c r="U39" s="230" t="s">
        <v>12</v>
      </c>
    </row>
    <row r="40" spans="1:22" s="1" customFormat="1" ht="13.8" thickBot="1" x14ac:dyDescent="0.3">
      <c r="A40" s="616"/>
      <c r="B40" s="612" t="s">
        <v>8</v>
      </c>
      <c r="C40" s="373">
        <f>ROUND(C39*Labor!$D$3,0)</f>
        <v>0</v>
      </c>
      <c r="D40" s="374">
        <f>ROUND(D39*Labor!$D$4,0)</f>
        <v>163</v>
      </c>
      <c r="E40" s="374">
        <f>ROUND(E39*Labor!$D$5,0)</f>
        <v>0</v>
      </c>
      <c r="F40" s="374">
        <f>ROUND(F39*Labor!$D$6,0)</f>
        <v>0</v>
      </c>
      <c r="G40" s="374">
        <f>ROUND(G39*Labor!$D$7,0)</f>
        <v>0</v>
      </c>
      <c r="H40" s="374">
        <f>ROUND(H39*Labor!$D$8,0)</f>
        <v>0</v>
      </c>
      <c r="I40" s="375">
        <f>SUM(C40:H40)</f>
        <v>163</v>
      </c>
      <c r="J40" s="332">
        <f>HLOOKUP(Labor!$B$11,InflationTable,2)*I40</f>
        <v>220.18070132831193</v>
      </c>
      <c r="K40" s="296">
        <f>J40*$L$8</f>
        <v>99521.677000396987</v>
      </c>
      <c r="L40" s="297">
        <f>K40/$E$27</f>
        <v>14217.382428628141</v>
      </c>
      <c r="M40" s="376">
        <f>HLOOKUP(Labor!$B$11,InflationTable,3)*$I40</f>
        <v>226.19441786345533</v>
      </c>
      <c r="N40" s="377">
        <f>M40*$O$8</f>
        <v>102239.87687428181</v>
      </c>
      <c r="O40" s="378">
        <f>N40/$E$27</f>
        <v>14605.696696325973</v>
      </c>
      <c r="P40" s="339">
        <f>HLOOKUP(Labor!$B$11,InflationTable,4)*$I40</f>
        <v>228.90489950201993</v>
      </c>
      <c r="Q40" s="296">
        <f>P40*$R$8</f>
        <v>103465.014574913</v>
      </c>
      <c r="R40" s="297">
        <f>Q40/$E$27</f>
        <v>14780.716367844714</v>
      </c>
      <c r="S40" s="211">
        <f>AVERAGE(L40,O40,R40)</f>
        <v>14534.598497599611</v>
      </c>
      <c r="T40" s="393" t="s">
        <v>12</v>
      </c>
      <c r="U40" s="228" t="s">
        <v>12</v>
      </c>
    </row>
    <row r="41" spans="1:22" x14ac:dyDescent="0.25">
      <c r="A41" s="615"/>
      <c r="B41" s="610" t="s">
        <v>175</v>
      </c>
      <c r="C41" s="346">
        <v>0</v>
      </c>
      <c r="D41" s="365">
        <v>0</v>
      </c>
      <c r="E41" s="365">
        <v>0</v>
      </c>
      <c r="F41" s="365">
        <v>10</v>
      </c>
      <c r="G41" s="365">
        <v>0</v>
      </c>
      <c r="H41" s="365">
        <v>0</v>
      </c>
      <c r="I41" s="366">
        <f>SUM(C41:H41)</f>
        <v>10</v>
      </c>
      <c r="J41" s="293" t="s">
        <v>12</v>
      </c>
      <c r="K41" s="334">
        <f>$I41*L$12</f>
        <v>3620</v>
      </c>
      <c r="L41" s="294">
        <f>K41/$E$27</f>
        <v>517.14285714285711</v>
      </c>
      <c r="M41" s="61" t="s">
        <v>12</v>
      </c>
      <c r="N41" s="667">
        <f>$I41*O$12</f>
        <v>2680</v>
      </c>
      <c r="O41" s="62">
        <f>N41/$E$27</f>
        <v>382.85714285714283</v>
      </c>
      <c r="P41" s="293" t="s">
        <v>12</v>
      </c>
      <c r="Q41" s="334">
        <f>$I41*R$12</f>
        <v>2680</v>
      </c>
      <c r="R41" s="367">
        <f>Q41/$E$27</f>
        <v>382.85714285714283</v>
      </c>
      <c r="S41" s="129">
        <f>AVERAGE(L41,O41,R41)</f>
        <v>427.61904761904765</v>
      </c>
      <c r="T41" s="136" t="s">
        <v>12</v>
      </c>
      <c r="U41" s="230" t="s">
        <v>12</v>
      </c>
    </row>
    <row r="42" spans="1:22" s="1" customFormat="1" ht="13.8" thickBot="1" x14ac:dyDescent="0.3">
      <c r="A42" s="616"/>
      <c r="B42" s="612" t="s">
        <v>8</v>
      </c>
      <c r="C42" s="373">
        <f>ROUND(C41*Labor!$D$3,0)</f>
        <v>0</v>
      </c>
      <c r="D42" s="374">
        <f>ROUND(D41*Labor!$D$4,0)</f>
        <v>0</v>
      </c>
      <c r="E42" s="374">
        <f>ROUND(E41*Labor!$D$5,0)</f>
        <v>0</v>
      </c>
      <c r="F42" s="374">
        <f>ROUND(F41*Labor!$D$6,0)</f>
        <v>493</v>
      </c>
      <c r="G42" s="374">
        <f>ROUND(G41*Labor!$D$7,0)</f>
        <v>0</v>
      </c>
      <c r="H42" s="374">
        <f>ROUND(H41*Labor!$D$8,0)</f>
        <v>0</v>
      </c>
      <c r="I42" s="375">
        <f>SUM(C42:H42)</f>
        <v>493</v>
      </c>
      <c r="J42" s="332">
        <f>HLOOKUP(Labor!$B$11,InflationTable,2)*I42</f>
        <v>665.94531137949559</v>
      </c>
      <c r="K42" s="296">
        <f>J42*$L$12</f>
        <v>241072.20271937741</v>
      </c>
      <c r="L42" s="297">
        <f>K42/$E$27</f>
        <v>34438.8861027682</v>
      </c>
      <c r="M42" s="376">
        <f>HLOOKUP(Labor!$B$11,InflationTable,3)*$I42</f>
        <v>684.1340368508188</v>
      </c>
      <c r="N42" s="377">
        <f>M42*$L$12</f>
        <v>247656.5213399964</v>
      </c>
      <c r="O42" s="378">
        <f>N42/$E$27</f>
        <v>35379.503048570914</v>
      </c>
      <c r="P42" s="339">
        <f>HLOOKUP(Labor!$B$11,InflationTable,4)*$I42</f>
        <v>692.3319966533486</v>
      </c>
      <c r="Q42" s="296">
        <f>P42*$L$12</f>
        <v>250624.1827885122</v>
      </c>
      <c r="R42" s="297">
        <f>Q42/$E$27</f>
        <v>35803.454684073171</v>
      </c>
      <c r="S42" s="211">
        <f>AVERAGE(L42,O42,R42)</f>
        <v>35207.281278470764</v>
      </c>
      <c r="T42" s="393" t="s">
        <v>12</v>
      </c>
      <c r="U42" s="228" t="s">
        <v>12</v>
      </c>
    </row>
    <row r="43" spans="1:22" x14ac:dyDescent="0.25">
      <c r="A43" s="615"/>
      <c r="B43" s="605" t="s">
        <v>66</v>
      </c>
      <c r="C43" s="33">
        <f t="shared" ref="C43:I43" si="1">C36+C39</f>
        <v>0</v>
      </c>
      <c r="D43" s="33">
        <f t="shared" si="1"/>
        <v>4</v>
      </c>
      <c r="E43" s="33">
        <f t="shared" si="1"/>
        <v>4</v>
      </c>
      <c r="F43" s="33">
        <f t="shared" si="1"/>
        <v>0</v>
      </c>
      <c r="G43" s="33">
        <f t="shared" si="1"/>
        <v>0</v>
      </c>
      <c r="H43" s="33">
        <f t="shared" si="1"/>
        <v>0</v>
      </c>
      <c r="I43" s="49">
        <f t="shared" si="1"/>
        <v>8</v>
      </c>
      <c r="J43" s="284" t="s">
        <v>12</v>
      </c>
      <c r="K43" s="285">
        <f>K36+K39</f>
        <v>5207.6399999999994</v>
      </c>
      <c r="L43" s="286">
        <f>L36+L39+L41</f>
        <v>1261.0914285714284</v>
      </c>
      <c r="M43" s="44" t="s">
        <v>12</v>
      </c>
      <c r="N43" s="33">
        <f>N36+N39</f>
        <v>4818.4799999999996</v>
      </c>
      <c r="O43" s="40">
        <f>O36+O39+O41</f>
        <v>1071.2114285714285</v>
      </c>
      <c r="P43" s="284" t="s">
        <v>12</v>
      </c>
      <c r="Q43" s="285">
        <f>Q36+Q39</f>
        <v>4818.4799999999996</v>
      </c>
      <c r="R43" s="286">
        <f>R36+R39+R41</f>
        <v>1071.2114285714285</v>
      </c>
      <c r="S43" s="669">
        <f>AVERAGE(L43,O43,R43)</f>
        <v>1134.5047619047618</v>
      </c>
      <c r="T43" s="136" t="s">
        <v>12</v>
      </c>
      <c r="U43" s="1059" t="s">
        <v>12</v>
      </c>
    </row>
    <row r="44" spans="1:22" ht="13.8" thickBot="1" x14ac:dyDescent="0.3">
      <c r="A44" s="615"/>
      <c r="B44" s="606" t="s">
        <v>67</v>
      </c>
      <c r="C44" s="240">
        <f t="shared" ref="C44:I44" si="2">C40+C37</f>
        <v>0</v>
      </c>
      <c r="D44" s="240">
        <f t="shared" si="2"/>
        <v>163</v>
      </c>
      <c r="E44" s="240">
        <f t="shared" si="2"/>
        <v>176</v>
      </c>
      <c r="F44" s="240">
        <f t="shared" si="2"/>
        <v>0</v>
      </c>
      <c r="G44" s="240">
        <f t="shared" si="2"/>
        <v>0</v>
      </c>
      <c r="H44" s="240">
        <f t="shared" si="2"/>
        <v>0</v>
      </c>
      <c r="I44" s="241">
        <f t="shared" si="2"/>
        <v>339</v>
      </c>
      <c r="J44" s="274">
        <f>J30+J32+J34+J37+J40+J42</f>
        <v>35028.993538931194</v>
      </c>
      <c r="K44" s="274">
        <f>K30+K32+K34+K37+K40+K42</f>
        <v>15065393.274672864</v>
      </c>
      <c r="L44" s="276">
        <f>L42+L40+L37+L30+L31+L32+L33+L34</f>
        <v>2219895.8246854204</v>
      </c>
      <c r="M44" s="242">
        <f>M30+M32+M34+M37+M40+M42</f>
        <v>35985.727877516096</v>
      </c>
      <c r="N44" s="242">
        <f>N30+N32+N34+N37+N40+N42</f>
        <v>15383230.215048391</v>
      </c>
      <c r="O44" s="243">
        <f>O42+O40+O37+O30+O31+O32+O33+O34</f>
        <v>2267150.079905699</v>
      </c>
      <c r="P44" s="274">
        <f>P30+P32+P34+P37+P40+P42</f>
        <v>36416.943888873502</v>
      </c>
      <c r="Q44" s="274">
        <f>Q30+Q32+Q34+Q37+Q40+Q42</f>
        <v>15536909.587220104</v>
      </c>
      <c r="R44" s="276">
        <f>R42+R40+R37+R30+R31+R32+R33+R34</f>
        <v>2289937.6409473969</v>
      </c>
      <c r="S44" s="257">
        <f>S37+S40+S42</f>
        <v>76974.865620613971</v>
      </c>
      <c r="T44" s="249" t="s">
        <v>12</v>
      </c>
      <c r="U44" s="510">
        <f>SUM(U30:U34)</f>
        <v>2182019.6495588911</v>
      </c>
    </row>
    <row r="45" spans="1:22" ht="14.4" thickTop="1" thickBot="1" x14ac:dyDescent="0.3">
      <c r="A45" s="5"/>
      <c r="B45" s="618"/>
      <c r="C45" s="618"/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5"/>
    </row>
    <row r="46" spans="1:22" ht="16.2" thickTop="1" x14ac:dyDescent="0.3">
      <c r="A46" s="615"/>
      <c r="B46" s="709" t="s">
        <v>155</v>
      </c>
      <c r="C46" s="5"/>
      <c r="D46" s="5"/>
      <c r="E46" s="5"/>
      <c r="F46" s="112" t="s">
        <v>6</v>
      </c>
      <c r="G46" s="1415"/>
      <c r="H46" s="1416"/>
      <c r="I46" s="1417"/>
      <c r="J46" s="244" t="s">
        <v>22</v>
      </c>
      <c r="K46" s="426"/>
      <c r="L46" s="180"/>
      <c r="M46" s="244" t="s">
        <v>22</v>
      </c>
      <c r="N46" s="426"/>
      <c r="O46" s="67"/>
      <c r="P46" s="244" t="s">
        <v>22</v>
      </c>
      <c r="Q46" s="426"/>
      <c r="R46" s="67"/>
      <c r="S46" s="225"/>
      <c r="T46" s="37"/>
      <c r="U46" s="227"/>
    </row>
    <row r="47" spans="1:22" x14ac:dyDescent="0.25">
      <c r="A47" s="615"/>
      <c r="B47" s="5"/>
      <c r="C47" s="5"/>
      <c r="D47" s="5"/>
      <c r="E47" s="5"/>
      <c r="F47" s="112"/>
      <c r="G47" s="1418"/>
      <c r="H47" s="1418"/>
      <c r="I47" s="1419"/>
      <c r="J47" s="277" t="s">
        <v>61</v>
      </c>
      <c r="K47" s="1437" t="s">
        <v>57</v>
      </c>
      <c r="L47" s="1438"/>
      <c r="M47" s="57" t="s">
        <v>61</v>
      </c>
      <c r="N47" s="1432" t="s">
        <v>57</v>
      </c>
      <c r="O47" s="1433"/>
      <c r="P47" s="277" t="s">
        <v>61</v>
      </c>
      <c r="Q47" s="1422" t="s">
        <v>57</v>
      </c>
      <c r="R47" s="1423"/>
      <c r="S47" s="131"/>
      <c r="T47" s="37"/>
      <c r="U47" s="227"/>
    </row>
    <row r="48" spans="1:22" x14ac:dyDescent="0.25">
      <c r="A48" s="615"/>
      <c r="B48" s="611" t="s">
        <v>18</v>
      </c>
      <c r="C48" s="23" t="s">
        <v>60</v>
      </c>
      <c r="D48" s="23" t="s">
        <v>62</v>
      </c>
      <c r="E48" s="9"/>
      <c r="F48" s="72"/>
      <c r="G48" s="72"/>
      <c r="H48" s="72"/>
      <c r="I48" s="37"/>
      <c r="J48" s="261" t="s">
        <v>56</v>
      </c>
      <c r="K48" s="261" t="s">
        <v>13</v>
      </c>
      <c r="L48" s="262" t="s">
        <v>68</v>
      </c>
      <c r="M48" s="77" t="s">
        <v>56</v>
      </c>
      <c r="N48" s="24" t="s">
        <v>13</v>
      </c>
      <c r="O48" s="38" t="s">
        <v>68</v>
      </c>
      <c r="P48" s="260" t="s">
        <v>56</v>
      </c>
      <c r="Q48" s="261" t="s">
        <v>13</v>
      </c>
      <c r="R48" s="262" t="s">
        <v>68</v>
      </c>
      <c r="S48" s="123"/>
      <c r="T48" s="37"/>
      <c r="U48" s="227"/>
    </row>
    <row r="49" spans="1:22" x14ac:dyDescent="0.25">
      <c r="A49" s="5"/>
      <c r="B49" s="1132" t="str">
        <f>VLOOKUP($C$2,Monitor_Costs,16,FALSE)</f>
        <v>Filters</v>
      </c>
      <c r="C49" s="163">
        <f>VLOOKUP($C$2,Monitor_Costs,17,FALSE)</f>
        <v>1033.2</v>
      </c>
      <c r="D49" s="22">
        <f>VLOOKUP(C$2,Monitor_Costs,18,FALSE)</f>
        <v>2019</v>
      </c>
      <c r="E49" s="76"/>
      <c r="F49" s="75"/>
      <c r="G49" s="76"/>
      <c r="H49" s="76"/>
      <c r="I49" s="47"/>
      <c r="J49" s="279">
        <f>HLOOKUP($D49,InflationTable,2)*$C49*L11</f>
        <v>328.32733181026566</v>
      </c>
      <c r="K49" s="279">
        <f>J49*$L$9</f>
        <v>218009.34832201639</v>
      </c>
      <c r="L49" s="280">
        <f>K49</f>
        <v>218009.34832201639</v>
      </c>
      <c r="M49" s="706">
        <f>HLOOKUP($D49,InflationTable,3)*$C49*O11</f>
        <v>337.2948184806927</v>
      </c>
      <c r="N49" s="706">
        <f>M49*$L$9</f>
        <v>223963.75947117995</v>
      </c>
      <c r="O49" s="706">
        <f>N49</f>
        <v>223963.75947117995</v>
      </c>
      <c r="P49" s="279">
        <f>HLOOKUP($D49,InflationTable,4)*$C49*R11</f>
        <v>341.33661323809815</v>
      </c>
      <c r="Q49" s="279">
        <f>P49*$L$9</f>
        <v>226647.51119009717</v>
      </c>
      <c r="R49" s="280">
        <f>Q49</f>
        <v>226647.51119009717</v>
      </c>
      <c r="S49" s="127" t="s">
        <v>12</v>
      </c>
      <c r="T49" s="1133">
        <f>AVERAGE(L49,O49,R49)</f>
        <v>222873.53966109784</v>
      </c>
      <c r="U49" s="232" t="s">
        <v>12</v>
      </c>
    </row>
    <row r="50" spans="1:22" x14ac:dyDescent="0.25">
      <c r="A50" s="615"/>
      <c r="B50" s="1132" t="str">
        <f>VLOOKUP($C$2,Monitor_Costs,19,FALSE)</f>
        <v>Filter Tape</v>
      </c>
      <c r="C50" s="163">
        <f>VLOOKUP($C$2,Monitor_Costs,20,FALSE)</f>
        <v>500</v>
      </c>
      <c r="D50" s="22">
        <f>VLOOKUP(C$2,Monitor_Costs,21,FALSE)</f>
        <v>2019</v>
      </c>
      <c r="E50" s="76"/>
      <c r="F50" s="75"/>
      <c r="G50" s="76"/>
      <c r="H50" s="76"/>
      <c r="I50" s="47"/>
      <c r="J50" s="279">
        <f>HLOOKUP($D50,InflationTable,2)*$C50</f>
        <v>675.40092431997527</v>
      </c>
      <c r="K50" s="279">
        <f>J50*L$12</f>
        <v>244495.13460383104</v>
      </c>
      <c r="L50" s="280">
        <f>K50</f>
        <v>244495.13460383104</v>
      </c>
      <c r="M50" s="706">
        <f>HLOOKUP($D50,InflationTable,3)*$C50</f>
        <v>693.8479075566114</v>
      </c>
      <c r="N50" s="706">
        <f>M50*O$12</f>
        <v>185951.23922517186</v>
      </c>
      <c r="O50" s="707">
        <f>N50</f>
        <v>185951.23922517186</v>
      </c>
      <c r="P50" s="1136">
        <f>HLOOKUP($D50,InflationTable,4)*$C50</f>
        <v>702.16226841110404</v>
      </c>
      <c r="Q50" s="279">
        <f>P50*R$12</f>
        <v>188179.48793417588</v>
      </c>
      <c r="R50" s="280">
        <f>Q50</f>
        <v>188179.48793417588</v>
      </c>
      <c r="S50" s="127" t="s">
        <v>12</v>
      </c>
      <c r="T50" s="1133">
        <f>AVERAGE(L50,O50,R50)</f>
        <v>206208.62058772627</v>
      </c>
      <c r="U50" s="232" t="s">
        <v>12</v>
      </c>
    </row>
    <row r="51" spans="1:22" ht="13.8" thickBot="1" x14ac:dyDescent="0.3">
      <c r="A51" s="615"/>
      <c r="B51" s="1127" t="str">
        <f>VLOOKUP($C$2,Monitor_Costs,22,FALSE)</f>
        <v>Laboratory Service</v>
      </c>
      <c r="C51" s="642">
        <f>VLOOKUP($C$2,Monitor_Costs,23,FALSE)</f>
        <v>85.714285714285708</v>
      </c>
      <c r="D51" s="643">
        <f>VLOOKUP(C$2,Monitor_Costs,24,FALSE)</f>
        <v>2019</v>
      </c>
      <c r="E51" s="4"/>
      <c r="F51" s="12"/>
      <c r="G51" s="4"/>
      <c r="H51" s="4"/>
      <c r="I51" s="368"/>
      <c r="J51" s="1128">
        <f>HLOOKUP($D51,InflationTable,2)*$C51</f>
        <v>115.78301559771003</v>
      </c>
      <c r="K51" s="1128">
        <f>J51*L$9</f>
        <v>76879.922356879455</v>
      </c>
      <c r="L51" s="1129">
        <f>K51</f>
        <v>76879.922356879455</v>
      </c>
      <c r="M51" s="1130">
        <f>HLOOKUP($D51,InflationTable,3)*$C51</f>
        <v>118.94535558113337</v>
      </c>
      <c r="N51" s="1130">
        <f>M51*O$9</f>
        <v>78979.716105872561</v>
      </c>
      <c r="O51" s="1131">
        <f>N51</f>
        <v>78979.716105872561</v>
      </c>
      <c r="P51" s="1128">
        <f>HLOOKUP($D51,InflationTable,4)*$C51</f>
        <v>120.37067458476069</v>
      </c>
      <c r="Q51" s="1128">
        <f>P51*R$9</f>
        <v>79926.1279242811</v>
      </c>
      <c r="R51" s="1129">
        <f>Q51</f>
        <v>79926.1279242811</v>
      </c>
      <c r="S51" s="635" t="s">
        <v>12</v>
      </c>
      <c r="T51" s="1134" t="s">
        <v>12</v>
      </c>
      <c r="U51" s="1135">
        <f>AVERAGE(L51,O51,R51)</f>
        <v>78595.255462344372</v>
      </c>
    </row>
    <row r="52" spans="1:22" x14ac:dyDescent="0.25">
      <c r="A52" s="615"/>
      <c r="B52" s="465" t="s">
        <v>23</v>
      </c>
      <c r="C52" s="107" t="s">
        <v>45</v>
      </c>
      <c r="D52" s="108" t="s">
        <v>46</v>
      </c>
      <c r="E52" s="107" t="s">
        <v>47</v>
      </c>
      <c r="F52" s="107" t="s">
        <v>48</v>
      </c>
      <c r="G52" s="107" t="s">
        <v>49</v>
      </c>
      <c r="H52" s="107" t="s">
        <v>50</v>
      </c>
      <c r="I52" s="350" t="s">
        <v>74</v>
      </c>
      <c r="J52" s="352"/>
      <c r="K52" s="352"/>
      <c r="L52" s="356"/>
      <c r="M52" s="110"/>
      <c r="N52" s="108"/>
      <c r="O52" s="111"/>
      <c r="P52" s="352"/>
      <c r="Q52" s="352"/>
      <c r="R52" s="356"/>
      <c r="S52" s="123"/>
      <c r="T52" s="37"/>
      <c r="U52" s="227"/>
    </row>
    <row r="53" spans="1:22" x14ac:dyDescent="0.25">
      <c r="A53" s="615"/>
      <c r="B53" s="614" t="s">
        <v>227</v>
      </c>
      <c r="C53" s="21">
        <v>0</v>
      </c>
      <c r="D53" s="21">
        <v>45</v>
      </c>
      <c r="E53" s="21">
        <v>50</v>
      </c>
      <c r="F53" s="21">
        <v>25</v>
      </c>
      <c r="G53" s="21">
        <v>0</v>
      </c>
      <c r="H53" s="21">
        <v>0</v>
      </c>
      <c r="I53" s="48">
        <f t="shared" ref="I53:I60" si="3">SUM(C53:H53)</f>
        <v>120</v>
      </c>
      <c r="J53" s="299" t="s">
        <v>12</v>
      </c>
      <c r="K53" s="281">
        <f>$I53*SUM(L$3:L$4)</f>
        <v>5040</v>
      </c>
      <c r="L53" s="289">
        <f t="shared" ref="L53:L60" si="4">K53</f>
        <v>5040</v>
      </c>
      <c r="M53" s="58" t="s">
        <v>12</v>
      </c>
      <c r="N53" s="69">
        <f>$I53*SUM(O$3:O$4)</f>
        <v>5040</v>
      </c>
      <c r="O53" s="68">
        <f t="shared" ref="O53:O60" si="5">N53</f>
        <v>5040</v>
      </c>
      <c r="P53" s="299" t="s">
        <v>12</v>
      </c>
      <c r="Q53" s="281">
        <f>$I53*SUM(R$3:R$4)</f>
        <v>5040</v>
      </c>
      <c r="R53" s="289">
        <f t="shared" ref="R53:R60" si="6">Q53</f>
        <v>5040</v>
      </c>
      <c r="S53" s="121">
        <f t="shared" ref="S53:S59" si="7">AVERAGE(L53,O53,R53)</f>
        <v>5040</v>
      </c>
      <c r="T53" s="119" t="s">
        <v>12</v>
      </c>
      <c r="U53" s="232" t="s">
        <v>12</v>
      </c>
    </row>
    <row r="54" spans="1:22" s="1" customFormat="1" ht="13.8" thickBot="1" x14ac:dyDescent="0.3">
      <c r="A54" s="616"/>
      <c r="B54" s="604" t="s">
        <v>8</v>
      </c>
      <c r="C54" s="373">
        <f>ROUND(C53*Labor!$D$3,0)</f>
        <v>0</v>
      </c>
      <c r="D54" s="374">
        <f>ROUND(D53*Labor!$D$4,0)</f>
        <v>1839</v>
      </c>
      <c r="E54" s="374">
        <f>ROUND(E53*Labor!$D$5,0)</f>
        <v>2206</v>
      </c>
      <c r="F54" s="374">
        <f>ROUND(F53*Labor!$D$6,0)</f>
        <v>1232</v>
      </c>
      <c r="G54" s="374">
        <f>ROUND(G53*Labor!$D$7,0)</f>
        <v>0</v>
      </c>
      <c r="H54" s="374">
        <f>ROUND(H53*Labor!$D$8,0)</f>
        <v>0</v>
      </c>
      <c r="I54" s="375">
        <f t="shared" si="3"/>
        <v>5277</v>
      </c>
      <c r="J54" s="296">
        <f>HLOOKUP(Labor!$B$11,InflationTable,2)*I54</f>
        <v>7128.1813552730182</v>
      </c>
      <c r="K54" s="296">
        <f>J54*SUM(L$3:L$4)</f>
        <v>299383.61692146678</v>
      </c>
      <c r="L54" s="297">
        <f t="shared" si="4"/>
        <v>299383.61692146678</v>
      </c>
      <c r="M54" s="376">
        <f>HLOOKUP(Labor!$B$11,InflationTable,3)*I54</f>
        <v>7322.870816352477</v>
      </c>
      <c r="N54" s="377">
        <f>M54*SUM(O$3:O$4)</f>
        <v>307560.57428680401</v>
      </c>
      <c r="O54" s="378">
        <f t="shared" si="5"/>
        <v>307560.57428680401</v>
      </c>
      <c r="P54" s="296">
        <f>HLOOKUP(Labor!$B$11,InflationTable,4)*$I$58</f>
        <v>1998.3538158980023</v>
      </c>
      <c r="Q54" s="296">
        <f>P54*SUM(R$3:R$4)</f>
        <v>83930.860267716096</v>
      </c>
      <c r="R54" s="297">
        <f t="shared" si="6"/>
        <v>83930.860267716096</v>
      </c>
      <c r="S54" s="211">
        <f t="shared" si="7"/>
        <v>230291.68382532898</v>
      </c>
      <c r="T54" s="393" t="s">
        <v>12</v>
      </c>
      <c r="U54" s="228" t="s">
        <v>12</v>
      </c>
    </row>
    <row r="55" spans="1:22" x14ac:dyDescent="0.25">
      <c r="A55" s="615"/>
      <c r="B55" s="614" t="s">
        <v>226</v>
      </c>
      <c r="C55" s="21">
        <v>0</v>
      </c>
      <c r="D55" s="21">
        <v>15</v>
      </c>
      <c r="E55" s="21">
        <v>65</v>
      </c>
      <c r="F55" s="21">
        <v>100</v>
      </c>
      <c r="G55" s="21">
        <v>0</v>
      </c>
      <c r="H55" s="21">
        <v>0</v>
      </c>
      <c r="I55" s="48">
        <f t="shared" si="3"/>
        <v>180</v>
      </c>
      <c r="J55" s="299" t="s">
        <v>12</v>
      </c>
      <c r="K55" s="327">
        <f>$I55*SUM(L$5:L$7)</f>
        <v>73800</v>
      </c>
      <c r="L55" s="328">
        <f t="shared" si="4"/>
        <v>73800</v>
      </c>
      <c r="M55" s="61" t="s">
        <v>12</v>
      </c>
      <c r="N55" s="348">
        <f>$I55*SUM(O$5:O$7)</f>
        <v>73800</v>
      </c>
      <c r="O55" s="349">
        <f t="shared" si="5"/>
        <v>73800</v>
      </c>
      <c r="P55" s="299" t="s">
        <v>12</v>
      </c>
      <c r="Q55" s="327">
        <f>$I55*SUM(R$5:R$7)</f>
        <v>73800</v>
      </c>
      <c r="R55" s="328">
        <f t="shared" si="6"/>
        <v>73800</v>
      </c>
      <c r="S55" s="121">
        <f t="shared" si="7"/>
        <v>73800</v>
      </c>
      <c r="T55" s="119" t="s">
        <v>12</v>
      </c>
      <c r="U55" s="232" t="s">
        <v>12</v>
      </c>
    </row>
    <row r="56" spans="1:22" s="1" customFormat="1" ht="13.8" thickBot="1" x14ac:dyDescent="0.3">
      <c r="A56" s="616"/>
      <c r="B56" s="604" t="s">
        <v>8</v>
      </c>
      <c r="C56" s="373">
        <f>ROUND(C55*Labor!$D$3,0)</f>
        <v>0</v>
      </c>
      <c r="D56" s="374">
        <f>ROUND(D55*Labor!$D$4,0)</f>
        <v>613</v>
      </c>
      <c r="E56" s="374">
        <f>ROUND(E55*Labor!$D$5,0)</f>
        <v>2868</v>
      </c>
      <c r="F56" s="374">
        <f>ROUND(F55*Labor!$D$6,0)</f>
        <v>4926</v>
      </c>
      <c r="G56" s="374">
        <f>ROUND(G55*Labor!$D$7,0)</f>
        <v>0</v>
      </c>
      <c r="H56" s="374">
        <f>ROUND(H55*Labor!$D$8,0)</f>
        <v>0</v>
      </c>
      <c r="I56" s="375">
        <f t="shared" si="3"/>
        <v>8407</v>
      </c>
      <c r="J56" s="296">
        <f>HLOOKUP(Labor!$B$11,InflationTable,2)*I56</f>
        <v>11356.191141516063</v>
      </c>
      <c r="K56" s="296">
        <f>J56*SUM(L$5:L$7)</f>
        <v>4656038.368021586</v>
      </c>
      <c r="L56" s="297">
        <f t="shared" si="4"/>
        <v>4656038.368021586</v>
      </c>
      <c r="M56" s="376">
        <f>HLOOKUP(Labor!$B$11,InflationTable,3)*I56</f>
        <v>11666.358717656864</v>
      </c>
      <c r="N56" s="377">
        <f>M56*SUM(O$5:O$7)</f>
        <v>4783207.0742393136</v>
      </c>
      <c r="O56" s="378">
        <f t="shared" si="5"/>
        <v>4783207.0742393136</v>
      </c>
      <c r="P56" s="296">
        <f>HLOOKUP(Labor!$B$11,InflationTable,4)*$I$58</f>
        <v>1998.3538158980023</v>
      </c>
      <c r="Q56" s="296">
        <f>P56*SUM(R$5:R$7)</f>
        <v>819325.06451818091</v>
      </c>
      <c r="R56" s="297">
        <f t="shared" si="6"/>
        <v>819325.06451818091</v>
      </c>
      <c r="S56" s="211">
        <f t="shared" si="7"/>
        <v>3419523.5022596936</v>
      </c>
      <c r="T56" s="393" t="s">
        <v>12</v>
      </c>
      <c r="U56" s="228" t="s">
        <v>12</v>
      </c>
    </row>
    <row r="57" spans="1:22" x14ac:dyDescent="0.25">
      <c r="A57" s="615"/>
      <c r="B57" s="614" t="s">
        <v>225</v>
      </c>
      <c r="C57" s="21">
        <v>0</v>
      </c>
      <c r="D57" s="21">
        <v>0</v>
      </c>
      <c r="E57" s="21">
        <v>30</v>
      </c>
      <c r="F57" s="21">
        <v>2</v>
      </c>
      <c r="G57" s="21">
        <v>0</v>
      </c>
      <c r="H57" s="21">
        <v>0</v>
      </c>
      <c r="I57" s="48">
        <f t="shared" si="3"/>
        <v>32</v>
      </c>
      <c r="J57" s="299" t="s">
        <v>12</v>
      </c>
      <c r="K57" s="327">
        <f>I57*$L12</f>
        <v>11584</v>
      </c>
      <c r="L57" s="328">
        <f t="shared" si="4"/>
        <v>11584</v>
      </c>
      <c r="M57" s="61" t="s">
        <v>12</v>
      </c>
      <c r="N57" s="348">
        <f>$I$57*$O$8</f>
        <v>14464</v>
      </c>
      <c r="O57" s="68">
        <f t="shared" si="5"/>
        <v>14464</v>
      </c>
      <c r="P57" s="299" t="s">
        <v>12</v>
      </c>
      <c r="Q57" s="327">
        <f>$I$57*$R$8</f>
        <v>14464</v>
      </c>
      <c r="R57" s="328">
        <f t="shared" si="6"/>
        <v>14464</v>
      </c>
      <c r="S57" s="121">
        <f t="shared" si="7"/>
        <v>13504</v>
      </c>
      <c r="T57" s="119" t="s">
        <v>12</v>
      </c>
      <c r="U57" s="232" t="s">
        <v>12</v>
      </c>
    </row>
    <row r="58" spans="1:22" s="1" customFormat="1" ht="13.8" thickBot="1" x14ac:dyDescent="0.3">
      <c r="A58" s="616"/>
      <c r="B58" s="604" t="s">
        <v>8</v>
      </c>
      <c r="C58" s="373">
        <f>ROUND(C57*Labor!$D$3,0)</f>
        <v>0</v>
      </c>
      <c r="D58" s="374">
        <f>ROUND(D57*Labor!$D$4,0)</f>
        <v>0</v>
      </c>
      <c r="E58" s="374">
        <f>ROUND(E57*Labor!$D$5,0)</f>
        <v>1324</v>
      </c>
      <c r="F58" s="374">
        <f>ROUND(F57*Labor!$D$6,0)</f>
        <v>99</v>
      </c>
      <c r="G58" s="374">
        <f>ROUND(G57*Labor!$D$7,0)</f>
        <v>0</v>
      </c>
      <c r="H58" s="374">
        <f>ROUND(H57*Labor!$D$8,0)</f>
        <v>0</v>
      </c>
      <c r="I58" s="375">
        <f t="shared" si="3"/>
        <v>1423</v>
      </c>
      <c r="J58" s="296">
        <f>HLOOKUP(Labor!$B$11,InflationTable,2)*I58</f>
        <v>1922.1910306146494</v>
      </c>
      <c r="K58" s="296">
        <f>J58*$L12</f>
        <v>695833.15308250312</v>
      </c>
      <c r="L58" s="297">
        <f t="shared" si="4"/>
        <v>695833.15308250312</v>
      </c>
      <c r="M58" s="376">
        <f>HLOOKUP(Labor!$B$11,InflationTable,3)*I58</f>
        <v>1974.6911449061161</v>
      </c>
      <c r="N58" s="377">
        <f>M58*$O$8</f>
        <v>892560.39749756444</v>
      </c>
      <c r="O58" s="378">
        <f t="shared" si="5"/>
        <v>892560.39749756444</v>
      </c>
      <c r="P58" s="296">
        <f>HLOOKUP(Labor!$B$11,InflationTable,4)*$I$58</f>
        <v>1998.3538158980023</v>
      </c>
      <c r="Q58" s="296">
        <f>P58*$R$8</f>
        <v>903255.92478589702</v>
      </c>
      <c r="R58" s="297">
        <f t="shared" si="6"/>
        <v>903255.92478589702</v>
      </c>
      <c r="S58" s="211">
        <f t="shared" si="7"/>
        <v>830549.82512198819</v>
      </c>
      <c r="T58" s="393" t="s">
        <v>12</v>
      </c>
      <c r="U58" s="228" t="s">
        <v>12</v>
      </c>
    </row>
    <row r="59" spans="1:22" x14ac:dyDescent="0.25">
      <c r="A59" s="615"/>
      <c r="B59" s="779" t="s">
        <v>229</v>
      </c>
      <c r="C59" s="21">
        <v>0</v>
      </c>
      <c r="D59" s="21">
        <v>24</v>
      </c>
      <c r="E59" s="21">
        <v>24</v>
      </c>
      <c r="F59" s="21">
        <v>0</v>
      </c>
      <c r="G59" s="21">
        <v>0</v>
      </c>
      <c r="H59" s="21">
        <v>0</v>
      </c>
      <c r="I59" s="48">
        <f t="shared" si="3"/>
        <v>48</v>
      </c>
      <c r="J59" s="780">
        <f>$I59*L11</f>
        <v>11.292035398230089</v>
      </c>
      <c r="K59" s="281">
        <f>J59*L$9</f>
        <v>7497.9115044247792</v>
      </c>
      <c r="L59" s="328">
        <f t="shared" si="4"/>
        <v>7497.9115044247792</v>
      </c>
      <c r="M59" s="781">
        <f>$I59*O11</f>
        <v>11.292035398230089</v>
      </c>
      <c r="N59" s="69">
        <f>M59*O$9</f>
        <v>7497.9115044247792</v>
      </c>
      <c r="O59" s="68">
        <f t="shared" si="5"/>
        <v>7497.9115044247792</v>
      </c>
      <c r="P59" s="780">
        <f>$I59*R11</f>
        <v>11.292035398230089</v>
      </c>
      <c r="Q59" s="281">
        <f>P59*R$9</f>
        <v>7497.9115044247792</v>
      </c>
      <c r="R59" s="328">
        <f t="shared" si="6"/>
        <v>7497.9115044247792</v>
      </c>
      <c r="S59" s="121">
        <f t="shared" si="7"/>
        <v>7497.9115044247783</v>
      </c>
      <c r="T59" s="119" t="s">
        <v>12</v>
      </c>
      <c r="U59" s="232" t="s">
        <v>12</v>
      </c>
    </row>
    <row r="60" spans="1:22" s="1" customFormat="1" ht="13.8" thickBot="1" x14ac:dyDescent="0.3">
      <c r="A60" s="616"/>
      <c r="B60" s="604" t="s">
        <v>8</v>
      </c>
      <c r="C60" s="373">
        <f>ROUND(C59*Labor!$D$3,0)</f>
        <v>0</v>
      </c>
      <c r="D60" s="374">
        <f>ROUND(D59*Labor!$D$4,0)</f>
        <v>981</v>
      </c>
      <c r="E60" s="374">
        <f>ROUND(E59*Labor!$D$5,0)</f>
        <v>1059</v>
      </c>
      <c r="F60" s="374">
        <f>ROUND(F59*Labor!$D$6,0)</f>
        <v>0</v>
      </c>
      <c r="G60" s="374">
        <f>ROUND(G59*Labor!$D$7,0)</f>
        <v>0</v>
      </c>
      <c r="H60" s="374">
        <f>ROUND(H59*Labor!$D$8,0)</f>
        <v>0</v>
      </c>
      <c r="I60" s="375">
        <f t="shared" si="3"/>
        <v>2040</v>
      </c>
      <c r="J60" s="296">
        <f>HLOOKUP(Labor!$B$11,InflationTable,2)*I60</f>
        <v>2755.635771225499</v>
      </c>
      <c r="K60" s="296">
        <f>J60*L$9</f>
        <v>1829742.1520937313</v>
      </c>
      <c r="L60" s="297">
        <f t="shared" si="4"/>
        <v>1829742.1520937313</v>
      </c>
      <c r="M60" s="376">
        <f>HLOOKUP(Labor!$B$11,InflationTable,3)*I60</f>
        <v>2830.8994628309747</v>
      </c>
      <c r="N60" s="377">
        <f>M60*O$9</f>
        <v>1879717.2433197673</v>
      </c>
      <c r="O60" s="378">
        <f t="shared" si="5"/>
        <v>1879717.2433197673</v>
      </c>
      <c r="P60" s="296">
        <f>HLOOKUP(Labor!$B$11,InflationTable,4)*$I$58</f>
        <v>1998.3538158980023</v>
      </c>
      <c r="Q60" s="296">
        <f>P60*R$9</f>
        <v>1326906.9337562735</v>
      </c>
      <c r="R60" s="297">
        <f t="shared" si="6"/>
        <v>1326906.9337562735</v>
      </c>
      <c r="S60" s="1033">
        <f>AVERAGE(L60,O60,R60)</f>
        <v>1678788.7763899239</v>
      </c>
      <c r="T60" s="980" t="s">
        <v>12</v>
      </c>
      <c r="U60" s="228" t="s">
        <v>12</v>
      </c>
    </row>
    <row r="61" spans="1:22" x14ac:dyDescent="0.25">
      <c r="A61" s="615"/>
      <c r="B61" s="605" t="s">
        <v>66</v>
      </c>
      <c r="C61" s="36">
        <f>C53+C55+C57+C59</f>
        <v>0</v>
      </c>
      <c r="D61" s="36">
        <f t="shared" ref="D61:I61" si="8">D53+D55+D57+D59</f>
        <v>84</v>
      </c>
      <c r="E61" s="36">
        <f t="shared" si="8"/>
        <v>169</v>
      </c>
      <c r="F61" s="36">
        <f t="shared" si="8"/>
        <v>127</v>
      </c>
      <c r="G61" s="36">
        <f t="shared" si="8"/>
        <v>0</v>
      </c>
      <c r="H61" s="36">
        <f t="shared" si="8"/>
        <v>0</v>
      </c>
      <c r="I61" s="36">
        <f t="shared" si="8"/>
        <v>380</v>
      </c>
      <c r="J61" s="320" t="s">
        <v>12</v>
      </c>
      <c r="K61" s="285">
        <f>K53+K55+K57+K59</f>
        <v>97921.911504424774</v>
      </c>
      <c r="L61" s="285">
        <f>L53+L55+L57+L59</f>
        <v>97921.911504424774</v>
      </c>
      <c r="M61" s="36" t="s">
        <v>12</v>
      </c>
      <c r="N61" s="33">
        <f>N53+N55+N57+N59</f>
        <v>100801.91150442477</v>
      </c>
      <c r="O61" s="33">
        <f>O53+O55+O57+O59</f>
        <v>100801.91150442477</v>
      </c>
      <c r="P61" s="320" t="s">
        <v>12</v>
      </c>
      <c r="Q61" s="285">
        <f>Q53+Q55+Q57+Q59</f>
        <v>100801.91150442477</v>
      </c>
      <c r="R61" s="285">
        <f>R53+R55+R57+R59</f>
        <v>100801.91150442477</v>
      </c>
      <c r="S61" s="96">
        <f>S57</f>
        <v>13504</v>
      </c>
      <c r="T61" s="136" t="s">
        <v>12</v>
      </c>
      <c r="U61" s="230" t="s">
        <v>12</v>
      </c>
    </row>
    <row r="62" spans="1:22" ht="13.8" thickBot="1" x14ac:dyDescent="0.3">
      <c r="A62" s="615"/>
      <c r="B62" s="606" t="s">
        <v>67</v>
      </c>
      <c r="C62" s="240">
        <f>C54+C56+C58+C60</f>
        <v>0</v>
      </c>
      <c r="D62" s="240">
        <f t="shared" ref="D62:I62" si="9">D54+D56+D58+D60</f>
        <v>3433</v>
      </c>
      <c r="E62" s="240">
        <f t="shared" si="9"/>
        <v>7457</v>
      </c>
      <c r="F62" s="240">
        <f t="shared" si="9"/>
        <v>6257</v>
      </c>
      <c r="G62" s="240">
        <f t="shared" si="9"/>
        <v>0</v>
      </c>
      <c r="H62" s="240">
        <f t="shared" si="9"/>
        <v>0</v>
      </c>
      <c r="I62" s="240">
        <f t="shared" si="9"/>
        <v>17147</v>
      </c>
      <c r="J62" s="275">
        <f>J54+J56+J58+J60</f>
        <v>23162.199298629228</v>
      </c>
      <c r="K62" s="275">
        <f>K54+K56+K58+K60</f>
        <v>7480997.2901192866</v>
      </c>
      <c r="L62" s="275">
        <f>L54+L56+L58+L60</f>
        <v>7480997.2901192866</v>
      </c>
      <c r="M62" s="240">
        <f>M54+M56+M58+M60</f>
        <v>23794.82014174643</v>
      </c>
      <c r="N62" s="240">
        <f>N54+N56+N58+N60</f>
        <v>7863045.2893434493</v>
      </c>
      <c r="O62" s="240">
        <f>O54+O56+O58+O60</f>
        <v>7863045.2893434493</v>
      </c>
      <c r="P62" s="275">
        <f>P54+P56+P58+P60</f>
        <v>7993.4152635920091</v>
      </c>
      <c r="Q62" s="275">
        <f>Q54+Q56+Q58+Q60</f>
        <v>3133418.7833280675</v>
      </c>
      <c r="R62" s="275">
        <f>R54+R56+R58+R60</f>
        <v>3133418.7833280675</v>
      </c>
      <c r="S62" s="255">
        <f>S54+S56+S58+S60</f>
        <v>6159153.7875969345</v>
      </c>
      <c r="T62" s="251">
        <f>SUM(T49:T51)</f>
        <v>429082.1602488241</v>
      </c>
      <c r="U62" s="1061">
        <f>SUM(U49:U51)</f>
        <v>78595.255462344372</v>
      </c>
    </row>
    <row r="63" spans="1:22" ht="14.4" thickTop="1" thickBot="1" x14ac:dyDescent="0.3">
      <c r="A63" s="5"/>
      <c r="B63" s="618"/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618"/>
      <c r="N63" s="618"/>
      <c r="O63" s="618"/>
      <c r="P63" s="618"/>
      <c r="Q63" s="618"/>
      <c r="R63" s="618"/>
      <c r="S63" s="618"/>
      <c r="T63" s="618"/>
      <c r="U63" s="618"/>
      <c r="V63" s="5"/>
    </row>
    <row r="64" spans="1:22" ht="16.2" thickTop="1" x14ac:dyDescent="0.3">
      <c r="A64" s="615"/>
      <c r="B64" s="181" t="s">
        <v>24</v>
      </c>
      <c r="C64" s="5"/>
      <c r="D64" s="5"/>
      <c r="E64" s="5"/>
      <c r="F64" s="112" t="s">
        <v>6</v>
      </c>
      <c r="G64" s="1415"/>
      <c r="H64" s="1416"/>
      <c r="I64" s="1417"/>
      <c r="J64" s="181" t="s">
        <v>24</v>
      </c>
      <c r="K64" s="426"/>
      <c r="L64" s="180"/>
      <c r="M64" s="181" t="s">
        <v>24</v>
      </c>
      <c r="N64" s="319"/>
      <c r="O64" s="67"/>
      <c r="P64" s="181" t="s">
        <v>24</v>
      </c>
      <c r="Q64" s="426"/>
      <c r="R64" s="67"/>
      <c r="S64" s="225"/>
      <c r="T64" s="37"/>
      <c r="U64" s="227"/>
    </row>
    <row r="65" spans="1:22" x14ac:dyDescent="0.25">
      <c r="A65" s="615"/>
      <c r="B65" s="5"/>
      <c r="C65" s="5"/>
      <c r="D65" s="5"/>
      <c r="E65" s="5"/>
      <c r="F65" s="112"/>
      <c r="G65" s="1418"/>
      <c r="H65" s="1418"/>
      <c r="I65" s="1419"/>
      <c r="J65" s="277" t="s">
        <v>61</v>
      </c>
      <c r="K65" s="1422" t="s">
        <v>57</v>
      </c>
      <c r="L65" s="1423"/>
      <c r="M65" s="57" t="s">
        <v>61</v>
      </c>
      <c r="N65" s="1432" t="s">
        <v>57</v>
      </c>
      <c r="O65" s="1433"/>
      <c r="P65" s="277" t="s">
        <v>61</v>
      </c>
      <c r="Q65" s="1422" t="s">
        <v>57</v>
      </c>
      <c r="R65" s="1423"/>
      <c r="S65" s="131"/>
      <c r="T65" s="37"/>
      <c r="U65" s="227"/>
    </row>
    <row r="66" spans="1:22" x14ac:dyDescent="0.25">
      <c r="A66" s="615"/>
      <c r="B66" s="611" t="s">
        <v>19</v>
      </c>
      <c r="C66" s="23" t="s">
        <v>60</v>
      </c>
      <c r="D66" s="23" t="s">
        <v>62</v>
      </c>
      <c r="E66" s="9"/>
      <c r="F66" s="72"/>
      <c r="G66" s="72"/>
      <c r="H66" s="72"/>
      <c r="I66" s="73"/>
      <c r="J66" s="260" t="s">
        <v>56</v>
      </c>
      <c r="K66" s="261" t="s">
        <v>13</v>
      </c>
      <c r="L66" s="262" t="s">
        <v>68</v>
      </c>
      <c r="M66" s="77" t="s">
        <v>56</v>
      </c>
      <c r="N66" s="24" t="s">
        <v>13</v>
      </c>
      <c r="O66" s="38" t="s">
        <v>68</v>
      </c>
      <c r="P66" s="260" t="s">
        <v>56</v>
      </c>
      <c r="Q66" s="261" t="s">
        <v>13</v>
      </c>
      <c r="R66" s="262" t="s">
        <v>68</v>
      </c>
      <c r="S66" s="123"/>
      <c r="T66" s="73"/>
      <c r="U66" s="227"/>
    </row>
    <row r="67" spans="1:22" ht="13.8" thickBot="1" x14ac:dyDescent="0.3">
      <c r="A67" s="615"/>
      <c r="B67" s="1028" t="s">
        <v>304</v>
      </c>
      <c r="C67" s="353">
        <f>VLOOKUP(C$2,Monitor_Costs,6,FALSE)</f>
        <v>950</v>
      </c>
      <c r="D67" s="34">
        <f>VLOOKUP(C$2,Monitor_Costs,7,FALSE)</f>
        <v>2019</v>
      </c>
      <c r="E67" s="354"/>
      <c r="F67" s="71"/>
      <c r="G67" s="56"/>
      <c r="H67" s="56"/>
      <c r="I67" s="54"/>
      <c r="J67" s="355">
        <f>HLOOKUP($D67,InflationTable,2)*$C67</f>
        <v>1283.2617562079529</v>
      </c>
      <c r="K67" s="355">
        <f>J67*$L$8</f>
        <v>580034.31380599469</v>
      </c>
      <c r="L67" s="308">
        <f>K67</f>
        <v>580034.31380599469</v>
      </c>
      <c r="M67" s="357">
        <f>HLOOKUP($D67,InflationTable,3)*$C67</f>
        <v>1318.3110243575618</v>
      </c>
      <c r="N67" s="357">
        <f>M67*$L$8</f>
        <v>595876.58300961799</v>
      </c>
      <c r="O67" s="95">
        <f>N67</f>
        <v>595876.58300961799</v>
      </c>
      <c r="P67" s="355">
        <f>HLOOKUP($D67,InflationTable,4)*$C67</f>
        <v>1334.1083099810978</v>
      </c>
      <c r="Q67" s="355">
        <f>P67*$L$8</f>
        <v>603016.95611145627</v>
      </c>
      <c r="R67" s="308">
        <f>Q67</f>
        <v>603016.95611145627</v>
      </c>
      <c r="S67" s="359" t="s">
        <v>12</v>
      </c>
      <c r="T67" s="360">
        <f>AVERAGE(L67,O67,R67)</f>
        <v>592975.95097568969</v>
      </c>
      <c r="U67" s="519" t="s">
        <v>12</v>
      </c>
    </row>
    <row r="68" spans="1:22" ht="13.8" thickBot="1" x14ac:dyDescent="0.3">
      <c r="A68" s="615"/>
      <c r="B68" s="920" t="str">
        <f>VLOOKUP(C$2,Monitor_Costs,31,FALSE)</f>
        <v>Spare Parts - Continuous</v>
      </c>
      <c r="C68" s="920">
        <f>VLOOKUP(C$2,Monitor_Costs,32,FALSE)</f>
        <v>555</v>
      </c>
      <c r="D68" s="34">
        <f>VLOOKUP(C$2,Monitor_Costs,33,FALSE)</f>
        <v>2019</v>
      </c>
      <c r="E68" s="354"/>
      <c r="F68" s="71"/>
      <c r="G68" s="56"/>
      <c r="H68" s="56"/>
      <c r="I68" s="54"/>
      <c r="J68" s="355">
        <f>HLOOKUP($D68,InflationTable,2)*$C68</f>
        <v>749.6950259951725</v>
      </c>
      <c r="K68" s="355">
        <f>J68*L$12</f>
        <v>271389.59941025247</v>
      </c>
      <c r="L68" s="308">
        <f>K68</f>
        <v>271389.59941025247</v>
      </c>
      <c r="M68" s="357">
        <f>HLOOKUP($D68,InflationTable,3)*$C68</f>
        <v>770.17117738783861</v>
      </c>
      <c r="N68" s="357">
        <f>M68*O$12</f>
        <v>206405.87553994075</v>
      </c>
      <c r="O68" s="95">
        <f>N68</f>
        <v>206405.87553994075</v>
      </c>
      <c r="P68" s="355">
        <f>HLOOKUP($D68,InflationTable,4)*$C68</f>
        <v>779.4001179363255</v>
      </c>
      <c r="Q68" s="355">
        <f>P68*R$12</f>
        <v>208879.23160693524</v>
      </c>
      <c r="R68" s="308">
        <f>Q68</f>
        <v>208879.23160693524</v>
      </c>
      <c r="S68" s="359" t="s">
        <v>12</v>
      </c>
      <c r="T68" s="360">
        <f>AVERAGE(L68,O68,R68)</f>
        <v>228891.56885237616</v>
      </c>
      <c r="U68" s="519" t="s">
        <v>12</v>
      </c>
    </row>
    <row r="69" spans="1:22" x14ac:dyDescent="0.25">
      <c r="A69" s="615"/>
      <c r="B69" s="465" t="s">
        <v>25</v>
      </c>
      <c r="C69" s="107" t="s">
        <v>45</v>
      </c>
      <c r="D69" s="108" t="s">
        <v>46</v>
      </c>
      <c r="E69" s="107" t="s">
        <v>47</v>
      </c>
      <c r="F69" s="107" t="s">
        <v>48</v>
      </c>
      <c r="G69" s="107" t="s">
        <v>49</v>
      </c>
      <c r="H69" s="107" t="s">
        <v>50</v>
      </c>
      <c r="I69" s="350" t="s">
        <v>74</v>
      </c>
      <c r="J69" s="351"/>
      <c r="K69" s="352"/>
      <c r="L69" s="356"/>
      <c r="M69" s="110"/>
      <c r="N69" s="108"/>
      <c r="O69" s="111"/>
      <c r="P69" s="351"/>
      <c r="Q69" s="352"/>
      <c r="R69" s="356"/>
      <c r="S69" s="134"/>
      <c r="T69" s="136"/>
      <c r="U69" s="227"/>
    </row>
    <row r="70" spans="1:22" x14ac:dyDescent="0.25">
      <c r="A70" s="615"/>
      <c r="B70" s="1048" t="s">
        <v>303</v>
      </c>
      <c r="C70" s="21">
        <v>0</v>
      </c>
      <c r="D70" s="21">
        <v>85</v>
      </c>
      <c r="E70" s="21">
        <v>0</v>
      </c>
      <c r="F70" s="21">
        <v>0</v>
      </c>
      <c r="G70" s="21">
        <v>0</v>
      </c>
      <c r="H70" s="21">
        <v>0</v>
      </c>
      <c r="I70" s="52">
        <f t="shared" ref="I70:I77" si="10">SUM(C70:H70)</f>
        <v>85</v>
      </c>
      <c r="J70" s="1016">
        <f>$I70*L$11</f>
        <v>19.996312684365783</v>
      </c>
      <c r="K70" s="281">
        <f>J70*L$8</f>
        <v>9038.3333333333339</v>
      </c>
      <c r="L70" s="289">
        <f t="shared" ref="L70:L77" si="11">K70</f>
        <v>9038.3333333333339</v>
      </c>
      <c r="M70" s="1021">
        <f>$I70*O$11</f>
        <v>19.996312684365783</v>
      </c>
      <c r="N70" s="69">
        <f>M70*O$8</f>
        <v>9038.3333333333339</v>
      </c>
      <c r="O70" s="68">
        <f t="shared" ref="O70:O77" si="12">N70</f>
        <v>9038.3333333333339</v>
      </c>
      <c r="P70" s="1016">
        <f>$I70*R$11</f>
        <v>19.996312684365783</v>
      </c>
      <c r="Q70" s="281">
        <f>P70*R$8</f>
        <v>9038.3333333333339</v>
      </c>
      <c r="R70" s="289">
        <f t="shared" ref="R70:R77" si="13">Q70</f>
        <v>9038.3333333333339</v>
      </c>
      <c r="S70" s="121">
        <f t="shared" ref="S70:S78" si="14">AVERAGE(L70,O70,R70)</f>
        <v>9038.3333333333339</v>
      </c>
      <c r="T70" s="119" t="s">
        <v>12</v>
      </c>
      <c r="U70" s="232" t="s">
        <v>12</v>
      </c>
    </row>
    <row r="71" spans="1:22" s="1" customFormat="1" ht="13.8" thickBot="1" x14ac:dyDescent="0.3">
      <c r="A71" s="616"/>
      <c r="B71" s="604" t="s">
        <v>8</v>
      </c>
      <c r="C71" s="712">
        <f>ROUND(C70*Labor!$D$3,0)</f>
        <v>0</v>
      </c>
      <c r="D71" s="219">
        <f>ROUND(D70*Labor!$D$4,0)</f>
        <v>3473</v>
      </c>
      <c r="E71" s="219">
        <f>ROUND(E70*Labor!$D$5,0)</f>
        <v>0</v>
      </c>
      <c r="F71" s="219">
        <f>ROUND(F70*Labor!$D$6,0)</f>
        <v>0</v>
      </c>
      <c r="G71" s="219">
        <f>ROUND(G70*Labor!$D$7,0)</f>
        <v>0</v>
      </c>
      <c r="H71" s="219">
        <f>ROUND(H70*Labor!$D$8,0)</f>
        <v>0</v>
      </c>
      <c r="I71" s="209">
        <f t="shared" si="10"/>
        <v>3473</v>
      </c>
      <c r="J71" s="339">
        <f>HLOOKUP(Labor!$B$11,InflationTable,2)*$I71*L$11</f>
        <v>1103.639976168266</v>
      </c>
      <c r="K71" s="296">
        <f>J71*$L$8</f>
        <v>498845.26922805625</v>
      </c>
      <c r="L71" s="297">
        <f t="shared" si="11"/>
        <v>498845.26922805625</v>
      </c>
      <c r="M71" s="450">
        <f>HLOOKUP(Labor!$B$11,InflationTable,3)*$I71*O$11</f>
        <v>1133.7832990548252</v>
      </c>
      <c r="N71" s="377">
        <f>M71*$L$8</f>
        <v>512470.05117278098</v>
      </c>
      <c r="O71" s="378">
        <f t="shared" si="12"/>
        <v>512470.05117278098</v>
      </c>
      <c r="P71" s="339">
        <f>HLOOKUP(Labor!$B$11,InflationTable,4)*$I71*R$11</f>
        <v>1147.369393898485</v>
      </c>
      <c r="Q71" s="296">
        <f>P71*$L$8</f>
        <v>518610.96604211524</v>
      </c>
      <c r="R71" s="297">
        <f t="shared" si="13"/>
        <v>518610.96604211524</v>
      </c>
      <c r="S71" s="211">
        <f t="shared" si="14"/>
        <v>509975.42881431751</v>
      </c>
      <c r="T71" s="1027" t="s">
        <v>12</v>
      </c>
      <c r="U71" s="1062" t="s">
        <v>12</v>
      </c>
    </row>
    <row r="72" spans="1:22" x14ac:dyDescent="0.25">
      <c r="A72" s="615"/>
      <c r="B72" s="1047" t="s">
        <v>297</v>
      </c>
      <c r="C72" s="1017">
        <v>0</v>
      </c>
      <c r="D72" s="1017">
        <v>0</v>
      </c>
      <c r="E72" s="1017">
        <v>6</v>
      </c>
      <c r="F72" s="1017">
        <v>1</v>
      </c>
      <c r="G72" s="1025">
        <v>0.5</v>
      </c>
      <c r="H72" s="1017">
        <v>0</v>
      </c>
      <c r="I72" s="1018">
        <f t="shared" si="10"/>
        <v>7.5</v>
      </c>
      <c r="J72" s="263">
        <f>$I72</f>
        <v>7.5</v>
      </c>
      <c r="K72" s="281">
        <f>$I72*L$12</f>
        <v>2715</v>
      </c>
      <c r="L72" s="289">
        <f t="shared" si="11"/>
        <v>2715</v>
      </c>
      <c r="M72" s="58">
        <f>$I72</f>
        <v>7.5</v>
      </c>
      <c r="N72" s="69">
        <f>$I72*O$12</f>
        <v>2010</v>
      </c>
      <c r="O72" s="68">
        <f t="shared" si="12"/>
        <v>2010</v>
      </c>
      <c r="P72" s="263">
        <f>$I72</f>
        <v>7.5</v>
      </c>
      <c r="Q72" s="281">
        <f>$I72*R$12</f>
        <v>2010</v>
      </c>
      <c r="R72" s="289">
        <f t="shared" si="13"/>
        <v>2010</v>
      </c>
      <c r="S72" s="121">
        <f t="shared" si="14"/>
        <v>2245</v>
      </c>
      <c r="T72" s="119" t="s">
        <v>12</v>
      </c>
      <c r="U72" s="232" t="s">
        <v>12</v>
      </c>
    </row>
    <row r="73" spans="1:22" s="1" customFormat="1" ht="13.8" thickBot="1" x14ac:dyDescent="0.3">
      <c r="A73" s="616"/>
      <c r="B73" s="604" t="s">
        <v>8</v>
      </c>
      <c r="C73" s="712">
        <f>ROUND(C72*Labor!$D$3,0)</f>
        <v>0</v>
      </c>
      <c r="D73" s="219">
        <f>ROUND(D72*Labor!$D$4,0)</f>
        <v>0</v>
      </c>
      <c r="E73" s="219">
        <f>ROUND(E72*Labor!$D$5,0)</f>
        <v>265</v>
      </c>
      <c r="F73" s="219">
        <f>ROUND(F72*Labor!$D$6,0)</f>
        <v>49</v>
      </c>
      <c r="G73" s="219">
        <f>ROUND(G72*Labor!$D$7,0)</f>
        <v>28</v>
      </c>
      <c r="H73" s="219">
        <f>ROUND(H72*Labor!$D$8,0)</f>
        <v>0</v>
      </c>
      <c r="I73" s="209">
        <f t="shared" si="10"/>
        <v>342</v>
      </c>
      <c r="J73" s="332">
        <f>HLOOKUP(Labor!$B$11,InflationTable,2)*$I73</f>
        <v>461.97423223486305</v>
      </c>
      <c r="K73" s="296">
        <f>J73*L$12</f>
        <v>167234.67206902042</v>
      </c>
      <c r="L73" s="297">
        <f t="shared" si="11"/>
        <v>167234.67206902042</v>
      </c>
      <c r="M73" s="376">
        <f>HLOOKUP(Labor!$B$11,InflationTable,3)*$I73</f>
        <v>474.59196876872221</v>
      </c>
      <c r="N73" s="377">
        <f>M73*O$12</f>
        <v>127190.64763001756</v>
      </c>
      <c r="O73" s="378">
        <f t="shared" si="12"/>
        <v>127190.64763001756</v>
      </c>
      <c r="P73" s="332">
        <f>HLOOKUP(Labor!$B$11,InflationTable,4)*$I73</f>
        <v>480.2789915931952</v>
      </c>
      <c r="Q73" s="296">
        <f>P73*R$12</f>
        <v>128714.76974697631</v>
      </c>
      <c r="R73" s="297">
        <f t="shared" si="13"/>
        <v>128714.76974697631</v>
      </c>
      <c r="S73" s="211">
        <f t="shared" si="14"/>
        <v>141046.69648200477</v>
      </c>
      <c r="T73" s="218" t="s">
        <v>12</v>
      </c>
      <c r="U73" s="228" t="s">
        <v>12</v>
      </c>
    </row>
    <row r="74" spans="1:22" x14ac:dyDescent="0.25">
      <c r="A74" s="615"/>
      <c r="B74" s="1095" t="s">
        <v>302</v>
      </c>
      <c r="C74" s="346">
        <v>0</v>
      </c>
      <c r="D74" s="346">
        <v>0</v>
      </c>
      <c r="E74" s="346">
        <v>50</v>
      </c>
      <c r="F74" s="346">
        <v>25</v>
      </c>
      <c r="G74" s="346">
        <v>0</v>
      </c>
      <c r="H74" s="346">
        <v>0</v>
      </c>
      <c r="I74" s="347">
        <f t="shared" si="10"/>
        <v>75</v>
      </c>
      <c r="J74" s="1019">
        <f>$I74*L$11</f>
        <v>17.643805309734514</v>
      </c>
      <c r="K74" s="327">
        <f>J74*L$8</f>
        <v>7975</v>
      </c>
      <c r="L74" s="328">
        <f t="shared" si="11"/>
        <v>7975</v>
      </c>
      <c r="M74" s="1020">
        <f>$I74*O$11</f>
        <v>17.643805309734514</v>
      </c>
      <c r="N74" s="348">
        <f>M74*O$8</f>
        <v>7975</v>
      </c>
      <c r="O74" s="349">
        <f t="shared" si="12"/>
        <v>7975</v>
      </c>
      <c r="P74" s="1019">
        <f>$I74*R$11</f>
        <v>17.643805309734514</v>
      </c>
      <c r="Q74" s="327">
        <f>P74*R$8</f>
        <v>7975</v>
      </c>
      <c r="R74" s="328">
        <f t="shared" si="13"/>
        <v>7975</v>
      </c>
      <c r="S74" s="129">
        <f t="shared" si="14"/>
        <v>7975</v>
      </c>
      <c r="T74" s="119" t="s">
        <v>12</v>
      </c>
      <c r="U74" s="232" t="s">
        <v>12</v>
      </c>
    </row>
    <row r="75" spans="1:22" s="1026" customFormat="1" ht="13.8" thickBot="1" x14ac:dyDescent="0.3">
      <c r="A75" s="1097"/>
      <c r="B75" s="1096" t="s">
        <v>8</v>
      </c>
      <c r="C75" s="712">
        <f>ROUND(C74*Labor!$D$3,0)</f>
        <v>0</v>
      </c>
      <c r="D75" s="219">
        <f>ROUND(D74*Labor!$D$4,0)</f>
        <v>0</v>
      </c>
      <c r="E75" s="219">
        <f>ROUND(E74*Labor!$D$5,0)</f>
        <v>2206</v>
      </c>
      <c r="F75" s="219">
        <f>ROUND(F74*Labor!$D$6,0)</f>
        <v>1232</v>
      </c>
      <c r="G75" s="219">
        <f>ROUND(G74*Labor!$D$7,0)</f>
        <v>0</v>
      </c>
      <c r="H75" s="219">
        <f>ROUND(H74*Labor!$D$8,0)</f>
        <v>0</v>
      </c>
      <c r="I75" s="209">
        <f t="shared" si="10"/>
        <v>3438</v>
      </c>
      <c r="J75" s="332">
        <f>HLOOKUP(Labor!$B$11,InflationTable,2)*$I$75*L$11</f>
        <v>1092.5177765811975</v>
      </c>
      <c r="K75" s="296">
        <f>J75*$L$8</f>
        <v>493818.03501470125</v>
      </c>
      <c r="L75" s="297">
        <f t="shared" si="11"/>
        <v>493818.03501470125</v>
      </c>
      <c r="M75" s="376">
        <f>HLOOKUP(Labor!$B$11,InflationTable,3)*$I$75*O$11</f>
        <v>1122.3573228190296</v>
      </c>
      <c r="N75" s="377">
        <f>M75*$L$8</f>
        <v>507305.50991420139</v>
      </c>
      <c r="O75" s="378">
        <f t="shared" si="12"/>
        <v>507305.50991420139</v>
      </c>
      <c r="P75" s="332">
        <f>HLOOKUP(Labor!$B$11,InflationTable,4)*$I$75*R$11</f>
        <v>1135.8065004961106</v>
      </c>
      <c r="Q75" s="296">
        <f>P75*$L$8</f>
        <v>513384.53822424199</v>
      </c>
      <c r="R75" s="297">
        <f t="shared" si="13"/>
        <v>513384.53822424199</v>
      </c>
      <c r="S75" s="450">
        <f t="shared" si="14"/>
        <v>504836.0277177149</v>
      </c>
      <c r="T75" s="1027" t="s">
        <v>12</v>
      </c>
      <c r="U75" s="1062" t="s">
        <v>12</v>
      </c>
    </row>
    <row r="76" spans="1:22" x14ac:dyDescent="0.25">
      <c r="A76" s="615"/>
      <c r="B76" s="1047" t="s">
        <v>297</v>
      </c>
      <c r="C76" s="1017">
        <v>0</v>
      </c>
      <c r="D76" s="1017">
        <v>5</v>
      </c>
      <c r="E76" s="1017">
        <v>5</v>
      </c>
      <c r="F76" s="1017">
        <v>4</v>
      </c>
      <c r="G76" s="1017">
        <v>0</v>
      </c>
      <c r="H76" s="1017">
        <v>0</v>
      </c>
      <c r="I76" s="1018">
        <f t="shared" si="10"/>
        <v>14</v>
      </c>
      <c r="J76" s="263">
        <f>$I76</f>
        <v>14</v>
      </c>
      <c r="K76" s="281">
        <f>$I76*L$12</f>
        <v>5068</v>
      </c>
      <c r="L76" s="289">
        <f t="shared" si="11"/>
        <v>5068</v>
      </c>
      <c r="M76" s="58">
        <f>$I76</f>
        <v>14</v>
      </c>
      <c r="N76" s="69">
        <f>$I76*O$12</f>
        <v>3752</v>
      </c>
      <c r="O76" s="68">
        <f t="shared" si="12"/>
        <v>3752</v>
      </c>
      <c r="P76" s="263">
        <f>$I76</f>
        <v>14</v>
      </c>
      <c r="Q76" s="281">
        <f>$I76*R$12</f>
        <v>3752</v>
      </c>
      <c r="R76" s="289">
        <f t="shared" si="13"/>
        <v>3752</v>
      </c>
      <c r="S76" s="121">
        <f t="shared" si="14"/>
        <v>4190.666666666667</v>
      </c>
      <c r="T76" s="119" t="s">
        <v>12</v>
      </c>
      <c r="U76" s="232" t="s">
        <v>12</v>
      </c>
    </row>
    <row r="77" spans="1:22" s="1" customFormat="1" ht="13.8" thickBot="1" x14ac:dyDescent="0.3">
      <c r="A77" s="616"/>
      <c r="B77" s="604" t="s">
        <v>8</v>
      </c>
      <c r="C77" s="712">
        <f>ROUND(C76*Labor!$D$3,0)</f>
        <v>0</v>
      </c>
      <c r="D77" s="219">
        <f>ROUND(D76*Labor!$D$4,0)</f>
        <v>204</v>
      </c>
      <c r="E77" s="219">
        <f>ROUND(E76*Labor!$D$5,0)</f>
        <v>221</v>
      </c>
      <c r="F77" s="219">
        <f>ROUND(F76*Labor!$D$6,0)</f>
        <v>197</v>
      </c>
      <c r="G77" s="219">
        <f>ROUND(G76*Labor!$D$7,0)</f>
        <v>0</v>
      </c>
      <c r="H77" s="219">
        <f>ROUND(H76*Labor!$D$8,0)</f>
        <v>0</v>
      </c>
      <c r="I77" s="209">
        <f t="shared" si="10"/>
        <v>622</v>
      </c>
      <c r="J77" s="332">
        <f>HLOOKUP(Labor!$B$11,InflationTable,2)*$I77</f>
        <v>840.1987498540492</v>
      </c>
      <c r="K77" s="296">
        <f>J77*L$12</f>
        <v>304151.94744716579</v>
      </c>
      <c r="L77" s="297">
        <f t="shared" si="11"/>
        <v>304151.94744716579</v>
      </c>
      <c r="M77" s="376">
        <f>HLOOKUP(Labor!$B$11,InflationTable,3)*$I77</f>
        <v>863.14679700042461</v>
      </c>
      <c r="N77" s="377">
        <f>M77*O$12</f>
        <v>231323.34159611381</v>
      </c>
      <c r="O77" s="378">
        <f t="shared" si="12"/>
        <v>231323.34159611381</v>
      </c>
      <c r="P77" s="332">
        <f>HLOOKUP(Labor!$B$11,InflationTable,4)*$I77</f>
        <v>873.4898619034135</v>
      </c>
      <c r="Q77" s="296">
        <f>P77*R$12</f>
        <v>234095.28299011482</v>
      </c>
      <c r="R77" s="297">
        <f t="shared" si="13"/>
        <v>234095.28299011482</v>
      </c>
      <c r="S77" s="211">
        <f t="shared" si="14"/>
        <v>256523.52401113146</v>
      </c>
      <c r="T77" s="218" t="s">
        <v>12</v>
      </c>
      <c r="U77" s="228" t="s">
        <v>12</v>
      </c>
    </row>
    <row r="78" spans="1:22" x14ac:dyDescent="0.25">
      <c r="A78" s="615"/>
      <c r="B78" s="605" t="s">
        <v>66</v>
      </c>
      <c r="C78" s="36">
        <f t="shared" ref="C78:I78" si="15">C70+C74</f>
        <v>0</v>
      </c>
      <c r="D78" s="36">
        <f t="shared" si="15"/>
        <v>85</v>
      </c>
      <c r="E78" s="36">
        <f t="shared" si="15"/>
        <v>50</v>
      </c>
      <c r="F78" s="36">
        <f t="shared" si="15"/>
        <v>25</v>
      </c>
      <c r="G78" s="36">
        <f t="shared" si="15"/>
        <v>0</v>
      </c>
      <c r="H78" s="36">
        <f t="shared" si="15"/>
        <v>0</v>
      </c>
      <c r="I78" s="46">
        <f t="shared" si="15"/>
        <v>160</v>
      </c>
      <c r="J78" s="301" t="s">
        <v>12</v>
      </c>
      <c r="K78" s="309">
        <f>K70+K74</f>
        <v>17013.333333333336</v>
      </c>
      <c r="L78" s="310">
        <f>L70+L74</f>
        <v>17013.333333333336</v>
      </c>
      <c r="M78" s="85" t="s">
        <v>12</v>
      </c>
      <c r="N78" s="86">
        <f>N70+N74</f>
        <v>17013.333333333336</v>
      </c>
      <c r="O78" s="97">
        <f>O70+O74</f>
        <v>17013.333333333336</v>
      </c>
      <c r="P78" s="301" t="s">
        <v>12</v>
      </c>
      <c r="Q78" s="309">
        <f>Q70+Q74</f>
        <v>17013.333333333336</v>
      </c>
      <c r="R78" s="310">
        <f>R70+R74</f>
        <v>17013.333333333336</v>
      </c>
      <c r="S78" s="121">
        <f t="shared" si="14"/>
        <v>17013.333333333336</v>
      </c>
      <c r="T78" s="136" t="s">
        <v>12</v>
      </c>
      <c r="U78" s="513" t="s">
        <v>12</v>
      </c>
    </row>
    <row r="79" spans="1:22" ht="13.8" thickBot="1" x14ac:dyDescent="0.3">
      <c r="A79" s="615"/>
      <c r="B79" s="606" t="s">
        <v>67</v>
      </c>
      <c r="C79" s="240">
        <f t="shared" ref="C79:H79" si="16">C71+C75</f>
        <v>0</v>
      </c>
      <c r="D79" s="240">
        <f t="shared" si="16"/>
        <v>3473</v>
      </c>
      <c r="E79" s="240">
        <f t="shared" si="16"/>
        <v>2206</v>
      </c>
      <c r="F79" s="240">
        <f t="shared" si="16"/>
        <v>1232</v>
      </c>
      <c r="G79" s="240">
        <f t="shared" si="16"/>
        <v>0</v>
      </c>
      <c r="H79" s="240">
        <f t="shared" si="16"/>
        <v>0</v>
      </c>
      <c r="I79" s="222">
        <f>I75+I71+C67</f>
        <v>7861</v>
      </c>
      <c r="J79" s="311">
        <f t="shared" ref="J79:R79" si="17">J75+J71+J67</f>
        <v>3479.4195089574168</v>
      </c>
      <c r="K79" s="305">
        <f t="shared" si="17"/>
        <v>1572697.6180487522</v>
      </c>
      <c r="L79" s="306">
        <f t="shared" si="17"/>
        <v>1572697.6180487522</v>
      </c>
      <c r="M79" s="252">
        <f t="shared" si="17"/>
        <v>3574.4516462314168</v>
      </c>
      <c r="N79" s="253">
        <f t="shared" si="17"/>
        <v>1615652.1440966004</v>
      </c>
      <c r="O79" s="254">
        <f t="shared" si="17"/>
        <v>1615652.1440966004</v>
      </c>
      <c r="P79" s="311">
        <f t="shared" si="17"/>
        <v>3617.2842043756937</v>
      </c>
      <c r="Q79" s="305">
        <f t="shared" si="17"/>
        <v>1635012.4603778135</v>
      </c>
      <c r="R79" s="306">
        <f t="shared" si="17"/>
        <v>1635012.4603778135</v>
      </c>
      <c r="S79" s="257">
        <f>S75+S71</f>
        <v>1014811.4565320325</v>
      </c>
      <c r="T79" s="251">
        <f>SUM(T67:T68)</f>
        <v>821867.51982806588</v>
      </c>
      <c r="U79" s="231" t="s">
        <v>12</v>
      </c>
    </row>
    <row r="80" spans="1:22" ht="13.8" thickTop="1" x14ac:dyDescent="0.25">
      <c r="C80" s="1051"/>
      <c r="D80" s="1051"/>
      <c r="E80" s="1051"/>
      <c r="F80" s="1051"/>
      <c r="G80" s="1051"/>
      <c r="H80" s="1051"/>
      <c r="I80" s="1051"/>
      <c r="J80" s="1051"/>
      <c r="K80" s="1051"/>
      <c r="L80" s="1051"/>
      <c r="M80" s="1051"/>
      <c r="N80" s="1051"/>
      <c r="O80" s="1051"/>
      <c r="P80" s="1051"/>
      <c r="Q80" s="5"/>
      <c r="R80" s="5"/>
      <c r="S80" s="5"/>
      <c r="T80" s="5"/>
      <c r="U80" s="1051"/>
      <c r="V80" s="5"/>
    </row>
    <row r="81" spans="1:22" ht="13.8" thickBot="1" x14ac:dyDescent="0.3">
      <c r="A81" s="5"/>
      <c r="B81" s="5"/>
      <c r="C81" s="410"/>
      <c r="D81" s="410"/>
      <c r="E81" s="410"/>
      <c r="F81" s="410"/>
      <c r="G81" s="410"/>
      <c r="H81" s="410"/>
      <c r="I81" s="410"/>
      <c r="J81" s="410"/>
      <c r="K81" s="410"/>
      <c r="L81" s="410"/>
      <c r="M81" s="410"/>
      <c r="N81" s="410"/>
      <c r="O81" s="410"/>
      <c r="P81" s="410"/>
      <c r="Q81" s="410"/>
      <c r="R81" s="410"/>
      <c r="S81" s="410"/>
      <c r="T81" s="410"/>
      <c r="U81" s="410"/>
      <c r="V81" s="5"/>
    </row>
    <row r="82" spans="1:22" ht="16.2" thickTop="1" x14ac:dyDescent="0.3">
      <c r="A82" s="615"/>
      <c r="B82" s="709" t="s">
        <v>26</v>
      </c>
      <c r="C82" s="5"/>
      <c r="D82" s="5"/>
      <c r="E82" s="5"/>
      <c r="F82" s="112" t="s">
        <v>6</v>
      </c>
      <c r="G82" s="1415"/>
      <c r="H82" s="1416"/>
      <c r="I82" s="1417"/>
      <c r="J82" s="181" t="s">
        <v>26</v>
      </c>
      <c r="K82" s="426"/>
      <c r="L82" s="67"/>
      <c r="M82" s="245" t="s">
        <v>26</v>
      </c>
      <c r="N82" s="426"/>
      <c r="O82" s="426"/>
      <c r="P82" s="245" t="s">
        <v>26</v>
      </c>
      <c r="Q82" s="426"/>
      <c r="R82" s="67"/>
      <c r="S82" s="225"/>
      <c r="T82" s="37"/>
      <c r="U82" s="227"/>
    </row>
    <row r="83" spans="1:22" x14ac:dyDescent="0.25">
      <c r="A83" s="615"/>
      <c r="B83" s="5"/>
      <c r="C83" s="5"/>
      <c r="D83" s="5"/>
      <c r="E83" s="5"/>
      <c r="F83" s="7"/>
      <c r="G83" s="5"/>
      <c r="H83" s="5"/>
      <c r="I83" s="45" t="s">
        <v>61</v>
      </c>
      <c r="J83" s="277" t="s">
        <v>61</v>
      </c>
      <c r="K83" s="1422" t="s">
        <v>57</v>
      </c>
      <c r="L83" s="1423"/>
      <c r="M83" s="57" t="s">
        <v>61</v>
      </c>
      <c r="N83" s="1432" t="s">
        <v>57</v>
      </c>
      <c r="O83" s="1433"/>
      <c r="P83" s="277" t="s">
        <v>61</v>
      </c>
      <c r="Q83" s="1422" t="s">
        <v>57</v>
      </c>
      <c r="R83" s="1423"/>
      <c r="S83" s="131"/>
      <c r="T83" s="37"/>
      <c r="U83" s="227"/>
    </row>
    <row r="84" spans="1:22" x14ac:dyDescent="0.25">
      <c r="A84" s="615"/>
      <c r="B84" s="611" t="s">
        <v>27</v>
      </c>
      <c r="C84" s="23" t="s">
        <v>45</v>
      </c>
      <c r="D84" s="24" t="s">
        <v>46</v>
      </c>
      <c r="E84" s="23" t="s">
        <v>47</v>
      </c>
      <c r="F84" s="23" t="s">
        <v>48</v>
      </c>
      <c r="G84" s="23" t="s">
        <v>49</v>
      </c>
      <c r="H84" s="23" t="s">
        <v>50</v>
      </c>
      <c r="I84" s="45" t="s">
        <v>13</v>
      </c>
      <c r="J84" s="260" t="s">
        <v>56</v>
      </c>
      <c r="K84" s="261" t="s">
        <v>13</v>
      </c>
      <c r="L84" s="262" t="s">
        <v>68</v>
      </c>
      <c r="M84" s="77" t="s">
        <v>56</v>
      </c>
      <c r="N84" s="24" t="s">
        <v>13</v>
      </c>
      <c r="O84" s="38" t="s">
        <v>68</v>
      </c>
      <c r="P84" s="260" t="s">
        <v>56</v>
      </c>
      <c r="Q84" s="261" t="s">
        <v>13</v>
      </c>
      <c r="R84" s="262" t="s">
        <v>68</v>
      </c>
      <c r="S84" s="123"/>
      <c r="T84" s="37"/>
      <c r="U84" s="517"/>
    </row>
    <row r="85" spans="1:22" x14ac:dyDescent="0.25">
      <c r="A85" s="615"/>
      <c r="B85" s="1048" t="s">
        <v>298</v>
      </c>
      <c r="C85" s="1017">
        <v>0</v>
      </c>
      <c r="D85" s="1017">
        <v>0</v>
      </c>
      <c r="E85" s="1017">
        <v>96</v>
      </c>
      <c r="F85" s="1017">
        <v>0</v>
      </c>
      <c r="G85" s="1017">
        <v>0</v>
      </c>
      <c r="H85" s="1017">
        <v>0</v>
      </c>
      <c r="I85" s="52">
        <f t="shared" ref="I85:I98" si="18">SUM(C85:H85)</f>
        <v>96</v>
      </c>
      <c r="J85" s="1016">
        <f>$I85*L$11</f>
        <v>22.584070796460178</v>
      </c>
      <c r="K85" s="281">
        <f>J85*L$9</f>
        <v>14995.823008849558</v>
      </c>
      <c r="L85" s="289">
        <f t="shared" ref="L85:L100" si="19">K85</f>
        <v>14995.823008849558</v>
      </c>
      <c r="M85" s="1021">
        <f>$I85*O$11</f>
        <v>22.584070796460178</v>
      </c>
      <c r="N85" s="69">
        <f>$I$85*$O$8</f>
        <v>43392</v>
      </c>
      <c r="O85" s="68">
        <f t="shared" ref="O85:O100" si="20">N85</f>
        <v>43392</v>
      </c>
      <c r="P85" s="1016">
        <f>$I85*R$11</f>
        <v>22.584070796460178</v>
      </c>
      <c r="Q85" s="281">
        <f>$I$85*$R$8</f>
        <v>43392</v>
      </c>
      <c r="R85" s="289">
        <f t="shared" ref="R85:R100" si="21">Q85</f>
        <v>43392</v>
      </c>
      <c r="S85" s="121">
        <f t="shared" ref="S85:S102" si="22">AVERAGE(L85,O85,R85)</f>
        <v>33926.607669616518</v>
      </c>
      <c r="T85" s="119" t="s">
        <v>12</v>
      </c>
      <c r="U85" s="232" t="s">
        <v>12</v>
      </c>
    </row>
    <row r="86" spans="1:22" s="1" customFormat="1" ht="13.8" thickBot="1" x14ac:dyDescent="0.3">
      <c r="A86" s="616"/>
      <c r="B86" s="604" t="s">
        <v>8</v>
      </c>
      <c r="C86" s="712">
        <f>ROUND(C85*Labor!$D$3,0)</f>
        <v>0</v>
      </c>
      <c r="D86" s="219">
        <f>ROUND(D85*Labor!$D$4,0)</f>
        <v>0</v>
      </c>
      <c r="E86" s="219">
        <f>ROUND(E85*Labor!$D$5,0)</f>
        <v>4236</v>
      </c>
      <c r="F86" s="219">
        <f>ROUND(F85*Labor!$D$6,0)</f>
        <v>0</v>
      </c>
      <c r="G86" s="219">
        <f>ROUND(G85*Labor!$D$7,0)</f>
        <v>0</v>
      </c>
      <c r="H86" s="219">
        <f>ROUND(H85*Labor!$D$8,0)</f>
        <v>0</v>
      </c>
      <c r="I86" s="209">
        <f t="shared" si="18"/>
        <v>4236</v>
      </c>
      <c r="J86" s="332">
        <f>HLOOKUP(Labor!$B$11,InflationTable,2)*I86*L11</f>
        <v>1346.1039271663622</v>
      </c>
      <c r="K86" s="296">
        <f>J86*$L$9</f>
        <v>893813.00763846445</v>
      </c>
      <c r="L86" s="297">
        <f t="shared" si="19"/>
        <v>893813.00763846445</v>
      </c>
      <c r="M86" s="376">
        <f>HLOOKUP(Labor!$B$11,InflationTable,3)*$I$86</f>
        <v>5878.2794728196122</v>
      </c>
      <c r="N86" s="377">
        <f>M86*$L$8</f>
        <v>2656982.3217144646</v>
      </c>
      <c r="O86" s="378">
        <f t="shared" si="20"/>
        <v>2656982.3217144646</v>
      </c>
      <c r="P86" s="332">
        <f>HLOOKUP(Labor!$B$11,InflationTable,4)*$I$86</f>
        <v>5948.7187379788738</v>
      </c>
      <c r="Q86" s="296">
        <f>P86*$R$8</f>
        <v>2688820.8695664508</v>
      </c>
      <c r="R86" s="297">
        <f t="shared" si="21"/>
        <v>2688820.8695664508</v>
      </c>
      <c r="S86" s="211">
        <f t="shared" si="22"/>
        <v>2079872.06630646</v>
      </c>
      <c r="T86" s="218" t="s">
        <v>12</v>
      </c>
      <c r="U86" s="228" t="s">
        <v>12</v>
      </c>
    </row>
    <row r="87" spans="1:22" x14ac:dyDescent="0.25">
      <c r="A87" s="615"/>
      <c r="B87" s="1094" t="s">
        <v>297</v>
      </c>
      <c r="C87" s="1017">
        <v>0</v>
      </c>
      <c r="D87" s="1017">
        <v>0</v>
      </c>
      <c r="E87" s="1017">
        <v>6</v>
      </c>
      <c r="F87" s="1017">
        <v>6</v>
      </c>
      <c r="G87" s="1017">
        <v>0</v>
      </c>
      <c r="H87" s="1017">
        <v>0</v>
      </c>
      <c r="I87" s="1018">
        <f>SUM(C87:H87)</f>
        <v>12</v>
      </c>
      <c r="J87" s="263">
        <f>$I87</f>
        <v>12</v>
      </c>
      <c r="K87" s="281">
        <f>$I87*L$12</f>
        <v>4344</v>
      </c>
      <c r="L87" s="289">
        <f t="shared" si="19"/>
        <v>4344</v>
      </c>
      <c r="M87" s="58">
        <f>$I87</f>
        <v>12</v>
      </c>
      <c r="N87" s="69">
        <f>$I87*O$12</f>
        <v>3216</v>
      </c>
      <c r="O87" s="68">
        <f t="shared" si="20"/>
        <v>3216</v>
      </c>
      <c r="P87" s="263">
        <f>$I87</f>
        <v>12</v>
      </c>
      <c r="Q87" s="281">
        <f>$I87*R$12</f>
        <v>3216</v>
      </c>
      <c r="R87" s="289">
        <f t="shared" si="21"/>
        <v>3216</v>
      </c>
      <c r="S87" s="121">
        <f>AVERAGE(L87,O87,R87)</f>
        <v>3592</v>
      </c>
      <c r="T87" s="119" t="s">
        <v>12</v>
      </c>
      <c r="U87" s="232" t="s">
        <v>12</v>
      </c>
    </row>
    <row r="88" spans="1:22" s="1" customFormat="1" ht="13.8" thickBot="1" x14ac:dyDescent="0.3">
      <c r="A88" s="616"/>
      <c r="B88" s="604" t="s">
        <v>8</v>
      </c>
      <c r="C88" s="712">
        <f>ROUND(C87*Labor!$D$3,0)</f>
        <v>0</v>
      </c>
      <c r="D88" s="219">
        <f>ROUND(D87*Labor!$D$4,0)</f>
        <v>0</v>
      </c>
      <c r="E88" s="219">
        <f>ROUND(E87*Labor!$D$5,0)</f>
        <v>265</v>
      </c>
      <c r="F88" s="219">
        <f>ROUND(F87*Labor!$D$6,0)</f>
        <v>296</v>
      </c>
      <c r="G88" s="219">
        <f>ROUND(G87*Labor!$D$7,0)</f>
        <v>0</v>
      </c>
      <c r="H88" s="219">
        <f>ROUND(H87*Labor!$D$8,0)</f>
        <v>0</v>
      </c>
      <c r="I88" s="209">
        <f>SUM(C88:H88)</f>
        <v>561</v>
      </c>
      <c r="J88" s="332">
        <f>HLOOKUP(Labor!$B$11,InflationTable,2)*$I88</f>
        <v>757.79983708701218</v>
      </c>
      <c r="K88" s="296">
        <f>J88*L$12</f>
        <v>274323.54102549842</v>
      </c>
      <c r="L88" s="297">
        <f t="shared" si="19"/>
        <v>274323.54102549842</v>
      </c>
      <c r="M88" s="376">
        <f>HLOOKUP(Labor!$B$11,InflationTable,3)*$I88</f>
        <v>778.49735227851795</v>
      </c>
      <c r="N88" s="377">
        <f>M88*O$12</f>
        <v>208637.2904106428</v>
      </c>
      <c r="O88" s="378">
        <f t="shared" si="20"/>
        <v>208637.2904106428</v>
      </c>
      <c r="P88" s="332">
        <f>HLOOKUP(Labor!$B$11,InflationTable,4)*$I88</f>
        <v>787.82606515725877</v>
      </c>
      <c r="Q88" s="296">
        <f>P88*R$12</f>
        <v>211137.38546214535</v>
      </c>
      <c r="R88" s="297">
        <f t="shared" si="21"/>
        <v>211137.38546214535</v>
      </c>
      <c r="S88" s="211">
        <f>AVERAGE(L88,O88,R88)</f>
        <v>231366.07229942887</v>
      </c>
      <c r="T88" s="218" t="s">
        <v>12</v>
      </c>
      <c r="U88" s="228" t="s">
        <v>12</v>
      </c>
    </row>
    <row r="89" spans="1:22" x14ac:dyDescent="0.25">
      <c r="A89" s="615"/>
      <c r="B89" s="1090" t="s">
        <v>300</v>
      </c>
      <c r="C89" s="346">
        <v>0</v>
      </c>
      <c r="D89" s="346">
        <v>0</v>
      </c>
      <c r="E89" s="346">
        <v>0</v>
      </c>
      <c r="F89" s="346">
        <v>38</v>
      </c>
      <c r="G89" s="346">
        <v>0</v>
      </c>
      <c r="H89" s="346">
        <v>0</v>
      </c>
      <c r="I89" s="347">
        <f t="shared" si="18"/>
        <v>38</v>
      </c>
      <c r="J89" s="1019">
        <f>$I89*L$11</f>
        <v>8.9395280235988199</v>
      </c>
      <c r="K89" s="327">
        <f>J89*L$8</f>
        <v>4040.6666666666665</v>
      </c>
      <c r="L89" s="328">
        <f t="shared" si="19"/>
        <v>4040.6666666666665</v>
      </c>
      <c r="M89" s="1020">
        <f>$I89*O$11</f>
        <v>8.9395280235988199</v>
      </c>
      <c r="N89" s="348">
        <f>M89*O$8</f>
        <v>4040.6666666666665</v>
      </c>
      <c r="O89" s="349">
        <f t="shared" si="20"/>
        <v>4040.6666666666665</v>
      </c>
      <c r="P89" s="1019">
        <f>$I89*R$11</f>
        <v>8.9395280235988199</v>
      </c>
      <c r="Q89" s="327">
        <f>P89*R$8</f>
        <v>4040.6666666666665</v>
      </c>
      <c r="R89" s="328">
        <f t="shared" si="21"/>
        <v>4040.6666666666665</v>
      </c>
      <c r="S89" s="129">
        <f t="shared" si="22"/>
        <v>4040.6666666666665</v>
      </c>
      <c r="T89" s="136" t="s">
        <v>12</v>
      </c>
      <c r="U89" s="230" t="s">
        <v>12</v>
      </c>
    </row>
    <row r="90" spans="1:22" s="1" customFormat="1" ht="13.8" thickBot="1" x14ac:dyDescent="0.3">
      <c r="A90" s="616"/>
      <c r="B90" s="604" t="s">
        <v>8</v>
      </c>
      <c r="C90" s="712">
        <f>ROUND(C89*Labor!$D$3,0)</f>
        <v>0</v>
      </c>
      <c r="D90" s="219">
        <f>ROUND(D89*Labor!$D$4,0)</f>
        <v>0</v>
      </c>
      <c r="E90" s="219">
        <f>ROUND(E89*Labor!$D$5,0)</f>
        <v>0</v>
      </c>
      <c r="F90" s="219">
        <f>ROUND(F89*Labor!$D$6,0)</f>
        <v>1872</v>
      </c>
      <c r="G90" s="219">
        <f>ROUND(G89*Labor!$D$7,0)</f>
        <v>0</v>
      </c>
      <c r="H90" s="219">
        <f>ROUND(H89*Labor!$D$8,0)</f>
        <v>0</v>
      </c>
      <c r="I90" s="209">
        <f t="shared" si="18"/>
        <v>1872</v>
      </c>
      <c r="J90" s="339">
        <f>HLOOKUP(Labor!$B$11,InflationTable,2)*$I90*L$11</f>
        <v>594.87878934264154</v>
      </c>
      <c r="K90" s="296">
        <f>J90*L$8</f>
        <v>268885.212782874</v>
      </c>
      <c r="L90" s="297">
        <f t="shared" si="19"/>
        <v>268885.212782874</v>
      </c>
      <c r="M90" s="450">
        <f>HLOOKUP(Labor!$B$11,InflationTable,3)*$I90*O$11</f>
        <v>611.12650038313654</v>
      </c>
      <c r="N90" s="377">
        <f>M90*O$8</f>
        <v>276229.1781731777</v>
      </c>
      <c r="O90" s="378">
        <f t="shared" si="20"/>
        <v>276229.1781731777</v>
      </c>
      <c r="P90" s="339">
        <f>HLOOKUP(Labor!$B$11,InflationTable,4)*$I90*R$11</f>
        <v>618.44961283557859</v>
      </c>
      <c r="Q90" s="296">
        <f>P90*R$8</f>
        <v>279539.22500168154</v>
      </c>
      <c r="R90" s="297">
        <f t="shared" si="21"/>
        <v>279539.22500168154</v>
      </c>
      <c r="S90" s="211">
        <f t="shared" si="22"/>
        <v>274884.53865257773</v>
      </c>
      <c r="T90" s="218" t="s">
        <v>12</v>
      </c>
      <c r="U90" s="228" t="s">
        <v>12</v>
      </c>
    </row>
    <row r="91" spans="1:22" x14ac:dyDescent="0.25">
      <c r="A91" s="615"/>
      <c r="B91" s="610" t="s">
        <v>299</v>
      </c>
      <c r="C91" s="346">
        <v>0</v>
      </c>
      <c r="D91" s="346">
        <v>0</v>
      </c>
      <c r="E91" s="346">
        <v>6</v>
      </c>
      <c r="F91" s="346">
        <v>12</v>
      </c>
      <c r="G91" s="346">
        <v>0</v>
      </c>
      <c r="H91" s="346">
        <v>0</v>
      </c>
      <c r="I91" s="347">
        <f>SUM(C91:H91)</f>
        <v>18</v>
      </c>
      <c r="J91" s="293">
        <f>$I91</f>
        <v>18</v>
      </c>
      <c r="K91" s="327">
        <f>J91*L$12</f>
        <v>6516</v>
      </c>
      <c r="L91" s="328">
        <f t="shared" si="19"/>
        <v>6516</v>
      </c>
      <c r="M91" s="61">
        <f>$I91</f>
        <v>18</v>
      </c>
      <c r="N91" s="348">
        <f>M91*O$12</f>
        <v>4824</v>
      </c>
      <c r="O91" s="349">
        <f t="shared" si="20"/>
        <v>4824</v>
      </c>
      <c r="P91" s="293">
        <f>$I91</f>
        <v>18</v>
      </c>
      <c r="Q91" s="327">
        <f>P91*R$12</f>
        <v>4824</v>
      </c>
      <c r="R91" s="328">
        <f t="shared" si="21"/>
        <v>4824</v>
      </c>
      <c r="S91" s="129">
        <f>AVERAGE(L91,O91,R91)</f>
        <v>5388</v>
      </c>
      <c r="T91" s="136" t="s">
        <v>12</v>
      </c>
      <c r="U91" s="230" t="s">
        <v>12</v>
      </c>
    </row>
    <row r="92" spans="1:22" s="1" customFormat="1" ht="13.8" thickBot="1" x14ac:dyDescent="0.3">
      <c r="A92" s="616"/>
      <c r="B92" s="604" t="s">
        <v>8</v>
      </c>
      <c r="C92" s="712">
        <f>ROUND(C91*Labor!$D$3,0)</f>
        <v>0</v>
      </c>
      <c r="D92" s="219">
        <f>ROUND(D91*Labor!$D$4,0)</f>
        <v>0</v>
      </c>
      <c r="E92" s="219">
        <f>ROUND(E91*Labor!$D$5,0)</f>
        <v>265</v>
      </c>
      <c r="F92" s="219">
        <f>ROUND(F91*Labor!$D$6,0)</f>
        <v>591</v>
      </c>
      <c r="G92" s="219">
        <f>ROUND(G91*Labor!$D$7,0)</f>
        <v>0</v>
      </c>
      <c r="H92" s="219">
        <f>ROUND(H91*Labor!$D$8,0)</f>
        <v>0</v>
      </c>
      <c r="I92" s="209">
        <f>SUM(C92:H92)</f>
        <v>856</v>
      </c>
      <c r="J92" s="339">
        <f>HLOOKUP(Labor!$B$11,InflationTable,2)*$I92</f>
        <v>1156.2863824357976</v>
      </c>
      <c r="K92" s="296">
        <f>J92*L$12</f>
        <v>418575.6704417587</v>
      </c>
      <c r="L92" s="297">
        <f t="shared" si="19"/>
        <v>418575.6704417587</v>
      </c>
      <c r="M92" s="450">
        <f>HLOOKUP(Labor!$B$11,InflationTable,3)*$I92</f>
        <v>1187.8676177369186</v>
      </c>
      <c r="N92" s="377">
        <f>M92*O$12</f>
        <v>318348.52155349421</v>
      </c>
      <c r="O92" s="378">
        <f t="shared" si="20"/>
        <v>318348.52155349421</v>
      </c>
      <c r="P92" s="339">
        <f>HLOOKUP(Labor!$B$11,InflationTable,4)*$I92</f>
        <v>1202.1018035198101</v>
      </c>
      <c r="Q92" s="296">
        <f>P92*R$12</f>
        <v>322163.28334330913</v>
      </c>
      <c r="R92" s="297">
        <f t="shared" si="21"/>
        <v>322163.28334330913</v>
      </c>
      <c r="S92" s="211">
        <f>AVERAGE(L92,O92,R92)</f>
        <v>353029.15844618733</v>
      </c>
      <c r="T92" s="218" t="s">
        <v>12</v>
      </c>
      <c r="U92" s="228" t="s">
        <v>12</v>
      </c>
    </row>
    <row r="93" spans="1:22" x14ac:dyDescent="0.25">
      <c r="A93" s="615"/>
      <c r="B93" s="1090" t="s">
        <v>301</v>
      </c>
      <c r="C93" s="346">
        <v>0</v>
      </c>
      <c r="D93" s="346">
        <v>0</v>
      </c>
      <c r="E93" s="346">
        <v>24</v>
      </c>
      <c r="F93" s="346">
        <v>72</v>
      </c>
      <c r="G93" s="346">
        <v>48</v>
      </c>
      <c r="H93" s="346">
        <v>0</v>
      </c>
      <c r="I93" s="347">
        <f t="shared" si="18"/>
        <v>144</v>
      </c>
      <c r="J93" s="1019">
        <f>$I93*L$11</f>
        <v>33.876106194690266</v>
      </c>
      <c r="K93" s="327">
        <f>J93*L$8</f>
        <v>15312</v>
      </c>
      <c r="L93" s="328">
        <f t="shared" si="19"/>
        <v>15312</v>
      </c>
      <c r="M93" s="1020">
        <f>$I93*O$11</f>
        <v>33.876106194690266</v>
      </c>
      <c r="N93" s="348">
        <f>M93*O$8</f>
        <v>15312</v>
      </c>
      <c r="O93" s="349">
        <f t="shared" si="20"/>
        <v>15312</v>
      </c>
      <c r="P93" s="1019">
        <f>$I93*R$11</f>
        <v>33.876106194690266</v>
      </c>
      <c r="Q93" s="327">
        <f>P93*R$8</f>
        <v>15312</v>
      </c>
      <c r="R93" s="328">
        <f t="shared" si="21"/>
        <v>15312</v>
      </c>
      <c r="S93" s="129">
        <f t="shared" si="22"/>
        <v>15312</v>
      </c>
      <c r="T93" s="136" t="s">
        <v>12</v>
      </c>
      <c r="U93" s="230" t="s">
        <v>12</v>
      </c>
    </row>
    <row r="94" spans="1:22" s="1" customFormat="1" ht="13.8" thickBot="1" x14ac:dyDescent="0.3">
      <c r="A94" s="616"/>
      <c r="B94" s="604" t="s">
        <v>8</v>
      </c>
      <c r="C94" s="712">
        <f>ROUND(C93*Labor!$D$3,0)</f>
        <v>0</v>
      </c>
      <c r="D94" s="219">
        <f>ROUND(D93*Labor!$D$4,0)</f>
        <v>0</v>
      </c>
      <c r="E94" s="219">
        <f>ROUND(E93*Labor!$D$5,0)</f>
        <v>1059</v>
      </c>
      <c r="F94" s="219">
        <f>ROUND(F93*Labor!$D$6,0)</f>
        <v>3547</v>
      </c>
      <c r="G94" s="219">
        <f>ROUND(G93*Labor!$D$7,0)</f>
        <v>2662</v>
      </c>
      <c r="H94" s="219">
        <f>ROUND(H93*Labor!$D$8,0)</f>
        <v>0</v>
      </c>
      <c r="I94" s="209">
        <f t="shared" si="18"/>
        <v>7268</v>
      </c>
      <c r="J94" s="339">
        <f>HLOOKUP(Labor!$B$11,InflationTable,2)*$I94*L$11</f>
        <v>2309.6041885375635</v>
      </c>
      <c r="K94" s="296">
        <f>J94*$L$8</f>
        <v>1043941.0932189787</v>
      </c>
      <c r="L94" s="297">
        <f t="shared" si="19"/>
        <v>1043941.0932189787</v>
      </c>
      <c r="M94" s="450">
        <f>HLOOKUP(Labor!$B$11,InflationTable,3)*$I94*O$11</f>
        <v>2372.6855794789722</v>
      </c>
      <c r="N94" s="377">
        <f>M94*$L$8</f>
        <v>1072453.8819244953</v>
      </c>
      <c r="O94" s="378">
        <f t="shared" si="20"/>
        <v>1072453.8819244953</v>
      </c>
      <c r="P94" s="339">
        <f>HLOOKUP(Labor!$B$11,InflationTable,4)*$I94*R$11</f>
        <v>2401.1174070988168</v>
      </c>
      <c r="Q94" s="296">
        <f>P94*$L$8</f>
        <v>1085305.0680086652</v>
      </c>
      <c r="R94" s="297">
        <f t="shared" si="21"/>
        <v>1085305.0680086652</v>
      </c>
      <c r="S94" s="211">
        <f t="shared" si="22"/>
        <v>1067233.3477173799</v>
      </c>
      <c r="T94" s="218" t="s">
        <v>12</v>
      </c>
      <c r="U94" s="228" t="s">
        <v>12</v>
      </c>
    </row>
    <row r="95" spans="1:22" x14ac:dyDescent="0.25">
      <c r="A95" s="615"/>
      <c r="B95" s="610" t="s">
        <v>299</v>
      </c>
      <c r="C95" s="346">
        <v>0</v>
      </c>
      <c r="D95" s="346">
        <v>0</v>
      </c>
      <c r="E95" s="346">
        <v>6</v>
      </c>
      <c r="F95" s="346">
        <v>14</v>
      </c>
      <c r="G95" s="346">
        <v>0</v>
      </c>
      <c r="H95" s="346">
        <v>0</v>
      </c>
      <c r="I95" s="347">
        <f t="shared" si="18"/>
        <v>20</v>
      </c>
      <c r="J95" s="293">
        <f>$I95</f>
        <v>20</v>
      </c>
      <c r="K95" s="327">
        <f>J95*L$12</f>
        <v>7240</v>
      </c>
      <c r="L95" s="328">
        <f t="shared" si="19"/>
        <v>7240</v>
      </c>
      <c r="M95" s="61">
        <f>$I95</f>
        <v>20</v>
      </c>
      <c r="N95" s="348">
        <f>M95*O$12</f>
        <v>5360</v>
      </c>
      <c r="O95" s="349">
        <f t="shared" si="20"/>
        <v>5360</v>
      </c>
      <c r="P95" s="293">
        <f>$I95</f>
        <v>20</v>
      </c>
      <c r="Q95" s="327">
        <f>P95*R$12</f>
        <v>5360</v>
      </c>
      <c r="R95" s="328">
        <f t="shared" si="21"/>
        <v>5360</v>
      </c>
      <c r="S95" s="129">
        <f t="shared" si="22"/>
        <v>5986.666666666667</v>
      </c>
      <c r="T95" s="136" t="s">
        <v>12</v>
      </c>
      <c r="U95" s="230" t="s">
        <v>12</v>
      </c>
    </row>
    <row r="96" spans="1:22" s="1" customFormat="1" ht="13.8" thickBot="1" x14ac:dyDescent="0.3">
      <c r="A96" s="616"/>
      <c r="B96" s="604" t="s">
        <v>8</v>
      </c>
      <c r="C96" s="712">
        <f>ROUND(C95*Labor!$D$3,0)</f>
        <v>0</v>
      </c>
      <c r="D96" s="219">
        <f>ROUND(D95*Labor!$D$4,0)</f>
        <v>0</v>
      </c>
      <c r="E96" s="219">
        <f>ROUND(E95*Labor!$D$5,0)</f>
        <v>265</v>
      </c>
      <c r="F96" s="219">
        <f>ROUND(F95*Labor!$D$6,0)</f>
        <v>690</v>
      </c>
      <c r="G96" s="219">
        <f>ROUND(G95*Labor!$D$7,0)</f>
        <v>0</v>
      </c>
      <c r="H96" s="219">
        <f>ROUND(H95*Labor!$D$8,0)</f>
        <v>0</v>
      </c>
      <c r="I96" s="209">
        <f t="shared" si="18"/>
        <v>955</v>
      </c>
      <c r="J96" s="339">
        <f>HLOOKUP(Labor!$B$11,InflationTable,2)*$I96</f>
        <v>1290.0157654511527</v>
      </c>
      <c r="K96" s="296">
        <f>J96*L$12</f>
        <v>466985.70709331729</v>
      </c>
      <c r="L96" s="297">
        <f t="shared" si="19"/>
        <v>466985.70709331729</v>
      </c>
      <c r="M96" s="450">
        <f>HLOOKUP(Labor!$B$11,InflationTable,3)*$I96</f>
        <v>1325.2495034331278</v>
      </c>
      <c r="N96" s="377">
        <f>M96*O$12</f>
        <v>355166.86692007823</v>
      </c>
      <c r="O96" s="378">
        <f t="shared" si="20"/>
        <v>355166.86692007823</v>
      </c>
      <c r="P96" s="339">
        <f>HLOOKUP(Labor!$B$11,InflationTable,4)*$I96</f>
        <v>1341.1299326652088</v>
      </c>
      <c r="Q96" s="296">
        <f>P96*R$12</f>
        <v>359422.82195427595</v>
      </c>
      <c r="R96" s="297">
        <f t="shared" si="21"/>
        <v>359422.82195427595</v>
      </c>
      <c r="S96" s="211">
        <f t="shared" si="22"/>
        <v>393858.46532255714</v>
      </c>
      <c r="T96" s="218" t="s">
        <v>12</v>
      </c>
      <c r="U96" s="228" t="s">
        <v>12</v>
      </c>
    </row>
    <row r="97" spans="1:22" x14ac:dyDescent="0.25">
      <c r="A97" s="615"/>
      <c r="B97" s="1090" t="s">
        <v>116</v>
      </c>
      <c r="C97" s="346">
        <v>0</v>
      </c>
      <c r="D97" s="346">
        <v>0</v>
      </c>
      <c r="E97" s="346">
        <v>6</v>
      </c>
      <c r="F97" s="346">
        <v>7</v>
      </c>
      <c r="G97" s="346">
        <v>0</v>
      </c>
      <c r="H97" s="346">
        <v>0</v>
      </c>
      <c r="I97" s="347">
        <f t="shared" si="18"/>
        <v>13</v>
      </c>
      <c r="J97" s="293">
        <f>$I97</f>
        <v>13</v>
      </c>
      <c r="K97" s="327">
        <f>I97*$L$8</f>
        <v>5876</v>
      </c>
      <c r="L97" s="328">
        <f t="shared" si="19"/>
        <v>5876</v>
      </c>
      <c r="M97" s="61">
        <f>$I97</f>
        <v>13</v>
      </c>
      <c r="N97" s="348">
        <f>$I$97*$O$8</f>
        <v>5876</v>
      </c>
      <c r="O97" s="349">
        <f t="shared" si="20"/>
        <v>5876</v>
      </c>
      <c r="P97" s="293">
        <f>$I97</f>
        <v>13</v>
      </c>
      <c r="Q97" s="327">
        <f>$I$97*$R$8</f>
        <v>5876</v>
      </c>
      <c r="R97" s="328">
        <f t="shared" si="21"/>
        <v>5876</v>
      </c>
      <c r="S97" s="129">
        <f t="shared" si="22"/>
        <v>5876</v>
      </c>
      <c r="T97" s="136" t="s">
        <v>12</v>
      </c>
      <c r="U97" s="230" t="s">
        <v>12</v>
      </c>
    </row>
    <row r="98" spans="1:22" s="1" customFormat="1" ht="13.8" thickBot="1" x14ac:dyDescent="0.3">
      <c r="A98" s="616"/>
      <c r="B98" s="604" t="s">
        <v>8</v>
      </c>
      <c r="C98" s="712">
        <f>ROUND(C97*Labor!$D$3,0)</f>
        <v>0</v>
      </c>
      <c r="D98" s="219">
        <f>ROUND(D97*Labor!$D$4,0)</f>
        <v>0</v>
      </c>
      <c r="E98" s="219">
        <f>ROUND(E97*Labor!$D$5,0)</f>
        <v>265</v>
      </c>
      <c r="F98" s="219">
        <f>ROUND(F97*Labor!$D$6,0)</f>
        <v>345</v>
      </c>
      <c r="G98" s="219">
        <f>ROUND(G97*Labor!$D$7,0)</f>
        <v>0</v>
      </c>
      <c r="H98" s="219">
        <f>ROUND(H97*Labor!$D$8,0)</f>
        <v>0</v>
      </c>
      <c r="I98" s="209">
        <f t="shared" si="18"/>
        <v>610</v>
      </c>
      <c r="J98" s="332">
        <f>HLOOKUP(Labor!$B$11,InflationTable,2)*$I98*L$11</f>
        <v>193.84404994605308</v>
      </c>
      <c r="K98" s="296">
        <f>J98*$L$8</f>
        <v>87617.51057561599</v>
      </c>
      <c r="L98" s="297">
        <f t="shared" si="19"/>
        <v>87617.51057561599</v>
      </c>
      <c r="M98" s="376">
        <f>HLOOKUP(Labor!$B$11,InflationTable,3)*$I98*O$11</f>
        <v>199.13844296672718</v>
      </c>
      <c r="N98" s="377">
        <f>M98*$O$8</f>
        <v>90010.576220960691</v>
      </c>
      <c r="O98" s="449">
        <f t="shared" si="20"/>
        <v>90010.576220960691</v>
      </c>
      <c r="P98" s="332">
        <f>HLOOKUP(Labor!$B$11,InflationTable,4)*$I98*R$11</f>
        <v>201.52471358424299</v>
      </c>
      <c r="Q98" s="296">
        <f>P98*$R$8</f>
        <v>91089.17054007783</v>
      </c>
      <c r="R98" s="390">
        <f t="shared" si="21"/>
        <v>91089.17054007783</v>
      </c>
      <c r="S98" s="211">
        <f t="shared" si="22"/>
        <v>89572.41911221818</v>
      </c>
      <c r="T98" s="393" t="s">
        <v>12</v>
      </c>
      <c r="U98" s="228" t="s">
        <v>12</v>
      </c>
    </row>
    <row r="99" spans="1:22" x14ac:dyDescent="0.25">
      <c r="A99" s="615"/>
      <c r="B99" s="610" t="s">
        <v>299</v>
      </c>
      <c r="C99" s="346">
        <v>0</v>
      </c>
      <c r="D99" s="346">
        <v>0</v>
      </c>
      <c r="E99" s="346">
        <v>2</v>
      </c>
      <c r="F99" s="346">
        <v>2</v>
      </c>
      <c r="G99" s="346">
        <v>2</v>
      </c>
      <c r="H99" s="346">
        <v>0</v>
      </c>
      <c r="I99" s="347">
        <f>SUM(C99:H99)</f>
        <v>6</v>
      </c>
      <c r="J99" s="293">
        <f>$I99</f>
        <v>6</v>
      </c>
      <c r="K99" s="327">
        <f>J99*L$12</f>
        <v>2172</v>
      </c>
      <c r="L99" s="328">
        <f t="shared" si="19"/>
        <v>2172</v>
      </c>
      <c r="M99" s="61">
        <f>$I99</f>
        <v>6</v>
      </c>
      <c r="N99" s="348">
        <f>M99*O$12</f>
        <v>1608</v>
      </c>
      <c r="O99" s="1022">
        <f t="shared" si="20"/>
        <v>1608</v>
      </c>
      <c r="P99" s="293">
        <f>$I99</f>
        <v>6</v>
      </c>
      <c r="Q99" s="327">
        <f>P99*R$12</f>
        <v>1608</v>
      </c>
      <c r="R99" s="328">
        <f t="shared" si="21"/>
        <v>1608</v>
      </c>
      <c r="S99" s="129">
        <f>AVERAGE(L99,O99,R99)</f>
        <v>1796</v>
      </c>
      <c r="T99" s="136" t="s">
        <v>12</v>
      </c>
      <c r="U99" s="230" t="s">
        <v>12</v>
      </c>
    </row>
    <row r="100" spans="1:22" s="1" customFormat="1" ht="13.8" thickBot="1" x14ac:dyDescent="0.3">
      <c r="A100" s="616"/>
      <c r="B100" s="604" t="s">
        <v>8</v>
      </c>
      <c r="C100" s="712">
        <f>ROUND(C99*Labor!$D$3,0)</f>
        <v>0</v>
      </c>
      <c r="D100" s="219">
        <f>ROUND(D99*Labor!$D$4,0)</f>
        <v>0</v>
      </c>
      <c r="E100" s="219">
        <f>ROUND(E99*Labor!$D$5,0)</f>
        <v>88</v>
      </c>
      <c r="F100" s="219">
        <f>ROUND(F99*Labor!$D$6,0)</f>
        <v>99</v>
      </c>
      <c r="G100" s="219">
        <f>ROUND(G99*Labor!$D$7,0)</f>
        <v>111</v>
      </c>
      <c r="H100" s="219">
        <f>ROUND(H99*Labor!$D$8,0)</f>
        <v>0</v>
      </c>
      <c r="I100" s="209">
        <f>SUM(C100:H100)</f>
        <v>298</v>
      </c>
      <c r="J100" s="339">
        <f>HLOOKUP(Labor!$B$11,InflationTable,2)*$I100</f>
        <v>402.53895089470524</v>
      </c>
      <c r="K100" s="296">
        <f>J100*L$12</f>
        <v>145719.10022388329</v>
      </c>
      <c r="L100" s="297">
        <f t="shared" si="19"/>
        <v>145719.10022388329</v>
      </c>
      <c r="M100" s="450">
        <f>HLOOKUP(Labor!$B$11,InflationTable,3)*$I100</f>
        <v>413.53335290374042</v>
      </c>
      <c r="N100" s="377">
        <f>M100*O$12</f>
        <v>110826.93857820243</v>
      </c>
      <c r="O100" s="378">
        <f t="shared" si="20"/>
        <v>110826.93857820243</v>
      </c>
      <c r="P100" s="339">
        <f>HLOOKUP(Labor!$B$11,InflationTable,4)*$I100</f>
        <v>418.48871197301804</v>
      </c>
      <c r="Q100" s="296">
        <f>P100*R$12</f>
        <v>112154.97480876883</v>
      </c>
      <c r="R100" s="297">
        <f t="shared" si="21"/>
        <v>112154.97480876883</v>
      </c>
      <c r="S100" s="211">
        <f>AVERAGE(L100,O100,R100)</f>
        <v>122900.33787028486</v>
      </c>
      <c r="T100" s="218" t="s">
        <v>12</v>
      </c>
      <c r="U100" s="228" t="s">
        <v>12</v>
      </c>
    </row>
    <row r="101" spans="1:22" x14ac:dyDescent="0.25">
      <c r="A101" s="615"/>
      <c r="B101" s="605" t="s">
        <v>66</v>
      </c>
      <c r="C101" s="33">
        <f>C99+C97+C95+C93+C91+C89+C87+C85</f>
        <v>0</v>
      </c>
      <c r="D101" s="33">
        <f t="shared" ref="D101:I101" si="23">D99+D97+D95+D93+D91+D89+D87+D85</f>
        <v>0</v>
      </c>
      <c r="E101" s="33">
        <f t="shared" si="23"/>
        <v>146</v>
      </c>
      <c r="F101" s="33">
        <f t="shared" si="23"/>
        <v>151</v>
      </c>
      <c r="G101" s="33">
        <f t="shared" si="23"/>
        <v>50</v>
      </c>
      <c r="H101" s="33">
        <f t="shared" si="23"/>
        <v>0</v>
      </c>
      <c r="I101" s="33">
        <f t="shared" si="23"/>
        <v>347</v>
      </c>
      <c r="J101" s="285">
        <f t="shared" ref="J101:L102" si="24">J99+J97+J95+J93+J91+J89+J87+J85</f>
        <v>134.39970501474926</v>
      </c>
      <c r="K101" s="285">
        <f t="shared" si="24"/>
        <v>60496.489675516219</v>
      </c>
      <c r="L101" s="285">
        <f t="shared" si="24"/>
        <v>60496.489675516219</v>
      </c>
      <c r="M101" s="33">
        <f t="shared" ref="M101:R101" si="25">M99+M97+M95+M93+M91+M89+M87+M85</f>
        <v>134.39970501474926</v>
      </c>
      <c r="N101" s="33">
        <f t="shared" si="25"/>
        <v>83628.666666666657</v>
      </c>
      <c r="O101" s="33">
        <f t="shared" si="25"/>
        <v>83628.666666666657</v>
      </c>
      <c r="P101" s="285">
        <f t="shared" si="25"/>
        <v>134.39970501474926</v>
      </c>
      <c r="Q101" s="285">
        <f t="shared" si="25"/>
        <v>83628.666666666657</v>
      </c>
      <c r="R101" s="285">
        <f t="shared" si="25"/>
        <v>83628.666666666657</v>
      </c>
      <c r="S101" s="129">
        <f t="shared" si="22"/>
        <v>75917.941002949854</v>
      </c>
      <c r="T101" s="136" t="s">
        <v>12</v>
      </c>
      <c r="U101" s="230" t="s">
        <v>12</v>
      </c>
    </row>
    <row r="102" spans="1:22" ht="13.8" thickBot="1" x14ac:dyDescent="0.3">
      <c r="A102" s="615"/>
      <c r="B102" s="606" t="s">
        <v>67</v>
      </c>
      <c r="C102" s="710">
        <f>C100+C98+C96+C94+C92+C90+C88+C86</f>
        <v>0</v>
      </c>
      <c r="D102" s="710">
        <f t="shared" ref="D102:I102" si="26">D100+D98+D96+D94+D92+D90+D88+D86</f>
        <v>0</v>
      </c>
      <c r="E102" s="710">
        <f t="shared" si="26"/>
        <v>6443</v>
      </c>
      <c r="F102" s="710">
        <f t="shared" si="26"/>
        <v>7440</v>
      </c>
      <c r="G102" s="710">
        <f t="shared" si="26"/>
        <v>2773</v>
      </c>
      <c r="H102" s="710">
        <f t="shared" si="26"/>
        <v>0</v>
      </c>
      <c r="I102" s="240">
        <f t="shared" si="26"/>
        <v>16656</v>
      </c>
      <c r="J102" s="275">
        <f t="shared" si="24"/>
        <v>8051.0718908612871</v>
      </c>
      <c r="K102" s="275">
        <f t="shared" si="24"/>
        <v>3599860.8430003906</v>
      </c>
      <c r="L102" s="275">
        <f t="shared" si="24"/>
        <v>3599860.8430003906</v>
      </c>
      <c r="M102" s="240">
        <f t="shared" ref="M102:R102" si="27">M100+M98+M96+M94+M92+M90+M88+M86</f>
        <v>12766.377822000753</v>
      </c>
      <c r="N102" s="240">
        <f t="shared" si="27"/>
        <v>5088655.5754955169</v>
      </c>
      <c r="O102" s="240">
        <f t="shared" si="27"/>
        <v>5088655.5754955169</v>
      </c>
      <c r="P102" s="275">
        <f t="shared" si="27"/>
        <v>12919.35698481281</v>
      </c>
      <c r="Q102" s="275">
        <f t="shared" si="27"/>
        <v>5149632.7986853747</v>
      </c>
      <c r="R102" s="276">
        <f t="shared" si="27"/>
        <v>5149632.7986853747</v>
      </c>
      <c r="S102" s="255">
        <f t="shared" si="22"/>
        <v>4612716.405727095</v>
      </c>
      <c r="T102" s="249" t="s">
        <v>12</v>
      </c>
      <c r="U102" s="231" t="s">
        <v>12</v>
      </c>
    </row>
    <row r="103" spans="1:22" ht="13.8" thickTop="1" x14ac:dyDescent="0.25">
      <c r="B103" s="624"/>
      <c r="C103" s="621"/>
      <c r="D103" s="621"/>
      <c r="E103" s="621"/>
      <c r="F103" s="621"/>
      <c r="G103" s="621"/>
      <c r="H103" s="621"/>
      <c r="I103" s="622"/>
      <c r="J103" s="622"/>
      <c r="K103" s="622"/>
      <c r="L103" s="622"/>
      <c r="M103" s="622"/>
      <c r="N103" s="622"/>
      <c r="O103" s="622"/>
      <c r="P103" s="622"/>
      <c r="Q103" s="622"/>
      <c r="R103" s="622"/>
      <c r="S103" s="625"/>
      <c r="T103" s="626"/>
      <c r="U103" s="1063"/>
      <c r="V103" s="5"/>
    </row>
    <row r="104" spans="1:22" ht="13.8" thickBot="1" x14ac:dyDescent="0.3"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410"/>
      <c r="P104" s="410"/>
      <c r="Q104" s="410"/>
      <c r="R104" s="410"/>
      <c r="S104" s="410"/>
      <c r="T104" s="410"/>
      <c r="U104" s="1057"/>
      <c r="V104" s="5"/>
    </row>
    <row r="105" spans="1:22" ht="28.2" thickTop="1" thickBot="1" x14ac:dyDescent="0.35">
      <c r="A105" s="615"/>
      <c r="B105" s="709" t="s">
        <v>28</v>
      </c>
      <c r="C105" s="5"/>
      <c r="D105" s="5"/>
      <c r="E105" s="1024"/>
      <c r="F105" s="112" t="s">
        <v>6</v>
      </c>
      <c r="G105" s="1415"/>
      <c r="H105" s="1416"/>
      <c r="I105" s="1417"/>
      <c r="J105" s="181" t="s">
        <v>28</v>
      </c>
      <c r="K105" s="426"/>
      <c r="L105" s="67"/>
      <c r="M105" s="181" t="s">
        <v>28</v>
      </c>
      <c r="N105" s="426"/>
      <c r="O105" s="67"/>
      <c r="P105" s="181" t="s">
        <v>28</v>
      </c>
      <c r="Q105" s="426"/>
      <c r="R105" s="67"/>
      <c r="S105" s="546" t="s">
        <v>17</v>
      </c>
      <c r="T105" s="547" t="s">
        <v>103</v>
      </c>
      <c r="U105" s="1064" t="s">
        <v>79</v>
      </c>
    </row>
    <row r="106" spans="1:22" x14ac:dyDescent="0.25">
      <c r="A106" s="615"/>
      <c r="B106" s="5"/>
      <c r="C106" s="72"/>
      <c r="D106" s="431" t="s">
        <v>54</v>
      </c>
      <c r="E106" s="70">
        <v>7</v>
      </c>
      <c r="I106" s="43"/>
      <c r="J106" s="277" t="s">
        <v>61</v>
      </c>
      <c r="K106" s="1422" t="s">
        <v>57</v>
      </c>
      <c r="L106" s="1423"/>
      <c r="M106" s="57" t="s">
        <v>61</v>
      </c>
      <c r="N106" s="1432" t="s">
        <v>57</v>
      </c>
      <c r="O106" s="1436"/>
      <c r="P106" s="318" t="s">
        <v>61</v>
      </c>
      <c r="Q106" s="1422" t="s">
        <v>57</v>
      </c>
      <c r="R106" s="1423"/>
      <c r="S106" s="170"/>
      <c r="T106" s="133"/>
      <c r="U106" s="615"/>
    </row>
    <row r="107" spans="1:22" x14ac:dyDescent="0.25">
      <c r="A107" s="615"/>
      <c r="B107" s="796"/>
      <c r="C107" s="23" t="s">
        <v>60</v>
      </c>
      <c r="D107" s="23" t="s">
        <v>62</v>
      </c>
      <c r="E107" s="1023"/>
      <c r="F107" s="396"/>
      <c r="G107" s="396"/>
      <c r="H107" s="396"/>
      <c r="I107" s="145"/>
      <c r="J107" s="260" t="s">
        <v>56</v>
      </c>
      <c r="K107" s="261" t="s">
        <v>13</v>
      </c>
      <c r="L107" s="262" t="s">
        <v>68</v>
      </c>
      <c r="M107" s="77" t="s">
        <v>56</v>
      </c>
      <c r="N107" s="24" t="s">
        <v>13</v>
      </c>
      <c r="O107" s="38" t="s">
        <v>68</v>
      </c>
      <c r="P107" s="260" t="s">
        <v>56</v>
      </c>
      <c r="Q107" s="261" t="s">
        <v>13</v>
      </c>
      <c r="R107" s="262" t="s">
        <v>68</v>
      </c>
      <c r="S107" s="120"/>
      <c r="T107" s="133"/>
      <c r="U107" s="615"/>
    </row>
    <row r="108" spans="1:22" ht="13.8" thickBot="1" x14ac:dyDescent="0.3">
      <c r="A108" s="615"/>
      <c r="B108" s="876" t="str">
        <f>VLOOKUP(C$2,Monitor_Costs,25,FALSE)</f>
        <v>Audit/Calibration Kits (Filter Based)</v>
      </c>
      <c r="C108" s="458">
        <f>VLOOKUP(C$2,Monitor_Costs,26,FALSE)</f>
        <v>125</v>
      </c>
      <c r="D108" s="381">
        <f>VLOOKUP(C$2,Monitor_Costs,27,FALSE)</f>
        <v>2019</v>
      </c>
      <c r="E108" s="74"/>
      <c r="F108" s="75"/>
      <c r="G108" s="76"/>
      <c r="H108" s="76"/>
      <c r="I108" s="862"/>
      <c r="J108" s="424">
        <f>HLOOKUP($D108,InflationTable,2)*$C108</f>
        <v>168.85023107999382</v>
      </c>
      <c r="K108" s="355">
        <f>J108*SUM(L$3:L$6)</f>
        <v>57746.779029357887</v>
      </c>
      <c r="L108" s="308">
        <f>K108/$E$106*0.2</f>
        <v>1649.9079722673685</v>
      </c>
      <c r="M108" s="1034">
        <f>HLOOKUP($D108,InflationTable,3)*$C108</f>
        <v>173.46197688915285</v>
      </c>
      <c r="N108" s="357">
        <f>M108*SUM(O$3:O$6)</f>
        <v>59323.996096090275</v>
      </c>
      <c r="O108" s="95">
        <f>N108/$E$106*0.2</f>
        <v>1694.9713170311509</v>
      </c>
      <c r="P108" s="424">
        <f>HLOOKUP($D108,InflationTable,4)*$C108</f>
        <v>175.54056710277601</v>
      </c>
      <c r="Q108" s="355">
        <f>P108*SUM(R$3:R$6)</f>
        <v>60034.873949149398</v>
      </c>
      <c r="R108" s="308">
        <f>Q108/$E$106*0.2</f>
        <v>1715.2821128328401</v>
      </c>
      <c r="S108" s="359" t="s">
        <v>12</v>
      </c>
      <c r="T108" s="360">
        <f>AVERAGE(L108,O108,R108)</f>
        <v>1686.72046737712</v>
      </c>
      <c r="U108" s="519" t="s">
        <v>12</v>
      </c>
    </row>
    <row r="109" spans="1:22" ht="13.8" thickBot="1" x14ac:dyDescent="0.3">
      <c r="A109" s="615"/>
      <c r="B109" s="879" t="str">
        <f>VLOOKUP(C$2,Monitor_Costs,28,FALSE)</f>
        <v>Audit/Calibration Kits (Continuous)</v>
      </c>
      <c r="C109" s="720">
        <f>VLOOKUP(C$2,Monitor_Costs,29,FALSE)</f>
        <v>360</v>
      </c>
      <c r="D109" s="373">
        <f>VLOOKUP(C$2,Monitor_Costs,30,FALSE)</f>
        <v>2019</v>
      </c>
      <c r="E109" s="641"/>
      <c r="F109" s="12"/>
      <c r="G109" s="4"/>
      <c r="H109" s="4"/>
      <c r="I109" s="41"/>
      <c r="J109" s="424">
        <f>HLOOKUP($D109,InflationTable,2)*$C109</f>
        <v>486.28866551038215</v>
      </c>
      <c r="K109" s="355">
        <f>J109*L12</f>
        <v>176036.49691475835</v>
      </c>
      <c r="L109" s="308">
        <f>K109/$E$106*0.2</f>
        <v>5029.6141975645251</v>
      </c>
      <c r="M109" s="1034">
        <f>HLOOKUP($D109,InflationTable,3)*$C109</f>
        <v>499.57049344076023</v>
      </c>
      <c r="N109" s="357">
        <f>M109*O12</f>
        <v>133884.89224212375</v>
      </c>
      <c r="O109" s="95">
        <f>N109/$E$106*0.2</f>
        <v>3825.2826354892504</v>
      </c>
      <c r="P109" s="424">
        <f>HLOOKUP($D109,InflationTable,4)*$C109</f>
        <v>505.55683325599495</v>
      </c>
      <c r="Q109" s="355">
        <f>P109*R12</f>
        <v>135489.23131260666</v>
      </c>
      <c r="R109" s="308">
        <f>Q109/$E$106*0.2</f>
        <v>3871.1208946459046</v>
      </c>
      <c r="S109" s="359" t="s">
        <v>12</v>
      </c>
      <c r="T109" s="360">
        <f>AVERAGE(L109,O109,R109)</f>
        <v>4242.0059092332267</v>
      </c>
      <c r="U109" s="519" t="s">
        <v>12</v>
      </c>
    </row>
    <row r="110" spans="1:22" x14ac:dyDescent="0.25">
      <c r="A110" s="615"/>
      <c r="B110" s="112"/>
      <c r="C110" s="5"/>
      <c r="D110" s="5"/>
      <c r="E110" s="5"/>
      <c r="F110" s="7"/>
      <c r="G110" s="5"/>
      <c r="H110" s="5"/>
      <c r="I110" s="45" t="s">
        <v>61</v>
      </c>
      <c r="J110" s="277" t="s">
        <v>61</v>
      </c>
      <c r="K110" s="1422" t="s">
        <v>57</v>
      </c>
      <c r="L110" s="1423"/>
      <c r="M110" s="57" t="s">
        <v>61</v>
      </c>
      <c r="N110" s="1432" t="s">
        <v>57</v>
      </c>
      <c r="O110" s="1436"/>
      <c r="P110" s="318" t="s">
        <v>61</v>
      </c>
      <c r="Q110" s="1422" t="s">
        <v>57</v>
      </c>
      <c r="R110" s="1423"/>
      <c r="S110" s="120"/>
      <c r="T110" s="133"/>
      <c r="U110" s="615"/>
    </row>
    <row r="111" spans="1:22" x14ac:dyDescent="0.25">
      <c r="A111" s="615"/>
      <c r="B111" s="600"/>
      <c r="C111" s="23" t="s">
        <v>45</v>
      </c>
      <c r="D111" s="24" t="s">
        <v>46</v>
      </c>
      <c r="E111" s="23" t="s">
        <v>47</v>
      </c>
      <c r="F111" s="23" t="s">
        <v>48</v>
      </c>
      <c r="G111" s="23" t="s">
        <v>49</v>
      </c>
      <c r="H111" s="23" t="s">
        <v>50</v>
      </c>
      <c r="I111" s="45" t="s">
        <v>13</v>
      </c>
      <c r="J111" s="260" t="s">
        <v>56</v>
      </c>
      <c r="K111" s="261" t="s">
        <v>13</v>
      </c>
      <c r="L111" s="262" t="s">
        <v>68</v>
      </c>
      <c r="M111" s="77" t="s">
        <v>56</v>
      </c>
      <c r="N111" s="24" t="s">
        <v>13</v>
      </c>
      <c r="O111" s="38" t="s">
        <v>68</v>
      </c>
      <c r="P111" s="260" t="s">
        <v>56</v>
      </c>
      <c r="Q111" s="261" t="s">
        <v>13</v>
      </c>
      <c r="R111" s="262" t="s">
        <v>68</v>
      </c>
      <c r="S111" s="120"/>
      <c r="T111" s="133"/>
      <c r="U111" s="615"/>
    </row>
    <row r="112" spans="1:22" x14ac:dyDescent="0.25">
      <c r="A112" s="615"/>
      <c r="B112" s="1093" t="s">
        <v>233</v>
      </c>
      <c r="C112" s="21">
        <v>0</v>
      </c>
      <c r="D112" s="21">
        <v>0</v>
      </c>
      <c r="E112" s="21">
        <v>0</v>
      </c>
      <c r="F112" s="21">
        <v>35</v>
      </c>
      <c r="G112" s="21">
        <v>34</v>
      </c>
      <c r="H112" s="21">
        <v>0</v>
      </c>
      <c r="I112" s="52">
        <f>SUM(C112:H112)</f>
        <v>69</v>
      </c>
      <c r="J112" s="782">
        <f>$I112*L11</f>
        <v>16.232300884955752</v>
      </c>
      <c r="K112" s="281">
        <f>J112*L$8</f>
        <v>7337</v>
      </c>
      <c r="L112" s="289">
        <f>K112</f>
        <v>7337</v>
      </c>
      <c r="M112" s="1015">
        <f>$I112*O11</f>
        <v>16.232300884955752</v>
      </c>
      <c r="N112" s="69">
        <f>M112*O$8</f>
        <v>7337</v>
      </c>
      <c r="O112" s="68">
        <f>N112</f>
        <v>7337</v>
      </c>
      <c r="P112" s="782">
        <f>$I112*R11</f>
        <v>16.232300884955752</v>
      </c>
      <c r="Q112" s="281">
        <f>P112*R$8</f>
        <v>7337</v>
      </c>
      <c r="R112" s="289">
        <f>Q112</f>
        <v>7337</v>
      </c>
      <c r="S112" s="121">
        <f>AVERAGE(L112,O112,R112)</f>
        <v>7337</v>
      </c>
      <c r="T112" s="135" t="s">
        <v>12</v>
      </c>
      <c r="U112" s="1065" t="s">
        <v>12</v>
      </c>
    </row>
    <row r="113" spans="1:21" ht="13.8" thickBot="1" x14ac:dyDescent="0.3">
      <c r="A113" s="615"/>
      <c r="B113" s="1088" t="s">
        <v>8</v>
      </c>
      <c r="C113" s="34">
        <f>ROUND(C112*Labor!$D$3,0)</f>
        <v>0</v>
      </c>
      <c r="D113" s="35">
        <f>ROUND(D112*Labor!$D$4,0)</f>
        <v>0</v>
      </c>
      <c r="E113" s="35">
        <f>ROUND(E112*Labor!$D$5,0)</f>
        <v>0</v>
      </c>
      <c r="F113" s="35">
        <f>ROUND(F112*Labor!$D$6,0)</f>
        <v>1724</v>
      </c>
      <c r="G113" s="35">
        <f>ROUND(G112*Labor!$D$7,0)</f>
        <v>1886</v>
      </c>
      <c r="H113" s="35">
        <f>ROUND(H112*Labor!$D$8,0)</f>
        <v>0</v>
      </c>
      <c r="I113" s="39">
        <f>SUM(C113:H113)</f>
        <v>3610</v>
      </c>
      <c r="J113" s="268">
        <f>HLOOKUP(Labor!$B$11,InflationTable,2)*$I113*L$11</f>
        <v>1147.1754431233633</v>
      </c>
      <c r="K113" s="269">
        <f>J113*$L$8</f>
        <v>518523.30029176018</v>
      </c>
      <c r="L113" s="308">
        <f>K113</f>
        <v>518523.30029176018</v>
      </c>
      <c r="M113" s="84">
        <f>HLOOKUP(Labor!$B$11,InflationTable,3)*$I113*O$11</f>
        <v>1178.507834606369</v>
      </c>
      <c r="N113" s="63">
        <f>M113*$O$8</f>
        <v>532685.54124207876</v>
      </c>
      <c r="O113" s="95">
        <f>N113</f>
        <v>532685.54124207876</v>
      </c>
      <c r="P113" s="268">
        <f>HLOOKUP(Labor!$B$11,InflationTable,4)*$I113*R$11</f>
        <v>1192.6298623592086</v>
      </c>
      <c r="Q113" s="269">
        <f>P113*$R$8</f>
        <v>539068.69778636226</v>
      </c>
      <c r="R113" s="308">
        <f>Q113</f>
        <v>539068.69778636226</v>
      </c>
      <c r="S113" s="128">
        <f>AVERAGE(L113,O113,R113)</f>
        <v>530092.51310673368</v>
      </c>
      <c r="T113" s="137" t="s">
        <v>12</v>
      </c>
      <c r="U113" s="1066" t="s">
        <v>12</v>
      </c>
    </row>
    <row r="114" spans="1:21" x14ac:dyDescent="0.25">
      <c r="A114" s="615"/>
      <c r="B114" s="1039" t="s">
        <v>234</v>
      </c>
      <c r="C114" s="21">
        <v>0</v>
      </c>
      <c r="D114" s="21">
        <v>0</v>
      </c>
      <c r="E114" s="21">
        <v>12</v>
      </c>
      <c r="F114" s="21">
        <v>0</v>
      </c>
      <c r="G114" s="21">
        <v>0</v>
      </c>
      <c r="H114" s="21">
        <v>0</v>
      </c>
      <c r="I114" s="52">
        <f>SUM(C114:H114)</f>
        <v>12</v>
      </c>
      <c r="J114" s="263" t="s">
        <v>12</v>
      </c>
      <c r="K114" s="281">
        <f>$I114*L$12</f>
        <v>4344</v>
      </c>
      <c r="L114" s="289">
        <f>K114</f>
        <v>4344</v>
      </c>
      <c r="M114" s="58" t="s">
        <v>12</v>
      </c>
      <c r="N114" s="69">
        <f>$I114*O$12</f>
        <v>3216</v>
      </c>
      <c r="O114" s="68">
        <f>N114</f>
        <v>3216</v>
      </c>
      <c r="P114" s="263" t="s">
        <v>12</v>
      </c>
      <c r="Q114" s="281">
        <f>$I114*R$12</f>
        <v>3216</v>
      </c>
      <c r="R114" s="289">
        <f>Q114</f>
        <v>3216</v>
      </c>
      <c r="S114" s="121">
        <f>AVERAGE(L114,O114,R114)</f>
        <v>3592</v>
      </c>
      <c r="T114" s="135" t="s">
        <v>12</v>
      </c>
      <c r="U114" s="1065" t="s">
        <v>12</v>
      </c>
    </row>
    <row r="115" spans="1:21" ht="13.8" thickBot="1" x14ac:dyDescent="0.3">
      <c r="A115" s="615"/>
      <c r="B115" s="1089" t="s">
        <v>8</v>
      </c>
      <c r="C115" s="34">
        <f>ROUND(C114*Labor!$D$3,0)</f>
        <v>0</v>
      </c>
      <c r="D115" s="35">
        <f>ROUND(D114*Labor!$D$4,0)</f>
        <v>0</v>
      </c>
      <c r="E115" s="35">
        <f>ROUND(E114*Labor!$D$5,0)</f>
        <v>529</v>
      </c>
      <c r="F115" s="35">
        <f>ROUND(F114*Labor!$D$6,0)</f>
        <v>0</v>
      </c>
      <c r="G115" s="35">
        <f>ROUND(G114*Labor!$D$7,0)</f>
        <v>0</v>
      </c>
      <c r="H115" s="35">
        <f>ROUND(H114*Labor!$D$8,0)</f>
        <v>0</v>
      </c>
      <c r="I115" s="39">
        <f>SUM(C115:H115)</f>
        <v>529</v>
      </c>
      <c r="J115" s="268">
        <f>HLOOKUP(Labor!$B$11,InflationTable,2)*$I115</f>
        <v>714.57417793053378</v>
      </c>
      <c r="K115" s="269">
        <f>J115*L$12</f>
        <v>258675.85241085323</v>
      </c>
      <c r="L115" s="308">
        <f>K115</f>
        <v>258675.85241085323</v>
      </c>
      <c r="M115" s="84">
        <f>HLOOKUP(Labor!$B$11,InflationTable,3)*$I115</f>
        <v>734.09108619489484</v>
      </c>
      <c r="N115" s="63">
        <f>M115*O$12</f>
        <v>196736.41110023181</v>
      </c>
      <c r="O115" s="95">
        <f>N115</f>
        <v>196736.41110023181</v>
      </c>
      <c r="P115" s="268">
        <f>HLOOKUP(Labor!$B$11,InflationTable,4)*$I115</f>
        <v>742.88767997894809</v>
      </c>
      <c r="Q115" s="269">
        <f>P115*R$12</f>
        <v>199093.89823435809</v>
      </c>
      <c r="R115" s="308">
        <f>Q115</f>
        <v>199093.89823435809</v>
      </c>
      <c r="S115" s="128">
        <f>AVERAGE(L115,O115,R115)</f>
        <v>218168.72058181438</v>
      </c>
      <c r="T115" s="137" t="s">
        <v>12</v>
      </c>
      <c r="U115" s="1066" t="s">
        <v>12</v>
      </c>
    </row>
    <row r="116" spans="1:21" x14ac:dyDescent="0.25">
      <c r="A116" s="615"/>
      <c r="B116" s="610" t="s">
        <v>295</v>
      </c>
      <c r="C116" s="346">
        <v>0</v>
      </c>
      <c r="D116" s="346">
        <v>0</v>
      </c>
      <c r="E116" s="346">
        <v>0</v>
      </c>
      <c r="F116" s="346">
        <v>4</v>
      </c>
      <c r="G116" s="346">
        <v>0</v>
      </c>
      <c r="H116" s="346">
        <v>0</v>
      </c>
      <c r="I116" s="347">
        <f t="shared" ref="I116:I121" si="28">SUM(C116:H116)</f>
        <v>4</v>
      </c>
      <c r="J116" s="293" t="s">
        <v>12</v>
      </c>
      <c r="K116" s="327">
        <f>I116*SUM(L3:L6)</f>
        <v>1368</v>
      </c>
      <c r="L116" s="328">
        <f t="shared" ref="L116:L123" si="29">K116</f>
        <v>1368</v>
      </c>
      <c r="M116" s="61" t="s">
        <v>12</v>
      </c>
      <c r="N116" s="348">
        <f>$I116*$O$8</f>
        <v>1808</v>
      </c>
      <c r="O116" s="349">
        <f t="shared" ref="O116:O123" si="30">N116</f>
        <v>1808</v>
      </c>
      <c r="P116" s="293" t="s">
        <v>12</v>
      </c>
      <c r="Q116" s="327">
        <f>$I116*$O$8</f>
        <v>1808</v>
      </c>
      <c r="R116" s="328">
        <f t="shared" ref="R116:R123" si="31">Q116</f>
        <v>1808</v>
      </c>
      <c r="S116" s="129">
        <f t="shared" ref="S116:S121" si="32">AVERAGE(L116,O116,R116)</f>
        <v>1661.3333333333333</v>
      </c>
      <c r="T116" s="135" t="s">
        <v>12</v>
      </c>
      <c r="U116" s="1065" t="s">
        <v>12</v>
      </c>
    </row>
    <row r="117" spans="1:21" ht="13.8" thickBot="1" x14ac:dyDescent="0.3">
      <c r="A117" s="615"/>
      <c r="B117" s="1088" t="s">
        <v>8</v>
      </c>
      <c r="C117" s="34">
        <f>ROUND(C116*Labor!$D$3,0)</f>
        <v>0</v>
      </c>
      <c r="D117" s="35">
        <f>ROUND(D116*Labor!$D$4,0)</f>
        <v>0</v>
      </c>
      <c r="E117" s="35">
        <f>ROUND(E116*Labor!$D$5,0)</f>
        <v>0</v>
      </c>
      <c r="F117" s="35">
        <f>ROUND(F116*Labor!$D$6,0)</f>
        <v>197</v>
      </c>
      <c r="G117" s="35">
        <f>ROUND(G116*Labor!$D$7,0)</f>
        <v>0</v>
      </c>
      <c r="H117" s="35">
        <f>ROUND(H116*Labor!$D$8,0)</f>
        <v>0</v>
      </c>
      <c r="I117" s="39">
        <f t="shared" si="28"/>
        <v>197</v>
      </c>
      <c r="J117" s="268">
        <f>HLOOKUP(Labor!$B$11,InflationTable,2)*I117</f>
        <v>266.10796418207025</v>
      </c>
      <c r="K117" s="269">
        <f>J117*SUM(L3:L6)</f>
        <v>91008.923750268019</v>
      </c>
      <c r="L117" s="308">
        <f t="shared" si="29"/>
        <v>91008.923750268019</v>
      </c>
      <c r="M117" s="362">
        <f>HLOOKUP(Labor!$B$11,InflationTable,3)*$I117</f>
        <v>273.3760755773049</v>
      </c>
      <c r="N117" s="63">
        <f>M117*SUM(O3:O6)</f>
        <v>93494.617847438276</v>
      </c>
      <c r="O117" s="95">
        <f t="shared" si="30"/>
        <v>93494.617847438276</v>
      </c>
      <c r="P117" s="268">
        <f>HLOOKUP(Labor!$B$11,InflationTable,4)*$I117</f>
        <v>276.65193375397502</v>
      </c>
      <c r="Q117" s="269">
        <f>P117*SUM(R3:R6)</f>
        <v>94614.961343859453</v>
      </c>
      <c r="R117" s="308">
        <f t="shared" si="31"/>
        <v>94614.961343859453</v>
      </c>
      <c r="S117" s="172">
        <f t="shared" si="32"/>
        <v>93039.500980521916</v>
      </c>
      <c r="T117" s="118" t="s">
        <v>12</v>
      </c>
      <c r="U117" s="1054" t="s">
        <v>12</v>
      </c>
    </row>
    <row r="118" spans="1:21" x14ac:dyDescent="0.25">
      <c r="A118" s="615"/>
      <c r="B118" s="610" t="s">
        <v>296</v>
      </c>
      <c r="C118" s="346">
        <v>0</v>
      </c>
      <c r="D118" s="346">
        <v>0</v>
      </c>
      <c r="E118" s="346">
        <v>2</v>
      </c>
      <c r="F118" s="346">
        <v>2</v>
      </c>
      <c r="G118" s="346">
        <v>1</v>
      </c>
      <c r="H118" s="346">
        <v>0</v>
      </c>
      <c r="I118" s="347">
        <f>SUM(C118:H118)</f>
        <v>5</v>
      </c>
      <c r="J118" s="293" t="s">
        <v>12</v>
      </c>
      <c r="K118" s="327">
        <f>I118*L$12</f>
        <v>1810</v>
      </c>
      <c r="L118" s="328">
        <f t="shared" si="29"/>
        <v>1810</v>
      </c>
      <c r="M118" s="61" t="s">
        <v>12</v>
      </c>
      <c r="N118" s="348">
        <f>$I118*O$12</f>
        <v>1340</v>
      </c>
      <c r="O118" s="349">
        <f t="shared" si="30"/>
        <v>1340</v>
      </c>
      <c r="P118" s="293" t="s">
        <v>12</v>
      </c>
      <c r="Q118" s="327">
        <f>$I118*R$12</f>
        <v>1340</v>
      </c>
      <c r="R118" s="328">
        <f t="shared" si="31"/>
        <v>1340</v>
      </c>
      <c r="S118" s="129">
        <f>AVERAGE(L118,O118,R118)</f>
        <v>1496.6666666666667</v>
      </c>
      <c r="T118" s="135" t="s">
        <v>12</v>
      </c>
      <c r="U118" s="1065" t="s">
        <v>12</v>
      </c>
    </row>
    <row r="119" spans="1:21" ht="13.8" thickBot="1" x14ac:dyDescent="0.3">
      <c r="A119" s="615"/>
      <c r="B119" s="1088" t="s">
        <v>8</v>
      </c>
      <c r="C119" s="34">
        <f>ROUND(C118*Labor!$D$3,0)</f>
        <v>0</v>
      </c>
      <c r="D119" s="35">
        <f>ROUND(D118*Labor!$D$4,0)</f>
        <v>0</v>
      </c>
      <c r="E119" s="35">
        <f>ROUND(E118*Labor!$D$5,0)</f>
        <v>88</v>
      </c>
      <c r="F119" s="35">
        <f>ROUND(F118*Labor!$D$6,0)</f>
        <v>99</v>
      </c>
      <c r="G119" s="35">
        <f>ROUND(G118*Labor!$D$7,0)</f>
        <v>55</v>
      </c>
      <c r="H119" s="35">
        <f>ROUND(H118*Labor!$D$8,0)</f>
        <v>0</v>
      </c>
      <c r="I119" s="39">
        <f>SUM(C119:H119)</f>
        <v>242</v>
      </c>
      <c r="J119" s="268">
        <f>HLOOKUP(Labor!$B$11,InflationTable,2)*I119</f>
        <v>326.89404737086801</v>
      </c>
      <c r="K119" s="269">
        <f>J119*L$12</f>
        <v>118335.64514825422</v>
      </c>
      <c r="L119" s="308">
        <f t="shared" si="29"/>
        <v>118335.64514825422</v>
      </c>
      <c r="M119" s="362">
        <f>HLOOKUP(Labor!$B$11,InflationTable,3)*$I119</f>
        <v>335.8223872573999</v>
      </c>
      <c r="N119" s="63">
        <f>M119*O$12</f>
        <v>90000.399784983165</v>
      </c>
      <c r="O119" s="95">
        <f t="shared" si="30"/>
        <v>90000.399784983165</v>
      </c>
      <c r="P119" s="268">
        <f>HLOOKUP(Labor!$B$11,InflationTable,4)*$I119</f>
        <v>339.84653791097435</v>
      </c>
      <c r="Q119" s="269">
        <f>P119*R$12</f>
        <v>91078.872160141123</v>
      </c>
      <c r="R119" s="308">
        <f t="shared" si="31"/>
        <v>91078.872160141123</v>
      </c>
      <c r="S119" s="172">
        <f>AVERAGE(L119,O119,R119)</f>
        <v>99804.972364459492</v>
      </c>
      <c r="T119" s="118" t="s">
        <v>12</v>
      </c>
      <c r="U119" s="1054" t="s">
        <v>12</v>
      </c>
    </row>
    <row r="120" spans="1:21" x14ac:dyDescent="0.25">
      <c r="A120" s="615"/>
      <c r="B120" s="1090" t="s">
        <v>293</v>
      </c>
      <c r="C120" s="346">
        <v>0</v>
      </c>
      <c r="D120" s="346">
        <v>0</v>
      </c>
      <c r="E120" s="346">
        <v>0</v>
      </c>
      <c r="F120" s="346">
        <v>6</v>
      </c>
      <c r="G120" s="346">
        <v>6</v>
      </c>
      <c r="H120" s="346">
        <v>0</v>
      </c>
      <c r="I120" s="347">
        <f t="shared" si="28"/>
        <v>12</v>
      </c>
      <c r="J120" s="293" t="s">
        <v>12</v>
      </c>
      <c r="K120" s="327">
        <f>I120*$L$8</f>
        <v>5424</v>
      </c>
      <c r="L120" s="328">
        <f t="shared" si="29"/>
        <v>5424</v>
      </c>
      <c r="M120" s="61" t="s">
        <v>12</v>
      </c>
      <c r="N120" s="348">
        <f>$I120*$O$8</f>
        <v>5424</v>
      </c>
      <c r="O120" s="349">
        <f t="shared" si="30"/>
        <v>5424</v>
      </c>
      <c r="P120" s="293" t="s">
        <v>12</v>
      </c>
      <c r="Q120" s="327">
        <f>$I120*$O$8</f>
        <v>5424</v>
      </c>
      <c r="R120" s="328">
        <f t="shared" si="31"/>
        <v>5424</v>
      </c>
      <c r="S120" s="121">
        <f t="shared" si="32"/>
        <v>5424</v>
      </c>
      <c r="T120" s="135" t="s">
        <v>12</v>
      </c>
      <c r="U120" s="1065" t="s">
        <v>12</v>
      </c>
    </row>
    <row r="121" spans="1:21" ht="13.8" thickBot="1" x14ac:dyDescent="0.3">
      <c r="A121" s="615"/>
      <c r="B121" s="1088" t="s">
        <v>8</v>
      </c>
      <c r="C121" s="34">
        <f>ROUND(C120*Labor!$D$3,0)</f>
        <v>0</v>
      </c>
      <c r="D121" s="35">
        <f>ROUND(D120*Labor!$D$4,0)</f>
        <v>0</v>
      </c>
      <c r="E121" s="35">
        <f>ROUND(E120*Labor!$D$5,0)</f>
        <v>0</v>
      </c>
      <c r="F121" s="35">
        <f>ROUND(F120*Labor!$D$6,0)</f>
        <v>296</v>
      </c>
      <c r="G121" s="35">
        <f>ROUND(G120*Labor!$D$7,0)</f>
        <v>333</v>
      </c>
      <c r="H121" s="35">
        <f>ROUND(H120*Labor!$D$8,0)</f>
        <v>0</v>
      </c>
      <c r="I121" s="39">
        <f t="shared" si="28"/>
        <v>629</v>
      </c>
      <c r="J121" s="268">
        <f>HLOOKUP(Labor!$B$11,InflationTable,2)*I121</f>
        <v>849.65436279452888</v>
      </c>
      <c r="K121" s="269">
        <f>J121*$L$8</f>
        <v>384043.77198312705</v>
      </c>
      <c r="L121" s="308">
        <f t="shared" si="29"/>
        <v>384043.77198312705</v>
      </c>
      <c r="M121" s="362">
        <f>HLOOKUP(Labor!$B$11,InflationTable,3)*$I121</f>
        <v>872.8606677062171</v>
      </c>
      <c r="N121" s="63">
        <f>M121*$O$8</f>
        <v>394533.02180321014</v>
      </c>
      <c r="O121" s="95">
        <f t="shared" si="30"/>
        <v>394533.02180321014</v>
      </c>
      <c r="P121" s="268">
        <f>HLOOKUP(Labor!$B$11,InflationTable,4)*$I121</f>
        <v>883.32013366116894</v>
      </c>
      <c r="Q121" s="269">
        <f>P121*$R$8</f>
        <v>399260.70041484834</v>
      </c>
      <c r="R121" s="308">
        <f t="shared" si="31"/>
        <v>399260.70041484834</v>
      </c>
      <c r="S121" s="128">
        <f t="shared" si="32"/>
        <v>392612.49806706182</v>
      </c>
      <c r="T121" s="137" t="s">
        <v>12</v>
      </c>
      <c r="U121" s="1066" t="s">
        <v>12</v>
      </c>
    </row>
    <row r="122" spans="1:21" x14ac:dyDescent="0.25">
      <c r="A122" s="615"/>
      <c r="B122" s="610" t="s">
        <v>294</v>
      </c>
      <c r="C122" s="346">
        <v>0</v>
      </c>
      <c r="D122" s="346">
        <v>0</v>
      </c>
      <c r="E122" s="346">
        <v>2</v>
      </c>
      <c r="F122" s="346">
        <v>2</v>
      </c>
      <c r="G122" s="346">
        <v>1</v>
      </c>
      <c r="H122" s="346">
        <v>0</v>
      </c>
      <c r="I122" s="347">
        <f>SUM(C122:H122)</f>
        <v>5</v>
      </c>
      <c r="J122" s="293" t="s">
        <v>12</v>
      </c>
      <c r="K122" s="327">
        <f>I122*L$12</f>
        <v>1810</v>
      </c>
      <c r="L122" s="328">
        <f t="shared" si="29"/>
        <v>1810</v>
      </c>
      <c r="M122" s="61" t="s">
        <v>12</v>
      </c>
      <c r="N122" s="348">
        <f>$I122*$O$8</f>
        <v>2260</v>
      </c>
      <c r="O122" s="349">
        <f t="shared" si="30"/>
        <v>2260</v>
      </c>
      <c r="P122" s="293" t="s">
        <v>12</v>
      </c>
      <c r="Q122" s="327">
        <f>$I122*$O$8</f>
        <v>2260</v>
      </c>
      <c r="R122" s="328">
        <f t="shared" si="31"/>
        <v>2260</v>
      </c>
      <c r="S122" s="121">
        <f>AVERAGE(L122,O122,R122)</f>
        <v>2110</v>
      </c>
      <c r="T122" s="135" t="s">
        <v>12</v>
      </c>
      <c r="U122" s="1065" t="s">
        <v>12</v>
      </c>
    </row>
    <row r="123" spans="1:21" ht="13.8" thickBot="1" x14ac:dyDescent="0.3">
      <c r="A123" s="615"/>
      <c r="B123" s="1089" t="s">
        <v>8</v>
      </c>
      <c r="C123" s="34">
        <f>ROUND(C122*Labor!$D$3,0)</f>
        <v>0</v>
      </c>
      <c r="D123" s="35">
        <f>ROUND(D122*Labor!$D$4,0)</f>
        <v>0</v>
      </c>
      <c r="E123" s="35">
        <f>ROUND(E122*Labor!$D$5,0)</f>
        <v>88</v>
      </c>
      <c r="F123" s="35">
        <f>ROUND(F122*Labor!$D$6,0)</f>
        <v>99</v>
      </c>
      <c r="G123" s="35">
        <f>ROUND(G122*Labor!$D$7,0)</f>
        <v>55</v>
      </c>
      <c r="H123" s="35">
        <f>ROUND(H122*Labor!$D$8,0)</f>
        <v>0</v>
      </c>
      <c r="I123" s="39">
        <f>SUM(C123:H123)</f>
        <v>242</v>
      </c>
      <c r="J123" s="268">
        <f>HLOOKUP(Labor!$B$11,InflationTable,2)*I123</f>
        <v>326.89404737086801</v>
      </c>
      <c r="K123" s="269">
        <f>J123*L$12</f>
        <v>118335.64514825422</v>
      </c>
      <c r="L123" s="308">
        <f t="shared" si="29"/>
        <v>118335.64514825422</v>
      </c>
      <c r="M123" s="362">
        <f>HLOOKUP(Labor!$B$11,InflationTable,3)*$I123</f>
        <v>335.8223872573999</v>
      </c>
      <c r="N123" s="63">
        <f>M123*O$12</f>
        <v>90000.399784983165</v>
      </c>
      <c r="O123" s="95">
        <f t="shared" si="30"/>
        <v>90000.399784983165</v>
      </c>
      <c r="P123" s="268">
        <f>HLOOKUP(Labor!$B$11,InflationTable,4)*$I123</f>
        <v>339.84653791097435</v>
      </c>
      <c r="Q123" s="269">
        <f>P123*R$12</f>
        <v>91078.872160141123</v>
      </c>
      <c r="R123" s="308">
        <f t="shared" si="31"/>
        <v>91078.872160141123</v>
      </c>
      <c r="S123" s="128">
        <f>AVERAGE(L123,O123,R123)</f>
        <v>99804.972364459492</v>
      </c>
      <c r="T123" s="137" t="s">
        <v>12</v>
      </c>
      <c r="U123" s="1066" t="s">
        <v>12</v>
      </c>
    </row>
    <row r="124" spans="1:21" x14ac:dyDescent="0.25">
      <c r="A124" s="615"/>
      <c r="B124" s="1038" t="s">
        <v>29</v>
      </c>
      <c r="C124" s="107" t="s">
        <v>45</v>
      </c>
      <c r="D124" s="108" t="s">
        <v>46</v>
      </c>
      <c r="E124" s="107" t="s">
        <v>47</v>
      </c>
      <c r="F124" s="107" t="s">
        <v>48</v>
      </c>
      <c r="G124" s="107" t="s">
        <v>49</v>
      </c>
      <c r="H124" s="107" t="s">
        <v>50</v>
      </c>
      <c r="I124" s="109" t="s">
        <v>112</v>
      </c>
      <c r="J124" s="351"/>
      <c r="K124" s="352"/>
      <c r="L124" s="356"/>
      <c r="M124" s="110" t="s">
        <v>113</v>
      </c>
      <c r="N124" s="108" t="s">
        <v>13</v>
      </c>
      <c r="O124" s="111" t="s">
        <v>68</v>
      </c>
      <c r="P124" s="351" t="s">
        <v>113</v>
      </c>
      <c r="Q124" s="352" t="s">
        <v>13</v>
      </c>
      <c r="R124" s="356" t="s">
        <v>68</v>
      </c>
      <c r="S124" s="123"/>
      <c r="T124" s="133"/>
      <c r="U124" s="615"/>
    </row>
    <row r="125" spans="1:21" x14ac:dyDescent="0.25">
      <c r="A125" s="615"/>
      <c r="B125" s="1091" t="s">
        <v>51</v>
      </c>
      <c r="C125" s="21">
        <v>0</v>
      </c>
      <c r="D125" s="21">
        <v>0</v>
      </c>
      <c r="E125" s="21">
        <v>0.2</v>
      </c>
      <c r="F125" s="21">
        <v>0.3</v>
      </c>
      <c r="G125" s="21">
        <v>0</v>
      </c>
      <c r="H125" s="21">
        <v>0</v>
      </c>
      <c r="I125" s="52">
        <f>SUM(C125:H125)</f>
        <v>0.5</v>
      </c>
      <c r="J125" s="263" t="s">
        <v>12</v>
      </c>
      <c r="K125" s="314">
        <f>I125*$J$7</f>
        <v>58</v>
      </c>
      <c r="L125" s="289">
        <f>K125</f>
        <v>58</v>
      </c>
      <c r="M125" s="58" t="s">
        <v>12</v>
      </c>
      <c r="N125" s="89">
        <f>$I125*M$10</f>
        <v>0</v>
      </c>
      <c r="O125" s="68">
        <f>N125</f>
        <v>0</v>
      </c>
      <c r="P125" s="263" t="s">
        <v>12</v>
      </c>
      <c r="Q125" s="314">
        <f>$I125*P$10</f>
        <v>0</v>
      </c>
      <c r="R125" s="289">
        <f>Q125</f>
        <v>0</v>
      </c>
      <c r="S125" s="121">
        <f>AVERAGE(L125,O125,R125)</f>
        <v>19.333333333333332</v>
      </c>
      <c r="T125" s="135" t="s">
        <v>12</v>
      </c>
      <c r="U125" s="1065" t="s">
        <v>12</v>
      </c>
    </row>
    <row r="126" spans="1:21" ht="13.8" thickBot="1" x14ac:dyDescent="0.3">
      <c r="A126" s="615"/>
      <c r="B126" s="1092" t="s">
        <v>107</v>
      </c>
      <c r="C126" s="34">
        <f>ROUND(C125*Labor!$D$3,0)</f>
        <v>0</v>
      </c>
      <c r="D126" s="35">
        <f>ROUND(D125*Labor!$D$4,0)</f>
        <v>0</v>
      </c>
      <c r="E126" s="35">
        <f>ROUND(E125*Labor!$D$5,0)</f>
        <v>9</v>
      </c>
      <c r="F126" s="35">
        <f>ROUND(F125*Labor!$D$6,0)</f>
        <v>15</v>
      </c>
      <c r="G126" s="35">
        <f>ROUND(G125*Labor!$D$7,0)</f>
        <v>0</v>
      </c>
      <c r="H126" s="35">
        <f>ROUND(H125*Labor!$D$8,0)</f>
        <v>0</v>
      </c>
      <c r="I126" s="39">
        <f>SUM(C126:H126)</f>
        <v>24</v>
      </c>
      <c r="J126" s="268">
        <f>HLOOKUP(Labor!$B$11,InflationTable,2)*I126</f>
        <v>32.419244367358814</v>
      </c>
      <c r="K126" s="269">
        <f>J126*$J$7</f>
        <v>3760.6323466136223</v>
      </c>
      <c r="L126" s="308">
        <f>K126</f>
        <v>3760.6323466136223</v>
      </c>
      <c r="M126" s="362">
        <f>HLOOKUP(Labor!$B$11,InflationTable,3)*$I126</f>
        <v>33.304699562717346</v>
      </c>
      <c r="N126" s="63">
        <f>M126*$M$10</f>
        <v>0</v>
      </c>
      <c r="O126" s="95">
        <f>N126</f>
        <v>0</v>
      </c>
      <c r="P126" s="268">
        <f>HLOOKUP(Labor!$B$11,InflationTable,4)*$I126</f>
        <v>33.703788883732997</v>
      </c>
      <c r="Q126" s="269">
        <f>P126*$P$10</f>
        <v>0</v>
      </c>
      <c r="R126" s="308">
        <f>Q126</f>
        <v>0</v>
      </c>
      <c r="S126" s="171">
        <f>AVERAGE(L126,O126,R126)</f>
        <v>1253.5441155378742</v>
      </c>
      <c r="T126" s="137" t="s">
        <v>12</v>
      </c>
      <c r="U126" s="1066" t="s">
        <v>12</v>
      </c>
    </row>
    <row r="127" spans="1:21" x14ac:dyDescent="0.25">
      <c r="A127" s="615"/>
      <c r="B127" s="1038" t="s">
        <v>106</v>
      </c>
      <c r="C127" s="32"/>
      <c r="D127" s="431" t="s">
        <v>54</v>
      </c>
      <c r="E127" s="28">
        <v>5</v>
      </c>
      <c r="F127" s="7"/>
      <c r="G127" s="5"/>
      <c r="H127" s="5"/>
      <c r="I127" s="109" t="s">
        <v>55</v>
      </c>
      <c r="J127" s="259"/>
      <c r="K127" s="542"/>
      <c r="L127" s="543"/>
      <c r="M127" s="364" t="s">
        <v>55</v>
      </c>
      <c r="N127" s="1434" t="s">
        <v>57</v>
      </c>
      <c r="O127" s="1435"/>
      <c r="P127" s="259" t="s">
        <v>55</v>
      </c>
      <c r="Q127" s="1431" t="s">
        <v>57</v>
      </c>
      <c r="R127" s="1439"/>
      <c r="S127" s="170"/>
      <c r="T127" s="133"/>
      <c r="U127" s="615"/>
    </row>
    <row r="128" spans="1:21" x14ac:dyDescent="0.25">
      <c r="A128" s="615"/>
      <c r="B128" s="728" t="s">
        <v>51</v>
      </c>
      <c r="C128" s="21">
        <v>0</v>
      </c>
      <c r="D128" s="21">
        <v>0</v>
      </c>
      <c r="E128" s="21">
        <v>6</v>
      </c>
      <c r="F128" s="21">
        <v>5</v>
      </c>
      <c r="G128" s="21">
        <v>5</v>
      </c>
      <c r="H128" s="21">
        <v>0</v>
      </c>
      <c r="I128" s="52">
        <f>SUM(C128:H128)</f>
        <v>16</v>
      </c>
      <c r="J128" s="263" t="s">
        <v>12</v>
      </c>
      <c r="K128" s="283">
        <f>I128*$J$7</f>
        <v>1856</v>
      </c>
      <c r="L128" s="282">
        <f>K128/$E$127</f>
        <v>371.2</v>
      </c>
      <c r="M128" s="58" t="s">
        <v>12</v>
      </c>
      <c r="N128" s="60">
        <f>$I$128*$M$10</f>
        <v>0</v>
      </c>
      <c r="O128" s="59">
        <f>N128/$E$127</f>
        <v>0</v>
      </c>
      <c r="P128" s="263" t="s">
        <v>12</v>
      </c>
      <c r="Q128" s="283">
        <f>$I$128*$P$10</f>
        <v>0</v>
      </c>
      <c r="R128" s="282">
        <f>Q128/$E$127</f>
        <v>0</v>
      </c>
      <c r="S128" s="121">
        <f>AVERAGE(L128,O128,R128)</f>
        <v>123.73333333333333</v>
      </c>
      <c r="T128" s="135" t="s">
        <v>12</v>
      </c>
      <c r="U128" s="1065" t="s">
        <v>12</v>
      </c>
    </row>
    <row r="129" spans="1:21" ht="13.8" thickBot="1" x14ac:dyDescent="0.3">
      <c r="A129" s="615"/>
      <c r="B129" s="1087" t="s">
        <v>105</v>
      </c>
      <c r="C129" s="34">
        <f>ROUND(C128*Labor!$D$3,0)</f>
        <v>0</v>
      </c>
      <c r="D129" s="35">
        <f>ROUND(D128*Labor!$D$4,0)</f>
        <v>0</v>
      </c>
      <c r="E129" s="35">
        <f>ROUND(E128*Labor!$D$5,0)</f>
        <v>265</v>
      </c>
      <c r="F129" s="35">
        <f>ROUND(F128*Labor!$D$6,0)</f>
        <v>246</v>
      </c>
      <c r="G129" s="35">
        <f>ROUND(G128*Labor!$D$7,0)</f>
        <v>277</v>
      </c>
      <c r="H129" s="35">
        <f>ROUND(H128*Labor!$D$8,0)</f>
        <v>0</v>
      </c>
      <c r="I129" s="39">
        <f>SUM(C129:H129)</f>
        <v>788</v>
      </c>
      <c r="J129" s="268">
        <f>HLOOKUP(Labor!$B$11,InflationTable,2)*I129</f>
        <v>1064.431856728281</v>
      </c>
      <c r="K129" s="269">
        <f>J129*$J$7</f>
        <v>123474.09538048059</v>
      </c>
      <c r="L129" s="270">
        <f>K129/$E$127</f>
        <v>24694.819076096119</v>
      </c>
      <c r="M129" s="91">
        <f>HLOOKUP(Labor!$B$11,InflationTable,3)*$I129</f>
        <v>1093.5043023092196</v>
      </c>
      <c r="N129" s="63">
        <f>M129*$M$10</f>
        <v>0</v>
      </c>
      <c r="O129" s="64">
        <f>N129/$E$127</f>
        <v>0</v>
      </c>
      <c r="P129" s="292">
        <f>HLOOKUP(Labor!$B$11,InflationTable,4)*$I129</f>
        <v>1106.6077350159001</v>
      </c>
      <c r="Q129" s="269">
        <f>P129*$P$10</f>
        <v>0</v>
      </c>
      <c r="R129" s="270">
        <f>Q129/$E$127</f>
        <v>0</v>
      </c>
      <c r="S129" s="128">
        <f>AVERAGE(L129,O129,R129)</f>
        <v>8231.6063586987057</v>
      </c>
      <c r="T129" s="137" t="s">
        <v>12</v>
      </c>
      <c r="U129" s="1066" t="s">
        <v>12</v>
      </c>
    </row>
    <row r="130" spans="1:21" x14ac:dyDescent="0.25">
      <c r="A130" s="615"/>
      <c r="B130" s="605" t="s">
        <v>66</v>
      </c>
      <c r="C130" s="42">
        <f>C112+C114+C116+C118+C120+C122+C125+C128</f>
        <v>0</v>
      </c>
      <c r="D130" s="42">
        <f t="shared" ref="D130:R130" si="33">D112+D114+D116+D118+D120+D122+D125+D128</f>
        <v>0</v>
      </c>
      <c r="E130" s="42">
        <f t="shared" si="33"/>
        <v>22.2</v>
      </c>
      <c r="F130" s="42">
        <f t="shared" si="33"/>
        <v>54.3</v>
      </c>
      <c r="G130" s="42">
        <f t="shared" si="33"/>
        <v>47</v>
      </c>
      <c r="H130" s="42">
        <f t="shared" si="33"/>
        <v>0</v>
      </c>
      <c r="I130" s="42">
        <f t="shared" si="33"/>
        <v>123.5</v>
      </c>
      <c r="J130" s="293" t="s">
        <v>12</v>
      </c>
      <c r="K130" s="285">
        <f t="shared" si="33"/>
        <v>24007</v>
      </c>
      <c r="L130" s="285">
        <f t="shared" si="33"/>
        <v>22522.2</v>
      </c>
      <c r="M130" s="92" t="s">
        <v>12</v>
      </c>
      <c r="N130" s="33">
        <f t="shared" si="33"/>
        <v>21385</v>
      </c>
      <c r="O130" s="33">
        <f t="shared" si="33"/>
        <v>21385</v>
      </c>
      <c r="P130" s="61" t="s">
        <v>12</v>
      </c>
      <c r="Q130" s="33">
        <f t="shared" si="33"/>
        <v>21385</v>
      </c>
      <c r="R130" s="33">
        <f t="shared" si="33"/>
        <v>21385</v>
      </c>
      <c r="S130" s="150">
        <f>AVERAGE(L130,O130,R130)</f>
        <v>21764.066666666666</v>
      </c>
      <c r="T130" s="133"/>
      <c r="U130" s="615"/>
    </row>
    <row r="131" spans="1:21" ht="13.8" thickBot="1" x14ac:dyDescent="0.3">
      <c r="A131" s="615"/>
      <c r="B131" s="606" t="s">
        <v>67</v>
      </c>
      <c r="C131" s="710">
        <f>C113+C115+C117+C119+C121+C123+C126+C129</f>
        <v>0</v>
      </c>
      <c r="D131" s="710">
        <f t="shared" ref="D131:R131" si="34">D113+D115+D117+D119+D121+D123+D126+D129</f>
        <v>0</v>
      </c>
      <c r="E131" s="710">
        <f t="shared" si="34"/>
        <v>979</v>
      </c>
      <c r="F131" s="710">
        <f t="shared" si="34"/>
        <v>2676</v>
      </c>
      <c r="G131" s="710">
        <f t="shared" si="34"/>
        <v>2606</v>
      </c>
      <c r="H131" s="710">
        <f t="shared" si="34"/>
        <v>0</v>
      </c>
      <c r="I131" s="710">
        <f t="shared" si="34"/>
        <v>6261</v>
      </c>
      <c r="J131" s="927">
        <f t="shared" si="34"/>
        <v>4728.1511438678717</v>
      </c>
      <c r="K131" s="927">
        <f t="shared" si="34"/>
        <v>1616157.8664596111</v>
      </c>
      <c r="L131" s="927">
        <f t="shared" si="34"/>
        <v>1517378.5901552266</v>
      </c>
      <c r="M131" s="710">
        <f t="shared" si="34"/>
        <v>4857.2894404715225</v>
      </c>
      <c r="N131" s="710">
        <f t="shared" si="34"/>
        <v>1397450.3915629252</v>
      </c>
      <c r="O131" s="710">
        <f t="shared" si="34"/>
        <v>1397450.3915629252</v>
      </c>
      <c r="P131" s="710">
        <f t="shared" si="34"/>
        <v>4915.4942094748822</v>
      </c>
      <c r="Q131" s="710">
        <f t="shared" si="34"/>
        <v>1414196.0020997103</v>
      </c>
      <c r="R131" s="710">
        <f t="shared" si="34"/>
        <v>1414196.0020997103</v>
      </c>
      <c r="S131" s="257">
        <f>AVERAGE(L131,O131,R131)</f>
        <v>1443008.3279392875</v>
      </c>
      <c r="T131" s="763">
        <f>SUM(T108:T109)</f>
        <v>5928.726376610347</v>
      </c>
      <c r="U131" s="1067" t="s">
        <v>12</v>
      </c>
    </row>
    <row r="132" spans="1:21" ht="14.4" thickTop="1" thickBot="1" x14ac:dyDescent="0.3">
      <c r="A132" s="5"/>
      <c r="B132" s="618"/>
      <c r="C132" s="618"/>
      <c r="D132" s="618"/>
      <c r="E132" s="618"/>
      <c r="F132" s="618"/>
      <c r="G132" s="618"/>
      <c r="H132" s="618"/>
      <c r="I132" s="618"/>
      <c r="J132" s="618"/>
      <c r="K132" s="618"/>
      <c r="L132" s="618"/>
      <c r="M132" s="618"/>
      <c r="N132" s="618"/>
      <c r="O132" s="618"/>
      <c r="P132" s="618"/>
      <c r="Q132" s="618"/>
      <c r="R132" s="618"/>
      <c r="S132" s="618"/>
      <c r="T132" s="618"/>
      <c r="U132" s="1060"/>
    </row>
    <row r="133" spans="1:21" ht="16.2" thickTop="1" x14ac:dyDescent="0.3">
      <c r="A133" s="615"/>
      <c r="B133" s="181" t="s">
        <v>30</v>
      </c>
      <c r="C133" s="5"/>
      <c r="D133" s="5"/>
      <c r="E133" s="5"/>
      <c r="F133" s="112" t="s">
        <v>6</v>
      </c>
      <c r="G133" s="1415"/>
      <c r="H133" s="1416"/>
      <c r="I133" s="1417"/>
      <c r="J133" s="181" t="s">
        <v>30</v>
      </c>
      <c r="K133" s="426"/>
      <c r="L133" s="67"/>
      <c r="M133" s="181" t="s">
        <v>30</v>
      </c>
      <c r="N133" s="426"/>
      <c r="O133" s="67"/>
      <c r="P133" s="181" t="s">
        <v>30</v>
      </c>
      <c r="Q133" s="319"/>
      <c r="R133" s="180"/>
      <c r="S133" s="225"/>
      <c r="T133" s="133"/>
      <c r="U133" s="615"/>
    </row>
    <row r="134" spans="1:21" x14ac:dyDescent="0.25">
      <c r="A134" s="615"/>
      <c r="B134" s="72"/>
      <c r="C134" s="5"/>
      <c r="D134" s="5"/>
      <c r="E134" s="5"/>
      <c r="F134" s="7"/>
      <c r="G134" s="5"/>
      <c r="H134" s="5"/>
      <c r="I134" s="45" t="s">
        <v>61</v>
      </c>
      <c r="J134" s="277" t="s">
        <v>61</v>
      </c>
      <c r="K134" s="1422" t="s">
        <v>57</v>
      </c>
      <c r="L134" s="1423"/>
      <c r="M134" s="57" t="s">
        <v>61</v>
      </c>
      <c r="N134" s="1432" t="s">
        <v>57</v>
      </c>
      <c r="O134" s="1436"/>
      <c r="P134" s="318" t="s">
        <v>61</v>
      </c>
      <c r="Q134" s="1431" t="s">
        <v>57</v>
      </c>
      <c r="R134" s="1439"/>
      <c r="S134" s="131"/>
      <c r="T134" s="133"/>
      <c r="U134" s="615"/>
    </row>
    <row r="135" spans="1:21" x14ac:dyDescent="0.25">
      <c r="A135" s="615"/>
      <c r="B135" s="611" t="s">
        <v>21</v>
      </c>
      <c r="C135" s="23" t="s">
        <v>45</v>
      </c>
      <c r="D135" s="24" t="s">
        <v>46</v>
      </c>
      <c r="E135" s="23" t="s">
        <v>47</v>
      </c>
      <c r="F135" s="23" t="s">
        <v>48</v>
      </c>
      <c r="G135" s="23" t="s">
        <v>49</v>
      </c>
      <c r="H135" s="23" t="s">
        <v>50</v>
      </c>
      <c r="I135" s="45" t="s">
        <v>13</v>
      </c>
      <c r="J135" s="260" t="s">
        <v>56</v>
      </c>
      <c r="K135" s="261" t="s">
        <v>13</v>
      </c>
      <c r="L135" s="262" t="s">
        <v>68</v>
      </c>
      <c r="M135" s="77" t="s">
        <v>56</v>
      </c>
      <c r="N135" s="24" t="s">
        <v>13</v>
      </c>
      <c r="O135" s="38" t="s">
        <v>68</v>
      </c>
      <c r="P135" s="260" t="s">
        <v>56</v>
      </c>
      <c r="Q135" s="261" t="s">
        <v>13</v>
      </c>
      <c r="R135" s="262" t="s">
        <v>68</v>
      </c>
      <c r="S135" s="123"/>
      <c r="T135" s="198"/>
      <c r="U135" s="1148"/>
    </row>
    <row r="136" spans="1:21" x14ac:dyDescent="0.25">
      <c r="A136" s="615"/>
      <c r="B136" s="427" t="s">
        <v>222</v>
      </c>
      <c r="C136" s="21">
        <v>0</v>
      </c>
      <c r="D136" s="21">
        <v>0</v>
      </c>
      <c r="E136" s="21">
        <v>0</v>
      </c>
      <c r="F136" s="21">
        <v>2</v>
      </c>
      <c r="G136" s="21">
        <v>2</v>
      </c>
      <c r="H136" s="21">
        <v>0</v>
      </c>
      <c r="I136" s="52">
        <f>SUM(C136:H136)</f>
        <v>4</v>
      </c>
      <c r="J136" s="263" t="s">
        <v>12</v>
      </c>
      <c r="K136" s="281">
        <f>$I136*SUM($L$3:$L$6)</f>
        <v>1368</v>
      </c>
      <c r="L136" s="289">
        <f>K136</f>
        <v>1368</v>
      </c>
      <c r="M136" s="58" t="s">
        <v>12</v>
      </c>
      <c r="N136" s="69">
        <f>$I136*SUM($L$3:$L$6)</f>
        <v>1368</v>
      </c>
      <c r="O136" s="68">
        <f>N136</f>
        <v>1368</v>
      </c>
      <c r="P136" s="263" t="s">
        <v>12</v>
      </c>
      <c r="Q136" s="281">
        <f>$I136*SUM($L$3:$L$6)</f>
        <v>1368</v>
      </c>
      <c r="R136" s="289">
        <f>Q136</f>
        <v>1368</v>
      </c>
      <c r="S136" s="173">
        <f t="shared" ref="S136:S147" si="35">AVERAGE(L136,O136,R136)</f>
        <v>1368</v>
      </c>
      <c r="T136" s="135" t="s">
        <v>12</v>
      </c>
      <c r="U136" s="1065" t="s">
        <v>12</v>
      </c>
    </row>
    <row r="137" spans="1:21" ht="13.8" thickBot="1" x14ac:dyDescent="0.3">
      <c r="A137" s="615"/>
      <c r="B137" s="1087" t="s">
        <v>8</v>
      </c>
      <c r="C137" s="34">
        <f>ROUND(C136*Labor!$D$3,0)</f>
        <v>0</v>
      </c>
      <c r="D137" s="35">
        <f>ROUND(D136*Labor!$D$4,0)</f>
        <v>0</v>
      </c>
      <c r="E137" s="35">
        <f>ROUND(E136*Labor!$D$5,0)</f>
        <v>0</v>
      </c>
      <c r="F137" s="35">
        <f>ROUND(F136*Labor!$D$6,0)</f>
        <v>99</v>
      </c>
      <c r="G137" s="35">
        <f>ROUND(G136*Labor!$D$7,0)</f>
        <v>111</v>
      </c>
      <c r="H137" s="35">
        <f>ROUND(H136*Labor!$D$8,0)</f>
        <v>0</v>
      </c>
      <c r="I137" s="39">
        <f>SUM(C137:H137)</f>
        <v>210</v>
      </c>
      <c r="J137" s="268">
        <f>HLOOKUP(Labor!$B$11,InflationTable,2)*$I137</f>
        <v>283.66838821438961</v>
      </c>
      <c r="K137" s="281">
        <f>J137*SUM($L$3:$L$6)</f>
        <v>97014.588769321243</v>
      </c>
      <c r="L137" s="308">
        <f>K137</f>
        <v>97014.588769321243</v>
      </c>
      <c r="M137" s="84">
        <f>HLOOKUP(Labor!$B$11,InflationTable,3)*$I137</f>
        <v>291.41612117377679</v>
      </c>
      <c r="N137" s="1138">
        <f>M137*SUM($L$3:$L$6)</f>
        <v>99664.313441431659</v>
      </c>
      <c r="O137" s="95">
        <f>N137</f>
        <v>99664.313441431659</v>
      </c>
      <c r="P137" s="268">
        <f>HLOOKUP(Labor!$B$11,InflationTable,4)*$I137</f>
        <v>294.90815273266372</v>
      </c>
      <c r="Q137" s="1137">
        <f>P137*SUM($L$3:$L$6)</f>
        <v>100858.588234571</v>
      </c>
      <c r="R137" s="308">
        <f>Q137</f>
        <v>100858.588234571</v>
      </c>
      <c r="S137" s="171">
        <f t="shared" si="35"/>
        <v>99179.163481774624</v>
      </c>
      <c r="T137" s="137" t="s">
        <v>12</v>
      </c>
      <c r="U137" s="1066" t="s">
        <v>12</v>
      </c>
    </row>
    <row r="138" spans="1:21" x14ac:dyDescent="0.25">
      <c r="A138" s="615"/>
      <c r="B138" s="728" t="s">
        <v>223</v>
      </c>
      <c r="C138" s="23" t="s">
        <v>45</v>
      </c>
      <c r="D138" s="24" t="s">
        <v>46</v>
      </c>
      <c r="E138" s="23" t="s">
        <v>47</v>
      </c>
      <c r="F138" s="23" t="s">
        <v>48</v>
      </c>
      <c r="G138" s="23" t="s">
        <v>49</v>
      </c>
      <c r="H138" s="23" t="s">
        <v>50</v>
      </c>
      <c r="I138" s="45" t="s">
        <v>13</v>
      </c>
      <c r="J138" s="260" t="s">
        <v>56</v>
      </c>
      <c r="K138" s="261" t="s">
        <v>13</v>
      </c>
      <c r="L138" s="262" t="s">
        <v>68</v>
      </c>
      <c r="M138" s="77" t="s">
        <v>56</v>
      </c>
      <c r="N138" s="1151" t="s">
        <v>13</v>
      </c>
      <c r="O138" s="38" t="s">
        <v>68</v>
      </c>
      <c r="P138" s="260" t="s">
        <v>56</v>
      </c>
      <c r="Q138" s="1152" t="s">
        <v>13</v>
      </c>
      <c r="R138" s="262" t="s">
        <v>68</v>
      </c>
      <c r="S138" s="123"/>
      <c r="T138" s="133"/>
      <c r="U138" s="615"/>
    </row>
    <row r="139" spans="1:21" x14ac:dyDescent="0.25">
      <c r="A139" s="615"/>
      <c r="B139" s="614" t="s">
        <v>4</v>
      </c>
      <c r="C139" s="21">
        <v>0</v>
      </c>
      <c r="D139" s="21">
        <v>0</v>
      </c>
      <c r="E139" s="21">
        <v>0</v>
      </c>
      <c r="F139" s="21">
        <v>6</v>
      </c>
      <c r="G139" s="21">
        <v>12</v>
      </c>
      <c r="H139" s="21">
        <v>0</v>
      </c>
      <c r="I139" s="52">
        <f>SUM(C139:H139)</f>
        <v>18</v>
      </c>
      <c r="J139" s="263" t="s">
        <v>12</v>
      </c>
      <c r="K139" s="281">
        <f>$I139*L$12</f>
        <v>6516</v>
      </c>
      <c r="L139" s="289">
        <f>K139</f>
        <v>6516</v>
      </c>
      <c r="M139" s="58" t="s">
        <v>12</v>
      </c>
      <c r="N139" s="69">
        <f>$I139*O$12</f>
        <v>4824</v>
      </c>
      <c r="O139" s="68">
        <f>N139</f>
        <v>4824</v>
      </c>
      <c r="P139" s="263" t="s">
        <v>12</v>
      </c>
      <c r="Q139" s="281">
        <f>$I139*R$12</f>
        <v>4824</v>
      </c>
      <c r="R139" s="289">
        <f>Q139</f>
        <v>4824</v>
      </c>
      <c r="S139" s="173">
        <f>AVERAGE(L139,O139,R139)</f>
        <v>5388</v>
      </c>
      <c r="T139" s="135" t="s">
        <v>12</v>
      </c>
      <c r="U139" s="1065" t="s">
        <v>12</v>
      </c>
    </row>
    <row r="140" spans="1:21" ht="13.8" thickBot="1" x14ac:dyDescent="0.3">
      <c r="A140" s="615"/>
      <c r="B140" s="1087" t="s">
        <v>8</v>
      </c>
      <c r="C140" s="34">
        <f>ROUND(C139*Labor!$D$3,0)</f>
        <v>0</v>
      </c>
      <c r="D140" s="35">
        <f>ROUND(D139*Labor!$D$4,0)</f>
        <v>0</v>
      </c>
      <c r="E140" s="35">
        <f>ROUND(E139*Labor!$D$5,0)</f>
        <v>0</v>
      </c>
      <c r="F140" s="35">
        <f>ROUND(F139*Labor!$D$6,0)</f>
        <v>296</v>
      </c>
      <c r="G140" s="35">
        <f>ROUND(G139*Labor!$D$7,0)</f>
        <v>666</v>
      </c>
      <c r="H140" s="35">
        <f>ROUND(H139*Labor!$D$8,0)</f>
        <v>0</v>
      </c>
      <c r="I140" s="39">
        <f>SUM(C140:H140)</f>
        <v>962</v>
      </c>
      <c r="J140" s="268">
        <f>HLOOKUP(Labor!$B$11,InflationTable,2)*$I140</f>
        <v>1299.4713783916322</v>
      </c>
      <c r="K140" s="269">
        <f>J140*L$12</f>
        <v>470408.63897777087</v>
      </c>
      <c r="L140" s="308">
        <f>K140</f>
        <v>470408.63897777087</v>
      </c>
      <c r="M140" s="84">
        <f>HLOOKUP(Labor!$B$11,InflationTable,3)*$I140</f>
        <v>1334.9633741389202</v>
      </c>
      <c r="N140" s="63">
        <f>M140*O$12</f>
        <v>357770.18426923064</v>
      </c>
      <c r="O140" s="95">
        <f>N140</f>
        <v>357770.18426923064</v>
      </c>
      <c r="P140" s="268">
        <f>HLOOKUP(Labor!$B$11,InflationTable,4)*$I140</f>
        <v>1350.9602044229641</v>
      </c>
      <c r="Q140" s="269">
        <f>P140*R$12</f>
        <v>362057.33478535438</v>
      </c>
      <c r="R140" s="308">
        <f>Q140</f>
        <v>362057.33478535438</v>
      </c>
      <c r="S140" s="171">
        <f>AVERAGE(L140,O140,R140)</f>
        <v>396745.3860107853</v>
      </c>
      <c r="T140" s="137" t="s">
        <v>12</v>
      </c>
      <c r="U140" s="1066" t="s">
        <v>12</v>
      </c>
    </row>
    <row r="141" spans="1:21" x14ac:dyDescent="0.25">
      <c r="A141" s="615"/>
      <c r="B141" s="112" t="s">
        <v>219</v>
      </c>
      <c r="C141" s="1139"/>
      <c r="D141" s="1149"/>
      <c r="E141" s="1149"/>
      <c r="F141" s="1149"/>
      <c r="G141" s="1149"/>
      <c r="H141" s="1149"/>
      <c r="I141" s="1150"/>
      <c r="J141" s="1140"/>
      <c r="K141" s="1141"/>
      <c r="L141" s="1142"/>
      <c r="M141" s="1143"/>
      <c r="N141" s="1144"/>
      <c r="O141" s="1145"/>
      <c r="P141" s="1146"/>
      <c r="Q141" s="1141"/>
      <c r="R141" s="1142"/>
      <c r="S141" s="777"/>
      <c r="T141" s="655"/>
      <c r="U141" s="1147"/>
    </row>
    <row r="142" spans="1:21" x14ac:dyDescent="0.25">
      <c r="A142" s="615"/>
      <c r="B142" s="431" t="s">
        <v>221</v>
      </c>
      <c r="C142" s="346">
        <v>0</v>
      </c>
      <c r="D142" s="346">
        <v>0</v>
      </c>
      <c r="E142" s="346">
        <v>0</v>
      </c>
      <c r="F142" s="346">
        <v>0</v>
      </c>
      <c r="G142" s="346">
        <v>3</v>
      </c>
      <c r="H142" s="346">
        <v>3</v>
      </c>
      <c r="I142" s="347">
        <f>SUM(C142:H142)</f>
        <v>6</v>
      </c>
      <c r="J142" s="293" t="s">
        <v>12</v>
      </c>
      <c r="K142" s="327">
        <f>$I142*SUM(L$3:L$6)</f>
        <v>2052</v>
      </c>
      <c r="L142" s="328">
        <f>K142</f>
        <v>2052</v>
      </c>
      <c r="M142" s="61" t="s">
        <v>12</v>
      </c>
      <c r="N142" s="348">
        <f>$I142*SUM(O$3:O$6)</f>
        <v>2052</v>
      </c>
      <c r="O142" s="349">
        <f>N142</f>
        <v>2052</v>
      </c>
      <c r="P142" s="293" t="s">
        <v>12</v>
      </c>
      <c r="Q142" s="327">
        <f>$I142*SUM(R$3:R$6)</f>
        <v>2052</v>
      </c>
      <c r="R142" s="328">
        <f>Q142</f>
        <v>2052</v>
      </c>
      <c r="S142" s="173">
        <f>AVERAGE(L142,O142,R142)</f>
        <v>2052</v>
      </c>
      <c r="T142" s="135" t="s">
        <v>12</v>
      </c>
      <c r="U142" s="1065" t="s">
        <v>12</v>
      </c>
    </row>
    <row r="143" spans="1:21" ht="13.8" thickBot="1" x14ac:dyDescent="0.3">
      <c r="A143" s="615"/>
      <c r="B143" s="1088" t="s">
        <v>8</v>
      </c>
      <c r="C143" s="34">
        <f>ROUND(C142*Labor!$D$3,0)</f>
        <v>0</v>
      </c>
      <c r="D143" s="35">
        <f>ROUND(D142*Labor!$D$4,0)</f>
        <v>0</v>
      </c>
      <c r="E143" s="35">
        <f>ROUND(E142*Labor!$D$5,0)</f>
        <v>0</v>
      </c>
      <c r="F143" s="35">
        <f>ROUND(F142*Labor!$D$6,0)</f>
        <v>0</v>
      </c>
      <c r="G143" s="35">
        <f>ROUND(G142*Labor!$D$7,0)</f>
        <v>166</v>
      </c>
      <c r="H143" s="35">
        <f>ROUND(H142*Labor!$D$8,0)</f>
        <v>176</v>
      </c>
      <c r="I143" s="39">
        <f>SUM(C143:H143)</f>
        <v>342</v>
      </c>
      <c r="J143" s="268">
        <f>HLOOKUP(Labor!$B$11,InflationTable,2)*I143</f>
        <v>461.97423223486305</v>
      </c>
      <c r="K143" s="355">
        <f>J143*SUM(L$3:L$6)</f>
        <v>157995.18742432317</v>
      </c>
      <c r="L143" s="308">
        <f>K143</f>
        <v>157995.18742432317</v>
      </c>
      <c r="M143" s="84">
        <f>HLOOKUP(Labor!$B$11,InflationTable,3)*$I143</f>
        <v>474.59196876872221</v>
      </c>
      <c r="N143" s="357">
        <f>M143*SUM(O$3:O$6)</f>
        <v>162310.45331890299</v>
      </c>
      <c r="O143" s="95">
        <f>N143</f>
        <v>162310.45331890299</v>
      </c>
      <c r="P143" s="292">
        <f>HLOOKUP(Labor!$B$11,InflationTable,4)*$I143</f>
        <v>480.2789915931952</v>
      </c>
      <c r="Q143" s="355">
        <f>P143*SUM(R$3:R$6)</f>
        <v>164255.41512487276</v>
      </c>
      <c r="R143" s="308">
        <f>Q143</f>
        <v>164255.41512487276</v>
      </c>
      <c r="S143" s="128">
        <f>AVERAGE(L143,O143,R143)</f>
        <v>161520.35195603297</v>
      </c>
      <c r="T143" s="137" t="s">
        <v>12</v>
      </c>
      <c r="U143" s="1066" t="s">
        <v>12</v>
      </c>
    </row>
    <row r="144" spans="1:21" x14ac:dyDescent="0.25">
      <c r="A144" s="615"/>
      <c r="B144" s="431" t="s">
        <v>220</v>
      </c>
      <c r="C144" s="346">
        <v>0</v>
      </c>
      <c r="D144" s="346">
        <v>0</v>
      </c>
      <c r="E144" s="346">
        <v>0</v>
      </c>
      <c r="F144" s="346">
        <v>3</v>
      </c>
      <c r="G144" s="346">
        <v>3</v>
      </c>
      <c r="H144" s="346">
        <v>0</v>
      </c>
      <c r="I144" s="347">
        <f>SUM(C144:H144)</f>
        <v>6</v>
      </c>
      <c r="J144" s="293" t="s">
        <v>12</v>
      </c>
      <c r="K144" s="327">
        <f>$I144*L$12</f>
        <v>2172</v>
      </c>
      <c r="L144" s="328">
        <f>K144</f>
        <v>2172</v>
      </c>
      <c r="M144" s="61" t="s">
        <v>12</v>
      </c>
      <c r="N144" s="348">
        <f>$I144*O$12</f>
        <v>1608</v>
      </c>
      <c r="O144" s="349">
        <f>N144</f>
        <v>1608</v>
      </c>
      <c r="P144" s="293" t="s">
        <v>12</v>
      </c>
      <c r="Q144" s="327">
        <f>$I144*R$12</f>
        <v>1608</v>
      </c>
      <c r="R144" s="328">
        <f>Q144</f>
        <v>1608</v>
      </c>
      <c r="S144" s="173">
        <f t="shared" si="35"/>
        <v>1796</v>
      </c>
      <c r="T144" s="135" t="s">
        <v>12</v>
      </c>
      <c r="U144" s="1065" t="s">
        <v>12</v>
      </c>
    </row>
    <row r="145" spans="1:22" ht="13.8" thickBot="1" x14ac:dyDescent="0.3">
      <c r="A145" s="615"/>
      <c r="B145" s="1088" t="s">
        <v>8</v>
      </c>
      <c r="C145" s="34">
        <f>ROUND(C144*Labor!$D$3,0)</f>
        <v>0</v>
      </c>
      <c r="D145" s="35">
        <f>ROUND(D144*Labor!$D$4,0)</f>
        <v>0</v>
      </c>
      <c r="E145" s="35">
        <f>ROUND(E144*Labor!$D$5,0)</f>
        <v>0</v>
      </c>
      <c r="F145" s="35">
        <f>ROUND(F144*Labor!$D$6,0)</f>
        <v>148</v>
      </c>
      <c r="G145" s="35">
        <f>ROUND(G144*Labor!$D$7,0)</f>
        <v>166</v>
      </c>
      <c r="H145" s="35">
        <f>ROUND(H144*Labor!$D$8,0)</f>
        <v>0</v>
      </c>
      <c r="I145" s="39">
        <f>SUM(C145:H145)</f>
        <v>314</v>
      </c>
      <c r="J145" s="268">
        <f>HLOOKUP(Labor!$B$11,InflationTable,2)*I145</f>
        <v>424.15178047294444</v>
      </c>
      <c r="K145" s="269">
        <f>J145*L$12</f>
        <v>153542.9445312059</v>
      </c>
      <c r="L145" s="300">
        <f>K145</f>
        <v>153542.9445312059</v>
      </c>
      <c r="M145" s="84">
        <f>HLOOKUP(Labor!$B$11,InflationTable,3)*$I145</f>
        <v>435.73648594555198</v>
      </c>
      <c r="N145" s="63">
        <f>M145*O$12</f>
        <v>116777.37823340793</v>
      </c>
      <c r="O145" s="64">
        <f>N145</f>
        <v>116777.37823340793</v>
      </c>
      <c r="P145" s="292">
        <f>HLOOKUP(Labor!$B$11,InflationTable,4)*$I145</f>
        <v>440.95790456217338</v>
      </c>
      <c r="Q145" s="269">
        <f>P145*R$12</f>
        <v>118176.71842266247</v>
      </c>
      <c r="R145" s="270">
        <f>Q145</f>
        <v>118176.71842266247</v>
      </c>
      <c r="S145" s="128">
        <f t="shared" si="35"/>
        <v>129499.0137290921</v>
      </c>
      <c r="T145" s="137" t="s">
        <v>12</v>
      </c>
      <c r="U145" s="1066" t="s">
        <v>12</v>
      </c>
    </row>
    <row r="146" spans="1:22" x14ac:dyDescent="0.25">
      <c r="A146" s="615"/>
      <c r="B146" s="605" t="s">
        <v>66</v>
      </c>
      <c r="C146" s="36">
        <f>C136+C139+C142+C144</f>
        <v>0</v>
      </c>
      <c r="D146" s="36">
        <f t="shared" ref="D146:I146" si="36">D136+D139+D142+D144</f>
        <v>0</v>
      </c>
      <c r="E146" s="36">
        <f t="shared" si="36"/>
        <v>0</v>
      </c>
      <c r="F146" s="36">
        <f t="shared" si="36"/>
        <v>11</v>
      </c>
      <c r="G146" s="36">
        <f t="shared" si="36"/>
        <v>20</v>
      </c>
      <c r="H146" s="36">
        <f t="shared" si="36"/>
        <v>3</v>
      </c>
      <c r="I146" s="36">
        <f t="shared" si="36"/>
        <v>34</v>
      </c>
      <c r="J146" s="301" t="s">
        <v>12</v>
      </c>
      <c r="K146" s="33">
        <f>K136+K139+K142+K144</f>
        <v>12108</v>
      </c>
      <c r="L146" s="1139">
        <f>L136+L139+L142+L144</f>
        <v>12108</v>
      </c>
      <c r="M146" s="85" t="s">
        <v>12</v>
      </c>
      <c r="N146" s="36">
        <f>N136+N139+N142+N144</f>
        <v>9852</v>
      </c>
      <c r="O146" s="36">
        <f>O136+O139+O142+O144</f>
        <v>9852</v>
      </c>
      <c r="P146" s="301" t="s">
        <v>12</v>
      </c>
      <c r="Q146" s="320">
        <f>Q136+Q139+Q142+Q144</f>
        <v>9852</v>
      </c>
      <c r="R146" s="320">
        <f>R136+R139+R142+R144</f>
        <v>9852</v>
      </c>
      <c r="S146" s="121">
        <f t="shared" si="35"/>
        <v>10604</v>
      </c>
      <c r="T146" s="135" t="s">
        <v>12</v>
      </c>
      <c r="U146" s="1065" t="s">
        <v>12</v>
      </c>
    </row>
    <row r="147" spans="1:22" ht="13.8" thickBot="1" x14ac:dyDescent="0.3">
      <c r="A147" s="615"/>
      <c r="B147" s="606" t="s">
        <v>67</v>
      </c>
      <c r="C147" s="240">
        <f>C137+C140+C143+C145</f>
        <v>0</v>
      </c>
      <c r="D147" s="240">
        <f t="shared" ref="D147:I147" si="37">D137+D140+D143+D145</f>
        <v>0</v>
      </c>
      <c r="E147" s="240">
        <f t="shared" si="37"/>
        <v>0</v>
      </c>
      <c r="F147" s="240">
        <f t="shared" si="37"/>
        <v>543</v>
      </c>
      <c r="G147" s="240">
        <f t="shared" si="37"/>
        <v>1109</v>
      </c>
      <c r="H147" s="240">
        <f t="shared" si="37"/>
        <v>176</v>
      </c>
      <c r="I147" s="240">
        <f t="shared" si="37"/>
        <v>1828</v>
      </c>
      <c r="J147" s="240" t="s">
        <v>12</v>
      </c>
      <c r="K147" s="240">
        <f>K137+K140+K143+K145</f>
        <v>878961.35970262124</v>
      </c>
      <c r="L147" s="240">
        <f>L137+L140+L143+L145</f>
        <v>878961.35970262124</v>
      </c>
      <c r="M147" s="240" t="s">
        <v>12</v>
      </c>
      <c r="N147" s="240">
        <f>N137+N140+N143+N145</f>
        <v>736522.32926297328</v>
      </c>
      <c r="O147" s="240">
        <f>O137+O140+O143+O145</f>
        <v>736522.32926297328</v>
      </c>
      <c r="P147" s="275" t="s">
        <v>12</v>
      </c>
      <c r="Q147" s="275">
        <f>Q137+Q140+Q143+Q145</f>
        <v>745348.05656746053</v>
      </c>
      <c r="R147" s="275">
        <f>R137+R140+R143+R145</f>
        <v>745348.05656746053</v>
      </c>
      <c r="S147" s="257">
        <f t="shared" si="35"/>
        <v>786943.91517768486</v>
      </c>
      <c r="T147" s="258" t="s">
        <v>12</v>
      </c>
      <c r="U147" s="1068" t="s">
        <v>12</v>
      </c>
    </row>
    <row r="148" spans="1:22" ht="13.8" thickTop="1" x14ac:dyDescent="0.25">
      <c r="F148"/>
      <c r="Q148" s="1051"/>
      <c r="R148" s="1051"/>
      <c r="S148" s="1051"/>
      <c r="T148" s="1051"/>
      <c r="U148" s="1051"/>
      <c r="V148" s="5"/>
    </row>
    <row r="149" spans="1:22" ht="13.8" thickBot="1" x14ac:dyDescent="0.3">
      <c r="A149" s="5"/>
      <c r="B149" s="410"/>
      <c r="C149" s="5"/>
      <c r="D149" s="410"/>
      <c r="E149" s="410"/>
      <c r="F149" s="410"/>
      <c r="G149" s="410"/>
      <c r="H149" s="410"/>
      <c r="I149" s="410"/>
      <c r="J149" s="410"/>
      <c r="K149" s="410"/>
      <c r="L149" s="410"/>
      <c r="M149" s="410"/>
      <c r="N149" s="410"/>
      <c r="O149" s="410"/>
      <c r="P149" s="410"/>
      <c r="Q149" s="410"/>
      <c r="R149" s="410"/>
      <c r="S149" s="410"/>
      <c r="T149" s="410"/>
      <c r="U149" s="410"/>
      <c r="V149" s="5"/>
    </row>
    <row r="150" spans="1:22" ht="18.600000000000001" thickTop="1" thickBot="1" x14ac:dyDescent="0.35">
      <c r="A150" s="615"/>
      <c r="B150" s="598" t="s">
        <v>121</v>
      </c>
      <c r="C150" s="234" t="str">
        <f>C2</f>
        <v>PM10</v>
      </c>
      <c r="D150" s="5"/>
      <c r="E150" s="4"/>
      <c r="F150" s="12"/>
      <c r="G150" s="4"/>
      <c r="H150" s="4"/>
      <c r="I150" s="41"/>
      <c r="J150" s="233" t="str">
        <f>J2</f>
        <v>Year 1</v>
      </c>
      <c r="K150" s="233">
        <f>K2</f>
        <v>2019</v>
      </c>
      <c r="L150" s="83"/>
      <c r="M150" s="79" t="str">
        <f>M2</f>
        <v>Year 2</v>
      </c>
      <c r="N150" s="79">
        <f>N2</f>
        <v>2020</v>
      </c>
      <c r="O150" s="41"/>
      <c r="P150" s="233" t="str">
        <f>P2</f>
        <v>Year 3</v>
      </c>
      <c r="Q150" s="233">
        <f>Q2</f>
        <v>2021</v>
      </c>
      <c r="R150" s="83"/>
      <c r="S150" s="122"/>
      <c r="T150" s="133"/>
      <c r="U150" s="508"/>
    </row>
    <row r="151" spans="1:22" ht="13.8" thickBot="1" x14ac:dyDescent="0.3">
      <c r="A151" s="615"/>
      <c r="B151" s="5"/>
      <c r="C151" s="194" t="s">
        <v>45</v>
      </c>
      <c r="D151" s="190" t="s">
        <v>46</v>
      </c>
      <c r="E151" s="187" t="s">
        <v>47</v>
      </c>
      <c r="F151" s="202" t="s">
        <v>48</v>
      </c>
      <c r="G151" s="201" t="s">
        <v>49</v>
      </c>
      <c r="H151" s="187" t="s">
        <v>50</v>
      </c>
      <c r="I151" s="188" t="s">
        <v>13</v>
      </c>
      <c r="J151" s="323" t="s">
        <v>56</v>
      </c>
      <c r="K151" s="324" t="s">
        <v>13</v>
      </c>
      <c r="L151" s="325" t="s">
        <v>68</v>
      </c>
      <c r="M151" s="189" t="s">
        <v>56</v>
      </c>
      <c r="N151" s="190" t="s">
        <v>13</v>
      </c>
      <c r="O151" s="191" t="s">
        <v>68</v>
      </c>
      <c r="P151" s="323" t="s">
        <v>56</v>
      </c>
      <c r="Q151" s="324" t="s">
        <v>13</v>
      </c>
      <c r="R151" s="325" t="s">
        <v>68</v>
      </c>
      <c r="S151" s="1153"/>
      <c r="T151" s="130"/>
      <c r="U151" s="226"/>
      <c r="V151" s="5"/>
    </row>
    <row r="152" spans="1:22" x14ac:dyDescent="0.25">
      <c r="A152" s="615"/>
      <c r="B152" s="1080" t="s">
        <v>97</v>
      </c>
      <c r="C152" s="196">
        <f t="shared" ref="C152:S152" si="38">C24</f>
        <v>0</v>
      </c>
      <c r="D152" s="184">
        <f t="shared" si="38"/>
        <v>6</v>
      </c>
      <c r="E152" s="184">
        <f t="shared" si="38"/>
        <v>2</v>
      </c>
      <c r="F152" s="184">
        <f t="shared" si="38"/>
        <v>12</v>
      </c>
      <c r="G152" s="184">
        <f t="shared" si="38"/>
        <v>10</v>
      </c>
      <c r="H152" s="184">
        <f t="shared" si="38"/>
        <v>10</v>
      </c>
      <c r="I152" s="185">
        <f t="shared" si="38"/>
        <v>40</v>
      </c>
      <c r="J152" s="326" t="str">
        <f t="shared" si="38"/>
        <v>NA</v>
      </c>
      <c r="K152" s="327">
        <f t="shared" si="38"/>
        <v>4640</v>
      </c>
      <c r="L152" s="328">
        <f t="shared" si="38"/>
        <v>662.85714285714289</v>
      </c>
      <c r="M152" s="186" t="str">
        <f t="shared" si="38"/>
        <v>NA</v>
      </c>
      <c r="N152" s="184">
        <f t="shared" si="38"/>
        <v>4640</v>
      </c>
      <c r="O152" s="185">
        <f t="shared" si="38"/>
        <v>662.85714285714289</v>
      </c>
      <c r="P152" s="326" t="str">
        <f t="shared" si="38"/>
        <v>NA</v>
      </c>
      <c r="Q152" s="327">
        <f t="shared" si="38"/>
        <v>1160</v>
      </c>
      <c r="R152" s="328">
        <f t="shared" si="38"/>
        <v>165.71428571428572</v>
      </c>
      <c r="S152" s="185">
        <f t="shared" si="38"/>
        <v>497.14285714285717</v>
      </c>
      <c r="T152" s="37"/>
      <c r="U152" s="227"/>
    </row>
    <row r="153" spans="1:22" ht="13.8" thickBot="1" x14ac:dyDescent="0.3">
      <c r="A153" s="615"/>
      <c r="B153" s="1081" t="s">
        <v>76</v>
      </c>
      <c r="C153" s="203">
        <f t="shared" ref="C153:S153" si="39">C25</f>
        <v>0</v>
      </c>
      <c r="D153" s="204">
        <f t="shared" si="39"/>
        <v>245</v>
      </c>
      <c r="E153" s="204">
        <f t="shared" si="39"/>
        <v>88</v>
      </c>
      <c r="F153" s="204">
        <f t="shared" si="39"/>
        <v>592</v>
      </c>
      <c r="G153" s="204">
        <f t="shared" si="39"/>
        <v>555</v>
      </c>
      <c r="H153" s="204">
        <f t="shared" si="39"/>
        <v>586</v>
      </c>
      <c r="I153" s="205">
        <f t="shared" si="39"/>
        <v>2066</v>
      </c>
      <c r="J153" s="329">
        <f t="shared" si="39"/>
        <v>2790.7566192901377</v>
      </c>
      <c r="K153" s="330">
        <f t="shared" si="39"/>
        <v>323727.76783765596</v>
      </c>
      <c r="L153" s="331">
        <f t="shared" si="39"/>
        <v>46246.823976807995</v>
      </c>
      <c r="M153" s="203">
        <f t="shared" si="39"/>
        <v>2866.9795540239184</v>
      </c>
      <c r="N153" s="204">
        <f t="shared" si="39"/>
        <v>332569.62826677453</v>
      </c>
      <c r="O153" s="205">
        <f t="shared" si="39"/>
        <v>47509.946895253503</v>
      </c>
      <c r="P153" s="329">
        <f t="shared" si="39"/>
        <v>2901.3344930746821</v>
      </c>
      <c r="Q153" s="330">
        <f t="shared" si="39"/>
        <v>336554.80119666312</v>
      </c>
      <c r="R153" s="331">
        <f t="shared" si="39"/>
        <v>48079.257313809016</v>
      </c>
      <c r="S153" s="205">
        <f t="shared" si="39"/>
        <v>47278.67606195683</v>
      </c>
      <c r="T153" s="206" t="str">
        <f>T25</f>
        <v>NA</v>
      </c>
      <c r="U153" s="228" t="s">
        <v>12</v>
      </c>
    </row>
    <row r="154" spans="1:22" x14ac:dyDescent="0.25">
      <c r="A154" s="615"/>
      <c r="B154" s="466" t="s">
        <v>98</v>
      </c>
      <c r="C154" s="196">
        <f t="shared" ref="C154:S154" si="40">C43</f>
        <v>0</v>
      </c>
      <c r="D154" s="184">
        <f t="shared" si="40"/>
        <v>4</v>
      </c>
      <c r="E154" s="184">
        <f t="shared" si="40"/>
        <v>4</v>
      </c>
      <c r="F154" s="184">
        <f t="shared" si="40"/>
        <v>0</v>
      </c>
      <c r="G154" s="184">
        <f t="shared" si="40"/>
        <v>0</v>
      </c>
      <c r="H154" s="184">
        <f t="shared" si="40"/>
        <v>0</v>
      </c>
      <c r="I154" s="185">
        <f t="shared" si="40"/>
        <v>8</v>
      </c>
      <c r="J154" s="326" t="str">
        <f t="shared" si="40"/>
        <v>NA</v>
      </c>
      <c r="K154" s="327">
        <f t="shared" si="40"/>
        <v>5207.6399999999994</v>
      </c>
      <c r="L154" s="328">
        <f t="shared" si="40"/>
        <v>1261.0914285714284</v>
      </c>
      <c r="M154" s="186" t="str">
        <f t="shared" si="40"/>
        <v>NA</v>
      </c>
      <c r="N154" s="184">
        <f t="shared" si="40"/>
        <v>4818.4799999999996</v>
      </c>
      <c r="O154" s="185">
        <f t="shared" si="40"/>
        <v>1071.2114285714285</v>
      </c>
      <c r="P154" s="326" t="str">
        <f t="shared" si="40"/>
        <v>NA</v>
      </c>
      <c r="Q154" s="327">
        <f t="shared" si="40"/>
        <v>4818.4799999999996</v>
      </c>
      <c r="R154" s="328">
        <f t="shared" si="40"/>
        <v>1071.2114285714285</v>
      </c>
      <c r="S154" s="185">
        <f t="shared" si="40"/>
        <v>1134.5047619047618</v>
      </c>
      <c r="T154" s="37"/>
      <c r="U154" s="227"/>
    </row>
    <row r="155" spans="1:22" ht="13.8" thickBot="1" x14ac:dyDescent="0.3">
      <c r="A155" s="615"/>
      <c r="B155" s="1081" t="s">
        <v>76</v>
      </c>
      <c r="C155" s="207">
        <f t="shared" ref="C155:S155" si="41">C44</f>
        <v>0</v>
      </c>
      <c r="D155" s="208">
        <f t="shared" si="41"/>
        <v>163</v>
      </c>
      <c r="E155" s="208">
        <f t="shared" si="41"/>
        <v>176</v>
      </c>
      <c r="F155" s="208">
        <f t="shared" si="41"/>
        <v>0</v>
      </c>
      <c r="G155" s="208">
        <f t="shared" si="41"/>
        <v>0</v>
      </c>
      <c r="H155" s="208">
        <f t="shared" si="41"/>
        <v>0</v>
      </c>
      <c r="I155" s="209">
        <f t="shared" si="41"/>
        <v>339</v>
      </c>
      <c r="J155" s="332">
        <f t="shared" si="41"/>
        <v>35028.993538931194</v>
      </c>
      <c r="K155" s="296">
        <f t="shared" si="41"/>
        <v>15065393.274672864</v>
      </c>
      <c r="L155" s="297">
        <f t="shared" si="41"/>
        <v>2219895.8246854204</v>
      </c>
      <c r="M155" s="207">
        <f t="shared" si="41"/>
        <v>35985.727877516096</v>
      </c>
      <c r="N155" s="208">
        <f t="shared" si="41"/>
        <v>15383230.215048391</v>
      </c>
      <c r="O155" s="209">
        <f t="shared" si="41"/>
        <v>2267150.079905699</v>
      </c>
      <c r="P155" s="332">
        <f t="shared" si="41"/>
        <v>36416.943888873502</v>
      </c>
      <c r="Q155" s="296">
        <f t="shared" si="41"/>
        <v>15536909.587220104</v>
      </c>
      <c r="R155" s="297">
        <f t="shared" si="41"/>
        <v>2289937.6409473969</v>
      </c>
      <c r="S155" s="209">
        <f t="shared" si="41"/>
        <v>76974.865620613971</v>
      </c>
      <c r="T155" s="210" t="str">
        <f>T44</f>
        <v>NA</v>
      </c>
      <c r="U155" s="229">
        <f>U44</f>
        <v>2182019.6495588911</v>
      </c>
    </row>
    <row r="156" spans="1:22" x14ac:dyDescent="0.25">
      <c r="A156" s="615"/>
      <c r="B156" s="466" t="s">
        <v>96</v>
      </c>
      <c r="C156" s="197">
        <f t="shared" ref="C156:S156" si="42">C61</f>
        <v>0</v>
      </c>
      <c r="D156" s="25">
        <f t="shared" si="42"/>
        <v>84</v>
      </c>
      <c r="E156" s="25">
        <f t="shared" si="42"/>
        <v>169</v>
      </c>
      <c r="F156" s="25">
        <f t="shared" si="42"/>
        <v>127</v>
      </c>
      <c r="G156" s="25">
        <f t="shared" si="42"/>
        <v>0</v>
      </c>
      <c r="H156" s="25">
        <f t="shared" si="42"/>
        <v>0</v>
      </c>
      <c r="I156" s="198">
        <f t="shared" si="42"/>
        <v>380</v>
      </c>
      <c r="J156" s="326" t="str">
        <f t="shared" si="42"/>
        <v>NA</v>
      </c>
      <c r="K156" s="327">
        <f t="shared" si="42"/>
        <v>97921.911504424774</v>
      </c>
      <c r="L156" s="328">
        <f t="shared" si="42"/>
        <v>97921.911504424774</v>
      </c>
      <c r="M156" s="186" t="str">
        <f t="shared" si="42"/>
        <v>NA</v>
      </c>
      <c r="N156" s="184">
        <f t="shared" si="42"/>
        <v>100801.91150442477</v>
      </c>
      <c r="O156" s="185">
        <f t="shared" si="42"/>
        <v>100801.91150442477</v>
      </c>
      <c r="P156" s="326" t="str">
        <f t="shared" si="42"/>
        <v>NA</v>
      </c>
      <c r="Q156" s="327">
        <f t="shared" si="42"/>
        <v>100801.91150442477</v>
      </c>
      <c r="R156" s="328">
        <f t="shared" si="42"/>
        <v>100801.91150442477</v>
      </c>
      <c r="S156" s="185">
        <f t="shared" si="42"/>
        <v>13504</v>
      </c>
      <c r="T156" s="135" t="str">
        <f>T30</f>
        <v>NA</v>
      </c>
      <c r="U156" s="230" t="s">
        <v>12</v>
      </c>
    </row>
    <row r="157" spans="1:22" ht="13.8" thickBot="1" x14ac:dyDescent="0.3">
      <c r="A157" s="615"/>
      <c r="B157" s="1081" t="s">
        <v>76</v>
      </c>
      <c r="C157" s="211">
        <f t="shared" ref="C157:S157" si="43">C62</f>
        <v>0</v>
      </c>
      <c r="D157" s="208">
        <f t="shared" si="43"/>
        <v>3433</v>
      </c>
      <c r="E157" s="208">
        <f t="shared" si="43"/>
        <v>7457</v>
      </c>
      <c r="F157" s="208">
        <f t="shared" si="43"/>
        <v>6257</v>
      </c>
      <c r="G157" s="208">
        <f t="shared" si="43"/>
        <v>0</v>
      </c>
      <c r="H157" s="208">
        <f t="shared" si="43"/>
        <v>0</v>
      </c>
      <c r="I157" s="209">
        <f t="shared" si="43"/>
        <v>17147</v>
      </c>
      <c r="J157" s="332">
        <f t="shared" si="43"/>
        <v>23162.199298629228</v>
      </c>
      <c r="K157" s="296">
        <f t="shared" si="43"/>
        <v>7480997.2901192866</v>
      </c>
      <c r="L157" s="297">
        <f t="shared" si="43"/>
        <v>7480997.2901192866</v>
      </c>
      <c r="M157" s="207">
        <f t="shared" si="43"/>
        <v>23794.82014174643</v>
      </c>
      <c r="N157" s="208">
        <f t="shared" si="43"/>
        <v>7863045.2893434493</v>
      </c>
      <c r="O157" s="209">
        <f t="shared" si="43"/>
        <v>7863045.2893434493</v>
      </c>
      <c r="P157" s="332">
        <f t="shared" si="43"/>
        <v>7993.4152635920091</v>
      </c>
      <c r="Q157" s="296">
        <f t="shared" si="43"/>
        <v>3133418.7833280675</v>
      </c>
      <c r="R157" s="297">
        <f t="shared" si="43"/>
        <v>3133418.7833280675</v>
      </c>
      <c r="S157" s="209">
        <f t="shared" si="43"/>
        <v>6159153.7875969345</v>
      </c>
      <c r="T157" s="209">
        <f>T62</f>
        <v>429082.1602488241</v>
      </c>
      <c r="U157" s="228" t="s">
        <v>12</v>
      </c>
    </row>
    <row r="158" spans="1:22" x14ac:dyDescent="0.25">
      <c r="A158" s="615"/>
      <c r="B158" s="466" t="s">
        <v>99</v>
      </c>
      <c r="C158" s="197">
        <f t="shared" ref="C158:S158" si="44">C78</f>
        <v>0</v>
      </c>
      <c r="D158" s="25">
        <f t="shared" si="44"/>
        <v>85</v>
      </c>
      <c r="E158" s="25">
        <f t="shared" si="44"/>
        <v>50</v>
      </c>
      <c r="F158" s="25">
        <f t="shared" si="44"/>
        <v>25</v>
      </c>
      <c r="G158" s="25">
        <f t="shared" si="44"/>
        <v>0</v>
      </c>
      <c r="H158" s="25">
        <f t="shared" si="44"/>
        <v>0</v>
      </c>
      <c r="I158" s="198">
        <f t="shared" si="44"/>
        <v>160</v>
      </c>
      <c r="J158" s="326" t="str">
        <f t="shared" si="44"/>
        <v>NA</v>
      </c>
      <c r="K158" s="327">
        <f t="shared" si="44"/>
        <v>17013.333333333336</v>
      </c>
      <c r="L158" s="328">
        <f t="shared" si="44"/>
        <v>17013.333333333336</v>
      </c>
      <c r="M158" s="186" t="str">
        <f t="shared" si="44"/>
        <v>NA</v>
      </c>
      <c r="N158" s="184">
        <f t="shared" si="44"/>
        <v>17013.333333333336</v>
      </c>
      <c r="O158" s="185">
        <f t="shared" si="44"/>
        <v>17013.333333333336</v>
      </c>
      <c r="P158" s="326" t="str">
        <f t="shared" si="44"/>
        <v>NA</v>
      </c>
      <c r="Q158" s="327">
        <f t="shared" si="44"/>
        <v>17013.333333333336</v>
      </c>
      <c r="R158" s="328">
        <f t="shared" si="44"/>
        <v>17013.333333333336</v>
      </c>
      <c r="S158" s="185">
        <f t="shared" si="44"/>
        <v>17013.333333333336</v>
      </c>
      <c r="T158" s="37"/>
      <c r="U158" s="227"/>
    </row>
    <row r="159" spans="1:22" ht="13.8" thickBot="1" x14ac:dyDescent="0.3">
      <c r="A159" s="615"/>
      <c r="B159" s="1081" t="s">
        <v>76</v>
      </c>
      <c r="C159" s="207">
        <f t="shared" ref="C159:S159" si="45">C79</f>
        <v>0</v>
      </c>
      <c r="D159" s="208">
        <f t="shared" si="45"/>
        <v>3473</v>
      </c>
      <c r="E159" s="208">
        <f t="shared" si="45"/>
        <v>2206</v>
      </c>
      <c r="F159" s="208">
        <f t="shared" si="45"/>
        <v>1232</v>
      </c>
      <c r="G159" s="208">
        <f t="shared" si="45"/>
        <v>0</v>
      </c>
      <c r="H159" s="208">
        <f t="shared" si="45"/>
        <v>0</v>
      </c>
      <c r="I159" s="209">
        <f t="shared" si="45"/>
        <v>7861</v>
      </c>
      <c r="J159" s="332">
        <f t="shared" si="45"/>
        <v>3479.4195089574168</v>
      </c>
      <c r="K159" s="296">
        <f t="shared" si="45"/>
        <v>1572697.6180487522</v>
      </c>
      <c r="L159" s="297">
        <f t="shared" si="45"/>
        <v>1572697.6180487522</v>
      </c>
      <c r="M159" s="211">
        <f t="shared" si="45"/>
        <v>3574.4516462314168</v>
      </c>
      <c r="N159" s="208">
        <f t="shared" si="45"/>
        <v>1615652.1440966004</v>
      </c>
      <c r="O159" s="209">
        <f t="shared" si="45"/>
        <v>1615652.1440966004</v>
      </c>
      <c r="P159" s="332">
        <f t="shared" si="45"/>
        <v>3617.2842043756937</v>
      </c>
      <c r="Q159" s="296">
        <f t="shared" si="45"/>
        <v>1635012.4603778135</v>
      </c>
      <c r="R159" s="297">
        <f t="shared" si="45"/>
        <v>1635012.4603778135</v>
      </c>
      <c r="S159" s="209">
        <f t="shared" si="45"/>
        <v>1014811.4565320325</v>
      </c>
      <c r="T159" s="209">
        <f>T79</f>
        <v>821867.51982806588</v>
      </c>
      <c r="U159" s="757" t="s">
        <v>12</v>
      </c>
    </row>
    <row r="160" spans="1:22" x14ac:dyDescent="0.25">
      <c r="A160" s="615"/>
      <c r="B160" s="466" t="s">
        <v>100</v>
      </c>
      <c r="C160" s="197">
        <f t="shared" ref="C160:U160" si="46">C101</f>
        <v>0</v>
      </c>
      <c r="D160" s="25">
        <f t="shared" si="46"/>
        <v>0</v>
      </c>
      <c r="E160" s="25">
        <f t="shared" si="46"/>
        <v>146</v>
      </c>
      <c r="F160" s="25">
        <f t="shared" si="46"/>
        <v>151</v>
      </c>
      <c r="G160" s="25">
        <f t="shared" si="46"/>
        <v>50</v>
      </c>
      <c r="H160" s="25">
        <f t="shared" si="46"/>
        <v>0</v>
      </c>
      <c r="I160" s="198">
        <f t="shared" si="46"/>
        <v>347</v>
      </c>
      <c r="J160" s="326">
        <f t="shared" si="46"/>
        <v>134.39970501474926</v>
      </c>
      <c r="K160" s="327">
        <f t="shared" si="46"/>
        <v>60496.489675516219</v>
      </c>
      <c r="L160" s="328">
        <f t="shared" si="46"/>
        <v>60496.489675516219</v>
      </c>
      <c r="M160" s="186">
        <f t="shared" si="46"/>
        <v>134.39970501474926</v>
      </c>
      <c r="N160" s="184">
        <f t="shared" si="46"/>
        <v>83628.666666666657</v>
      </c>
      <c r="O160" s="185">
        <f t="shared" si="46"/>
        <v>83628.666666666657</v>
      </c>
      <c r="P160" s="326">
        <f t="shared" si="46"/>
        <v>134.39970501474926</v>
      </c>
      <c r="Q160" s="327">
        <f t="shared" si="46"/>
        <v>83628.666666666657</v>
      </c>
      <c r="R160" s="328">
        <f t="shared" si="46"/>
        <v>83628.666666666657</v>
      </c>
      <c r="S160" s="185">
        <f t="shared" si="46"/>
        <v>75917.941002949854</v>
      </c>
      <c r="T160" s="212" t="str">
        <f t="shared" si="46"/>
        <v>NA</v>
      </c>
      <c r="U160" s="1069" t="str">
        <f t="shared" si="46"/>
        <v>NA</v>
      </c>
    </row>
    <row r="161" spans="1:21" ht="13.8" thickBot="1" x14ac:dyDescent="0.3">
      <c r="A161" s="615"/>
      <c r="B161" s="1081" t="s">
        <v>76</v>
      </c>
      <c r="C161" s="207">
        <f t="shared" ref="C161:T161" si="47">C102</f>
        <v>0</v>
      </c>
      <c r="D161" s="208">
        <f t="shared" si="47"/>
        <v>0</v>
      </c>
      <c r="E161" s="208">
        <f t="shared" si="47"/>
        <v>6443</v>
      </c>
      <c r="F161" s="208">
        <f t="shared" si="47"/>
        <v>7440</v>
      </c>
      <c r="G161" s="208">
        <f t="shared" si="47"/>
        <v>2773</v>
      </c>
      <c r="H161" s="208">
        <f t="shared" si="47"/>
        <v>0</v>
      </c>
      <c r="I161" s="209">
        <f t="shared" si="47"/>
        <v>16656</v>
      </c>
      <c r="J161" s="332">
        <f t="shared" si="47"/>
        <v>8051.0718908612871</v>
      </c>
      <c r="K161" s="296">
        <f t="shared" si="47"/>
        <v>3599860.8430003906</v>
      </c>
      <c r="L161" s="297">
        <f t="shared" si="47"/>
        <v>3599860.8430003906</v>
      </c>
      <c r="M161" s="207">
        <f t="shared" si="47"/>
        <v>12766.377822000753</v>
      </c>
      <c r="N161" s="208">
        <f t="shared" si="47"/>
        <v>5088655.5754955169</v>
      </c>
      <c r="O161" s="209">
        <f t="shared" si="47"/>
        <v>5088655.5754955169</v>
      </c>
      <c r="P161" s="339">
        <f t="shared" si="47"/>
        <v>12919.35698481281</v>
      </c>
      <c r="Q161" s="296">
        <f t="shared" si="47"/>
        <v>5149632.7986853747</v>
      </c>
      <c r="R161" s="297">
        <f t="shared" si="47"/>
        <v>5149632.7986853747</v>
      </c>
      <c r="S161" s="209">
        <f t="shared" si="47"/>
        <v>4612716.405727095</v>
      </c>
      <c r="T161" s="210" t="str">
        <f t="shared" si="47"/>
        <v>NA</v>
      </c>
      <c r="U161" s="228" t="s">
        <v>12</v>
      </c>
    </row>
    <row r="162" spans="1:21" x14ac:dyDescent="0.25">
      <c r="A162" s="615"/>
      <c r="B162" s="466" t="s">
        <v>101</v>
      </c>
      <c r="C162" s="213">
        <f t="shared" ref="C162:S162" si="48">C130</f>
        <v>0</v>
      </c>
      <c r="D162" s="214">
        <f t="shared" si="48"/>
        <v>0</v>
      </c>
      <c r="E162" s="214">
        <f t="shared" si="48"/>
        <v>22.2</v>
      </c>
      <c r="F162" s="214">
        <f t="shared" si="48"/>
        <v>54.3</v>
      </c>
      <c r="G162" s="214">
        <f t="shared" si="48"/>
        <v>47</v>
      </c>
      <c r="H162" s="214">
        <f t="shared" si="48"/>
        <v>0</v>
      </c>
      <c r="I162" s="215">
        <f t="shared" si="48"/>
        <v>123.5</v>
      </c>
      <c r="J162" s="336" t="str">
        <f t="shared" si="48"/>
        <v>NA</v>
      </c>
      <c r="K162" s="337">
        <f t="shared" si="48"/>
        <v>24007</v>
      </c>
      <c r="L162" s="294">
        <f t="shared" si="48"/>
        <v>22522.2</v>
      </c>
      <c r="M162" s="216" t="str">
        <f t="shared" si="48"/>
        <v>NA</v>
      </c>
      <c r="N162" s="217">
        <f t="shared" si="48"/>
        <v>21385</v>
      </c>
      <c r="O162" s="215">
        <f t="shared" si="48"/>
        <v>21385</v>
      </c>
      <c r="P162" s="336" t="str">
        <f t="shared" si="48"/>
        <v>NA</v>
      </c>
      <c r="Q162" s="337">
        <f t="shared" si="48"/>
        <v>21385</v>
      </c>
      <c r="R162" s="294">
        <f t="shared" si="48"/>
        <v>21385</v>
      </c>
      <c r="S162" s="215">
        <f t="shared" si="48"/>
        <v>21764.066666666666</v>
      </c>
      <c r="T162" s="136" t="s">
        <v>12</v>
      </c>
      <c r="U162" s="230" t="s">
        <v>12</v>
      </c>
    </row>
    <row r="163" spans="1:21" ht="13.8" thickBot="1" x14ac:dyDescent="0.3">
      <c r="A163" s="615"/>
      <c r="B163" s="1081" t="s">
        <v>76</v>
      </c>
      <c r="C163" s="207">
        <f t="shared" ref="C163:S163" si="49">C131</f>
        <v>0</v>
      </c>
      <c r="D163" s="208">
        <f t="shared" si="49"/>
        <v>0</v>
      </c>
      <c r="E163" s="208">
        <f t="shared" si="49"/>
        <v>979</v>
      </c>
      <c r="F163" s="208">
        <f t="shared" si="49"/>
        <v>2676</v>
      </c>
      <c r="G163" s="208">
        <f t="shared" si="49"/>
        <v>2606</v>
      </c>
      <c r="H163" s="208">
        <f t="shared" si="49"/>
        <v>0</v>
      </c>
      <c r="I163" s="209">
        <f t="shared" si="49"/>
        <v>6261</v>
      </c>
      <c r="J163" s="332">
        <f t="shared" si="49"/>
        <v>4728.1511438678717</v>
      </c>
      <c r="K163" s="338">
        <f t="shared" si="49"/>
        <v>1616157.8664596111</v>
      </c>
      <c r="L163" s="297">
        <f t="shared" si="49"/>
        <v>1517378.5901552266</v>
      </c>
      <c r="M163" s="211">
        <f t="shared" si="49"/>
        <v>4857.2894404715225</v>
      </c>
      <c r="N163" s="219">
        <f t="shared" si="49"/>
        <v>1397450.3915629252</v>
      </c>
      <c r="O163" s="209">
        <f t="shared" si="49"/>
        <v>1397450.3915629252</v>
      </c>
      <c r="P163" s="332">
        <f t="shared" si="49"/>
        <v>4915.4942094748822</v>
      </c>
      <c r="Q163" s="338">
        <f t="shared" si="49"/>
        <v>1414196.0020997103</v>
      </c>
      <c r="R163" s="297">
        <f t="shared" si="49"/>
        <v>1414196.0020997103</v>
      </c>
      <c r="S163" s="209">
        <f t="shared" si="49"/>
        <v>1443008.3279392875</v>
      </c>
      <c r="T163" s="209">
        <f>T131</f>
        <v>5928.726376610347</v>
      </c>
      <c r="U163" s="228" t="s">
        <v>12</v>
      </c>
    </row>
    <row r="164" spans="1:21" x14ac:dyDescent="0.25">
      <c r="A164" s="615"/>
      <c r="B164" s="466" t="s">
        <v>102</v>
      </c>
      <c r="C164" s="197">
        <f t="shared" ref="C164:S164" si="50">C146</f>
        <v>0</v>
      </c>
      <c r="D164" s="25">
        <f t="shared" si="50"/>
        <v>0</v>
      </c>
      <c r="E164" s="25">
        <f t="shared" si="50"/>
        <v>0</v>
      </c>
      <c r="F164" s="25">
        <f t="shared" si="50"/>
        <v>11</v>
      </c>
      <c r="G164" s="25">
        <f t="shared" si="50"/>
        <v>20</v>
      </c>
      <c r="H164" s="25">
        <f t="shared" si="50"/>
        <v>3</v>
      </c>
      <c r="I164" s="198">
        <f t="shared" si="50"/>
        <v>34</v>
      </c>
      <c r="J164" s="333" t="str">
        <f t="shared" si="50"/>
        <v>NA</v>
      </c>
      <c r="K164" s="334">
        <f t="shared" si="50"/>
        <v>12108</v>
      </c>
      <c r="L164" s="335">
        <f t="shared" si="50"/>
        <v>12108</v>
      </c>
      <c r="M164" s="199" t="str">
        <f t="shared" si="50"/>
        <v>NA</v>
      </c>
      <c r="N164" s="25">
        <f t="shared" si="50"/>
        <v>9852</v>
      </c>
      <c r="O164" s="198">
        <f t="shared" si="50"/>
        <v>9852</v>
      </c>
      <c r="P164" s="333" t="str">
        <f t="shared" si="50"/>
        <v>NA</v>
      </c>
      <c r="Q164" s="334">
        <f t="shared" si="50"/>
        <v>9852</v>
      </c>
      <c r="R164" s="335">
        <f t="shared" si="50"/>
        <v>9852</v>
      </c>
      <c r="S164" s="198">
        <f t="shared" si="50"/>
        <v>10604</v>
      </c>
      <c r="T164" s="136" t="s">
        <v>12</v>
      </c>
      <c r="U164" s="230" t="s">
        <v>12</v>
      </c>
    </row>
    <row r="165" spans="1:21" ht="13.8" thickBot="1" x14ac:dyDescent="0.3">
      <c r="A165" s="615"/>
      <c r="B165" s="1082" t="s">
        <v>76</v>
      </c>
      <c r="C165" s="220">
        <f t="shared" ref="C165:S165" si="51">C147</f>
        <v>0</v>
      </c>
      <c r="D165" s="221">
        <f t="shared" si="51"/>
        <v>0</v>
      </c>
      <c r="E165" s="221">
        <f t="shared" si="51"/>
        <v>0</v>
      </c>
      <c r="F165" s="221">
        <f t="shared" si="51"/>
        <v>543</v>
      </c>
      <c r="G165" s="221">
        <f t="shared" si="51"/>
        <v>1109</v>
      </c>
      <c r="H165" s="221">
        <f t="shared" si="51"/>
        <v>176</v>
      </c>
      <c r="I165" s="222">
        <f t="shared" si="51"/>
        <v>1828</v>
      </c>
      <c r="J165" s="304" t="str">
        <f t="shared" si="51"/>
        <v>NA</v>
      </c>
      <c r="K165" s="305">
        <f t="shared" si="51"/>
        <v>878961.35970262124</v>
      </c>
      <c r="L165" s="306">
        <f t="shared" si="51"/>
        <v>878961.35970262124</v>
      </c>
      <c r="M165" s="220" t="str">
        <f t="shared" si="51"/>
        <v>NA</v>
      </c>
      <c r="N165" s="221">
        <f t="shared" si="51"/>
        <v>736522.32926297328</v>
      </c>
      <c r="O165" s="222">
        <f t="shared" si="51"/>
        <v>736522.32926297328</v>
      </c>
      <c r="P165" s="311" t="str">
        <f t="shared" si="51"/>
        <v>NA</v>
      </c>
      <c r="Q165" s="305">
        <f t="shared" si="51"/>
        <v>745348.05656746053</v>
      </c>
      <c r="R165" s="306">
        <f t="shared" si="51"/>
        <v>745348.05656746053</v>
      </c>
      <c r="S165" s="222">
        <f t="shared" si="51"/>
        <v>786943.91517768486</v>
      </c>
      <c r="T165" s="223" t="str">
        <f>T147</f>
        <v>NA</v>
      </c>
      <c r="U165" s="231" t="s">
        <v>12</v>
      </c>
    </row>
    <row r="166" spans="1:21" ht="18" thickTop="1" x14ac:dyDescent="0.3">
      <c r="A166" s="615"/>
      <c r="B166" s="1083" t="s">
        <v>13</v>
      </c>
      <c r="C166" s="183" t="s">
        <v>45</v>
      </c>
      <c r="D166" s="108" t="s">
        <v>46</v>
      </c>
      <c r="E166" s="107" t="s">
        <v>47</v>
      </c>
      <c r="F166" s="107" t="s">
        <v>48</v>
      </c>
      <c r="G166" s="107" t="s">
        <v>49</v>
      </c>
      <c r="H166" s="107" t="s">
        <v>50</v>
      </c>
      <c r="I166" s="109" t="s">
        <v>13</v>
      </c>
      <c r="J166" s="110" t="s">
        <v>56</v>
      </c>
      <c r="K166" s="108" t="s">
        <v>13</v>
      </c>
      <c r="L166" s="111" t="s">
        <v>68</v>
      </c>
      <c r="M166" s="110" t="s">
        <v>56</v>
      </c>
      <c r="N166" s="108" t="s">
        <v>13</v>
      </c>
      <c r="O166" s="111" t="s">
        <v>68</v>
      </c>
      <c r="P166" s="110" t="s">
        <v>56</v>
      </c>
      <c r="Q166" s="108" t="s">
        <v>13</v>
      </c>
      <c r="R166" s="111" t="s">
        <v>68</v>
      </c>
      <c r="S166" s="111"/>
      <c r="T166" s="37"/>
      <c r="U166" s="227"/>
    </row>
    <row r="167" spans="1:21" x14ac:dyDescent="0.25">
      <c r="A167" s="615"/>
      <c r="B167" s="1084" t="s">
        <v>75</v>
      </c>
      <c r="C167" s="195">
        <f t="shared" ref="C167:I168" si="52">C152+C154+C156+C158+C160+C162+C164</f>
        <v>0</v>
      </c>
      <c r="D167" s="101">
        <f t="shared" si="52"/>
        <v>179</v>
      </c>
      <c r="E167" s="101">
        <f t="shared" si="52"/>
        <v>393.2</v>
      </c>
      <c r="F167" s="101">
        <f t="shared" si="52"/>
        <v>380.3</v>
      </c>
      <c r="G167" s="101">
        <f t="shared" si="52"/>
        <v>127</v>
      </c>
      <c r="H167" s="101">
        <f t="shared" si="52"/>
        <v>13</v>
      </c>
      <c r="I167" s="102">
        <f t="shared" si="52"/>
        <v>1092.5</v>
      </c>
      <c r="J167" s="340" t="s">
        <v>12</v>
      </c>
      <c r="K167" s="281">
        <f>K152+K154+K156+K158+K160+K164</f>
        <v>197387.37451327435</v>
      </c>
      <c r="L167" s="289">
        <f>L152+L154+L156+L158+L160+L162+L164</f>
        <v>211985.88308470289</v>
      </c>
      <c r="M167" s="103" t="s">
        <v>12</v>
      </c>
      <c r="N167" s="101">
        <f>N152+N154+N156+N158+N160+N164</f>
        <v>220754.39150442477</v>
      </c>
      <c r="O167" s="102">
        <f>O152+O154+O156+O158+O160+O162+O164</f>
        <v>234414.98007585332</v>
      </c>
      <c r="P167" s="340" t="s">
        <v>12</v>
      </c>
      <c r="Q167" s="281">
        <f>Q152+Q154+Q156+Q158+Q160+Q164</f>
        <v>217274.39150442477</v>
      </c>
      <c r="R167" s="289">
        <f>R152+R154+R156+R158+R160+R162+R164</f>
        <v>233917.83721871048</v>
      </c>
      <c r="S167" s="68">
        <f>S152+S154+S156+S158+S160+S162+S164</f>
        <v>140434.98862199747</v>
      </c>
      <c r="T167" s="102"/>
      <c r="U167" s="232" t="s">
        <v>12</v>
      </c>
    </row>
    <row r="168" spans="1:21" s="235" customFormat="1" ht="16.2" thickBot="1" x14ac:dyDescent="0.35">
      <c r="A168" s="1086"/>
      <c r="B168" s="1085" t="s">
        <v>76</v>
      </c>
      <c r="C168" s="1076">
        <f t="shared" si="52"/>
        <v>0</v>
      </c>
      <c r="D168" s="1077">
        <f t="shared" si="52"/>
        <v>7314</v>
      </c>
      <c r="E168" s="1077">
        <f t="shared" si="52"/>
        <v>17349</v>
      </c>
      <c r="F168" s="1077">
        <f t="shared" si="52"/>
        <v>18740</v>
      </c>
      <c r="G168" s="1077">
        <f t="shared" si="52"/>
        <v>7043</v>
      </c>
      <c r="H168" s="1077">
        <f t="shared" si="52"/>
        <v>762</v>
      </c>
      <c r="I168" s="1074">
        <f t="shared" si="52"/>
        <v>52158</v>
      </c>
      <c r="J168" s="1070" t="s">
        <v>12</v>
      </c>
      <c r="K168" s="1071">
        <f>K153+K155+K157+K159+K161+K165</f>
        <v>28921638.153381571</v>
      </c>
      <c r="L168" s="1072">
        <f>L153+L155+L157+L159+L161+L163+L165</f>
        <v>17316038.349688508</v>
      </c>
      <c r="M168" s="1078" t="s">
        <v>12</v>
      </c>
      <c r="N168" s="1079">
        <f>N153+N155+N157+N159+N161+N165</f>
        <v>31019675.181513704</v>
      </c>
      <c r="O168" s="1074">
        <f>O153+O155+O157+O159+O161+O163+O165</f>
        <v>19015985.756562412</v>
      </c>
      <c r="P168" s="1070" t="s">
        <v>12</v>
      </c>
      <c r="Q168" s="1071">
        <f>Q153+Q155+Q157+Q159+Q161+Q165</f>
        <v>26536876.487375483</v>
      </c>
      <c r="R168" s="1072">
        <f>R153+R155+R157+R159+R161+R163+R165</f>
        <v>14415624.999319632</v>
      </c>
      <c r="S168" s="1073">
        <f>S153+S155+S157+S159+S161+S163+S165</f>
        <v>14140887.434655603</v>
      </c>
      <c r="T168" s="1074">
        <f>SUM(T153,T155,T157,T159,T161,T163,T165)</f>
        <v>1256878.4064535003</v>
      </c>
      <c r="U168" s="1075">
        <f>SUM(U153,U155,U157,U159,U161,U163,U165)</f>
        <v>2182019.6495588911</v>
      </c>
    </row>
    <row r="169" spans="1:21" ht="13.8" thickTop="1" x14ac:dyDescent="0.25">
      <c r="A169" s="5"/>
      <c r="B169" s="1051"/>
    </row>
  </sheetData>
  <mergeCells count="38">
    <mergeCell ref="Q134:R134"/>
    <mergeCell ref="Q47:R47"/>
    <mergeCell ref="Q65:R65"/>
    <mergeCell ref="Q83:R83"/>
    <mergeCell ref="Q127:R127"/>
    <mergeCell ref="Q106:R106"/>
    <mergeCell ref="Q110:R110"/>
    <mergeCell ref="G105:I105"/>
    <mergeCell ref="N127:O127"/>
    <mergeCell ref="K134:L134"/>
    <mergeCell ref="N47:O47"/>
    <mergeCell ref="N65:O65"/>
    <mergeCell ref="N106:O106"/>
    <mergeCell ref="N134:O134"/>
    <mergeCell ref="N83:O83"/>
    <mergeCell ref="K47:L47"/>
    <mergeCell ref="K110:L110"/>
    <mergeCell ref="G133:I133"/>
    <mergeCell ref="K106:L106"/>
    <mergeCell ref="K83:L83"/>
    <mergeCell ref="N110:O110"/>
    <mergeCell ref="G82:I82"/>
    <mergeCell ref="G47:I47"/>
    <mergeCell ref="K65:L65"/>
    <mergeCell ref="G27:I27"/>
    <mergeCell ref="G46:I46"/>
    <mergeCell ref="G65:I65"/>
    <mergeCell ref="G64:I64"/>
    <mergeCell ref="S2:T2"/>
    <mergeCell ref="Q28:R28"/>
    <mergeCell ref="G16:I16"/>
    <mergeCell ref="K28:L28"/>
    <mergeCell ref="F2:G2"/>
    <mergeCell ref="C5:I5"/>
    <mergeCell ref="Q17:R17"/>
    <mergeCell ref="K17:L17"/>
    <mergeCell ref="N17:O17"/>
    <mergeCell ref="N28:O28"/>
  </mergeCells>
  <phoneticPr fontId="2" type="noConversion"/>
  <dataValidations disablePrompts="1" count="1">
    <dataValidation allowBlank="1" showInputMessage="1" showErrorMessage="1" sqref="D108:D109 D32:D34 D30 D49:D51" xr:uid="{00000000-0002-0000-0700-000000000000}"/>
  </dataValidations>
  <pageMargins left="0.25" right="0.28000000000000003" top="0.64" bottom="0.47" header="0.5" footer="0.44"/>
  <pageSetup scale="48" fitToHeight="25" orientation="landscape" r:id="rId1"/>
  <headerFooter alignWithMargins="0"/>
  <rowBreaks count="2" manualBreakCount="2">
    <brk id="80" max="16383" man="1"/>
    <brk id="1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62"/>
  <sheetViews>
    <sheetView topLeftCell="A8" zoomScaleNormal="100" workbookViewId="0">
      <selection activeCell="C57" sqref="C57"/>
    </sheetView>
  </sheetViews>
  <sheetFormatPr defaultRowHeight="13.2" x14ac:dyDescent="0.25"/>
  <cols>
    <col min="1" max="1" width="1.109375" customWidth="1"/>
    <col min="2" max="2" width="32.33203125" customWidth="1"/>
    <col min="3" max="3" width="12.88671875" customWidth="1"/>
    <col min="4" max="4" width="10.5546875" bestFit="1" customWidth="1"/>
    <col min="5" max="5" width="11.33203125" customWidth="1"/>
    <col min="6" max="6" width="9.6640625" style="10" customWidth="1"/>
    <col min="7" max="7" width="11.109375" bestFit="1" customWidth="1"/>
    <col min="8" max="8" width="10.109375" bestFit="1" customWidth="1"/>
    <col min="9" max="9" width="13.33203125" customWidth="1"/>
    <col min="10" max="10" width="15" customWidth="1"/>
    <col min="11" max="11" width="14.44140625" customWidth="1"/>
    <col min="12" max="12" width="16.88671875" bestFit="1" customWidth="1"/>
    <col min="13" max="13" width="15.5546875" customWidth="1"/>
    <col min="14" max="14" width="14.5546875" customWidth="1"/>
    <col min="15" max="15" width="14.44140625" customWidth="1"/>
    <col min="16" max="16" width="15" customWidth="1"/>
    <col min="17" max="17" width="13.88671875" customWidth="1"/>
    <col min="18" max="18" width="14" customWidth="1"/>
    <col min="19" max="19" width="14.5546875" customWidth="1"/>
    <col min="20" max="20" width="14" customWidth="1"/>
    <col min="21" max="21" width="14.109375" bestFit="1" customWidth="1"/>
  </cols>
  <sheetData>
    <row r="1" spans="1:21" ht="4.5" customHeight="1" thickBot="1" x14ac:dyDescent="0.3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8.600000000000001" thickTop="1" thickBot="1" x14ac:dyDescent="0.35">
      <c r="A2" s="615"/>
      <c r="B2" s="596" t="s">
        <v>0</v>
      </c>
      <c r="C2" s="593" t="s">
        <v>306</v>
      </c>
      <c r="D2" s="5"/>
      <c r="E2" s="396" t="s">
        <v>31</v>
      </c>
      <c r="F2" s="1449">
        <v>43331</v>
      </c>
      <c r="G2" s="1450"/>
      <c r="H2" s="5"/>
      <c r="I2" s="5"/>
      <c r="K2" s="1452" t="s">
        <v>307</v>
      </c>
      <c r="L2" s="1452"/>
      <c r="N2" s="1451" t="s">
        <v>308</v>
      </c>
      <c r="O2" s="1451"/>
      <c r="P2" s="772" t="s">
        <v>70</v>
      </c>
      <c r="U2" s="1230"/>
    </row>
    <row r="3" spans="1:21" x14ac:dyDescent="0.25">
      <c r="A3" s="615"/>
      <c r="B3" s="597" t="s">
        <v>2</v>
      </c>
      <c r="C3" s="1442"/>
      <c r="D3" s="1443"/>
      <c r="E3" s="1443"/>
      <c r="F3" s="1443"/>
      <c r="G3" s="1443"/>
      <c r="H3" s="1443"/>
      <c r="I3" s="1453"/>
      <c r="J3" s="1"/>
      <c r="K3" s="1286" t="s">
        <v>212</v>
      </c>
      <c r="L3" s="1297">
        <v>113</v>
      </c>
      <c r="M3" s="1"/>
      <c r="N3" s="1286" t="s">
        <v>311</v>
      </c>
      <c r="O3" s="1293">
        <v>851</v>
      </c>
      <c r="P3" s="1290">
        <f>O3*$O$8</f>
        <v>51.059999999999995</v>
      </c>
      <c r="R3" s="429" t="s">
        <v>178</v>
      </c>
      <c r="S3" s="1284">
        <v>1015</v>
      </c>
      <c r="T3" s="484"/>
      <c r="U3" s="615"/>
    </row>
    <row r="4" spans="1:21" x14ac:dyDescent="0.25">
      <c r="A4" s="615"/>
      <c r="F4"/>
      <c r="H4" s="429" t="s">
        <v>71</v>
      </c>
      <c r="I4" s="1303">
        <v>129</v>
      </c>
      <c r="K4" s="1299" t="s">
        <v>214</v>
      </c>
      <c r="L4" s="1285">
        <v>448</v>
      </c>
      <c r="M4" s="1"/>
      <c r="N4" s="1287" t="s">
        <v>312</v>
      </c>
      <c r="O4" s="1294">
        <v>144</v>
      </c>
      <c r="P4" s="1291">
        <f>O4*$O$8</f>
        <v>8.64</v>
      </c>
      <c r="U4" s="615"/>
    </row>
    <row r="5" spans="1:21" x14ac:dyDescent="0.25">
      <c r="A5" s="615"/>
      <c r="F5"/>
      <c r="K5" s="1300" t="s">
        <v>215</v>
      </c>
      <c r="L5" s="1285">
        <v>191</v>
      </c>
      <c r="N5" s="1286" t="s">
        <v>313</v>
      </c>
      <c r="O5" s="1294">
        <v>164</v>
      </c>
      <c r="P5" s="1157"/>
      <c r="U5" s="615"/>
    </row>
    <row r="6" spans="1:21" ht="13.8" thickBot="1" x14ac:dyDescent="0.3">
      <c r="A6" s="615"/>
      <c r="F6"/>
      <c r="K6" s="1286" t="s">
        <v>309</v>
      </c>
      <c r="L6" s="1285">
        <v>0</v>
      </c>
      <c r="N6" s="1286" t="s">
        <v>314</v>
      </c>
      <c r="O6" s="1294">
        <v>973</v>
      </c>
      <c r="P6" s="1292">
        <f>O6*$O$8</f>
        <v>58.379999999999995</v>
      </c>
      <c r="U6" s="615"/>
    </row>
    <row r="7" spans="1:21" x14ac:dyDescent="0.25">
      <c r="A7" s="615"/>
      <c r="B7" s="288"/>
      <c r="F7"/>
      <c r="K7" s="1301" t="s">
        <v>310</v>
      </c>
      <c r="L7" s="1298">
        <f>SUM(L3:L6)</f>
        <v>752</v>
      </c>
      <c r="N7" s="1288" t="s">
        <v>315</v>
      </c>
      <c r="O7" s="1295">
        <v>198</v>
      </c>
      <c r="U7" s="615"/>
    </row>
    <row r="8" spans="1:21" ht="18" thickBot="1" x14ac:dyDescent="0.35">
      <c r="A8" s="615"/>
      <c r="B8" s="1356" t="s">
        <v>73</v>
      </c>
      <c r="C8" s="410"/>
      <c r="D8" s="410"/>
      <c r="E8" s="410"/>
      <c r="F8" s="411"/>
      <c r="G8" s="410"/>
      <c r="H8" s="410"/>
      <c r="I8" s="410"/>
      <c r="J8" s="410"/>
      <c r="K8" s="1302" t="s">
        <v>144</v>
      </c>
      <c r="L8" s="1229">
        <f>(L3+L4/3+L5/6+L6/2)/L7</f>
        <v>0.39117907801418444</v>
      </c>
      <c r="M8" s="410"/>
      <c r="N8" s="1289" t="s">
        <v>216</v>
      </c>
      <c r="O8" s="1296">
        <v>0.06</v>
      </c>
      <c r="P8" s="410"/>
      <c r="Q8" s="410"/>
      <c r="R8" s="410"/>
      <c r="S8" s="410"/>
      <c r="T8" s="410"/>
      <c r="U8" s="1057"/>
    </row>
    <row r="9" spans="1:21" ht="30" customHeight="1" thickTop="1" x14ac:dyDescent="0.3">
      <c r="A9" s="615"/>
      <c r="B9" s="596"/>
      <c r="C9" s="5"/>
      <c r="D9" s="5"/>
      <c r="E9" s="5"/>
      <c r="F9" s="7"/>
      <c r="G9" s="5"/>
      <c r="H9" s="5"/>
      <c r="I9" s="1242"/>
      <c r="K9" s="426"/>
      <c r="L9" s="553"/>
      <c r="N9" s="549"/>
      <c r="O9" s="1242"/>
      <c r="P9" s="1245"/>
      <c r="Q9" s="1246"/>
      <c r="R9" s="553"/>
      <c r="S9" s="1247" t="s">
        <v>77</v>
      </c>
      <c r="T9" s="1306"/>
      <c r="U9" s="1248"/>
    </row>
    <row r="10" spans="1:21" ht="30" customHeight="1" thickBot="1" x14ac:dyDescent="0.35">
      <c r="A10" s="615"/>
      <c r="B10" s="596"/>
      <c r="C10" s="5"/>
      <c r="D10" s="4"/>
      <c r="E10" s="4"/>
      <c r="F10" s="12"/>
      <c r="G10" s="4"/>
      <c r="H10" s="5"/>
      <c r="I10" s="5"/>
      <c r="J10" s="1189" t="s">
        <v>5</v>
      </c>
      <c r="K10" s="1263">
        <v>2019</v>
      </c>
      <c r="L10" s="83"/>
      <c r="M10" s="592" t="s">
        <v>10</v>
      </c>
      <c r="N10" s="1243">
        <f>K10+1</f>
        <v>2020</v>
      </c>
      <c r="O10" s="41"/>
      <c r="P10" s="1189" t="s">
        <v>11</v>
      </c>
      <c r="Q10" s="1244">
        <f>N10+1</f>
        <v>2021</v>
      </c>
      <c r="R10" s="83"/>
      <c r="S10" s="1304" t="s">
        <v>17</v>
      </c>
      <c r="T10" s="1307" t="s">
        <v>103</v>
      </c>
      <c r="U10" s="1305" t="s">
        <v>79</v>
      </c>
    </row>
    <row r="11" spans="1:21" ht="15.6" x14ac:dyDescent="0.3">
      <c r="A11" s="615"/>
      <c r="B11" s="55" t="s">
        <v>3</v>
      </c>
      <c r="C11" s="239"/>
      <c r="D11" s="431" t="s">
        <v>54</v>
      </c>
      <c r="E11" s="28">
        <v>7</v>
      </c>
      <c r="F11" s="112" t="s">
        <v>6</v>
      </c>
      <c r="G11" s="1415"/>
      <c r="H11" s="1425"/>
      <c r="I11" s="1426"/>
      <c r="J11" s="88" t="s">
        <v>3</v>
      </c>
      <c r="K11" s="179"/>
      <c r="L11" s="180"/>
      <c r="M11" s="55" t="s">
        <v>3</v>
      </c>
      <c r="N11" s="426"/>
      <c r="O11" s="67"/>
      <c r="P11" s="55" t="s">
        <v>3</v>
      </c>
      <c r="Q11" s="426"/>
      <c r="R11" s="67"/>
      <c r="S11" s="124"/>
      <c r="T11" s="117"/>
      <c r="U11" s="515"/>
    </row>
    <row r="12" spans="1:21" x14ac:dyDescent="0.25">
      <c r="A12" s="615"/>
      <c r="B12" s="1039" t="s">
        <v>44</v>
      </c>
      <c r="C12" s="6"/>
      <c r="D12" s="6"/>
      <c r="E12" s="6"/>
      <c r="F12" s="11"/>
      <c r="G12" s="6"/>
      <c r="H12" s="6"/>
      <c r="I12" s="47" t="s">
        <v>55</v>
      </c>
      <c r="J12" s="364" t="s">
        <v>55</v>
      </c>
      <c r="K12" s="1434" t="s">
        <v>57</v>
      </c>
      <c r="L12" s="1433"/>
      <c r="M12" s="57" t="s">
        <v>55</v>
      </c>
      <c r="N12" s="1432" t="s">
        <v>57</v>
      </c>
      <c r="O12" s="1433"/>
      <c r="P12" s="57" t="s">
        <v>55</v>
      </c>
      <c r="Q12" s="1432" t="s">
        <v>57</v>
      </c>
      <c r="R12" s="1433"/>
      <c r="S12" s="125"/>
      <c r="T12" s="145"/>
      <c r="U12" s="1053"/>
    </row>
    <row r="13" spans="1:21" x14ac:dyDescent="0.25">
      <c r="A13" s="615"/>
      <c r="B13" s="601" t="s">
        <v>53</v>
      </c>
      <c r="C13" s="23" t="s">
        <v>45</v>
      </c>
      <c r="D13" s="24" t="s">
        <v>46</v>
      </c>
      <c r="E13" s="23" t="s">
        <v>47</v>
      </c>
      <c r="F13" s="23" t="s">
        <v>48</v>
      </c>
      <c r="G13" s="23" t="s">
        <v>49</v>
      </c>
      <c r="H13" s="23" t="s">
        <v>50</v>
      </c>
      <c r="I13" s="47" t="s">
        <v>13</v>
      </c>
      <c r="J13" s="77" t="s">
        <v>56</v>
      </c>
      <c r="K13" s="24" t="s">
        <v>13</v>
      </c>
      <c r="L13" s="38" t="s">
        <v>68</v>
      </c>
      <c r="M13" s="77" t="s">
        <v>56</v>
      </c>
      <c r="N13" s="24" t="s">
        <v>13</v>
      </c>
      <c r="O13" s="38" t="s">
        <v>68</v>
      </c>
      <c r="P13" s="24" t="s">
        <v>56</v>
      </c>
      <c r="Q13" s="24" t="s">
        <v>13</v>
      </c>
      <c r="R13" s="38" t="s">
        <v>68</v>
      </c>
      <c r="S13" s="123"/>
      <c r="T13" s="146"/>
      <c r="U13" s="517"/>
    </row>
    <row r="14" spans="1:21" x14ac:dyDescent="0.25">
      <c r="A14" s="615"/>
      <c r="B14" s="602" t="s">
        <v>51</v>
      </c>
      <c r="C14" s="21">
        <v>0</v>
      </c>
      <c r="D14" s="21">
        <v>0</v>
      </c>
      <c r="E14" s="21">
        <v>0</v>
      </c>
      <c r="F14" s="21">
        <v>5</v>
      </c>
      <c r="G14" s="21">
        <v>5</v>
      </c>
      <c r="H14" s="21">
        <v>5</v>
      </c>
      <c r="I14" s="48">
        <f>SUM(C14:H14)</f>
        <v>15</v>
      </c>
      <c r="J14" s="263" t="s">
        <v>12</v>
      </c>
      <c r="K14" s="1030">
        <f>$I14*I$4</f>
        <v>1935</v>
      </c>
      <c r="L14" s="265">
        <f>K14/$E$11</f>
        <v>276.42857142857144</v>
      </c>
      <c r="M14" s="58" t="s">
        <v>12</v>
      </c>
      <c r="N14" s="1031">
        <f>$I14*I$4</f>
        <v>1935</v>
      </c>
      <c r="O14" s="68">
        <f>N14/$E$11</f>
        <v>276.42857142857144</v>
      </c>
      <c r="P14" s="263" t="s">
        <v>12</v>
      </c>
      <c r="Q14" s="1030">
        <f>$I14*I$4</f>
        <v>1935</v>
      </c>
      <c r="R14" s="289">
        <f>Q14/$E$11</f>
        <v>276.42857142857144</v>
      </c>
      <c r="S14" s="121">
        <f>AVERAGE(L14,O14,R14)</f>
        <v>276.42857142857144</v>
      </c>
      <c r="T14" s="119" t="s">
        <v>12</v>
      </c>
      <c r="U14" s="1054" t="s">
        <v>12</v>
      </c>
    </row>
    <row r="15" spans="1:21" s="1" customFormat="1" x14ac:dyDescent="0.25">
      <c r="A15" s="616"/>
      <c r="B15" s="603" t="s">
        <v>52</v>
      </c>
      <c r="C15" s="381">
        <f>ROUND(C14*Labor!$D$3,0)</f>
        <v>0</v>
      </c>
      <c r="D15" s="23">
        <f>ROUND(D14*Labor!$D$4,0)</f>
        <v>0</v>
      </c>
      <c r="E15" s="23">
        <f>ROUND(E14*Labor!$D$5,0)</f>
        <v>0</v>
      </c>
      <c r="F15" s="23">
        <f>ROUND(F14*Labor!$D$6,0)</f>
        <v>246</v>
      </c>
      <c r="G15" s="23">
        <f>ROUND(G14*Labor!$D$7,0)</f>
        <v>277</v>
      </c>
      <c r="H15" s="23">
        <f>ROUND(H14*Labor!$D$8,0)</f>
        <v>293</v>
      </c>
      <c r="I15" s="382">
        <f>SUM(C15:H15)</f>
        <v>816</v>
      </c>
      <c r="J15" s="383">
        <f>HLOOKUP(Labor!$B$11,InflationTable,2)*$I15</f>
        <v>1102.2543084901995</v>
      </c>
      <c r="K15" s="384">
        <f>J15*$I$4</f>
        <v>142190.80579523573</v>
      </c>
      <c r="L15" s="385">
        <f>K15/$E$11</f>
        <v>20312.972256462246</v>
      </c>
      <c r="M15" s="386">
        <f>HLOOKUP(Labor!$B$11,InflationTable,3)*$I15</f>
        <v>1132.3597851323898</v>
      </c>
      <c r="N15" s="387">
        <f>M15*$I$4</f>
        <v>146074.41228207829</v>
      </c>
      <c r="O15" s="388">
        <f>N15/$E$11</f>
        <v>20867.77318315404</v>
      </c>
      <c r="P15" s="383">
        <f>HLOOKUP(Labor!$B$11,InflationTable,4)*$I15</f>
        <v>1145.9288220469218</v>
      </c>
      <c r="Q15" s="384">
        <f>P15*$I$4</f>
        <v>147824.81804405292</v>
      </c>
      <c r="R15" s="385">
        <f>Q15/$E$11</f>
        <v>21117.831149150417</v>
      </c>
      <c r="S15" s="379">
        <f>AVERAGE(L15,O15,R15)</f>
        <v>20766.192196255568</v>
      </c>
      <c r="T15" s="380" t="s">
        <v>12</v>
      </c>
      <c r="U15" s="1055" t="s">
        <v>12</v>
      </c>
    </row>
    <row r="16" spans="1:21" x14ac:dyDescent="0.25">
      <c r="A16" s="615"/>
      <c r="B16" s="112" t="s">
        <v>7</v>
      </c>
      <c r="C16" s="5"/>
      <c r="D16" s="5"/>
      <c r="E16" s="5"/>
      <c r="F16" s="7"/>
      <c r="G16" s="5"/>
      <c r="H16" s="8"/>
      <c r="I16" s="37"/>
      <c r="J16" s="266"/>
      <c r="K16" s="266"/>
      <c r="L16" s="267"/>
      <c r="M16" s="426"/>
      <c r="N16" s="426"/>
      <c r="O16" s="65"/>
      <c r="P16" s="404"/>
      <c r="Q16" s="404"/>
      <c r="R16" s="290"/>
      <c r="S16" s="122"/>
      <c r="T16" s="37"/>
      <c r="U16" s="615"/>
    </row>
    <row r="17" spans="1:22" x14ac:dyDescent="0.25">
      <c r="A17" s="615"/>
      <c r="B17" s="602" t="s">
        <v>51</v>
      </c>
      <c r="C17" s="21">
        <v>0</v>
      </c>
      <c r="D17" s="21">
        <v>0</v>
      </c>
      <c r="E17" s="21">
        <v>2</v>
      </c>
      <c r="F17" s="21">
        <v>2</v>
      </c>
      <c r="G17" s="21">
        <v>2</v>
      </c>
      <c r="H17" s="21">
        <v>0</v>
      </c>
      <c r="I17" s="48">
        <f>SUM(C17:H17)</f>
        <v>6</v>
      </c>
      <c r="J17" s="263" t="s">
        <v>12</v>
      </c>
      <c r="K17" s="1030">
        <f>$I17*I$4</f>
        <v>774</v>
      </c>
      <c r="L17" s="265">
        <f>K17/$E$11</f>
        <v>110.57142857142857</v>
      </c>
      <c r="M17" s="58" t="s">
        <v>12</v>
      </c>
      <c r="N17" s="1030">
        <f>$I17*I$4</f>
        <v>774</v>
      </c>
      <c r="O17" s="59">
        <f>N17/$E$11</f>
        <v>110.57142857142857</v>
      </c>
      <c r="P17" s="263" t="s">
        <v>12</v>
      </c>
      <c r="Q17" s="1030">
        <f>$I17*I$4</f>
        <v>774</v>
      </c>
      <c r="R17" s="282">
        <f>Q17/$E$11</f>
        <v>110.57142857142857</v>
      </c>
      <c r="S17" s="121">
        <f>AVERAGE(L17,O17,R17)</f>
        <v>110.57142857142857</v>
      </c>
      <c r="T17" s="119" t="s">
        <v>12</v>
      </c>
      <c r="U17" s="1054" t="s">
        <v>12</v>
      </c>
    </row>
    <row r="18" spans="1:22" s="1" customFormat="1" ht="13.8" thickBot="1" x14ac:dyDescent="0.3">
      <c r="A18" s="616"/>
      <c r="B18" s="604" t="s">
        <v>52</v>
      </c>
      <c r="C18" s="373">
        <f>ROUND(C17*Labor!$D$3,0)</f>
        <v>0</v>
      </c>
      <c r="D18" s="374">
        <f>ROUND(D17*Labor!$D$4,0)</f>
        <v>0</v>
      </c>
      <c r="E18" s="374">
        <f>ROUND(E17*Labor!$D$5,0)</f>
        <v>88</v>
      </c>
      <c r="F18" s="374">
        <f>ROUND(F17*Labor!$D$6,0)</f>
        <v>99</v>
      </c>
      <c r="G18" s="374">
        <f>ROUND(G17*Labor!$D$7,0)</f>
        <v>111</v>
      </c>
      <c r="H18" s="374">
        <f>ROUND(H17*Labor!$D$8,0)</f>
        <v>0</v>
      </c>
      <c r="I18" s="375">
        <f>SUM(C18:H18)</f>
        <v>298</v>
      </c>
      <c r="J18" s="332">
        <f>HLOOKUP(Labor!$B$11,InflationTable,2)*I18</f>
        <v>402.53895089470524</v>
      </c>
      <c r="K18" s="296">
        <f>J18*$I$4</f>
        <v>51927.524665416975</v>
      </c>
      <c r="L18" s="297">
        <f>K18/$E$11</f>
        <v>7418.2178093452821</v>
      </c>
      <c r="M18" s="376">
        <f>HLOOKUP(Labor!$B$11,InflationTable,3)*I18</f>
        <v>413.53335290374042</v>
      </c>
      <c r="N18" s="377">
        <f>M18*$I$4</f>
        <v>53345.802524582512</v>
      </c>
      <c r="O18" s="378">
        <f>N18/$E$11</f>
        <v>7620.8289320832164</v>
      </c>
      <c r="P18" s="339">
        <f>HLOOKUP(Labor!$B$11,InflationTable,4)*I18</f>
        <v>418.48871197301804</v>
      </c>
      <c r="Q18" s="296">
        <f>P18*$I$4</f>
        <v>53985.043844519329</v>
      </c>
      <c r="R18" s="297">
        <f>Q18/$E$11</f>
        <v>7712.1491206456185</v>
      </c>
      <c r="S18" s="379">
        <f>AVERAGE(L18,O18,R18)</f>
        <v>7583.7319540247054</v>
      </c>
      <c r="T18" s="380" t="s">
        <v>12</v>
      </c>
      <c r="U18" s="1055" t="s">
        <v>12</v>
      </c>
    </row>
    <row r="19" spans="1:22" x14ac:dyDescent="0.25">
      <c r="A19" s="615"/>
      <c r="B19" s="605" t="s">
        <v>66</v>
      </c>
      <c r="C19" s="33">
        <f t="shared" ref="C19:I20" si="0">C14+C17</f>
        <v>0</v>
      </c>
      <c r="D19" s="33">
        <f t="shared" si="0"/>
        <v>0</v>
      </c>
      <c r="E19" s="33">
        <f t="shared" si="0"/>
        <v>2</v>
      </c>
      <c r="F19" s="33">
        <f t="shared" si="0"/>
        <v>7</v>
      </c>
      <c r="G19" s="33">
        <f t="shared" si="0"/>
        <v>7</v>
      </c>
      <c r="H19" s="33">
        <f t="shared" si="0"/>
        <v>5</v>
      </c>
      <c r="I19" s="49">
        <f t="shared" si="0"/>
        <v>21</v>
      </c>
      <c r="J19" s="271" t="s">
        <v>12</v>
      </c>
      <c r="K19" s="272">
        <f>K14+K17</f>
        <v>2709</v>
      </c>
      <c r="L19" s="273">
        <f>L14+L17</f>
        <v>387</v>
      </c>
      <c r="M19" s="61" t="s">
        <v>12</v>
      </c>
      <c r="N19" s="1032">
        <f>N14+N17</f>
        <v>2709</v>
      </c>
      <c r="O19" s="62">
        <f>N19/$E$11</f>
        <v>387</v>
      </c>
      <c r="P19" s="293" t="s">
        <v>12</v>
      </c>
      <c r="Q19" s="272">
        <f>Q14+Q17</f>
        <v>2709</v>
      </c>
      <c r="R19" s="294">
        <f>Q19/$E$11</f>
        <v>387</v>
      </c>
      <c r="S19" s="121">
        <f>AVERAGE(L19,O19,R19)</f>
        <v>387</v>
      </c>
      <c r="T19" s="119" t="s">
        <v>12</v>
      </c>
      <c r="U19" s="1054" t="s">
        <v>12</v>
      </c>
    </row>
    <row r="20" spans="1:22" ht="13.8" thickBot="1" x14ac:dyDescent="0.3">
      <c r="A20" s="615"/>
      <c r="B20" s="606" t="s">
        <v>67</v>
      </c>
      <c r="C20" s="240">
        <f t="shared" si="0"/>
        <v>0</v>
      </c>
      <c r="D20" s="240">
        <f t="shared" si="0"/>
        <v>0</v>
      </c>
      <c r="E20" s="240">
        <f t="shared" si="0"/>
        <v>88</v>
      </c>
      <c r="F20" s="240">
        <f t="shared" si="0"/>
        <v>345</v>
      </c>
      <c r="G20" s="240">
        <f t="shared" si="0"/>
        <v>388</v>
      </c>
      <c r="H20" s="240">
        <f t="shared" si="0"/>
        <v>293</v>
      </c>
      <c r="I20" s="241">
        <f t="shared" si="0"/>
        <v>1114</v>
      </c>
      <c r="J20" s="274">
        <f>J15+J18</f>
        <v>1504.7932593849048</v>
      </c>
      <c r="K20" s="275">
        <f>K15+K18</f>
        <v>194118.33046065271</v>
      </c>
      <c r="L20" s="276">
        <f>L15+L18</f>
        <v>27731.190065807528</v>
      </c>
      <c r="M20" s="242">
        <f>M15+M18</f>
        <v>1545.8931380361303</v>
      </c>
      <c r="N20" s="240">
        <f>N15+N18</f>
        <v>199420.21480666081</v>
      </c>
      <c r="O20" s="243">
        <f>O15+O18</f>
        <v>28488.602115237256</v>
      </c>
      <c r="P20" s="1308">
        <f>P15+P18</f>
        <v>1564.4175340199399</v>
      </c>
      <c r="Q20" s="275">
        <f>Q15+Q18</f>
        <v>201809.86188857225</v>
      </c>
      <c r="R20" s="276">
        <f>R15+R18</f>
        <v>28829.980269796037</v>
      </c>
      <c r="S20" s="211">
        <f>AVERAGE(L20,O20,R20)</f>
        <v>28349.924150280276</v>
      </c>
      <c r="T20" s="218" t="s">
        <v>12</v>
      </c>
      <c r="U20" s="1056" t="s">
        <v>12</v>
      </c>
    </row>
    <row r="21" spans="1:22" ht="14.4" thickTop="1" thickBot="1" x14ac:dyDescent="0.3">
      <c r="A21" s="5"/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410"/>
      <c r="O21" s="410"/>
      <c r="P21" s="618"/>
      <c r="Q21" s="410"/>
      <c r="R21" s="410"/>
      <c r="S21" s="410"/>
      <c r="T21" s="410"/>
      <c r="U21" s="410"/>
      <c r="V21" s="5"/>
    </row>
    <row r="22" spans="1:22" ht="16.2" thickTop="1" x14ac:dyDescent="0.3">
      <c r="A22" s="615"/>
      <c r="B22" s="181" t="s">
        <v>16</v>
      </c>
      <c r="C22" s="72"/>
      <c r="D22" s="431" t="s">
        <v>54</v>
      </c>
      <c r="E22" s="70">
        <v>7</v>
      </c>
      <c r="F22" s="112" t="s">
        <v>6</v>
      </c>
      <c r="G22" s="1415"/>
      <c r="H22" s="1416"/>
      <c r="I22" s="1417"/>
      <c r="J22" s="181" t="s">
        <v>16</v>
      </c>
      <c r="K22" s="426"/>
      <c r="L22" s="180"/>
      <c r="M22" s="181" t="s">
        <v>16</v>
      </c>
      <c r="N22" s="426"/>
      <c r="O22" s="67"/>
      <c r="P22" s="181" t="s">
        <v>16</v>
      </c>
      <c r="Q22" s="426"/>
      <c r="R22" s="180"/>
      <c r="S22" s="225"/>
      <c r="T22" s="37"/>
      <c r="U22" s="227"/>
    </row>
    <row r="23" spans="1:22" x14ac:dyDescent="0.25">
      <c r="A23" s="615"/>
      <c r="B23" s="5"/>
      <c r="C23" s="107" t="s">
        <v>60</v>
      </c>
      <c r="D23" s="23" t="s">
        <v>62</v>
      </c>
      <c r="E23" s="5"/>
      <c r="F23" s="5"/>
      <c r="G23" s="5"/>
      <c r="H23" s="6"/>
      <c r="I23" s="43"/>
      <c r="J23" s="57" t="s">
        <v>61</v>
      </c>
      <c r="K23" s="1432" t="s">
        <v>57</v>
      </c>
      <c r="L23" s="1433"/>
      <c r="M23" s="93" t="s">
        <v>61</v>
      </c>
      <c r="N23" s="1432" t="s">
        <v>57</v>
      </c>
      <c r="O23" s="1433"/>
      <c r="P23" s="38" t="s">
        <v>61</v>
      </c>
      <c r="Q23" s="1432" t="s">
        <v>57</v>
      </c>
      <c r="R23" s="1433"/>
      <c r="S23" s="131"/>
      <c r="T23" s="37"/>
      <c r="U23" s="227"/>
    </row>
    <row r="24" spans="1:22" x14ac:dyDescent="0.25">
      <c r="A24" s="615"/>
      <c r="B24" s="607" t="s">
        <v>58</v>
      </c>
      <c r="C24" s="23"/>
      <c r="D24" s="23"/>
      <c r="E24" s="9"/>
      <c r="F24" s="72"/>
      <c r="G24" s="72"/>
      <c r="H24" s="72"/>
      <c r="I24" s="73"/>
      <c r="J24" s="77" t="s">
        <v>56</v>
      </c>
      <c r="K24" s="24" t="s">
        <v>13</v>
      </c>
      <c r="L24" s="38" t="s">
        <v>68</v>
      </c>
      <c r="M24" s="77" t="s">
        <v>56</v>
      </c>
      <c r="N24" s="24" t="s">
        <v>13</v>
      </c>
      <c r="O24" s="38" t="s">
        <v>68</v>
      </c>
      <c r="P24" s="77" t="s">
        <v>56</v>
      </c>
      <c r="Q24" s="24" t="s">
        <v>13</v>
      </c>
      <c r="R24" s="38" t="s">
        <v>68</v>
      </c>
      <c r="S24" s="123"/>
      <c r="T24" s="37"/>
      <c r="U24" s="227"/>
    </row>
    <row r="25" spans="1:22" s="1" customFormat="1" x14ac:dyDescent="0.25">
      <c r="A25" s="616"/>
      <c r="B25" s="826" t="s">
        <v>318</v>
      </c>
      <c r="C25" s="458">
        <f>VLOOKUP(C$2,Monitor_Costs,2,FALSE)</f>
        <v>7000</v>
      </c>
      <c r="D25" s="381">
        <f>VLOOKUP(C$2,Monitor_Costs,3,FALSE)</f>
        <v>2019</v>
      </c>
      <c r="E25" s="459"/>
      <c r="F25" s="93"/>
      <c r="G25" s="460"/>
      <c r="H25" s="460"/>
      <c r="I25" s="466"/>
      <c r="J25" s="384">
        <f t="shared" ref="J25:J35" si="1">HLOOKUP(D25,InflationTable,2)*$C25</f>
        <v>9455.6129404796538</v>
      </c>
      <c r="K25" s="384">
        <f>J25*O4</f>
        <v>1361608.2634290701</v>
      </c>
      <c r="L25" s="385">
        <f t="shared" ref="L25:L35" si="2">K25/$E$22</f>
        <v>194515.46620415288</v>
      </c>
      <c r="M25" s="1040">
        <f>HLOOKUP($D$25,InflationTable,3)*$C25</f>
        <v>9713.8707057925603</v>
      </c>
      <c r="N25" s="468">
        <f>M25*$O$4</f>
        <v>1398797.3816341287</v>
      </c>
      <c r="O25" s="671">
        <f t="shared" ref="O25:O35" si="3">N25/$E$22</f>
        <v>199828.1973763041</v>
      </c>
      <c r="P25" s="383">
        <f>HLOOKUP($D$25,InflationTable,4)*$C25</f>
        <v>9830.2717577554577</v>
      </c>
      <c r="Q25" s="384">
        <f>P25*$O$4</f>
        <v>1415559.1331167859</v>
      </c>
      <c r="R25" s="385">
        <f t="shared" ref="R25:R35" si="4">Q25/$E$22</f>
        <v>202222.73330239797</v>
      </c>
      <c r="S25" s="462" t="s">
        <v>12</v>
      </c>
      <c r="T25" s="380" t="s">
        <v>12</v>
      </c>
      <c r="U25" s="509">
        <f t="shared" ref="U25:U35" si="5">AVERAGE(L25,O25,R25)</f>
        <v>198855.46562761834</v>
      </c>
    </row>
    <row r="26" spans="1:22" s="1" customFormat="1" x14ac:dyDescent="0.25">
      <c r="A26" s="616"/>
      <c r="B26" s="530" t="s">
        <v>317</v>
      </c>
      <c r="C26" s="1264">
        <f>C25</f>
        <v>7000</v>
      </c>
      <c r="D26" s="381">
        <f>VLOOKUP(C$2,Monitor_Costs,3,FALSE)</f>
        <v>2019</v>
      </c>
      <c r="E26" s="460"/>
      <c r="F26" s="93"/>
      <c r="G26" s="460"/>
      <c r="H26" s="460"/>
      <c r="I26" s="47"/>
      <c r="J26" s="384">
        <f t="shared" si="1"/>
        <v>9455.6129404796538</v>
      </c>
      <c r="K26" s="384">
        <f>J26*$P$4</f>
        <v>81696.495805744213</v>
      </c>
      <c r="L26" s="385">
        <f t="shared" si="2"/>
        <v>11670.927972249174</v>
      </c>
      <c r="M26" s="1269">
        <f>M25</f>
        <v>9713.8707057925603</v>
      </c>
      <c r="N26" s="387">
        <f>M26*$P$4</f>
        <v>83927.842898047733</v>
      </c>
      <c r="O26" s="1117">
        <f t="shared" si="3"/>
        <v>11989.691842578248</v>
      </c>
      <c r="P26" s="1273">
        <f>P25</f>
        <v>9830.2717577554577</v>
      </c>
      <c r="Q26" s="736">
        <f>P26*$P$4</f>
        <v>84933.547987007158</v>
      </c>
      <c r="R26" s="390">
        <f t="shared" si="4"/>
        <v>12133.363998143879</v>
      </c>
      <c r="S26" s="1274" t="s">
        <v>12</v>
      </c>
      <c r="T26" s="1275" t="s">
        <v>12</v>
      </c>
      <c r="U26" s="1276">
        <f t="shared" si="5"/>
        <v>11931.327937657101</v>
      </c>
    </row>
    <row r="27" spans="1:22" s="1" customFormat="1" x14ac:dyDescent="0.25">
      <c r="A27" s="616"/>
      <c r="B27" s="1265" t="s">
        <v>319</v>
      </c>
      <c r="C27" s="625">
        <f>C26</f>
        <v>7000</v>
      </c>
      <c r="D27" s="1207">
        <f>D26</f>
        <v>2019</v>
      </c>
      <c r="E27" s="112"/>
      <c r="F27" s="396"/>
      <c r="G27" s="112"/>
      <c r="H27" s="112"/>
      <c r="I27" s="145"/>
      <c r="J27" s="384">
        <f t="shared" si="1"/>
        <v>9455.6129404796538</v>
      </c>
      <c r="K27" s="384">
        <f>J27*$O$5</f>
        <v>1550720.5222386632</v>
      </c>
      <c r="L27" s="385">
        <f t="shared" si="2"/>
        <v>221531.50317695187</v>
      </c>
      <c r="M27" s="1269">
        <f>M26</f>
        <v>9713.8707057925603</v>
      </c>
      <c r="N27" s="387">
        <f>M27*$O$5</f>
        <v>1593074.7957499798</v>
      </c>
      <c r="O27" s="407">
        <f t="shared" si="3"/>
        <v>227582.11367856854</v>
      </c>
      <c r="P27" s="1270">
        <f>P26</f>
        <v>9830.2717577554577</v>
      </c>
      <c r="Q27" s="384">
        <f>P27*$O$5</f>
        <v>1612164.5682718949</v>
      </c>
      <c r="R27" s="385">
        <f t="shared" si="4"/>
        <v>230309.22403884213</v>
      </c>
      <c r="S27" s="462" t="s">
        <v>12</v>
      </c>
      <c r="T27" s="380" t="s">
        <v>12</v>
      </c>
      <c r="U27" s="509">
        <f t="shared" si="5"/>
        <v>226474.28029812084</v>
      </c>
    </row>
    <row r="28" spans="1:22" s="1" customFormat="1" x14ac:dyDescent="0.25">
      <c r="A28" s="616"/>
      <c r="B28" s="826" t="s">
        <v>320</v>
      </c>
      <c r="C28" s="1041">
        <f>VLOOKUP(C$2,Monitor_Costs,11,FALSE)</f>
        <v>11000</v>
      </c>
      <c r="D28" s="400">
        <f>D27</f>
        <v>2019</v>
      </c>
      <c r="E28" s="460"/>
      <c r="F28" s="93"/>
      <c r="G28" s="460"/>
      <c r="H28" s="460"/>
      <c r="I28" s="47"/>
      <c r="J28" s="383">
        <f t="shared" si="1"/>
        <v>14858.820335039454</v>
      </c>
      <c r="K28" s="384">
        <f>J28*$L$6</f>
        <v>0</v>
      </c>
      <c r="L28" s="385">
        <f t="shared" si="2"/>
        <v>0</v>
      </c>
      <c r="M28" s="1269">
        <f>M27</f>
        <v>9713.8707057925603</v>
      </c>
      <c r="N28" s="387">
        <f>M27*$L$6</f>
        <v>0</v>
      </c>
      <c r="O28" s="407">
        <f t="shared" si="3"/>
        <v>0</v>
      </c>
      <c r="P28" s="1279">
        <f>P27</f>
        <v>9830.2717577554577</v>
      </c>
      <c r="Q28" s="660">
        <f>P27*$L$6</f>
        <v>0</v>
      </c>
      <c r="R28" s="661">
        <f t="shared" si="4"/>
        <v>0</v>
      </c>
      <c r="S28" s="1161" t="s">
        <v>12</v>
      </c>
      <c r="T28" s="665" t="s">
        <v>12</v>
      </c>
      <c r="U28" s="1185">
        <f t="shared" si="5"/>
        <v>0</v>
      </c>
    </row>
    <row r="29" spans="1:22" s="1" customFormat="1" x14ac:dyDescent="0.25">
      <c r="A29" s="616"/>
      <c r="B29" s="1266" t="str">
        <f>VLOOKUP(C$2,Monitor_Costs,10,FALSE)</f>
        <v>Sequential Sampler</v>
      </c>
      <c r="C29" s="1267">
        <f>VLOOKUP(C$2,Monitor_Costs,11,FALSE)</f>
        <v>11000</v>
      </c>
      <c r="D29" s="1112">
        <f>VLOOKUP(C$2,Monitor_Costs,12,FALSE)</f>
        <v>2019</v>
      </c>
      <c r="E29" s="1114"/>
      <c r="F29" s="159"/>
      <c r="G29" s="1114"/>
      <c r="H29" s="1114"/>
      <c r="I29" s="466"/>
      <c r="J29" s="384">
        <f t="shared" si="1"/>
        <v>14858.820335039454</v>
      </c>
      <c r="K29" s="660">
        <f>J29*$O$3</f>
        <v>12644856.105118576</v>
      </c>
      <c r="L29" s="661">
        <f t="shared" si="2"/>
        <v>1806408.0150169395</v>
      </c>
      <c r="M29" s="1272">
        <f>HLOOKUP($D$25,InflationTable,3)*$C29</f>
        <v>15264.653966245451</v>
      </c>
      <c r="N29" s="663">
        <f>M29*$O$3</f>
        <v>12990220.525274878</v>
      </c>
      <c r="O29" s="1116">
        <f t="shared" si="3"/>
        <v>1855745.7893249826</v>
      </c>
      <c r="P29" s="1118">
        <f>HLOOKUP($D$25,InflationTable,4)*$C29</f>
        <v>15447.569905044289</v>
      </c>
      <c r="Q29" s="384">
        <f>P29*$O$3</f>
        <v>13145881.989192691</v>
      </c>
      <c r="R29" s="385">
        <f t="shared" si="4"/>
        <v>1877983.1413132416</v>
      </c>
      <c r="S29" s="462" t="s">
        <v>12</v>
      </c>
      <c r="T29" s="380" t="s">
        <v>12</v>
      </c>
      <c r="U29" s="509">
        <f t="shared" si="5"/>
        <v>1846712.3152183879</v>
      </c>
    </row>
    <row r="30" spans="1:22" s="1" customFormat="1" x14ac:dyDescent="0.25">
      <c r="A30" s="616"/>
      <c r="B30" s="1268" t="str">
        <f>"Spare "&amp;B29&amp;"s"</f>
        <v>Spare Sequential Samplers</v>
      </c>
      <c r="C30" s="467">
        <f>C29</f>
        <v>11000</v>
      </c>
      <c r="D30" s="381">
        <f>VLOOKUP(C$2,Monitor_Costs,12,FALSE)</f>
        <v>2019</v>
      </c>
      <c r="E30" s="459"/>
      <c r="F30" s="93"/>
      <c r="G30" s="460"/>
      <c r="H30" s="460"/>
      <c r="I30" s="47"/>
      <c r="J30" s="384">
        <f t="shared" si="1"/>
        <v>14858.820335039454</v>
      </c>
      <c r="K30" s="384">
        <f>J30*$P$3</f>
        <v>758691.36630711448</v>
      </c>
      <c r="L30" s="385">
        <f t="shared" si="2"/>
        <v>108384.48090101636</v>
      </c>
      <c r="M30" s="1269">
        <f>M29</f>
        <v>15264.653966245451</v>
      </c>
      <c r="N30" s="387">
        <f>M30*$P$3</f>
        <v>779413.23151649267</v>
      </c>
      <c r="O30" s="407">
        <f t="shared" si="3"/>
        <v>111344.74735949896</v>
      </c>
      <c r="P30" s="1270">
        <f>P29</f>
        <v>15447.569905044289</v>
      </c>
      <c r="Q30" s="384">
        <f>P30*$P$3</f>
        <v>788752.91935156134</v>
      </c>
      <c r="R30" s="385">
        <f t="shared" si="4"/>
        <v>112678.98847879448</v>
      </c>
      <c r="S30" s="462" t="s">
        <v>12</v>
      </c>
      <c r="T30" s="380" t="s">
        <v>12</v>
      </c>
      <c r="U30" s="509">
        <f t="shared" si="5"/>
        <v>110802.73891310325</v>
      </c>
    </row>
    <row r="31" spans="1:22" s="1" customFormat="1" x14ac:dyDescent="0.25">
      <c r="A31" s="616"/>
      <c r="B31" s="1266" t="str">
        <f>VLOOKUP(C$2,Monitor_Costs,13,FALSE)</f>
        <v>Continuous Sampler</v>
      </c>
      <c r="C31" s="1267">
        <f>VLOOKUP(C$2,Monitor_Costs,14,FALSE)</f>
        <v>18300</v>
      </c>
      <c r="D31" s="381">
        <f>VLOOKUP(C$2,Monitor_Costs,15,FALSE)</f>
        <v>2019</v>
      </c>
      <c r="E31" s="1113"/>
      <c r="F31" s="159"/>
      <c r="G31" s="1114"/>
      <c r="H31" s="1114"/>
      <c r="I31" s="466"/>
      <c r="J31" s="384">
        <f t="shared" si="1"/>
        <v>24719.673830111093</v>
      </c>
      <c r="K31" s="749">
        <f>J31*$O$6</f>
        <v>24052242.636698093</v>
      </c>
      <c r="L31" s="750">
        <f t="shared" si="2"/>
        <v>3436034.6623854418</v>
      </c>
      <c r="M31" s="1271">
        <f>HLOOKUP($D$25,InflationTable,3)*$C31</f>
        <v>25394.833416571979</v>
      </c>
      <c r="N31" s="752">
        <f>M31*$O$6</f>
        <v>24709172.914324537</v>
      </c>
      <c r="O31" s="1117">
        <f t="shared" si="3"/>
        <v>3529881.8449035054</v>
      </c>
      <c r="P31" s="1118">
        <f>HLOOKUP($D$25,InflationTable,4)*$C31</f>
        <v>25699.139023846408</v>
      </c>
      <c r="Q31" s="749">
        <f>P31*$O$6</f>
        <v>25005262.270202555</v>
      </c>
      <c r="R31" s="750">
        <f t="shared" si="4"/>
        <v>3572180.3243146506</v>
      </c>
      <c r="S31" s="756" t="s">
        <v>12</v>
      </c>
      <c r="T31" s="1119" t="s">
        <v>12</v>
      </c>
      <c r="U31" s="1120">
        <f t="shared" si="5"/>
        <v>3512698.9438678659</v>
      </c>
    </row>
    <row r="32" spans="1:22" s="1" customFormat="1" x14ac:dyDescent="0.25">
      <c r="A32" s="616"/>
      <c r="B32" s="1268" t="str">
        <f>"Spare "&amp;B31&amp;"s"</f>
        <v>Spare Continuous Samplers</v>
      </c>
      <c r="C32" s="1041">
        <f>VLOOKUP(C$2,Monitor_Costs,14,FALSE)</f>
        <v>18300</v>
      </c>
      <c r="D32" s="381">
        <f>VLOOKUP(C$2,Monitor_Costs,15,FALSE)</f>
        <v>2019</v>
      </c>
      <c r="E32" s="459"/>
      <c r="F32" s="93"/>
      <c r="G32" s="460"/>
      <c r="H32" s="460"/>
      <c r="I32" s="1159"/>
      <c r="J32" s="384">
        <f t="shared" si="1"/>
        <v>24719.673830111093</v>
      </c>
      <c r="K32" s="384">
        <f>J32*$P$6</f>
        <v>1443134.5582018855</v>
      </c>
      <c r="L32" s="385">
        <f t="shared" si="2"/>
        <v>206162.07974312649</v>
      </c>
      <c r="M32" s="1040">
        <f>HLOOKUP($D$25,InflationTable,3)*$C32</f>
        <v>25394.833416571979</v>
      </c>
      <c r="N32" s="387">
        <f>M32*$P$6</f>
        <v>1482550.374859472</v>
      </c>
      <c r="O32" s="671">
        <f t="shared" si="3"/>
        <v>211792.9106942103</v>
      </c>
      <c r="P32" s="383">
        <f>HLOOKUP($D$25,InflationTable,4)*$C32</f>
        <v>25699.139023846408</v>
      </c>
      <c r="Q32" s="384">
        <f>P32*$P$6</f>
        <v>1500315.7362121532</v>
      </c>
      <c r="R32" s="385">
        <f t="shared" si="4"/>
        <v>214330.81945887904</v>
      </c>
      <c r="S32" s="462" t="s">
        <v>12</v>
      </c>
      <c r="T32" s="380" t="s">
        <v>12</v>
      </c>
      <c r="U32" s="509">
        <f t="shared" si="5"/>
        <v>210761.93663207194</v>
      </c>
    </row>
    <row r="33" spans="1:21" s="1" customFormat="1" x14ac:dyDescent="0.25">
      <c r="A33" s="616"/>
      <c r="B33" s="1266" t="str">
        <f>VLOOKUP(C$2,Monitor_Costs,16,FALSE)</f>
        <v>Speciation Sampler</v>
      </c>
      <c r="C33" s="1267">
        <f>VLOOKUP(C$2,Monitor_Costs,17,FALSE)</f>
        <v>12000</v>
      </c>
      <c r="D33" s="381">
        <f>VLOOKUP(C$2,Monitor_Costs,18,FALSE)</f>
        <v>2019</v>
      </c>
      <c r="E33" s="459"/>
      <c r="F33" s="93"/>
      <c r="G33" s="460"/>
      <c r="H33" s="460"/>
      <c r="I33" s="1159"/>
      <c r="J33" s="384">
        <f t="shared" si="1"/>
        <v>16209.622183679405</v>
      </c>
      <c r="K33" s="384">
        <f>J33*$O$7</f>
        <v>3209505.1923685223</v>
      </c>
      <c r="L33" s="385">
        <f t="shared" si="2"/>
        <v>458500.74176693178</v>
      </c>
      <c r="M33" s="1040">
        <f>HLOOKUP($D$25,InflationTable,3)*$C33</f>
        <v>16652.349781358673</v>
      </c>
      <c r="N33" s="387">
        <f>M33*$O$7</f>
        <v>3297165.2567090173</v>
      </c>
      <c r="O33" s="671">
        <f t="shared" si="3"/>
        <v>471023.60810128821</v>
      </c>
      <c r="P33" s="383">
        <f>HLOOKUP($D$25,InflationTable,4)*$C33</f>
        <v>16851.894441866498</v>
      </c>
      <c r="Q33" s="384">
        <f>P33*$O$7</f>
        <v>3336675.0994895664</v>
      </c>
      <c r="R33" s="385">
        <f t="shared" si="4"/>
        <v>476667.87135565234</v>
      </c>
      <c r="S33" s="462" t="s">
        <v>12</v>
      </c>
      <c r="T33" s="380" t="s">
        <v>12</v>
      </c>
      <c r="U33" s="509">
        <f t="shared" si="5"/>
        <v>468730.74040795746</v>
      </c>
    </row>
    <row r="34" spans="1:21" s="1" customFormat="1" x14ac:dyDescent="0.25">
      <c r="A34" s="616"/>
      <c r="B34" s="1283" t="str">
        <f>VLOOKUP(C$2,Monitor_Costs,19,FALSE)</f>
        <v>Data acquisition (laptop/PDA)</v>
      </c>
      <c r="C34" s="1041">
        <f>VLOOKUP(C$2,Monitor_Costs,20,FALSE)</f>
        <v>400</v>
      </c>
      <c r="D34" s="381">
        <f>VLOOKUP(C$2,Monitor_Costs,21,FALSE)</f>
        <v>2019</v>
      </c>
      <c r="F34" s="93"/>
      <c r="G34" s="460"/>
      <c r="H34" s="460"/>
      <c r="I34" s="1159"/>
      <c r="J34" s="384">
        <f t="shared" si="1"/>
        <v>540.32073945598017</v>
      </c>
      <c r="K34" s="384">
        <f>J34*($O$3+$O$4+$L$6+$O$5)</f>
        <v>626231.73702948098</v>
      </c>
      <c r="L34" s="385">
        <f t="shared" si="2"/>
        <v>89461.676718497285</v>
      </c>
      <c r="M34" s="1040">
        <f>HLOOKUP($D$25,InflationTable,3)*$C34</f>
        <v>555.07832604528915</v>
      </c>
      <c r="N34" s="387">
        <f>M34*($O$3+$O$4+$L$6+$O$5)</f>
        <v>643335.77988649008</v>
      </c>
      <c r="O34" s="671">
        <f t="shared" si="3"/>
        <v>91905.11141235572</v>
      </c>
      <c r="P34" s="383">
        <f>HLOOKUP($D$25,InflationTable,4)*$C34</f>
        <v>561.7298147288833</v>
      </c>
      <c r="Q34" s="384">
        <f>P34*($O$3+$O$4+$L$6+$O$5)</f>
        <v>651044.85527077573</v>
      </c>
      <c r="R34" s="385">
        <f t="shared" si="4"/>
        <v>93006.407895825105</v>
      </c>
      <c r="S34" s="462" t="s">
        <v>12</v>
      </c>
      <c r="T34" s="380" t="s">
        <v>12</v>
      </c>
      <c r="U34" s="509">
        <f t="shared" si="5"/>
        <v>91457.732008892694</v>
      </c>
    </row>
    <row r="35" spans="1:21" s="1" customFormat="1" ht="13.8" thickBot="1" x14ac:dyDescent="0.3">
      <c r="A35" s="616"/>
      <c r="B35" s="1280" t="str">
        <f>VLOOKUP(C$2,Monitor_Costs,22,FALSE)</f>
        <v>Sampling Platform</v>
      </c>
      <c r="C35" s="1281">
        <f>VLOOKUP(C$2,Monitor_Costs,23,FALSE)</f>
        <v>2000</v>
      </c>
      <c r="D35" s="373">
        <f>VLOOKUP(C$2,Monitor_Costs,24,FALSE)</f>
        <v>2019</v>
      </c>
      <c r="E35" s="1282"/>
      <c r="F35" s="470"/>
      <c r="G35" s="469"/>
      <c r="H35" s="469"/>
      <c r="I35" s="1277"/>
      <c r="J35" s="296">
        <f t="shared" si="1"/>
        <v>2701.6036972799011</v>
      </c>
      <c r="K35" s="296">
        <f>J35*S3</f>
        <v>2742127.7527390998</v>
      </c>
      <c r="L35" s="297">
        <f t="shared" si="2"/>
        <v>391732.53610558569</v>
      </c>
      <c r="M35" s="1278">
        <f>HLOOKUP($D$25,InflationTable,3)*$C35</f>
        <v>2775.3916302264456</v>
      </c>
      <c r="N35" s="377">
        <f>M35*$S$3</f>
        <v>2817022.5046798424</v>
      </c>
      <c r="O35" s="209">
        <f t="shared" si="3"/>
        <v>402431.7863828346</v>
      </c>
      <c r="P35" s="332">
        <f>HLOOKUP($D$25,InflationTable,4)*$C35</f>
        <v>2808.6490736444161</v>
      </c>
      <c r="Q35" s="296">
        <f>P35*$S$3</f>
        <v>2850778.8097490822</v>
      </c>
      <c r="R35" s="297">
        <f t="shared" si="4"/>
        <v>407254.11567844031</v>
      </c>
      <c r="S35" s="472" t="s">
        <v>12</v>
      </c>
      <c r="T35" s="218" t="s">
        <v>12</v>
      </c>
      <c r="U35" s="229">
        <f t="shared" si="5"/>
        <v>400472.81272228685</v>
      </c>
    </row>
    <row r="36" spans="1:21" x14ac:dyDescent="0.25">
      <c r="A36" s="615"/>
      <c r="B36" s="610" t="s">
        <v>17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1"/>
      <c r="K36" s="352"/>
      <c r="L36" s="356"/>
      <c r="M36" s="110"/>
      <c r="N36" s="108"/>
      <c r="O36" s="111"/>
      <c r="P36" s="352"/>
      <c r="Q36" s="352"/>
      <c r="R36" s="356"/>
      <c r="S36" s="125"/>
      <c r="T36" s="37"/>
      <c r="U36" s="227"/>
    </row>
    <row r="37" spans="1:21" x14ac:dyDescent="0.25">
      <c r="A37" s="615"/>
      <c r="B37" s="1037" t="s">
        <v>119</v>
      </c>
      <c r="C37" s="31">
        <v>0</v>
      </c>
      <c r="D37" s="21">
        <v>0</v>
      </c>
      <c r="E37" s="21">
        <v>8</v>
      </c>
      <c r="F37" s="21">
        <v>8</v>
      </c>
      <c r="G37" s="21">
        <v>0</v>
      </c>
      <c r="H37" s="21">
        <v>0</v>
      </c>
      <c r="I37" s="48">
        <f>SUM(C37:H37)</f>
        <v>16</v>
      </c>
      <c r="J37" s="263" t="s">
        <v>12</v>
      </c>
      <c r="K37" s="281">
        <f>$I37*($O$3+$O$4+$O$5+$O$6+$O$7+$L$6+$P$3+$P$4+$P$6)</f>
        <v>39169.279999999999</v>
      </c>
      <c r="L37" s="282">
        <f>K37/$E$22</f>
        <v>5595.6114285714284</v>
      </c>
      <c r="M37" s="58" t="s">
        <v>12</v>
      </c>
      <c r="N37" s="69">
        <f>$I37*($O$3+$O$4+$O$5+$O$6+$O$7+$L$6+$P$3+$P$4+$P$6)</f>
        <v>39169.279999999999</v>
      </c>
      <c r="O37" s="59">
        <f>N37/$E$22</f>
        <v>5595.6114285714284</v>
      </c>
      <c r="P37" s="263" t="s">
        <v>12</v>
      </c>
      <c r="Q37" s="281">
        <f>$I37*($O$3+$O$4+$O$5+$O$6+$O$7+$L$6+$P$3+$P$4+$P$6)</f>
        <v>39169.279999999999</v>
      </c>
      <c r="R37" s="282">
        <f>Q37/$E$22</f>
        <v>5595.6114285714284</v>
      </c>
      <c r="S37" s="173">
        <f>AVERAGE(L37,O37,R37)</f>
        <v>5595.6114285714284</v>
      </c>
      <c r="T37" s="119" t="s">
        <v>12</v>
      </c>
      <c r="U37" s="232" t="s">
        <v>12</v>
      </c>
    </row>
    <row r="38" spans="1:21" s="1" customFormat="1" ht="13.8" thickBot="1" x14ac:dyDescent="0.3">
      <c r="A38" s="616"/>
      <c r="B38" s="1043" t="s">
        <v>8</v>
      </c>
      <c r="C38" s="389">
        <f>ROUND(C37*Labor!$D$3,0)</f>
        <v>0</v>
      </c>
      <c r="D38" s="374">
        <f>ROUND(D37*Labor!$D$4,0)</f>
        <v>0</v>
      </c>
      <c r="E38" s="374">
        <f>ROUND(E37*Labor!$D$5,0)</f>
        <v>353</v>
      </c>
      <c r="F38" s="374">
        <f>ROUND(F37*Labor!$D$6,0)</f>
        <v>394</v>
      </c>
      <c r="G38" s="374">
        <f>ROUND(G37*Labor!$D$7,0)</f>
        <v>0</v>
      </c>
      <c r="H38" s="374">
        <f>ROUND(H37*Labor!$D$8,0)</f>
        <v>0</v>
      </c>
      <c r="I38" s="375">
        <f>SUM(C38:H38)</f>
        <v>747</v>
      </c>
      <c r="J38" s="332">
        <f>HLOOKUP(Labor!$B$11,InflationTable,2)*I38</f>
        <v>1009.048980934043</v>
      </c>
      <c r="K38" s="296">
        <f>J38*($O$3+$O$4+$O$5+$O$6+$O$7+$L$6+$P$3+$P$4+$P$6)</f>
        <v>2470232.6292450121</v>
      </c>
      <c r="L38" s="297">
        <f>K38/$E$22</f>
        <v>352890.37560643029</v>
      </c>
      <c r="M38" s="376">
        <f>HLOOKUP(Labor!$B$11,InflationTable,3)*$I38</f>
        <v>1036.6087738895774</v>
      </c>
      <c r="N38" s="377">
        <f>M38*($O$3+$O$4+$O$5+$O$6+$O$7+$L$6+$P$3+$P$4+$P$6)</f>
        <v>2537701.2071835967</v>
      </c>
      <c r="O38" s="378">
        <f>N38/$E$22</f>
        <v>362528.74388337095</v>
      </c>
      <c r="P38" s="332">
        <f>HLOOKUP(Labor!$B$11,InflationTable,4)*$I38</f>
        <v>1049.0304290061895</v>
      </c>
      <c r="Q38" s="296">
        <f>P38*($O$3+$O$4+$O$5+$O$6+$O$7+$L$6+$P$3+$P$4+$P$6)</f>
        <v>2568110.4126414722</v>
      </c>
      <c r="R38" s="297">
        <f>Q38/$E$22</f>
        <v>366872.91609163891</v>
      </c>
      <c r="S38" s="450">
        <f>AVERAGE(L38,O38,R38)</f>
        <v>360764.01186048007</v>
      </c>
      <c r="T38" s="218" t="s">
        <v>12</v>
      </c>
      <c r="U38" s="228" t="s">
        <v>12</v>
      </c>
    </row>
    <row r="39" spans="1:21" s="1" customFormat="1" x14ac:dyDescent="0.25">
      <c r="A39" s="616"/>
      <c r="B39" s="610" t="s">
        <v>177</v>
      </c>
      <c r="C39" s="666"/>
      <c r="D39" s="657"/>
      <c r="E39" s="657"/>
      <c r="F39" s="657"/>
      <c r="G39" s="657"/>
      <c r="H39" s="657"/>
      <c r="I39" s="658"/>
      <c r="J39" s="1309"/>
      <c r="K39" s="1310"/>
      <c r="L39" s="1311"/>
      <c r="M39" s="1312"/>
      <c r="N39" s="1313"/>
      <c r="O39" s="1314"/>
      <c r="P39" s="1315"/>
      <c r="Q39" s="660"/>
      <c r="R39" s="661"/>
      <c r="S39" s="1316"/>
      <c r="T39" s="1317"/>
      <c r="U39" s="1318"/>
    </row>
    <row r="40" spans="1:21" x14ac:dyDescent="0.25">
      <c r="A40" s="615"/>
      <c r="B40" s="610" t="s">
        <v>323</v>
      </c>
      <c r="C40" s="346">
        <v>0</v>
      </c>
      <c r="D40" s="365">
        <v>4</v>
      </c>
      <c r="E40" s="365">
        <v>2</v>
      </c>
      <c r="F40" s="365">
        <v>2</v>
      </c>
      <c r="G40" s="365">
        <v>0</v>
      </c>
      <c r="H40" s="365">
        <v>0</v>
      </c>
      <c r="I40" s="366">
        <f t="shared" ref="I40:I49" si="6">SUM(C40:H40)</f>
        <v>8</v>
      </c>
      <c r="J40" s="293" t="s">
        <v>12</v>
      </c>
      <c r="K40" s="1321">
        <f>$I$40*($O$4+$O$5)</f>
        <v>2464</v>
      </c>
      <c r="L40" s="282">
        <f t="shared" ref="L40:L49" si="7">K40/$E$22</f>
        <v>352</v>
      </c>
      <c r="M40" s="61" t="s">
        <v>12</v>
      </c>
      <c r="N40" s="1322">
        <f>$I$40*($O$4+$O$5)</f>
        <v>2464</v>
      </c>
      <c r="O40" s="59">
        <f t="shared" ref="O40:O49" si="8">N40/$E$22</f>
        <v>352</v>
      </c>
      <c r="P40" s="293" t="s">
        <v>12</v>
      </c>
      <c r="Q40" s="1319">
        <f>$I$40*($O$4+$O$5)</f>
        <v>2464</v>
      </c>
      <c r="R40" s="282">
        <f t="shared" ref="R40:R49" si="9">Q40/$E$22</f>
        <v>352</v>
      </c>
      <c r="S40" s="129">
        <f t="shared" ref="S40:S50" si="10">AVERAGE(L40,O40,R40)</f>
        <v>352</v>
      </c>
      <c r="T40" s="136" t="s">
        <v>12</v>
      </c>
      <c r="U40" s="230" t="s">
        <v>12</v>
      </c>
    </row>
    <row r="41" spans="1:21" s="1" customFormat="1" ht="13.8" thickBot="1" x14ac:dyDescent="0.3">
      <c r="A41" s="616"/>
      <c r="B41" s="1044" t="s">
        <v>8</v>
      </c>
      <c r="C41" s="373">
        <f>ROUND(C40*Labor!$D$3,0)</f>
        <v>0</v>
      </c>
      <c r="D41" s="374">
        <f>ROUND(D40*Labor!$D$4,0)</f>
        <v>163</v>
      </c>
      <c r="E41" s="374">
        <f>ROUND(E40*Labor!$D$5,0)</f>
        <v>88</v>
      </c>
      <c r="F41" s="374">
        <f>ROUND(F40*Labor!$D$6,0)</f>
        <v>99</v>
      </c>
      <c r="G41" s="374">
        <f>ROUND(G40*Labor!$D$7,0)</f>
        <v>0</v>
      </c>
      <c r="H41" s="374">
        <f>ROUND(H40*Labor!$D$8,0)</f>
        <v>0</v>
      </c>
      <c r="I41" s="375">
        <f t="shared" si="6"/>
        <v>350</v>
      </c>
      <c r="J41" s="332">
        <f>HLOOKUP(Labor!$B$11,InflationTable,2)*I41</f>
        <v>472.78064702398268</v>
      </c>
      <c r="K41" s="1320">
        <f>J41*($O$4+$O$5)</f>
        <v>145616.43928338666</v>
      </c>
      <c r="L41" s="744">
        <f t="shared" si="7"/>
        <v>20802.348469055236</v>
      </c>
      <c r="M41" s="376">
        <f>HLOOKUP(Labor!$B$11,InflationTable,3)*$I41</f>
        <v>485.69353528962796</v>
      </c>
      <c r="N41" s="746">
        <f>M41*($O$4+$O$5)</f>
        <v>149593.6088692054</v>
      </c>
      <c r="O41" s="747">
        <f t="shared" si="8"/>
        <v>21370.515552743629</v>
      </c>
      <c r="P41" s="339">
        <f>HLOOKUP(Labor!$B$11,InflationTable,4)*$I41</f>
        <v>491.51358788777287</v>
      </c>
      <c r="Q41" s="296">
        <f>P41*($O$4+$O$5)</f>
        <v>151386.18506943405</v>
      </c>
      <c r="R41" s="297">
        <f t="shared" si="9"/>
        <v>21626.597867062006</v>
      </c>
      <c r="S41" s="211">
        <f t="shared" si="10"/>
        <v>21266.487296286956</v>
      </c>
      <c r="T41" s="393" t="s">
        <v>12</v>
      </c>
      <c r="U41" s="228" t="s">
        <v>12</v>
      </c>
    </row>
    <row r="42" spans="1:21" x14ac:dyDescent="0.25">
      <c r="A42" s="615"/>
      <c r="B42" s="610" t="s">
        <v>324</v>
      </c>
      <c r="C42" s="346">
        <v>0</v>
      </c>
      <c r="D42" s="365">
        <v>4</v>
      </c>
      <c r="E42" s="365">
        <v>2</v>
      </c>
      <c r="F42" s="365">
        <v>2</v>
      </c>
      <c r="G42" s="365">
        <v>0</v>
      </c>
      <c r="H42" s="365">
        <v>0</v>
      </c>
      <c r="I42" s="366">
        <f t="shared" si="6"/>
        <v>8</v>
      </c>
      <c r="J42" s="293" t="s">
        <v>12</v>
      </c>
      <c r="K42" s="327">
        <f>$I42*$O$3</f>
        <v>6808</v>
      </c>
      <c r="L42" s="294">
        <f t="shared" si="7"/>
        <v>972.57142857142856</v>
      </c>
      <c r="M42" s="61" t="s">
        <v>12</v>
      </c>
      <c r="N42" s="348">
        <f>$I42*$O$3</f>
        <v>6808</v>
      </c>
      <c r="O42" s="62">
        <f t="shared" si="8"/>
        <v>972.57142857142856</v>
      </c>
      <c r="P42" s="293" t="s">
        <v>12</v>
      </c>
      <c r="Q42" s="327">
        <f>$I42*$O$3</f>
        <v>6808</v>
      </c>
      <c r="R42" s="367">
        <f t="shared" si="9"/>
        <v>972.57142857142856</v>
      </c>
      <c r="S42" s="129">
        <f t="shared" si="10"/>
        <v>972.57142857142856</v>
      </c>
      <c r="T42" s="136" t="s">
        <v>12</v>
      </c>
      <c r="U42" s="230" t="s">
        <v>12</v>
      </c>
    </row>
    <row r="43" spans="1:21" s="1" customFormat="1" ht="13.8" thickBot="1" x14ac:dyDescent="0.3">
      <c r="A43" s="616"/>
      <c r="B43" s="1044" t="s">
        <v>8</v>
      </c>
      <c r="C43" s="373">
        <f>ROUND(C42*Labor!$D$3,0)</f>
        <v>0</v>
      </c>
      <c r="D43" s="374">
        <f>ROUND(D42*Labor!$D$4,0)</f>
        <v>163</v>
      </c>
      <c r="E43" s="374">
        <f>ROUND(E42*Labor!$D$5,0)</f>
        <v>88</v>
      </c>
      <c r="F43" s="374">
        <f>ROUND(F42*Labor!$D$6,0)</f>
        <v>99</v>
      </c>
      <c r="G43" s="374">
        <f>ROUND(G42*Labor!$D$7,0)</f>
        <v>0</v>
      </c>
      <c r="H43" s="374">
        <f>ROUND(H42*Labor!$D$8,0)</f>
        <v>0</v>
      </c>
      <c r="I43" s="375">
        <f t="shared" si="6"/>
        <v>350</v>
      </c>
      <c r="J43" s="332">
        <f>HLOOKUP(Labor!$B$11,InflationTable,2)*I43</f>
        <v>472.78064702398268</v>
      </c>
      <c r="K43" s="296">
        <f>J43*$O$3</f>
        <v>402336.33061740926</v>
      </c>
      <c r="L43" s="297">
        <f t="shared" si="7"/>
        <v>57476.618659629894</v>
      </c>
      <c r="M43" s="376">
        <f>HLOOKUP(Labor!$B$11,InflationTable,3)*$I43</f>
        <v>485.69353528962796</v>
      </c>
      <c r="N43" s="377">
        <f>M43*$O$3</f>
        <v>413325.1985314734</v>
      </c>
      <c r="O43" s="378">
        <f t="shared" si="8"/>
        <v>59046.456933067631</v>
      </c>
      <c r="P43" s="339">
        <f>HLOOKUP(Labor!$B$11,InflationTable,4)*$I43</f>
        <v>491.51358788777287</v>
      </c>
      <c r="Q43" s="296">
        <f>P43*$O$3</f>
        <v>418278.06329249474</v>
      </c>
      <c r="R43" s="297">
        <f t="shared" si="9"/>
        <v>59754.009041784964</v>
      </c>
      <c r="S43" s="211">
        <f t="shared" si="10"/>
        <v>58759.028211494158</v>
      </c>
      <c r="T43" s="393" t="s">
        <v>12</v>
      </c>
      <c r="U43" s="228" t="s">
        <v>12</v>
      </c>
    </row>
    <row r="44" spans="1:21" x14ac:dyDescent="0.25">
      <c r="A44" s="615"/>
      <c r="B44" s="610" t="s">
        <v>325</v>
      </c>
      <c r="C44" s="346">
        <v>0</v>
      </c>
      <c r="D44" s="365">
        <v>4</v>
      </c>
      <c r="E44" s="365">
        <v>2</v>
      </c>
      <c r="F44" s="365">
        <v>2</v>
      </c>
      <c r="G44" s="365">
        <v>0</v>
      </c>
      <c r="H44" s="365">
        <v>0</v>
      </c>
      <c r="I44" s="366">
        <f t="shared" si="6"/>
        <v>8</v>
      </c>
      <c r="J44" s="293" t="s">
        <v>12</v>
      </c>
      <c r="K44" s="334">
        <f>$I44*$L$6</f>
        <v>0</v>
      </c>
      <c r="L44" s="294">
        <f t="shared" si="7"/>
        <v>0</v>
      </c>
      <c r="M44" s="61" t="s">
        <v>12</v>
      </c>
      <c r="N44" s="667">
        <f>$I44*$L$6</f>
        <v>0</v>
      </c>
      <c r="O44" s="62">
        <f t="shared" si="8"/>
        <v>0</v>
      </c>
      <c r="P44" s="293" t="s">
        <v>12</v>
      </c>
      <c r="Q44" s="334">
        <f>$I44*$L$6</f>
        <v>0</v>
      </c>
      <c r="R44" s="367">
        <f t="shared" si="9"/>
        <v>0</v>
      </c>
      <c r="S44" s="129">
        <f t="shared" si="10"/>
        <v>0</v>
      </c>
      <c r="T44" s="136" t="s">
        <v>12</v>
      </c>
      <c r="U44" s="230" t="s">
        <v>12</v>
      </c>
    </row>
    <row r="45" spans="1:21" s="1" customFormat="1" ht="13.8" thickBot="1" x14ac:dyDescent="0.3">
      <c r="A45" s="616"/>
      <c r="B45" s="1044" t="s">
        <v>8</v>
      </c>
      <c r="C45" s="373">
        <f>ROUND(C44*Labor!$D$3,0)</f>
        <v>0</v>
      </c>
      <c r="D45" s="374">
        <f>ROUND(D44*Labor!$D$4,0)</f>
        <v>163</v>
      </c>
      <c r="E45" s="374">
        <f>ROUND(E44*Labor!$D$5,0)</f>
        <v>88</v>
      </c>
      <c r="F45" s="374">
        <f>ROUND(F44*Labor!$D$6,0)</f>
        <v>99</v>
      </c>
      <c r="G45" s="374">
        <f>ROUND(G44*Labor!$D$7,0)</f>
        <v>0</v>
      </c>
      <c r="H45" s="374">
        <f>ROUND(H44*Labor!$D$8,0)</f>
        <v>0</v>
      </c>
      <c r="I45" s="375">
        <f t="shared" si="6"/>
        <v>350</v>
      </c>
      <c r="J45" s="332">
        <f>HLOOKUP(Labor!$B$11,InflationTable,2)*I45</f>
        <v>472.78064702398268</v>
      </c>
      <c r="K45" s="296">
        <f>J45*$L$6</f>
        <v>0</v>
      </c>
      <c r="L45" s="297">
        <f t="shared" si="7"/>
        <v>0</v>
      </c>
      <c r="M45" s="376">
        <f>HLOOKUP(Labor!$B$11,InflationTable,3)*$I45</f>
        <v>485.69353528962796</v>
      </c>
      <c r="N45" s="377">
        <f>M45*$L$6</f>
        <v>0</v>
      </c>
      <c r="O45" s="378">
        <f t="shared" si="8"/>
        <v>0</v>
      </c>
      <c r="P45" s="339">
        <f>HLOOKUP(Labor!$B$11,InflationTable,4)*$I45</f>
        <v>491.51358788777287</v>
      </c>
      <c r="Q45" s="296">
        <f>P45*$L$6</f>
        <v>0</v>
      </c>
      <c r="R45" s="297">
        <f t="shared" si="9"/>
        <v>0</v>
      </c>
      <c r="S45" s="211">
        <f t="shared" si="10"/>
        <v>0</v>
      </c>
      <c r="T45" s="393" t="s">
        <v>12</v>
      </c>
      <c r="U45" s="228" t="s">
        <v>12</v>
      </c>
    </row>
    <row r="46" spans="1:21" x14ac:dyDescent="0.25">
      <c r="A46" s="615"/>
      <c r="B46" s="610" t="s">
        <v>326</v>
      </c>
      <c r="C46" s="346">
        <v>0</v>
      </c>
      <c r="D46" s="365">
        <v>2</v>
      </c>
      <c r="E46" s="365">
        <v>3</v>
      </c>
      <c r="F46" s="365">
        <v>3</v>
      </c>
      <c r="G46" s="365">
        <v>0</v>
      </c>
      <c r="H46" s="365">
        <v>0</v>
      </c>
      <c r="I46" s="366">
        <f t="shared" si="6"/>
        <v>8</v>
      </c>
      <c r="J46" s="293" t="s">
        <v>12</v>
      </c>
      <c r="K46" s="327">
        <f>$I46*$O$6</f>
        <v>7784</v>
      </c>
      <c r="L46" s="294">
        <f t="shared" si="7"/>
        <v>1112</v>
      </c>
      <c r="M46" s="61" t="s">
        <v>12</v>
      </c>
      <c r="N46" s="348">
        <f>$I46*$O$6</f>
        <v>7784</v>
      </c>
      <c r="O46" s="62">
        <f t="shared" si="8"/>
        <v>1112</v>
      </c>
      <c r="P46" s="293" t="s">
        <v>12</v>
      </c>
      <c r="Q46" s="327">
        <f>$I46*$O$6</f>
        <v>7784</v>
      </c>
      <c r="R46" s="367">
        <f t="shared" si="9"/>
        <v>1112</v>
      </c>
      <c r="S46" s="129">
        <f t="shared" si="10"/>
        <v>1112</v>
      </c>
      <c r="T46" s="136" t="s">
        <v>12</v>
      </c>
      <c r="U46" s="230" t="s">
        <v>12</v>
      </c>
    </row>
    <row r="47" spans="1:21" s="1" customFormat="1" ht="13.8" thickBot="1" x14ac:dyDescent="0.3">
      <c r="A47" s="616"/>
      <c r="B47" s="1044" t="s">
        <v>8</v>
      </c>
      <c r="C47" s="373">
        <f>ROUND(C46*Labor!$D$3,0)</f>
        <v>0</v>
      </c>
      <c r="D47" s="374">
        <f>ROUND(D46*Labor!$D$4,0)</f>
        <v>82</v>
      </c>
      <c r="E47" s="374">
        <f>ROUND(E46*Labor!$D$5,0)</f>
        <v>132</v>
      </c>
      <c r="F47" s="374">
        <f>ROUND(F46*Labor!$D$6,0)</f>
        <v>148</v>
      </c>
      <c r="G47" s="374">
        <f>ROUND(G46*Labor!$D$7,0)</f>
        <v>0</v>
      </c>
      <c r="H47" s="374">
        <f>ROUND(H46*Labor!$D$8,0)</f>
        <v>0</v>
      </c>
      <c r="I47" s="375">
        <f t="shared" si="6"/>
        <v>362</v>
      </c>
      <c r="J47" s="332">
        <f>HLOOKUP(Labor!$B$11,InflationTable,2)*I47</f>
        <v>488.99026920766204</v>
      </c>
      <c r="K47" s="296">
        <f>J47*$O$6</f>
        <v>475787.53193905519</v>
      </c>
      <c r="L47" s="297">
        <f t="shared" si="7"/>
        <v>67969.647419865025</v>
      </c>
      <c r="M47" s="376">
        <f>HLOOKUP(Labor!$B$11,InflationTable,3)*$I47</f>
        <v>502.34588507098664</v>
      </c>
      <c r="N47" s="377">
        <f>M47*$O$6</f>
        <v>488782.54617406998</v>
      </c>
      <c r="O47" s="378">
        <f t="shared" si="8"/>
        <v>69826.078024867136</v>
      </c>
      <c r="P47" s="339">
        <f>HLOOKUP(Labor!$B$11,InflationTable,4)*$I47</f>
        <v>508.36548232963935</v>
      </c>
      <c r="Q47" s="296">
        <f>P47*$O$6</f>
        <v>494639.61430673907</v>
      </c>
      <c r="R47" s="297">
        <f t="shared" si="9"/>
        <v>70662.802043819873</v>
      </c>
      <c r="S47" s="211">
        <f t="shared" si="10"/>
        <v>69486.175829517349</v>
      </c>
      <c r="T47" s="393" t="s">
        <v>12</v>
      </c>
      <c r="U47" s="228" t="s">
        <v>12</v>
      </c>
    </row>
    <row r="48" spans="1:21" x14ac:dyDescent="0.25">
      <c r="A48" s="615"/>
      <c r="B48" s="610" t="s">
        <v>327</v>
      </c>
      <c r="C48" s="346">
        <v>0</v>
      </c>
      <c r="D48" s="365">
        <v>2</v>
      </c>
      <c r="E48" s="365">
        <v>8</v>
      </c>
      <c r="F48" s="365">
        <v>2</v>
      </c>
      <c r="G48" s="365">
        <v>0</v>
      </c>
      <c r="H48" s="365">
        <v>0</v>
      </c>
      <c r="I48" s="366">
        <f t="shared" si="6"/>
        <v>12</v>
      </c>
      <c r="J48" s="293" t="s">
        <v>12</v>
      </c>
      <c r="K48" s="327">
        <f>$I48*$O$7</f>
        <v>2376</v>
      </c>
      <c r="L48" s="294">
        <f t="shared" si="7"/>
        <v>339.42857142857144</v>
      </c>
      <c r="M48" s="61" t="s">
        <v>12</v>
      </c>
      <c r="N48" s="348">
        <f>$I48*$O$7</f>
        <v>2376</v>
      </c>
      <c r="O48" s="62">
        <f t="shared" si="8"/>
        <v>339.42857142857144</v>
      </c>
      <c r="P48" s="293" t="s">
        <v>12</v>
      </c>
      <c r="Q48" s="327">
        <f>$I48*$O$7</f>
        <v>2376</v>
      </c>
      <c r="R48" s="367">
        <f t="shared" si="9"/>
        <v>339.42857142857144</v>
      </c>
      <c r="S48" s="129">
        <f t="shared" si="10"/>
        <v>339.42857142857144</v>
      </c>
      <c r="T48" s="136" t="s">
        <v>12</v>
      </c>
      <c r="U48" s="230" t="s">
        <v>12</v>
      </c>
    </row>
    <row r="49" spans="1:22" s="1" customFormat="1" ht="13.8" thickBot="1" x14ac:dyDescent="0.3">
      <c r="A49" s="616"/>
      <c r="B49" s="612" t="s">
        <v>8</v>
      </c>
      <c r="C49" s="373">
        <f>ROUND(C48*Labor!$D$3,0)</f>
        <v>0</v>
      </c>
      <c r="D49" s="374">
        <f>ROUND(D48*Labor!$D$4,0)</f>
        <v>82</v>
      </c>
      <c r="E49" s="374">
        <f>ROUND(E48*Labor!$D$5,0)</f>
        <v>353</v>
      </c>
      <c r="F49" s="374">
        <f>ROUND(F48*Labor!$D$6,0)</f>
        <v>99</v>
      </c>
      <c r="G49" s="374">
        <f>ROUND(G48*Labor!$D$7,0)</f>
        <v>0</v>
      </c>
      <c r="H49" s="374">
        <f>ROUND(H48*Labor!$D$8,0)</f>
        <v>0</v>
      </c>
      <c r="I49" s="375">
        <f t="shared" si="6"/>
        <v>534</v>
      </c>
      <c r="J49" s="332">
        <f>HLOOKUP(Labor!$B$11,InflationTable,2)*I49</f>
        <v>721.32818717373357</v>
      </c>
      <c r="K49" s="296">
        <f>J49*$O$7</f>
        <v>142822.98106039924</v>
      </c>
      <c r="L49" s="297">
        <f t="shared" si="7"/>
        <v>20403.283008628463</v>
      </c>
      <c r="M49" s="376">
        <f>HLOOKUP(Labor!$B$11,InflationTable,3)*$I49</f>
        <v>741.02956527046103</v>
      </c>
      <c r="N49" s="377">
        <f>M49*$O$7</f>
        <v>146723.85392355127</v>
      </c>
      <c r="O49" s="378">
        <f t="shared" si="8"/>
        <v>20960.550560507323</v>
      </c>
      <c r="P49" s="339">
        <f>HLOOKUP(Labor!$B$11,InflationTable,4)*$I49</f>
        <v>749.90930266305918</v>
      </c>
      <c r="Q49" s="296">
        <f>P49*$O$7</f>
        <v>148482.04192728573</v>
      </c>
      <c r="R49" s="297">
        <f t="shared" si="9"/>
        <v>21211.720275326534</v>
      </c>
      <c r="S49" s="211">
        <f t="shared" si="10"/>
        <v>20858.517948154109</v>
      </c>
      <c r="T49" s="393" t="s">
        <v>12</v>
      </c>
      <c r="U49" s="228" t="s">
        <v>12</v>
      </c>
    </row>
    <row r="50" spans="1:22" x14ac:dyDescent="0.25">
      <c r="A50" s="615"/>
      <c r="B50" s="605" t="s">
        <v>66</v>
      </c>
      <c r="C50" s="33">
        <f>C40+C42+C44+C46+C48</f>
        <v>0</v>
      </c>
      <c r="D50" s="33">
        <f t="shared" ref="D50:I50" si="11">D40+D42+D44+D46+D48</f>
        <v>16</v>
      </c>
      <c r="E50" s="33">
        <f t="shared" si="11"/>
        <v>17</v>
      </c>
      <c r="F50" s="33">
        <f t="shared" si="11"/>
        <v>11</v>
      </c>
      <c r="G50" s="33">
        <f t="shared" si="11"/>
        <v>0</v>
      </c>
      <c r="H50" s="33">
        <f t="shared" si="11"/>
        <v>0</v>
      </c>
      <c r="I50" s="99">
        <f t="shared" si="11"/>
        <v>44</v>
      </c>
      <c r="J50" s="284" t="s">
        <v>12</v>
      </c>
      <c r="K50" s="285">
        <f>K37+K40</f>
        <v>41633.279999999999</v>
      </c>
      <c r="L50" s="312">
        <f>L37+L40+L48</f>
        <v>6287.04</v>
      </c>
      <c r="M50" s="44" t="s">
        <v>12</v>
      </c>
      <c r="N50" s="33">
        <f>N37+N40</f>
        <v>41633.279999999999</v>
      </c>
      <c r="O50" s="99">
        <f>O37+O40+O48</f>
        <v>6287.04</v>
      </c>
      <c r="P50" s="284" t="s">
        <v>12</v>
      </c>
      <c r="Q50" s="285">
        <f>Q37+Q40</f>
        <v>41633.279999999999</v>
      </c>
      <c r="R50" s="286">
        <f>R37+R40+R48</f>
        <v>6287.04</v>
      </c>
      <c r="S50" s="669">
        <f t="shared" si="10"/>
        <v>6287.04</v>
      </c>
      <c r="T50" s="136" t="s">
        <v>12</v>
      </c>
      <c r="U50" s="230" t="s">
        <v>12</v>
      </c>
    </row>
    <row r="51" spans="1:22" ht="13.8" thickBot="1" x14ac:dyDescent="0.3">
      <c r="A51" s="615"/>
      <c r="B51" s="606" t="s">
        <v>67</v>
      </c>
      <c r="C51" s="240">
        <f>C41+C43+C45+C47+C49</f>
        <v>0</v>
      </c>
      <c r="D51" s="240">
        <f t="shared" ref="D51:I51" si="12">D41+D43+D45+D47+D49</f>
        <v>653</v>
      </c>
      <c r="E51" s="240">
        <f t="shared" si="12"/>
        <v>749</v>
      </c>
      <c r="F51" s="240">
        <f t="shared" si="12"/>
        <v>544</v>
      </c>
      <c r="G51" s="240">
        <f t="shared" si="12"/>
        <v>0</v>
      </c>
      <c r="H51" s="240">
        <f t="shared" si="12"/>
        <v>0</v>
      </c>
      <c r="I51" s="243">
        <f t="shared" si="12"/>
        <v>1946</v>
      </c>
      <c r="J51" s="274">
        <f>J38+J41+J43+J45+J47+J49+SUM(J25:J35)</f>
        <v>145471.90348558221</v>
      </c>
      <c r="K51" s="274">
        <f t="shared" ref="K51:R51" si="13">K38+K41+K43+K45+K47+K49+SUM(K25:K35)</f>
        <v>52107610.542081513</v>
      </c>
      <c r="L51" s="276">
        <f t="shared" si="13"/>
        <v>7443944.3631545017</v>
      </c>
      <c r="M51" s="242">
        <f t="shared" si="13"/>
        <v>143894.34215653545</v>
      </c>
      <c r="N51" s="242">
        <f t="shared" si="13"/>
        <v>53530807.022214793</v>
      </c>
      <c r="O51" s="247">
        <f t="shared" si="13"/>
        <v>7647258.1460306821</v>
      </c>
      <c r="P51" s="313">
        <f t="shared" si="13"/>
        <v>145618.62419670526</v>
      </c>
      <c r="Q51" s="274">
        <f t="shared" si="13"/>
        <v>54172265.246081501</v>
      </c>
      <c r="R51" s="274">
        <f t="shared" si="13"/>
        <v>7738895.0351544982</v>
      </c>
      <c r="S51" s="257">
        <f>S38+S41+S43+S45+S47+S49</f>
        <v>531134.22114593268</v>
      </c>
      <c r="T51" s="249" t="s">
        <v>12</v>
      </c>
      <c r="U51" s="510">
        <f>SUM(U25:U35)</f>
        <v>7078898.293633963</v>
      </c>
    </row>
    <row r="52" spans="1:22" ht="14.4" thickTop="1" thickBot="1" x14ac:dyDescent="0.3">
      <c r="A52" s="5"/>
      <c r="B52" s="618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5"/>
    </row>
    <row r="53" spans="1:22" ht="16.2" thickTop="1" x14ac:dyDescent="0.3">
      <c r="A53" s="615"/>
      <c r="B53" s="709" t="s">
        <v>155</v>
      </c>
      <c r="C53" s="5"/>
      <c r="D53" s="5"/>
      <c r="E53" s="5"/>
      <c r="F53" s="112" t="s">
        <v>6</v>
      </c>
      <c r="G53" s="1415"/>
      <c r="H53" s="1416"/>
      <c r="I53" s="1417"/>
      <c r="J53" s="244" t="s">
        <v>22</v>
      </c>
      <c r="K53" s="426"/>
      <c r="L53" s="180"/>
      <c r="M53" s="244" t="s">
        <v>22</v>
      </c>
      <c r="N53" s="426"/>
      <c r="O53" s="67"/>
      <c r="P53" s="244" t="s">
        <v>22</v>
      </c>
      <c r="Q53" s="426"/>
      <c r="R53" s="67"/>
      <c r="S53" s="225"/>
      <c r="T53" s="37"/>
      <c r="U53" s="508"/>
    </row>
    <row r="54" spans="1:22" x14ac:dyDescent="0.25">
      <c r="A54" s="615"/>
      <c r="B54" s="5"/>
      <c r="C54" s="5"/>
      <c r="D54" s="5"/>
      <c r="E54" s="5"/>
      <c r="F54" s="112"/>
      <c r="G54" s="1418"/>
      <c r="H54" s="1418"/>
      <c r="I54" s="1419"/>
      <c r="J54" s="57" t="s">
        <v>61</v>
      </c>
      <c r="K54" s="1447" t="s">
        <v>57</v>
      </c>
      <c r="L54" s="1448"/>
      <c r="M54" s="57" t="s">
        <v>61</v>
      </c>
      <c r="N54" s="1432" t="s">
        <v>57</v>
      </c>
      <c r="O54" s="1433"/>
      <c r="P54" s="57" t="s">
        <v>61</v>
      </c>
      <c r="Q54" s="1432" t="s">
        <v>57</v>
      </c>
      <c r="R54" s="1433"/>
      <c r="S54" s="131"/>
      <c r="T54" s="37"/>
      <c r="U54" s="227"/>
    </row>
    <row r="55" spans="1:22" x14ac:dyDescent="0.25">
      <c r="A55" s="615"/>
      <c r="B55" s="1037" t="s">
        <v>18</v>
      </c>
      <c r="C55" s="23" t="s">
        <v>60</v>
      </c>
      <c r="D55" s="23" t="s">
        <v>62</v>
      </c>
      <c r="E55" s="9"/>
      <c r="F55" s="72"/>
      <c r="G55" s="72"/>
      <c r="H55" s="72"/>
      <c r="I55" s="37"/>
      <c r="J55" s="24" t="s">
        <v>56</v>
      </c>
      <c r="K55" s="24" t="s">
        <v>13</v>
      </c>
      <c r="L55" s="38" t="s">
        <v>68</v>
      </c>
      <c r="M55" s="77" t="s">
        <v>56</v>
      </c>
      <c r="N55" s="24" t="s">
        <v>13</v>
      </c>
      <c r="O55" s="38" t="s">
        <v>68</v>
      </c>
      <c r="P55" s="77" t="s">
        <v>56</v>
      </c>
      <c r="Q55" s="24" t="s">
        <v>13</v>
      </c>
      <c r="R55" s="38" t="s">
        <v>68</v>
      </c>
      <c r="S55" s="123"/>
      <c r="T55" s="37"/>
      <c r="U55" s="227"/>
    </row>
    <row r="56" spans="1:22" x14ac:dyDescent="0.25">
      <c r="A56" s="615"/>
      <c r="B56" s="1323" t="s">
        <v>154</v>
      </c>
      <c r="C56" s="458">
        <f>VLOOKUP($C$2,Monitor_Costs,8,FALSE)</f>
        <v>400</v>
      </c>
      <c r="D56" s="381">
        <f>VLOOKUP(C$2,Monitor_Costs,18,FALSE)</f>
        <v>2019</v>
      </c>
      <c r="E56" s="76"/>
      <c r="F56" s="75"/>
      <c r="G56" s="76"/>
      <c r="H56" s="76"/>
      <c r="I56" s="47"/>
      <c r="J56" s="384">
        <f>HLOOKUP($D56,InflationTable,2)*$C56*$L$8*2.25</f>
        <v>475.56487955774855</v>
      </c>
      <c r="K56" s="384">
        <f>J56*$L$7</f>
        <v>357624.78942742693</v>
      </c>
      <c r="L56" s="385">
        <f>K56</f>
        <v>357624.78942742693</v>
      </c>
      <c r="M56" s="387">
        <f>HLOOKUP($D56,InflationTable,3)*$C56*$L$8*2.25</f>
        <v>488.55381256811944</v>
      </c>
      <c r="N56" s="387">
        <f>M56*$L$7</f>
        <v>367392.46705122583</v>
      </c>
      <c r="O56" s="388">
        <f>N56</f>
        <v>367392.46705122583</v>
      </c>
      <c r="P56" s="748">
        <f>HLOOKUP($D56,InflationTable,4)*$C56*$L$8*2.25</f>
        <v>494.4081397921272</v>
      </c>
      <c r="Q56" s="384">
        <f>P56*$L$7</f>
        <v>371794.92112367967</v>
      </c>
      <c r="R56" s="385">
        <f>Q56</f>
        <v>371794.92112367967</v>
      </c>
      <c r="S56" s="462" t="s">
        <v>12</v>
      </c>
      <c r="T56" s="382">
        <f>AVERAGE(L56,O56,R56)</f>
        <v>365604.0592007775</v>
      </c>
      <c r="U56" s="511" t="s">
        <v>12</v>
      </c>
    </row>
    <row r="57" spans="1:22" x14ac:dyDescent="0.25">
      <c r="A57" s="831"/>
      <c r="B57" s="1132" t="str">
        <f>VLOOKUP($C$2,Monitor_Costs,25,FALSE)</f>
        <v>Speciation sampling national contract</v>
      </c>
      <c r="C57" s="458">
        <f>VLOOKUP($C$2,Monitor_Costs,26,FALSE)</f>
        <v>3455984</v>
      </c>
      <c r="D57" s="381">
        <f>VLOOKUP(C$2,Monitor_Costs,27,FALSE)</f>
        <v>2019</v>
      </c>
      <c r="E57" s="76"/>
      <c r="F57" s="75"/>
      <c r="G57" s="76"/>
      <c r="H57" s="76"/>
      <c r="I57" s="47"/>
      <c r="J57" s="384">
        <f>HLOOKUP($D57,InflationTable,2)*$C57</f>
        <v>4668349.5760700908</v>
      </c>
      <c r="K57" s="384">
        <f>J57</f>
        <v>4668349.5760700908</v>
      </c>
      <c r="L57" s="385">
        <f>K57</f>
        <v>4668349.5760700908</v>
      </c>
      <c r="M57" s="387">
        <f>HLOOKUP($D57,InflationTable,3)*$C57</f>
        <v>4795854.5338982558</v>
      </c>
      <c r="N57" s="387">
        <f>M57</f>
        <v>4795854.5338982558</v>
      </c>
      <c r="O57" s="388">
        <f>N57</f>
        <v>4795854.5338982558</v>
      </c>
      <c r="P57" s="384">
        <f>HLOOKUP($D57,InflationTable,4)*$C57</f>
        <v>4853323.1300649624</v>
      </c>
      <c r="Q57" s="384">
        <f>P57</f>
        <v>4853323.1300649624</v>
      </c>
      <c r="R57" s="385">
        <f>Q57</f>
        <v>4853323.1300649624</v>
      </c>
      <c r="S57" s="462" t="s">
        <v>12</v>
      </c>
      <c r="T57" s="1333" t="s">
        <v>12</v>
      </c>
      <c r="U57" s="1334">
        <f>AVERAGE(L57,O57,R57)</f>
        <v>4772509.0800111024</v>
      </c>
    </row>
    <row r="58" spans="1:22" s="1" customFormat="1" x14ac:dyDescent="0.25">
      <c r="A58" s="616"/>
      <c r="B58" s="1266" t="str">
        <f>VLOOKUP(C$2,Monitor_Costs,28,FALSE)</f>
        <v>Microbalance</v>
      </c>
      <c r="C58" s="1267">
        <f>VLOOKUP(C$2,Monitor_Costs,29,FALSE)</f>
        <v>3000</v>
      </c>
      <c r="D58" s="1112">
        <f>VLOOKUP(C$2,Monitor_Costs,30,FALSE)</f>
        <v>2019</v>
      </c>
      <c r="E58" s="459"/>
      <c r="F58" s="159"/>
      <c r="G58" s="1114"/>
      <c r="H58" s="1114"/>
      <c r="I58" s="461"/>
      <c r="J58" s="749">
        <f>HLOOKUP(D58,InflationTable,2)*$C58</f>
        <v>4052.4055459198512</v>
      </c>
      <c r="K58" s="749">
        <f>J58</f>
        <v>4052.4055459198512</v>
      </c>
      <c r="L58" s="750">
        <f>K58/$E$22</f>
        <v>578.91507798855014</v>
      </c>
      <c r="M58" s="1324">
        <f>HLOOKUP($D$25,InflationTable,3)*$C58</f>
        <v>4163.0874453396682</v>
      </c>
      <c r="N58" s="752">
        <f>M58</f>
        <v>4163.0874453396682</v>
      </c>
      <c r="O58" s="664">
        <f>N58/$E$22</f>
        <v>594.72677790566684</v>
      </c>
      <c r="P58" s="1118">
        <f>HLOOKUP($D$25,InflationTable,4)*$C58</f>
        <v>4212.9736104666245</v>
      </c>
      <c r="Q58" s="749">
        <f>P58</f>
        <v>4212.9736104666245</v>
      </c>
      <c r="R58" s="750">
        <f>Q58/$E$22</f>
        <v>601.85337292380348</v>
      </c>
      <c r="S58" s="756" t="s">
        <v>12</v>
      </c>
      <c r="T58" s="1119" t="s">
        <v>12</v>
      </c>
      <c r="U58" s="1120">
        <f>AVERAGE(L58,O58,R58)</f>
        <v>591.83174293934007</v>
      </c>
    </row>
    <row r="59" spans="1:22" s="1" customFormat="1" ht="13.8" thickBot="1" x14ac:dyDescent="0.3">
      <c r="A59" s="616"/>
      <c r="B59" s="1325" t="str">
        <f>VLOOKUP(C$2,Monitor_Costs,31,FALSE)</f>
        <v>Clean Room for Weighing</v>
      </c>
      <c r="C59" s="1281">
        <f>VLOOKUP(C$2,Monitor_Costs,32,FALSE)</f>
        <v>75000</v>
      </c>
      <c r="D59" s="373">
        <f>VLOOKUP(C$2,Monitor_Costs,33,FALSE)</f>
        <v>2019</v>
      </c>
      <c r="E59" s="469"/>
      <c r="F59" s="470"/>
      <c r="G59" s="469"/>
      <c r="H59" s="469"/>
      <c r="I59" s="1277"/>
      <c r="J59" s="296">
        <f>HLOOKUP(D59,InflationTable,2)*$C59</f>
        <v>101310.13864799628</v>
      </c>
      <c r="K59" s="296">
        <f>J59</f>
        <v>101310.13864799628</v>
      </c>
      <c r="L59" s="297">
        <f>K59/$E$22</f>
        <v>14472.876949713755</v>
      </c>
      <c r="M59" s="1326">
        <f>HLOOKUP($D$25,InflationTable,3)*$C59</f>
        <v>104077.1861334917</v>
      </c>
      <c r="N59" s="377">
        <f>M59</f>
        <v>104077.1861334917</v>
      </c>
      <c r="O59" s="378">
        <f>N59/$E$22</f>
        <v>14868.169447641672</v>
      </c>
      <c r="P59" s="383">
        <f>HLOOKUP($D$25,InflationTable,4)*$C59</f>
        <v>105324.34026166561</v>
      </c>
      <c r="Q59" s="384">
        <f>P59</f>
        <v>105324.34026166561</v>
      </c>
      <c r="R59" s="385">
        <f>Q59/$E$22</f>
        <v>15046.334323095087</v>
      </c>
      <c r="S59" s="462" t="s">
        <v>12</v>
      </c>
      <c r="T59" s="380" t="s">
        <v>12</v>
      </c>
      <c r="U59" s="509">
        <f>AVERAGE(L59,O59,R59)</f>
        <v>14795.793573483505</v>
      </c>
    </row>
    <row r="60" spans="1:22" x14ac:dyDescent="0.25">
      <c r="A60" s="615"/>
      <c r="B60" s="1038" t="s">
        <v>23</v>
      </c>
      <c r="C60" s="107" t="s">
        <v>45</v>
      </c>
      <c r="D60" s="108" t="s">
        <v>46</v>
      </c>
      <c r="E60" s="107" t="s">
        <v>47</v>
      </c>
      <c r="F60" s="107" t="s">
        <v>48</v>
      </c>
      <c r="G60" s="107" t="s">
        <v>49</v>
      </c>
      <c r="H60" s="107" t="s">
        <v>50</v>
      </c>
      <c r="I60" s="350" t="s">
        <v>74</v>
      </c>
      <c r="J60" s="352"/>
      <c r="K60" s="352"/>
      <c r="L60" s="356"/>
      <c r="M60" s="110"/>
      <c r="N60" s="108"/>
      <c r="O60" s="111"/>
      <c r="P60" s="352"/>
      <c r="Q60" s="352"/>
      <c r="R60" s="356"/>
      <c r="S60" s="123"/>
      <c r="T60" s="37"/>
      <c r="U60" s="227"/>
    </row>
    <row r="61" spans="1:22" x14ac:dyDescent="0.25">
      <c r="A61" s="615"/>
      <c r="B61" s="1094" t="s">
        <v>329</v>
      </c>
      <c r="C61" s="21">
        <v>0</v>
      </c>
      <c r="D61" s="21">
        <v>80</v>
      </c>
      <c r="E61" s="21">
        <v>80</v>
      </c>
      <c r="F61" s="21">
        <v>20</v>
      </c>
      <c r="G61" s="21">
        <v>0</v>
      </c>
      <c r="H61" s="21">
        <v>0</v>
      </c>
      <c r="I61" s="48">
        <f t="shared" ref="I61:I70" si="14">SUM(C61:H61)</f>
        <v>180</v>
      </c>
      <c r="J61" s="299" t="s">
        <v>12</v>
      </c>
      <c r="K61" s="1045">
        <f>$I61*($L$3+$L$4/2+$L$5/2)</f>
        <v>77850</v>
      </c>
      <c r="L61" s="289">
        <f t="shared" ref="L61:L70" si="15">K61</f>
        <v>77850</v>
      </c>
      <c r="M61" s="58" t="s">
        <v>12</v>
      </c>
      <c r="N61" s="1046">
        <f>$I61*($L$3+$L$4/2+$L$5/2)</f>
        <v>77850</v>
      </c>
      <c r="O61" s="68">
        <f t="shared" ref="O61:O70" si="16">N61</f>
        <v>77850</v>
      </c>
      <c r="P61" s="299" t="s">
        <v>12</v>
      </c>
      <c r="Q61" s="1045">
        <f>$I61*($L$3+$L$4/2+$L$5/2)</f>
        <v>77850</v>
      </c>
      <c r="R61" s="289">
        <f t="shared" ref="R61:R70" si="17">Q61</f>
        <v>77850</v>
      </c>
      <c r="S61" s="121">
        <f t="shared" ref="S61:S70" si="18">AVERAGE(L61,O61,R61)</f>
        <v>77850</v>
      </c>
      <c r="T61" s="119" t="s">
        <v>12</v>
      </c>
      <c r="U61" s="232" t="s">
        <v>12</v>
      </c>
    </row>
    <row r="62" spans="1:22" s="1" customFormat="1" ht="13.8" thickBot="1" x14ac:dyDescent="0.3">
      <c r="A62" s="616"/>
      <c r="B62" s="1043" t="s">
        <v>8</v>
      </c>
      <c r="C62" s="373">
        <f>ROUND(C61*Labor!$D$3,0)</f>
        <v>0</v>
      </c>
      <c r="D62" s="374">
        <f>ROUND(D61*Labor!$D$4,0)</f>
        <v>3269</v>
      </c>
      <c r="E62" s="374">
        <f>ROUND(E61*Labor!$D$5,0)</f>
        <v>3530</v>
      </c>
      <c r="F62" s="374">
        <f>ROUND(F61*Labor!$D$6,0)</f>
        <v>985</v>
      </c>
      <c r="G62" s="374">
        <f>ROUND(G61*Labor!$D$7,0)</f>
        <v>0</v>
      </c>
      <c r="H62" s="374">
        <f>ROUND(H61*Labor!$D$8,0)</f>
        <v>0</v>
      </c>
      <c r="I62" s="375">
        <f t="shared" si="14"/>
        <v>7784</v>
      </c>
      <c r="J62" s="296">
        <f>HLOOKUP(Labor!$B$11,InflationTable,2)*$I62</f>
        <v>10514.641589813375</v>
      </c>
      <c r="K62" s="1042">
        <f>J62*($L$3+$L$4/2+$L$5/2)</f>
        <v>4547582.4875942841</v>
      </c>
      <c r="L62" s="297">
        <f t="shared" si="15"/>
        <v>4547582.4875942841</v>
      </c>
      <c r="M62" s="377">
        <f>HLOOKUP(Labor!$B$11,InflationTable,3)*$I62</f>
        <v>10801.824224841326</v>
      </c>
      <c r="N62" s="1327">
        <f>M62*($L$3+$L$4/2+$L$5/2)</f>
        <v>4671788.9772438733</v>
      </c>
      <c r="O62" s="378">
        <f t="shared" si="16"/>
        <v>4671788.9772438733</v>
      </c>
      <c r="P62" s="296">
        <f>HLOOKUP(Labor!$B$11,InflationTable,4)*$I62</f>
        <v>10931.262194624069</v>
      </c>
      <c r="Q62" s="1042">
        <f>P62*($L$3+$L$4/2+$L$5/2)</f>
        <v>4727770.89917491</v>
      </c>
      <c r="R62" s="297">
        <f t="shared" si="17"/>
        <v>4727770.89917491</v>
      </c>
      <c r="S62" s="211">
        <f t="shared" si="18"/>
        <v>4649047.4546710225</v>
      </c>
      <c r="T62" s="393" t="s">
        <v>12</v>
      </c>
      <c r="U62" s="228" t="s">
        <v>12</v>
      </c>
    </row>
    <row r="63" spans="1:22" x14ac:dyDescent="0.25">
      <c r="A63" s="615"/>
      <c r="B63" s="1048" t="s">
        <v>331</v>
      </c>
      <c r="C63" s="21">
        <v>0</v>
      </c>
      <c r="D63" s="21">
        <v>20</v>
      </c>
      <c r="E63" s="21">
        <v>20</v>
      </c>
      <c r="F63" s="21">
        <v>5</v>
      </c>
      <c r="G63" s="21">
        <v>0</v>
      </c>
      <c r="H63" s="21">
        <v>0</v>
      </c>
      <c r="I63" s="48">
        <f t="shared" si="14"/>
        <v>45</v>
      </c>
      <c r="J63" s="299" t="s">
        <v>12</v>
      </c>
      <c r="K63" s="327">
        <f>$I63*$L$6</f>
        <v>0</v>
      </c>
      <c r="L63" s="328">
        <f t="shared" si="15"/>
        <v>0</v>
      </c>
      <c r="M63" s="61" t="s">
        <v>12</v>
      </c>
      <c r="N63" s="348">
        <f>$I63*$L$6</f>
        <v>0</v>
      </c>
      <c r="O63" s="349">
        <f t="shared" si="16"/>
        <v>0</v>
      </c>
      <c r="P63" s="299" t="s">
        <v>12</v>
      </c>
      <c r="Q63" s="327">
        <f>$I63*$L$6</f>
        <v>0</v>
      </c>
      <c r="R63" s="328">
        <f t="shared" si="17"/>
        <v>0</v>
      </c>
      <c r="S63" s="150">
        <f t="shared" si="18"/>
        <v>0</v>
      </c>
      <c r="T63" s="119" t="s">
        <v>12</v>
      </c>
      <c r="U63" s="232" t="s">
        <v>12</v>
      </c>
    </row>
    <row r="64" spans="1:22" s="1" customFormat="1" ht="13.8" thickBot="1" x14ac:dyDescent="0.3">
      <c r="A64" s="616"/>
      <c r="B64" s="1043" t="s">
        <v>8</v>
      </c>
      <c r="C64" s="373">
        <f>ROUND(C63*Labor!$D$3,0)</f>
        <v>0</v>
      </c>
      <c r="D64" s="374">
        <f>ROUND(D63*Labor!$D$4,0)</f>
        <v>817</v>
      </c>
      <c r="E64" s="374">
        <f>ROUND(E63*Labor!$D$5,0)</f>
        <v>882</v>
      </c>
      <c r="F64" s="374">
        <f>ROUND(F63*Labor!$D$6,0)</f>
        <v>246</v>
      </c>
      <c r="G64" s="374">
        <f>ROUND(G63*Labor!$D$7,0)</f>
        <v>0</v>
      </c>
      <c r="H64" s="374">
        <f>ROUND(H63*Labor!$D$8,0)</f>
        <v>0</v>
      </c>
      <c r="I64" s="375">
        <f t="shared" si="14"/>
        <v>1945</v>
      </c>
      <c r="J64" s="296">
        <f>HLOOKUP(Labor!$B$11,InflationTable,2)*$I$64</f>
        <v>2627.3095956047036</v>
      </c>
      <c r="K64" s="296">
        <f>J64*$L$6</f>
        <v>0</v>
      </c>
      <c r="L64" s="297">
        <f t="shared" si="15"/>
        <v>0</v>
      </c>
      <c r="M64" s="377">
        <f>HLOOKUP(Labor!$B$11,InflationTable,3)*$I$64</f>
        <v>2699.0683603952184</v>
      </c>
      <c r="N64" s="377">
        <f>M64*$L$6</f>
        <v>0</v>
      </c>
      <c r="O64" s="378">
        <f t="shared" si="16"/>
        <v>0</v>
      </c>
      <c r="P64" s="296">
        <f>HLOOKUP(Labor!$B$11,InflationTable,4)*$I$64</f>
        <v>2731.4112241191947</v>
      </c>
      <c r="Q64" s="296">
        <f>P64*$L$6</f>
        <v>0</v>
      </c>
      <c r="R64" s="297">
        <f t="shared" si="17"/>
        <v>0</v>
      </c>
      <c r="S64" s="211">
        <f t="shared" si="18"/>
        <v>0</v>
      </c>
      <c r="T64" s="218" t="s">
        <v>12</v>
      </c>
      <c r="U64" s="228" t="s">
        <v>12</v>
      </c>
    </row>
    <row r="65" spans="1:22" x14ac:dyDescent="0.25">
      <c r="A65" s="615"/>
      <c r="B65" s="1048" t="s">
        <v>225</v>
      </c>
      <c r="C65" s="21">
        <v>0</v>
      </c>
      <c r="D65" s="21">
        <v>0</v>
      </c>
      <c r="E65" s="21">
        <v>6</v>
      </c>
      <c r="F65" s="21">
        <v>26</v>
      </c>
      <c r="G65" s="21">
        <v>0</v>
      </c>
      <c r="H65" s="21">
        <v>0</v>
      </c>
      <c r="I65" s="48">
        <f t="shared" si="14"/>
        <v>32</v>
      </c>
      <c r="J65" s="299" t="s">
        <v>12</v>
      </c>
      <c r="K65" s="327">
        <f>$I65*$O$6</f>
        <v>31136</v>
      </c>
      <c r="L65" s="328">
        <f t="shared" si="15"/>
        <v>31136</v>
      </c>
      <c r="M65" s="61" t="s">
        <v>12</v>
      </c>
      <c r="N65" s="348">
        <f>$I65*$O$6</f>
        <v>31136</v>
      </c>
      <c r="O65" s="68">
        <f t="shared" si="16"/>
        <v>31136</v>
      </c>
      <c r="P65" s="299" t="s">
        <v>12</v>
      </c>
      <c r="Q65" s="327">
        <f>$I65*$O$6</f>
        <v>31136</v>
      </c>
      <c r="R65" s="328">
        <f t="shared" si="17"/>
        <v>31136</v>
      </c>
      <c r="S65" s="121">
        <f t="shared" si="18"/>
        <v>31136</v>
      </c>
      <c r="T65" s="119" t="s">
        <v>12</v>
      </c>
      <c r="U65" s="1059" t="s">
        <v>12</v>
      </c>
      <c r="V65" s="5"/>
    </row>
    <row r="66" spans="1:22" s="1" customFormat="1" ht="13.8" thickBot="1" x14ac:dyDescent="0.3">
      <c r="A66" s="616"/>
      <c r="B66" s="1049" t="s">
        <v>8</v>
      </c>
      <c r="C66" s="373">
        <f>ROUND(C65*Labor!$D$3,0)</f>
        <v>0</v>
      </c>
      <c r="D66" s="374">
        <f>ROUND(D65*Labor!$D$4,0)</f>
        <v>0</v>
      </c>
      <c r="E66" s="374">
        <f>ROUND(E65*Labor!$D$5,0)</f>
        <v>265</v>
      </c>
      <c r="F66" s="374">
        <f>ROUND(F65*Labor!$D$6,0)</f>
        <v>1281</v>
      </c>
      <c r="G66" s="374">
        <f>ROUND(G65*Labor!$D$7,0)</f>
        <v>0</v>
      </c>
      <c r="H66" s="374">
        <f>ROUND(H65*Labor!$D$8,0)</f>
        <v>0</v>
      </c>
      <c r="I66" s="375">
        <f t="shared" si="14"/>
        <v>1546</v>
      </c>
      <c r="J66" s="296">
        <f>HLOOKUP(Labor!$B$11,InflationTable,2)*I66</f>
        <v>2088.3396579973632</v>
      </c>
      <c r="K66" s="296">
        <f>J66*$O$6</f>
        <v>2031954.4872314343</v>
      </c>
      <c r="L66" s="297">
        <f t="shared" si="15"/>
        <v>2031954.4872314343</v>
      </c>
      <c r="M66" s="376">
        <f>HLOOKUP(Labor!$B$11,InflationTable,3)*I66</f>
        <v>2145.3777301650425</v>
      </c>
      <c r="N66" s="377">
        <f>M66*$O$6</f>
        <v>2087452.5314505864</v>
      </c>
      <c r="O66" s="378">
        <f t="shared" si="16"/>
        <v>2087452.5314505864</v>
      </c>
      <c r="P66" s="296">
        <f>HLOOKUP(Labor!$B$11,InflationTable,4)*$I$66</f>
        <v>2171.0857339271338</v>
      </c>
      <c r="Q66" s="296">
        <f>P66*$O$6</f>
        <v>2112466.419111101</v>
      </c>
      <c r="R66" s="297">
        <f t="shared" si="17"/>
        <v>2112466.419111101</v>
      </c>
      <c r="S66" s="211">
        <f t="shared" si="18"/>
        <v>2077291.1459310406</v>
      </c>
      <c r="T66" s="218" t="s">
        <v>12</v>
      </c>
      <c r="U66" s="228" t="s">
        <v>12</v>
      </c>
      <c r="V66" s="112"/>
    </row>
    <row r="67" spans="1:22" x14ac:dyDescent="0.25">
      <c r="A67" s="615"/>
      <c r="B67" s="1094" t="s">
        <v>330</v>
      </c>
      <c r="C67" s="21">
        <v>0</v>
      </c>
      <c r="D67" s="21">
        <v>0</v>
      </c>
      <c r="E67" s="21">
        <v>90</v>
      </c>
      <c r="F67" s="21">
        <v>90</v>
      </c>
      <c r="G67" s="21">
        <v>0</v>
      </c>
      <c r="H67" s="21">
        <v>0</v>
      </c>
      <c r="I67" s="48">
        <f>SUM(C67:H67)</f>
        <v>180</v>
      </c>
      <c r="J67" s="299" t="s">
        <v>12</v>
      </c>
      <c r="K67" s="327">
        <f>$I$67*$O$7</f>
        <v>35640</v>
      </c>
      <c r="L67" s="328">
        <f t="shared" si="15"/>
        <v>35640</v>
      </c>
      <c r="M67" s="61" t="s">
        <v>12</v>
      </c>
      <c r="N67" s="348">
        <f>$I$67*$O$7</f>
        <v>35640</v>
      </c>
      <c r="O67" s="68">
        <f t="shared" si="16"/>
        <v>35640</v>
      </c>
      <c r="P67" s="299" t="s">
        <v>12</v>
      </c>
      <c r="Q67" s="327">
        <f>$I$67*$O$7</f>
        <v>35640</v>
      </c>
      <c r="R67" s="328">
        <f t="shared" si="17"/>
        <v>35640</v>
      </c>
      <c r="S67" s="121">
        <f>AVERAGE(L67,O67,R67)</f>
        <v>35640</v>
      </c>
      <c r="T67" s="119" t="s">
        <v>12</v>
      </c>
      <c r="U67" s="232" t="s">
        <v>12</v>
      </c>
    </row>
    <row r="68" spans="1:22" s="1" customFormat="1" ht="13.8" thickBot="1" x14ac:dyDescent="0.3">
      <c r="A68" s="616"/>
      <c r="B68" s="1043" t="s">
        <v>8</v>
      </c>
      <c r="C68" s="373">
        <f>ROUND(C67*Labor!$D$3,0)</f>
        <v>0</v>
      </c>
      <c r="D68" s="374">
        <f>ROUND(D67*Labor!$D$4,0)</f>
        <v>0</v>
      </c>
      <c r="E68" s="374">
        <f>ROUND(E67*Labor!$D$5,0)</f>
        <v>3971</v>
      </c>
      <c r="F68" s="374">
        <f>ROUND(F67*Labor!$D$6,0)</f>
        <v>4434</v>
      </c>
      <c r="G68" s="374">
        <f>ROUND(G67*Labor!$D$7,0)</f>
        <v>0</v>
      </c>
      <c r="H68" s="374">
        <f>ROUND(H67*Labor!$D$8,0)</f>
        <v>0</v>
      </c>
      <c r="I68" s="375">
        <f>SUM(C68:H68)</f>
        <v>8405</v>
      </c>
      <c r="J68" s="296">
        <f>HLOOKUP(Labor!$B$11,InflationTable,2)*$I68</f>
        <v>11353.489537818783</v>
      </c>
      <c r="K68" s="296">
        <f>J68*$O$7</f>
        <v>2247990.928488119</v>
      </c>
      <c r="L68" s="297">
        <f t="shared" si="15"/>
        <v>2247990.928488119</v>
      </c>
      <c r="M68" s="376">
        <f>HLOOKUP(Labor!$B$11,InflationTable,3)*I68</f>
        <v>11663.583326026637</v>
      </c>
      <c r="N68" s="377">
        <f>M68*$O$7</f>
        <v>2309389.4985532742</v>
      </c>
      <c r="O68" s="378">
        <f t="shared" si="16"/>
        <v>2309389.4985532742</v>
      </c>
      <c r="P68" s="296">
        <f>HLOOKUP(Labor!$B$11,InflationTable,4)*$I$68</f>
        <v>11803.34773199066</v>
      </c>
      <c r="Q68" s="296">
        <f>P68*$O$7</f>
        <v>2337062.8509341506</v>
      </c>
      <c r="R68" s="390">
        <f t="shared" si="17"/>
        <v>2337062.8509341506</v>
      </c>
      <c r="S68" s="211">
        <f>AVERAGE(L68,O68,R68)</f>
        <v>2298147.7593251811</v>
      </c>
      <c r="T68" s="218" t="s">
        <v>12</v>
      </c>
      <c r="U68" s="228" t="s">
        <v>12</v>
      </c>
    </row>
    <row r="69" spans="1:22" x14ac:dyDescent="0.25">
      <c r="A69" s="615"/>
      <c r="B69" s="1050" t="s">
        <v>334</v>
      </c>
      <c r="C69" s="21">
        <v>0</v>
      </c>
      <c r="D69" s="21">
        <v>108</v>
      </c>
      <c r="E69" s="21">
        <v>0</v>
      </c>
      <c r="F69" s="21">
        <v>132</v>
      </c>
      <c r="G69" s="21">
        <v>0</v>
      </c>
      <c r="H69" s="21">
        <v>0</v>
      </c>
      <c r="I69" s="48">
        <f t="shared" si="14"/>
        <v>240</v>
      </c>
      <c r="J69" s="780">
        <f>$I69*$L$8</f>
        <v>93.882978723404264</v>
      </c>
      <c r="K69" s="1328">
        <f>J69*($L$3+$L$4/3+$L$6/6+$O$4/6+$O$5/6*3.5)</f>
        <v>35863.29787234043</v>
      </c>
      <c r="L69" s="328">
        <f t="shared" si="15"/>
        <v>35863.29787234043</v>
      </c>
      <c r="M69" s="1329">
        <f>$I69*$L$8</f>
        <v>93.882978723404264</v>
      </c>
      <c r="N69" s="1330">
        <f>M69*($L$3+$L$4/3+$L$6/6+$O$4/6+$O$5/6*3.5)</f>
        <v>35863.29787234043</v>
      </c>
      <c r="O69" s="349">
        <f t="shared" si="16"/>
        <v>35863.29787234043</v>
      </c>
      <c r="P69" s="780">
        <f>$I69*$L$8</f>
        <v>93.882978723404264</v>
      </c>
      <c r="Q69" s="1045">
        <f>P69*($L$3+$L$4/3+$L$6/6+$O$4/6+$O$5/6*3.5)</f>
        <v>35863.29787234043</v>
      </c>
      <c r="R69" s="1335">
        <f t="shared" si="17"/>
        <v>35863.29787234043</v>
      </c>
      <c r="S69" s="121">
        <f t="shared" si="18"/>
        <v>35863.29787234043</v>
      </c>
      <c r="T69" s="119" t="s">
        <v>12</v>
      </c>
      <c r="U69" s="232" t="s">
        <v>12</v>
      </c>
    </row>
    <row r="70" spans="1:22" s="1" customFormat="1" ht="13.8" thickBot="1" x14ac:dyDescent="0.3">
      <c r="A70" s="616"/>
      <c r="B70" s="1049" t="s">
        <v>8</v>
      </c>
      <c r="C70" s="373">
        <f>ROUND(C69*Labor!$D$3,0)</f>
        <v>0</v>
      </c>
      <c r="D70" s="374">
        <f>ROUND(D69*Labor!$D$4,0)</f>
        <v>4413</v>
      </c>
      <c r="E70" s="374">
        <f>ROUND(E69*Labor!$D$5,0)</f>
        <v>0</v>
      </c>
      <c r="F70" s="374">
        <f>ROUND(F69*Labor!$D$6,0)</f>
        <v>6503</v>
      </c>
      <c r="G70" s="374">
        <f>ROUND(G69*Labor!$D$7,0)</f>
        <v>0</v>
      </c>
      <c r="H70" s="374">
        <f>ROUND(H69*Labor!$D$8,0)</f>
        <v>0</v>
      </c>
      <c r="I70" s="375">
        <f t="shared" si="14"/>
        <v>10916</v>
      </c>
      <c r="J70" s="296">
        <f>HLOOKUP(Labor!$B$11,InflationTable,2)*I70</f>
        <v>14745.352979753699</v>
      </c>
      <c r="K70" s="1042">
        <f>J70*($L$3+$L$4/3+$L$6/6+$O$4/6+$O$5/6*3.5)</f>
        <v>5632724.8382659135</v>
      </c>
      <c r="L70" s="297">
        <f t="shared" si="15"/>
        <v>5632724.8382659135</v>
      </c>
      <c r="M70" s="376">
        <f>HLOOKUP(Labor!$B$11,InflationTable,3)*I70</f>
        <v>15148.087517775941</v>
      </c>
      <c r="N70" s="1327">
        <f>M70*($L$3+$L$4/3+$L$6/6+$O$4/6+$O$5/6*3.5)</f>
        <v>5786569.4317904096</v>
      </c>
      <c r="O70" s="378">
        <f t="shared" si="16"/>
        <v>5786569.4317904096</v>
      </c>
      <c r="P70" s="296">
        <f>HLOOKUP(Labor!$B$11,InflationTable,4)*$I$70</f>
        <v>15329.606643951223</v>
      </c>
      <c r="Q70" s="1042">
        <f>P70*($L$3+$L$4/3+$L$6/6+$O$4/6+$O$5/6*3.5)</f>
        <v>5855909.737989367</v>
      </c>
      <c r="R70" s="297">
        <f t="shared" si="17"/>
        <v>5855909.737989367</v>
      </c>
      <c r="S70" s="1033">
        <f t="shared" si="18"/>
        <v>5758401.3360152291</v>
      </c>
      <c r="T70" s="978" t="s">
        <v>12</v>
      </c>
      <c r="U70" s="228" t="s">
        <v>12</v>
      </c>
    </row>
    <row r="71" spans="1:22" x14ac:dyDescent="0.25">
      <c r="A71" s="615"/>
      <c r="B71" s="605" t="s">
        <v>66</v>
      </c>
      <c r="C71" s="36">
        <f>C61+C63+C65+C67+C69</f>
        <v>0</v>
      </c>
      <c r="D71" s="36">
        <f t="shared" ref="D71:I71" si="19">D61+D63+D65+D67+D69</f>
        <v>208</v>
      </c>
      <c r="E71" s="36">
        <f t="shared" si="19"/>
        <v>196</v>
      </c>
      <c r="F71" s="36">
        <f t="shared" si="19"/>
        <v>273</v>
      </c>
      <c r="G71" s="36">
        <f t="shared" si="19"/>
        <v>0</v>
      </c>
      <c r="H71" s="36">
        <f t="shared" si="19"/>
        <v>0</v>
      </c>
      <c r="I71" s="36">
        <f t="shared" si="19"/>
        <v>677</v>
      </c>
      <c r="J71" s="320" t="s">
        <v>12</v>
      </c>
      <c r="K71" s="285">
        <f>K61+K63+K65+K67+K69</f>
        <v>180489.29787234042</v>
      </c>
      <c r="L71" s="286">
        <f>L61+L63+L65+L67+L69</f>
        <v>180489.29787234042</v>
      </c>
      <c r="M71" s="1331" t="s">
        <v>12</v>
      </c>
      <c r="N71" s="33">
        <f>N61+N63+N65+N67+N69</f>
        <v>180489.29787234042</v>
      </c>
      <c r="O71" s="99">
        <f>O61+O63+O65+O67+O69</f>
        <v>180489.29787234042</v>
      </c>
      <c r="P71" s="1332" t="s">
        <v>12</v>
      </c>
      <c r="Q71" s="285">
        <f>Q61+Q63+Q65+Q67+Q69</f>
        <v>180489.29787234042</v>
      </c>
      <c r="R71" s="285">
        <f>R61+R63+R65+R67+R69</f>
        <v>180489.29787234042</v>
      </c>
      <c r="S71" s="1336">
        <f>S65</f>
        <v>31136</v>
      </c>
      <c r="T71" s="136" t="s">
        <v>12</v>
      </c>
      <c r="U71" s="230" t="s">
        <v>12</v>
      </c>
    </row>
    <row r="72" spans="1:22" ht="13.8" thickBot="1" x14ac:dyDescent="0.3">
      <c r="A72" s="615"/>
      <c r="B72" s="606" t="s">
        <v>67</v>
      </c>
      <c r="C72" s="240">
        <f>C62+C64+C66+C70</f>
        <v>0</v>
      </c>
      <c r="D72" s="240">
        <f t="shared" ref="D72:I72" si="20">D62+D64+D66+D70</f>
        <v>8499</v>
      </c>
      <c r="E72" s="240">
        <f t="shared" si="20"/>
        <v>4677</v>
      </c>
      <c r="F72" s="240">
        <f t="shared" si="20"/>
        <v>9015</v>
      </c>
      <c r="G72" s="240">
        <f t="shared" si="20"/>
        <v>0</v>
      </c>
      <c r="H72" s="240">
        <f t="shared" si="20"/>
        <v>0</v>
      </c>
      <c r="I72" s="240">
        <f t="shared" si="20"/>
        <v>22191</v>
      </c>
      <c r="J72" s="275">
        <f t="shared" ref="J72:R72" si="21">J56+J57+J62+J64+J66+J68+J70</f>
        <v>4710154.2743106363</v>
      </c>
      <c r="K72" s="275">
        <f t="shared" si="21"/>
        <v>19486227.107077267</v>
      </c>
      <c r="L72" s="276">
        <f t="shared" si="21"/>
        <v>19486227.107077267</v>
      </c>
      <c r="M72" s="242">
        <f t="shared" si="21"/>
        <v>4838801.0288700275</v>
      </c>
      <c r="N72" s="240">
        <f t="shared" si="21"/>
        <v>20018447.439987622</v>
      </c>
      <c r="O72" s="243">
        <f t="shared" si="21"/>
        <v>20018447.439987622</v>
      </c>
      <c r="P72" s="274">
        <f t="shared" si="21"/>
        <v>4896784.2517333673</v>
      </c>
      <c r="Q72" s="275">
        <f t="shared" si="21"/>
        <v>20258327.958398171</v>
      </c>
      <c r="R72" s="275">
        <f t="shared" si="21"/>
        <v>20258327.958398171</v>
      </c>
      <c r="S72" s="255">
        <f>S62+S64+S66+S68+S70</f>
        <v>14782887.695942473</v>
      </c>
      <c r="T72" s="251">
        <f>SUM(T56:T71)</f>
        <v>365604.0592007775</v>
      </c>
      <c r="U72" s="1232">
        <f>SUM(U56:U71)</f>
        <v>4787896.7053275257</v>
      </c>
    </row>
    <row r="73" spans="1:22" ht="13.8" thickTop="1" x14ac:dyDescent="0.25">
      <c r="A73" s="5"/>
      <c r="B73" s="624"/>
      <c r="C73" s="621"/>
      <c r="D73" s="621"/>
      <c r="E73" s="621"/>
      <c r="F73" s="621"/>
      <c r="G73" s="621"/>
      <c r="H73" s="621"/>
      <c r="I73" s="621"/>
      <c r="J73" s="621"/>
      <c r="K73" s="621"/>
      <c r="L73" s="621"/>
      <c r="M73" s="621"/>
      <c r="N73" s="621"/>
      <c r="O73" s="621"/>
      <c r="P73" s="621"/>
      <c r="Q73" s="621"/>
      <c r="R73" s="621"/>
      <c r="S73" s="1357"/>
      <c r="T73" s="1357"/>
      <c r="U73" s="1357"/>
    </row>
    <row r="74" spans="1:22" ht="13.8" thickBot="1" x14ac:dyDescent="0.3">
      <c r="A74" s="5"/>
      <c r="B74" s="410"/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5"/>
    </row>
    <row r="75" spans="1:22" ht="16.2" thickTop="1" x14ac:dyDescent="0.3">
      <c r="A75" s="615"/>
      <c r="B75" s="181" t="s">
        <v>24</v>
      </c>
      <c r="C75" s="5"/>
      <c r="D75" s="5"/>
      <c r="E75" s="5"/>
      <c r="F75" s="112" t="s">
        <v>6</v>
      </c>
      <c r="G75" s="1415"/>
      <c r="H75" s="1416"/>
      <c r="I75" s="1417"/>
      <c r="J75" s="181" t="s">
        <v>24</v>
      </c>
      <c r="K75" s="426"/>
      <c r="L75" s="180"/>
      <c r="M75" s="181" t="s">
        <v>24</v>
      </c>
      <c r="N75" s="319"/>
      <c r="O75" s="67"/>
      <c r="P75" s="181" t="s">
        <v>24</v>
      </c>
      <c r="Q75" s="426"/>
      <c r="R75" s="67"/>
      <c r="S75" s="225"/>
      <c r="T75" s="37"/>
      <c r="U75" s="508"/>
    </row>
    <row r="76" spans="1:22" x14ac:dyDescent="0.25">
      <c r="A76" s="615"/>
      <c r="B76" s="5"/>
      <c r="C76" s="5"/>
      <c r="D76" s="5"/>
      <c r="E76" s="5"/>
      <c r="F76" s="112"/>
      <c r="G76" s="1418"/>
      <c r="H76" s="1418"/>
      <c r="I76" s="1419"/>
      <c r="J76" s="57" t="s">
        <v>61</v>
      </c>
      <c r="K76" s="1432" t="s">
        <v>57</v>
      </c>
      <c r="L76" s="1433"/>
      <c r="M76" s="57" t="s">
        <v>61</v>
      </c>
      <c r="N76" s="1432" t="s">
        <v>57</v>
      </c>
      <c r="O76" s="1433"/>
      <c r="P76" s="57" t="s">
        <v>61</v>
      </c>
      <c r="Q76" s="1432" t="s">
        <v>57</v>
      </c>
      <c r="R76" s="1433"/>
      <c r="S76" s="131"/>
      <c r="T76" s="37"/>
      <c r="U76" s="227"/>
    </row>
    <row r="77" spans="1:22" x14ac:dyDescent="0.25">
      <c r="A77" s="615"/>
      <c r="B77" s="1037" t="s">
        <v>19</v>
      </c>
      <c r="C77" s="23" t="s">
        <v>60</v>
      </c>
      <c r="D77" s="23" t="s">
        <v>62</v>
      </c>
      <c r="E77" s="9"/>
      <c r="F77" s="72"/>
      <c r="G77" s="72"/>
      <c r="H77" s="72"/>
      <c r="I77" s="73"/>
      <c r="J77" s="77" t="s">
        <v>56</v>
      </c>
      <c r="K77" s="24" t="s">
        <v>13</v>
      </c>
      <c r="L77" s="38" t="s">
        <v>68</v>
      </c>
      <c r="M77" s="77" t="s">
        <v>56</v>
      </c>
      <c r="N77" s="24" t="s">
        <v>13</v>
      </c>
      <c r="O77" s="38" t="s">
        <v>68</v>
      </c>
      <c r="P77" s="77" t="s">
        <v>56</v>
      </c>
      <c r="Q77" s="24" t="s">
        <v>13</v>
      </c>
      <c r="R77" s="38" t="s">
        <v>68</v>
      </c>
      <c r="S77" s="123"/>
      <c r="T77" s="73"/>
      <c r="U77" s="227"/>
    </row>
    <row r="78" spans="1:22" ht="13.8" thickBot="1" x14ac:dyDescent="0.3">
      <c r="A78" s="615"/>
      <c r="B78" s="1219" t="s">
        <v>360</v>
      </c>
      <c r="C78" s="1342">
        <v>300</v>
      </c>
      <c r="D78" s="1343">
        <v>2013</v>
      </c>
      <c r="E78" s="459"/>
      <c r="F78" s="93"/>
      <c r="G78" s="460"/>
      <c r="H78" s="460"/>
      <c r="I78" s="461"/>
      <c r="J78" s="384">
        <f>HLOOKUP($D78,InflationTable,2)*$C78</f>
        <v>359.84201537894398</v>
      </c>
      <c r="K78" s="384">
        <f>J78*$O$3</f>
        <v>306225.55508748133</v>
      </c>
      <c r="L78" s="385">
        <f>K78</f>
        <v>306225.55508748133</v>
      </c>
      <c r="M78" s="387">
        <f>HLOOKUP($D78,InflationTable,3)*$C78</f>
        <v>369.67025130002486</v>
      </c>
      <c r="N78" s="387">
        <f>M78*$O$3</f>
        <v>314589.38385632116</v>
      </c>
      <c r="O78" s="388">
        <f>N78</f>
        <v>314589.38385632116</v>
      </c>
      <c r="P78" s="384">
        <f>HLOOKUP($D78,InflationTable,4)*$C78</f>
        <v>374.1</v>
      </c>
      <c r="Q78" s="384">
        <f>P78*$O$3</f>
        <v>318359.10000000003</v>
      </c>
      <c r="R78" s="385">
        <f>Q78</f>
        <v>318359.10000000003</v>
      </c>
      <c r="S78" s="462" t="s">
        <v>12</v>
      </c>
      <c r="T78" s="382">
        <f>AVERAGE(L78,O78,R78)</f>
        <v>313058.01298126747</v>
      </c>
      <c r="U78" s="511" t="s">
        <v>12</v>
      </c>
    </row>
    <row r="79" spans="1:22" ht="13.8" thickBot="1" x14ac:dyDescent="0.3">
      <c r="A79" s="615"/>
      <c r="B79" s="1262" t="s">
        <v>361</v>
      </c>
      <c r="C79" s="1342">
        <v>250</v>
      </c>
      <c r="D79" s="1343">
        <v>2013</v>
      </c>
      <c r="E79" s="459"/>
      <c r="F79" s="93"/>
      <c r="G79" s="460"/>
      <c r="H79" s="460"/>
      <c r="I79" s="461"/>
      <c r="J79" s="384">
        <f>HLOOKUP($D79,InflationTable,2)*$C79</f>
        <v>299.86834614911999</v>
      </c>
      <c r="K79" s="384">
        <f>J79*($O$4+$O$5)</f>
        <v>92359.450613928959</v>
      </c>
      <c r="L79" s="385">
        <f>K79</f>
        <v>92359.450613928959</v>
      </c>
      <c r="M79" s="387">
        <f>HLOOKUP($D79,InflationTable,3)*$C79</f>
        <v>308.05854275002071</v>
      </c>
      <c r="N79" s="387">
        <f>M79*($O$4+$O$5)</f>
        <v>94882.031167006382</v>
      </c>
      <c r="O79" s="388">
        <f>N79</f>
        <v>94882.031167006382</v>
      </c>
      <c r="P79" s="748">
        <f>HLOOKUP($D79,InflationTable,4)*$C79</f>
        <v>311.75</v>
      </c>
      <c r="Q79" s="384">
        <f>P79*($O$4+$O$5)</f>
        <v>96019</v>
      </c>
      <c r="R79" s="385">
        <f>Q79</f>
        <v>96019</v>
      </c>
      <c r="S79" s="462" t="s">
        <v>12</v>
      </c>
      <c r="T79" s="382">
        <f>AVERAGE(L79,O79,R79)</f>
        <v>94420.160593645109</v>
      </c>
      <c r="U79" s="511" t="s">
        <v>12</v>
      </c>
    </row>
    <row r="80" spans="1:22" ht="13.8" thickBot="1" x14ac:dyDescent="0.3">
      <c r="A80" s="615"/>
      <c r="B80" s="1262" t="s">
        <v>362</v>
      </c>
      <c r="C80" s="1342">
        <v>275</v>
      </c>
      <c r="D80" s="1343">
        <v>2013</v>
      </c>
      <c r="E80" s="459"/>
      <c r="F80" s="93"/>
      <c r="G80" s="460"/>
      <c r="H80" s="460"/>
      <c r="I80" s="461"/>
      <c r="J80" s="384">
        <f>HLOOKUP($D80,InflationTable,2)*$C80</f>
        <v>329.85518076403201</v>
      </c>
      <c r="K80" s="384">
        <f>J80*($L$6)</f>
        <v>0</v>
      </c>
      <c r="L80" s="385">
        <f>K80</f>
        <v>0</v>
      </c>
      <c r="M80" s="387">
        <f>HLOOKUP($D80,InflationTable,3)*$C80</f>
        <v>338.86439702502275</v>
      </c>
      <c r="N80" s="387">
        <f>M80*($L$6)</f>
        <v>0</v>
      </c>
      <c r="O80" s="1344">
        <f>N80</f>
        <v>0</v>
      </c>
      <c r="P80" s="384">
        <f>HLOOKUP($D80,InflationTable,4)*$C80</f>
        <v>342.92500000000001</v>
      </c>
      <c r="Q80" s="384">
        <f>P80*($L$6)</f>
        <v>0</v>
      </c>
      <c r="R80" s="385">
        <f>Q80</f>
        <v>0</v>
      </c>
      <c r="S80" s="462" t="s">
        <v>12</v>
      </c>
      <c r="T80" s="382">
        <f>AVERAGE(L80,O80,R80)</f>
        <v>0</v>
      </c>
      <c r="U80" s="462" t="s">
        <v>12</v>
      </c>
    </row>
    <row r="81" spans="1:21" ht="13.8" thickBot="1" x14ac:dyDescent="0.3">
      <c r="A81" s="615"/>
      <c r="B81" s="1262" t="s">
        <v>363</v>
      </c>
      <c r="C81" s="1342">
        <v>155</v>
      </c>
      <c r="D81" s="1343">
        <v>2013</v>
      </c>
      <c r="E81" s="492"/>
      <c r="F81" s="93"/>
      <c r="G81" s="460"/>
      <c r="H81" s="460"/>
      <c r="I81" s="461"/>
      <c r="J81" s="748">
        <f>HLOOKUP($D81,InflationTable,2)*$C81</f>
        <v>185.91837461245441</v>
      </c>
      <c r="K81" s="384">
        <f>J81*$O$6</f>
        <v>180898.57849791815</v>
      </c>
      <c r="L81" s="385">
        <f>K81</f>
        <v>180898.57849791815</v>
      </c>
      <c r="M81" s="387">
        <f>HLOOKUP($D81,InflationTable,3)*$C81</f>
        <v>190.99629650501282</v>
      </c>
      <c r="N81" s="387">
        <f>M81*$O$6</f>
        <v>185839.39649937747</v>
      </c>
      <c r="O81" s="1344">
        <f>N81</f>
        <v>185839.39649937747</v>
      </c>
      <c r="P81" s="384">
        <f>HLOOKUP($D81,InflationTable,4)*$C81</f>
        <v>193.28500000000003</v>
      </c>
      <c r="Q81" s="384">
        <f>P81*$O$6</f>
        <v>188066.30500000002</v>
      </c>
      <c r="R81" s="385">
        <f>Q81</f>
        <v>188066.30500000002</v>
      </c>
      <c r="S81" s="462" t="s">
        <v>12</v>
      </c>
      <c r="T81" s="382">
        <f>AVERAGE(L81,O81,R81)</f>
        <v>184934.75999909858</v>
      </c>
      <c r="U81" s="462" t="s">
        <v>12</v>
      </c>
    </row>
    <row r="82" spans="1:21" ht="13.8" thickBot="1" x14ac:dyDescent="0.3">
      <c r="A82" s="615"/>
      <c r="B82" s="1345" t="s">
        <v>364</v>
      </c>
      <c r="C82" s="1346">
        <v>500</v>
      </c>
      <c r="D82" s="1347">
        <v>2013</v>
      </c>
      <c r="E82" s="1282"/>
      <c r="F82" s="674"/>
      <c r="G82" s="673"/>
      <c r="H82" s="673"/>
      <c r="I82" s="1164"/>
      <c r="J82" s="743">
        <f>HLOOKUP($D82,InflationTable,2)*$C82</f>
        <v>599.73669229823997</v>
      </c>
      <c r="K82" s="743">
        <f>J82*$O$7</f>
        <v>118747.86507505151</v>
      </c>
      <c r="L82" s="744">
        <f>K82</f>
        <v>118747.86507505151</v>
      </c>
      <c r="M82" s="746">
        <f>HLOOKUP($D82,InflationTable,3)*$C82</f>
        <v>616.11708550004141</v>
      </c>
      <c r="N82" s="746">
        <f>M82*$O$7</f>
        <v>121991.1829290082</v>
      </c>
      <c r="O82" s="747">
        <f>N82</f>
        <v>121991.1829290082</v>
      </c>
      <c r="P82" s="743">
        <f>HLOOKUP($D82,InflationTable,4)*$C82</f>
        <v>623.5</v>
      </c>
      <c r="Q82" s="743">
        <f>P82*$O$7</f>
        <v>123453</v>
      </c>
      <c r="R82" s="744">
        <f>Q82</f>
        <v>123453</v>
      </c>
      <c r="S82" s="754" t="s">
        <v>12</v>
      </c>
      <c r="T82" s="755">
        <f>AVERAGE(L82,O82,R82)</f>
        <v>121397.34933468657</v>
      </c>
      <c r="U82" s="757" t="s">
        <v>12</v>
      </c>
    </row>
    <row r="83" spans="1:21" x14ac:dyDescent="0.25">
      <c r="A83" s="615"/>
      <c r="B83" s="1038" t="s">
        <v>25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350" t="s">
        <v>74</v>
      </c>
      <c r="J83" s="351"/>
      <c r="K83" s="352"/>
      <c r="L83" s="356"/>
      <c r="M83" s="110"/>
      <c r="N83" s="108"/>
      <c r="O83" s="111"/>
      <c r="P83" s="351"/>
      <c r="Q83" s="352"/>
      <c r="R83" s="356"/>
      <c r="S83" s="134"/>
      <c r="T83" s="136"/>
      <c r="U83" s="227"/>
    </row>
    <row r="84" spans="1:21" x14ac:dyDescent="0.25">
      <c r="A84" s="615"/>
      <c r="B84" s="1047" t="s">
        <v>365</v>
      </c>
      <c r="C84" s="21">
        <v>0</v>
      </c>
      <c r="D84" s="21">
        <v>2</v>
      </c>
      <c r="E84" s="21">
        <v>6</v>
      </c>
      <c r="F84" s="21">
        <v>6</v>
      </c>
      <c r="G84" s="21">
        <v>0</v>
      </c>
      <c r="H84" s="21">
        <v>0</v>
      </c>
      <c r="I84" s="52">
        <f t="shared" ref="I84:I89" si="22">SUM(C84:H84)</f>
        <v>14</v>
      </c>
      <c r="J84" s="1016">
        <f>$I84</f>
        <v>14</v>
      </c>
      <c r="K84" s="281">
        <f>J84*$O$3</f>
        <v>11914</v>
      </c>
      <c r="L84" s="289">
        <f t="shared" ref="L84:L104" si="23">K84</f>
        <v>11914</v>
      </c>
      <c r="M84" s="1021">
        <f>$I84</f>
        <v>14</v>
      </c>
      <c r="N84" s="69">
        <f>M84*$O$3</f>
        <v>11914</v>
      </c>
      <c r="O84" s="68">
        <f t="shared" ref="O84:O104" si="24">N84</f>
        <v>11914</v>
      </c>
      <c r="P84" s="1016">
        <f>$I84</f>
        <v>14</v>
      </c>
      <c r="Q84" s="281">
        <f>P84*$O$3</f>
        <v>11914</v>
      </c>
      <c r="R84" s="289">
        <f t="shared" ref="R84:R104" si="25">Q84</f>
        <v>11914</v>
      </c>
      <c r="S84" s="121">
        <f t="shared" ref="S84:S93" si="26">AVERAGE(L84,O84,R84)</f>
        <v>11914</v>
      </c>
      <c r="T84" s="119" t="s">
        <v>12</v>
      </c>
      <c r="U84" s="232" t="s">
        <v>12</v>
      </c>
    </row>
    <row r="85" spans="1:21" s="1" customFormat="1" ht="13.8" thickBot="1" x14ac:dyDescent="0.3">
      <c r="A85" s="616"/>
      <c r="B85" s="1259" t="s">
        <v>8</v>
      </c>
      <c r="C85" s="712">
        <f>ROUND(C84*Labor!$D$3,0)</f>
        <v>0</v>
      </c>
      <c r="D85" s="219">
        <f>ROUND(D84*Labor!$D$4,0)</f>
        <v>82</v>
      </c>
      <c r="E85" s="219">
        <f>ROUND(E84*Labor!$D$5,0)</f>
        <v>265</v>
      </c>
      <c r="F85" s="219">
        <f>ROUND(F84*Labor!$D$6,0)</f>
        <v>296</v>
      </c>
      <c r="G85" s="219">
        <f>ROUND(G84*Labor!$D$7,0)</f>
        <v>0</v>
      </c>
      <c r="H85" s="219">
        <f>ROUND(H84*Labor!$D$8,0)</f>
        <v>0</v>
      </c>
      <c r="I85" s="209">
        <f t="shared" si="22"/>
        <v>643</v>
      </c>
      <c r="J85" s="339">
        <f>HLOOKUP(Labor!$B$11,InflationTable,2)*$I85</f>
        <v>868.56558867548813</v>
      </c>
      <c r="K85" s="296">
        <f>J85*$O$3</f>
        <v>739149.31596284045</v>
      </c>
      <c r="L85" s="297">
        <f t="shared" si="23"/>
        <v>739149.31596284045</v>
      </c>
      <c r="M85" s="450">
        <f>HLOOKUP(Labor!$B$11,InflationTable,3)*$I85</f>
        <v>892.2884091178023</v>
      </c>
      <c r="N85" s="377">
        <f>M85*$O$3</f>
        <v>759337.43615924974</v>
      </c>
      <c r="O85" s="378">
        <f t="shared" si="24"/>
        <v>759337.43615924974</v>
      </c>
      <c r="P85" s="339">
        <f>HLOOKUP(Labor!$B$11,InflationTable,4)*$I85</f>
        <v>902.98067717667982</v>
      </c>
      <c r="Q85" s="296">
        <f>P85*$O$3</f>
        <v>768436.55627735448</v>
      </c>
      <c r="R85" s="297">
        <f t="shared" si="25"/>
        <v>768436.55627735448</v>
      </c>
      <c r="S85" s="211">
        <f t="shared" si="26"/>
        <v>755641.10279981478</v>
      </c>
      <c r="T85" s="1027" t="s">
        <v>12</v>
      </c>
      <c r="U85" s="1062" t="s">
        <v>12</v>
      </c>
    </row>
    <row r="86" spans="1:21" x14ac:dyDescent="0.25">
      <c r="A86" s="615"/>
      <c r="B86" s="1048" t="s">
        <v>366</v>
      </c>
      <c r="C86" s="21">
        <v>0</v>
      </c>
      <c r="D86" s="21">
        <v>2</v>
      </c>
      <c r="E86" s="21">
        <v>2</v>
      </c>
      <c r="F86" s="21">
        <v>4</v>
      </c>
      <c r="G86" s="21">
        <v>0</v>
      </c>
      <c r="H86" s="21">
        <v>0</v>
      </c>
      <c r="I86" s="52">
        <f>SUM(C86:H86)</f>
        <v>8</v>
      </c>
      <c r="J86" s="1016">
        <f>$I86</f>
        <v>8</v>
      </c>
      <c r="K86" s="281">
        <f>J86*($O$4+$O$5)</f>
        <v>2464</v>
      </c>
      <c r="L86" s="289">
        <f t="shared" si="23"/>
        <v>2464</v>
      </c>
      <c r="M86" s="1021">
        <f>$I86</f>
        <v>8</v>
      </c>
      <c r="N86" s="69">
        <f>M86*($O$4+$O$5)</f>
        <v>2464</v>
      </c>
      <c r="O86" s="68">
        <f t="shared" si="24"/>
        <v>2464</v>
      </c>
      <c r="P86" s="1016">
        <f>$I86</f>
        <v>8</v>
      </c>
      <c r="Q86" s="281">
        <f>P86*($O$4+$O$5)</f>
        <v>2464</v>
      </c>
      <c r="R86" s="289">
        <f t="shared" si="25"/>
        <v>2464</v>
      </c>
      <c r="S86" s="121">
        <f t="shared" si="26"/>
        <v>2464</v>
      </c>
      <c r="T86" s="119" t="s">
        <v>12</v>
      </c>
      <c r="U86" s="232" t="s">
        <v>12</v>
      </c>
    </row>
    <row r="87" spans="1:21" s="1" customFormat="1" ht="13.8" thickBot="1" x14ac:dyDescent="0.3">
      <c r="A87" s="616"/>
      <c r="B87" s="1049" t="s">
        <v>8</v>
      </c>
      <c r="C87" s="712">
        <f>ROUND(C86*Labor!$D$3,0)</f>
        <v>0</v>
      </c>
      <c r="D87" s="219">
        <f>ROUND(D86*Labor!$D$4,0)</f>
        <v>82</v>
      </c>
      <c r="E87" s="219">
        <f>ROUND(E86*Labor!$D$5,0)</f>
        <v>88</v>
      </c>
      <c r="F87" s="219">
        <f>ROUND(F86*Labor!$D$6,0)</f>
        <v>197</v>
      </c>
      <c r="G87" s="219">
        <f>ROUND(G86*Labor!$D$7,0)</f>
        <v>0</v>
      </c>
      <c r="H87" s="219">
        <f>ROUND(H86*Labor!$D$8,0)</f>
        <v>0</v>
      </c>
      <c r="I87" s="209">
        <f>SUM(C87:H87)</f>
        <v>367</v>
      </c>
      <c r="J87" s="339">
        <f>HLOOKUP(Labor!$B$11,InflationTable,2)*$I87</f>
        <v>495.74427845086183</v>
      </c>
      <c r="K87" s="296">
        <f>J87*($O$4+$O$5)</f>
        <v>152689.23776286544</v>
      </c>
      <c r="L87" s="297">
        <f t="shared" si="23"/>
        <v>152689.23776286544</v>
      </c>
      <c r="M87" s="450">
        <f>HLOOKUP(Labor!$B$11,InflationTable,3)*$I87</f>
        <v>509.28436414655278</v>
      </c>
      <c r="N87" s="377">
        <f>M87*($O$4+$O$5)</f>
        <v>156859.58415713825</v>
      </c>
      <c r="O87" s="378">
        <f t="shared" si="24"/>
        <v>156859.58415713825</v>
      </c>
      <c r="P87" s="339">
        <f>HLOOKUP(Labor!$B$11,InflationTable,4)*$I87</f>
        <v>515.38710501375044</v>
      </c>
      <c r="Q87" s="296">
        <f>P87*($O$4+$O$5)</f>
        <v>158739.22834423513</v>
      </c>
      <c r="R87" s="297">
        <f t="shared" si="25"/>
        <v>158739.22834423513</v>
      </c>
      <c r="S87" s="211">
        <f t="shared" si="26"/>
        <v>156096.01675474629</v>
      </c>
      <c r="T87" s="1027" t="s">
        <v>12</v>
      </c>
      <c r="U87" s="1062" t="s">
        <v>12</v>
      </c>
    </row>
    <row r="88" spans="1:21" x14ac:dyDescent="0.25">
      <c r="A88" s="615"/>
      <c r="B88" s="1047" t="s">
        <v>367</v>
      </c>
      <c r="C88" s="1017">
        <v>0</v>
      </c>
      <c r="D88" s="1017">
        <v>2</v>
      </c>
      <c r="E88" s="1017">
        <v>6</v>
      </c>
      <c r="F88" s="1017">
        <v>6</v>
      </c>
      <c r="G88" s="1025">
        <v>0</v>
      </c>
      <c r="H88" s="1017">
        <v>0</v>
      </c>
      <c r="I88" s="1018">
        <f t="shared" si="22"/>
        <v>14</v>
      </c>
      <c r="J88" s="263">
        <f>$I88</f>
        <v>14</v>
      </c>
      <c r="K88" s="281">
        <f>J88*$L$6</f>
        <v>0</v>
      </c>
      <c r="L88" s="289">
        <f t="shared" si="23"/>
        <v>0</v>
      </c>
      <c r="M88" s="58">
        <f>$I88</f>
        <v>14</v>
      </c>
      <c r="N88" s="69">
        <f>M88*$L$6</f>
        <v>0</v>
      </c>
      <c r="O88" s="68">
        <f t="shared" si="24"/>
        <v>0</v>
      </c>
      <c r="P88" s="263">
        <f>$I88</f>
        <v>14</v>
      </c>
      <c r="Q88" s="281">
        <f>P88*$L$6</f>
        <v>0</v>
      </c>
      <c r="R88" s="289">
        <f t="shared" si="25"/>
        <v>0</v>
      </c>
      <c r="S88" s="121">
        <f t="shared" si="26"/>
        <v>0</v>
      </c>
      <c r="T88" s="119" t="s">
        <v>12</v>
      </c>
      <c r="U88" s="232" t="s">
        <v>12</v>
      </c>
    </row>
    <row r="89" spans="1:21" s="1" customFormat="1" ht="13.8" thickBot="1" x14ac:dyDescent="0.3">
      <c r="A89" s="616"/>
      <c r="B89" s="1259" t="s">
        <v>8</v>
      </c>
      <c r="C89" s="712">
        <f>ROUND(C88*Labor!$D$3,0)</f>
        <v>0</v>
      </c>
      <c r="D89" s="219">
        <f>ROUND(D88*Labor!$D$4,0)</f>
        <v>82</v>
      </c>
      <c r="E89" s="219">
        <f>ROUND(E88*Labor!$D$5,0)</f>
        <v>265</v>
      </c>
      <c r="F89" s="219">
        <f>ROUND(F88*Labor!$D$6,0)</f>
        <v>296</v>
      </c>
      <c r="G89" s="219">
        <f>ROUND(G88*Labor!$D$7,0)</f>
        <v>0</v>
      </c>
      <c r="H89" s="219">
        <f>ROUND(H88*Labor!$D$8,0)</f>
        <v>0</v>
      </c>
      <c r="I89" s="209">
        <f t="shared" si="22"/>
        <v>643</v>
      </c>
      <c r="J89" s="332">
        <f>HLOOKUP(Labor!$B$11,InflationTable,2)*$I89</f>
        <v>868.56558867548813</v>
      </c>
      <c r="K89" s="296">
        <f>J89*$L$6</f>
        <v>0</v>
      </c>
      <c r="L89" s="297">
        <f t="shared" si="23"/>
        <v>0</v>
      </c>
      <c r="M89" s="376">
        <f>HLOOKUP(Labor!$B$11,InflationTable,3)*$I89</f>
        <v>892.2884091178023</v>
      </c>
      <c r="N89" s="377">
        <f>M89*$L$6</f>
        <v>0</v>
      </c>
      <c r="O89" s="378">
        <f t="shared" si="24"/>
        <v>0</v>
      </c>
      <c r="P89" s="332">
        <f>HLOOKUP(Labor!$B$11,InflationTable,4)*$I89</f>
        <v>902.98067717667982</v>
      </c>
      <c r="Q89" s="296">
        <f>P89*$L$6</f>
        <v>0</v>
      </c>
      <c r="R89" s="297">
        <f t="shared" si="25"/>
        <v>0</v>
      </c>
      <c r="S89" s="211">
        <f t="shared" si="26"/>
        <v>0</v>
      </c>
      <c r="T89" s="218" t="s">
        <v>12</v>
      </c>
      <c r="U89" s="228" t="s">
        <v>12</v>
      </c>
    </row>
    <row r="90" spans="1:21" x14ac:dyDescent="0.25">
      <c r="A90" s="615"/>
      <c r="B90" s="1048" t="s">
        <v>297</v>
      </c>
      <c r="C90" s="1017">
        <v>0</v>
      </c>
      <c r="D90" s="1017">
        <v>2</v>
      </c>
      <c r="E90" s="1017">
        <v>6</v>
      </c>
      <c r="F90" s="1017">
        <v>6</v>
      </c>
      <c r="G90" s="1025">
        <v>0</v>
      </c>
      <c r="H90" s="1017">
        <v>0</v>
      </c>
      <c r="I90" s="1018">
        <f>SUM(C90:H90)</f>
        <v>14</v>
      </c>
      <c r="J90" s="263">
        <f>$I90</f>
        <v>14</v>
      </c>
      <c r="K90" s="281">
        <f>J90*$O$6</f>
        <v>13622</v>
      </c>
      <c r="L90" s="289">
        <f t="shared" si="23"/>
        <v>13622</v>
      </c>
      <c r="M90" s="58">
        <f>$I90</f>
        <v>14</v>
      </c>
      <c r="N90" s="69">
        <f>M90*$O$6</f>
        <v>13622</v>
      </c>
      <c r="O90" s="68">
        <f t="shared" si="24"/>
        <v>13622</v>
      </c>
      <c r="P90" s="263">
        <f>$I90</f>
        <v>14</v>
      </c>
      <c r="Q90" s="281">
        <f>P90*$O$6</f>
        <v>13622</v>
      </c>
      <c r="R90" s="289">
        <f t="shared" si="25"/>
        <v>13622</v>
      </c>
      <c r="S90" s="121">
        <f t="shared" si="26"/>
        <v>13622</v>
      </c>
      <c r="T90" s="119" t="s">
        <v>12</v>
      </c>
      <c r="U90" s="232" t="s">
        <v>12</v>
      </c>
    </row>
    <row r="91" spans="1:21" s="1" customFormat="1" ht="13.8" thickBot="1" x14ac:dyDescent="0.3">
      <c r="A91" s="616"/>
      <c r="B91" s="1049" t="s">
        <v>8</v>
      </c>
      <c r="C91" s="712">
        <f>ROUND(C90*Labor!$D$3,0)</f>
        <v>0</v>
      </c>
      <c r="D91" s="219">
        <f>ROUND(D90*Labor!$D$4,0)</f>
        <v>82</v>
      </c>
      <c r="E91" s="219">
        <f>ROUND(E90*Labor!$D$5,0)</f>
        <v>265</v>
      </c>
      <c r="F91" s="219">
        <f>ROUND(F90*Labor!$D$6,0)</f>
        <v>296</v>
      </c>
      <c r="G91" s="219">
        <f>ROUND(G90*Labor!$D$7,0)</f>
        <v>0</v>
      </c>
      <c r="H91" s="219">
        <f>ROUND(H90*Labor!$D$8,0)</f>
        <v>0</v>
      </c>
      <c r="I91" s="209">
        <f>SUM(C91:H91)</f>
        <v>643</v>
      </c>
      <c r="J91" s="332">
        <f>HLOOKUP(Labor!$B$11,InflationTable,2)*$I91</f>
        <v>868.56558867548813</v>
      </c>
      <c r="K91" s="296">
        <f>J91*$O$6</f>
        <v>845114.31778124999</v>
      </c>
      <c r="L91" s="297">
        <f t="shared" si="23"/>
        <v>845114.31778124999</v>
      </c>
      <c r="M91" s="376">
        <f>HLOOKUP(Labor!$B$11,InflationTable,3)*$I91</f>
        <v>892.2884091178023</v>
      </c>
      <c r="N91" s="377">
        <f>M91*$O$6</f>
        <v>868196.62207162159</v>
      </c>
      <c r="O91" s="378">
        <f t="shared" si="24"/>
        <v>868196.62207162159</v>
      </c>
      <c r="P91" s="332">
        <f>HLOOKUP(Labor!$B$11,InflationTable,4)*$I91</f>
        <v>902.98067717667982</v>
      </c>
      <c r="Q91" s="296">
        <f>P91*$O$6</f>
        <v>878600.19889290945</v>
      </c>
      <c r="R91" s="297">
        <f t="shared" si="25"/>
        <v>878600.19889290945</v>
      </c>
      <c r="S91" s="211">
        <f t="shared" si="26"/>
        <v>863970.37958192697</v>
      </c>
      <c r="T91" s="218" t="s">
        <v>12</v>
      </c>
      <c r="U91" s="228" t="s">
        <v>12</v>
      </c>
    </row>
    <row r="92" spans="1:21" x14ac:dyDescent="0.25">
      <c r="A92" s="615"/>
      <c r="B92" s="1260" t="s">
        <v>335</v>
      </c>
      <c r="C92" s="1017">
        <v>0</v>
      </c>
      <c r="D92" s="1017">
        <v>0</v>
      </c>
      <c r="E92" s="1017">
        <v>4</v>
      </c>
      <c r="F92" s="1017">
        <v>6</v>
      </c>
      <c r="G92" s="1025">
        <v>4</v>
      </c>
      <c r="H92" s="1017">
        <v>0</v>
      </c>
      <c r="I92" s="1018">
        <f>SUM(C92:H92)</f>
        <v>14</v>
      </c>
      <c r="J92" s="263">
        <f>$I92</f>
        <v>14</v>
      </c>
      <c r="K92" s="281">
        <f>$I92*$O$7</f>
        <v>2772</v>
      </c>
      <c r="L92" s="289">
        <f t="shared" si="23"/>
        <v>2772</v>
      </c>
      <c r="M92" s="58">
        <f>$I92</f>
        <v>14</v>
      </c>
      <c r="N92" s="69">
        <f>$I92*$O$7</f>
        <v>2772</v>
      </c>
      <c r="O92" s="68">
        <f t="shared" si="24"/>
        <v>2772</v>
      </c>
      <c r="P92" s="263">
        <f>$I92</f>
        <v>14</v>
      </c>
      <c r="Q92" s="281">
        <f>$I92*$O$7</f>
        <v>2772</v>
      </c>
      <c r="R92" s="289">
        <f t="shared" si="25"/>
        <v>2772</v>
      </c>
      <c r="S92" s="121">
        <f t="shared" si="26"/>
        <v>2772</v>
      </c>
      <c r="T92" s="119" t="s">
        <v>12</v>
      </c>
      <c r="U92" s="232" t="s">
        <v>12</v>
      </c>
    </row>
    <row r="93" spans="1:21" s="1" customFormat="1" ht="13.8" thickBot="1" x14ac:dyDescent="0.3">
      <c r="A93" s="616"/>
      <c r="B93" s="1261" t="s">
        <v>8</v>
      </c>
      <c r="C93" s="712">
        <f>ROUND(C92*Labor!$D$3,0)</f>
        <v>0</v>
      </c>
      <c r="D93" s="219">
        <f>ROUND(D92*Labor!$D$4,0)</f>
        <v>0</v>
      </c>
      <c r="E93" s="219">
        <f>ROUND(E92*Labor!$D$5,0)</f>
        <v>176</v>
      </c>
      <c r="F93" s="219">
        <f>ROUND(F92*Labor!$D$6,0)</f>
        <v>296</v>
      </c>
      <c r="G93" s="219">
        <f>ROUND(G92*Labor!$D$7,0)</f>
        <v>222</v>
      </c>
      <c r="H93" s="219">
        <f>ROUND(H92*Labor!$D$8,0)</f>
        <v>0</v>
      </c>
      <c r="I93" s="209">
        <f>SUM(C93:H93)</f>
        <v>694</v>
      </c>
      <c r="J93" s="332">
        <f>HLOOKUP(Labor!$B$11,InflationTable,2)*$I93</f>
        <v>937.45648295612557</v>
      </c>
      <c r="K93" s="296">
        <f>J93*$O$7</f>
        <v>185616.38362531285</v>
      </c>
      <c r="L93" s="297">
        <f t="shared" si="23"/>
        <v>185616.38362531285</v>
      </c>
      <c r="M93" s="376">
        <f>HLOOKUP(Labor!$B$11,InflationTable,3)*$I93</f>
        <v>963.06089568857669</v>
      </c>
      <c r="N93" s="377">
        <f>M93*$O$7</f>
        <v>190686.05734633817</v>
      </c>
      <c r="O93" s="378">
        <f t="shared" si="24"/>
        <v>190686.05734633817</v>
      </c>
      <c r="P93" s="332">
        <f>HLOOKUP(Labor!$B$11,InflationTable,4)*$I93</f>
        <v>974.60122855461248</v>
      </c>
      <c r="Q93" s="296">
        <f>P93*$O$7</f>
        <v>192971.04325381326</v>
      </c>
      <c r="R93" s="297">
        <f t="shared" si="25"/>
        <v>192971.04325381326</v>
      </c>
      <c r="S93" s="211">
        <f t="shared" si="26"/>
        <v>189757.82807515477</v>
      </c>
      <c r="T93" s="218" t="s">
        <v>12</v>
      </c>
      <c r="U93" s="228" t="s">
        <v>12</v>
      </c>
    </row>
    <row r="94" spans="1:21" x14ac:dyDescent="0.25">
      <c r="A94" s="615"/>
      <c r="B94" s="1038" t="s">
        <v>375</v>
      </c>
      <c r="C94" s="107" t="s">
        <v>45</v>
      </c>
      <c r="D94" s="108" t="s">
        <v>46</v>
      </c>
      <c r="E94" s="107" t="s">
        <v>47</v>
      </c>
      <c r="F94" s="107" t="s">
        <v>48</v>
      </c>
      <c r="G94" s="107" t="s">
        <v>49</v>
      </c>
      <c r="H94" s="107" t="s">
        <v>50</v>
      </c>
      <c r="I94" s="350" t="s">
        <v>74</v>
      </c>
      <c r="J94" s="351"/>
      <c r="K94" s="352"/>
      <c r="L94" s="356"/>
      <c r="M94" s="110"/>
      <c r="N94" s="108"/>
      <c r="O94" s="111"/>
      <c r="P94" s="351"/>
      <c r="Q94" s="352"/>
      <c r="R94" s="356"/>
      <c r="S94" s="134"/>
      <c r="T94" s="136"/>
      <c r="U94" s="227"/>
    </row>
    <row r="95" spans="1:21" x14ac:dyDescent="0.25">
      <c r="A95" s="615"/>
      <c r="B95" s="1048" t="s">
        <v>365</v>
      </c>
      <c r="C95" s="21">
        <v>0</v>
      </c>
      <c r="D95" s="21">
        <v>2</v>
      </c>
      <c r="E95" s="21">
        <v>6</v>
      </c>
      <c r="F95" s="21">
        <v>8</v>
      </c>
      <c r="G95" s="21">
        <v>0</v>
      </c>
      <c r="H95" s="21">
        <v>0</v>
      </c>
      <c r="I95" s="52">
        <f>SUM(C95:H95)</f>
        <v>16</v>
      </c>
      <c r="J95" s="1016">
        <f>$I95</f>
        <v>16</v>
      </c>
      <c r="K95" s="281">
        <f>J95*$O$3</f>
        <v>13616</v>
      </c>
      <c r="L95" s="289">
        <f t="shared" si="23"/>
        <v>13616</v>
      </c>
      <c r="M95" s="1021">
        <f>$I95</f>
        <v>16</v>
      </c>
      <c r="N95" s="69">
        <f>M95*$O$3</f>
        <v>13616</v>
      </c>
      <c r="O95" s="68">
        <f t="shared" si="24"/>
        <v>13616</v>
      </c>
      <c r="P95" s="1016">
        <f>$I95</f>
        <v>16</v>
      </c>
      <c r="Q95" s="281">
        <f>P95*$O$3</f>
        <v>13616</v>
      </c>
      <c r="R95" s="289">
        <f t="shared" si="25"/>
        <v>13616</v>
      </c>
      <c r="S95" s="121">
        <f>AVERAGE(L95,O95,R95)</f>
        <v>13616</v>
      </c>
      <c r="T95" s="119" t="s">
        <v>12</v>
      </c>
      <c r="U95" s="232" t="s">
        <v>12</v>
      </c>
    </row>
    <row r="96" spans="1:21" s="1" customFormat="1" ht="13.8" thickBot="1" x14ac:dyDescent="0.3">
      <c r="A96" s="616"/>
      <c r="B96" s="1049" t="s">
        <v>8</v>
      </c>
      <c r="C96" s="712">
        <f>ROUND(C95*Labor!$D$3,0)</f>
        <v>0</v>
      </c>
      <c r="D96" s="219">
        <f>ROUND(D95*Labor!$D$4,0)</f>
        <v>82</v>
      </c>
      <c r="E96" s="219">
        <f>ROUND(E95*Labor!$D$5,0)</f>
        <v>265</v>
      </c>
      <c r="F96" s="219">
        <f>ROUND(F95*Labor!$D$6,0)</f>
        <v>394</v>
      </c>
      <c r="G96" s="219">
        <f>ROUND(G95*Labor!$D$7,0)</f>
        <v>0</v>
      </c>
      <c r="H96" s="219">
        <f>ROUND(H95*Labor!$D$8,0)</f>
        <v>0</v>
      </c>
      <c r="I96" s="209">
        <f>SUM(C96:H96)</f>
        <v>741</v>
      </c>
      <c r="J96" s="339">
        <f>HLOOKUP(Labor!$B$11,InflationTable,2)*$I96</f>
        <v>1000.9441698422033</v>
      </c>
      <c r="K96" s="296">
        <f>J96*$O$3</f>
        <v>851803.48853571503</v>
      </c>
      <c r="L96" s="297">
        <f t="shared" si="23"/>
        <v>851803.48853571503</v>
      </c>
      <c r="M96" s="450">
        <f>HLOOKUP(Labor!$B$11,InflationTable,3)*$I96</f>
        <v>1028.282598998898</v>
      </c>
      <c r="N96" s="377">
        <f>M96*$O$3</f>
        <v>875068.4917480622</v>
      </c>
      <c r="O96" s="378">
        <f t="shared" si="24"/>
        <v>875068.4917480622</v>
      </c>
      <c r="P96" s="339">
        <f>HLOOKUP(Labor!$B$11,InflationTable,4)*$I96</f>
        <v>1040.6044817852562</v>
      </c>
      <c r="Q96" s="296">
        <f>P96*$O$3</f>
        <v>885554.41399925307</v>
      </c>
      <c r="R96" s="297">
        <f t="shared" si="25"/>
        <v>885554.41399925307</v>
      </c>
      <c r="S96" s="211">
        <f>AVERAGE(L96,O96,R96)</f>
        <v>870808.79809434339</v>
      </c>
      <c r="T96" s="1027" t="s">
        <v>12</v>
      </c>
      <c r="U96" s="1062" t="s">
        <v>12</v>
      </c>
    </row>
    <row r="97" spans="1:22" x14ac:dyDescent="0.25">
      <c r="A97" s="615"/>
      <c r="B97" s="1048" t="s">
        <v>366</v>
      </c>
      <c r="C97" s="21">
        <v>0</v>
      </c>
      <c r="D97" s="21">
        <v>2</v>
      </c>
      <c r="E97" s="21">
        <v>4</v>
      </c>
      <c r="F97" s="21">
        <v>6</v>
      </c>
      <c r="G97" s="21">
        <v>0</v>
      </c>
      <c r="H97" s="21">
        <v>0</v>
      </c>
      <c r="I97" s="52">
        <f>SUM(C97:H97)</f>
        <v>12</v>
      </c>
      <c r="J97" s="1016">
        <f>$I97</f>
        <v>12</v>
      </c>
      <c r="K97" s="281">
        <f>J97*($O$4+$O$5)</f>
        <v>3696</v>
      </c>
      <c r="L97" s="289">
        <f t="shared" si="23"/>
        <v>3696</v>
      </c>
      <c r="M97" s="1021">
        <f>$I97</f>
        <v>12</v>
      </c>
      <c r="N97" s="69">
        <f>M97*($O$4+$O$5)</f>
        <v>3696</v>
      </c>
      <c r="O97" s="68">
        <f t="shared" si="24"/>
        <v>3696</v>
      </c>
      <c r="P97" s="1016">
        <f>$I97</f>
        <v>12</v>
      </c>
      <c r="Q97" s="281">
        <f>P97*($O$4+$O$5)</f>
        <v>3696</v>
      </c>
      <c r="R97" s="289">
        <f t="shared" si="25"/>
        <v>3696</v>
      </c>
      <c r="S97" s="121">
        <f>AVERAGE(L97,O97,R97)</f>
        <v>3696</v>
      </c>
      <c r="T97" s="119" t="s">
        <v>12</v>
      </c>
      <c r="U97" s="232" t="s">
        <v>12</v>
      </c>
    </row>
    <row r="98" spans="1:22" s="1" customFormat="1" ht="13.8" thickBot="1" x14ac:dyDescent="0.3">
      <c r="A98" s="616"/>
      <c r="B98" s="1049" t="s">
        <v>8</v>
      </c>
      <c r="C98" s="712">
        <f>ROUND(C97*Labor!$D$3,0)</f>
        <v>0</v>
      </c>
      <c r="D98" s="219">
        <f>ROUND(D97*Labor!$D$4,0)</f>
        <v>82</v>
      </c>
      <c r="E98" s="219">
        <f>ROUND(E97*Labor!$D$5,0)</f>
        <v>176</v>
      </c>
      <c r="F98" s="219">
        <f>ROUND(F97*Labor!$D$6,0)</f>
        <v>296</v>
      </c>
      <c r="G98" s="219">
        <f>ROUND(G97*Labor!$D$7,0)</f>
        <v>0</v>
      </c>
      <c r="H98" s="219">
        <f>ROUND(H97*Labor!$D$8,0)</f>
        <v>0</v>
      </c>
      <c r="I98" s="209">
        <f>SUM(C98:H98)</f>
        <v>554</v>
      </c>
      <c r="J98" s="339">
        <f>HLOOKUP(Labor!$B$11,InflationTable,2)*$I98</f>
        <v>748.3442241465325</v>
      </c>
      <c r="K98" s="296">
        <f>J98*($O$4+$O$5)</f>
        <v>230490.02103713201</v>
      </c>
      <c r="L98" s="297">
        <f t="shared" si="23"/>
        <v>230490.02103713201</v>
      </c>
      <c r="M98" s="450">
        <f>HLOOKUP(Labor!$B$11,InflationTable,3)*$I98</f>
        <v>768.78348157272546</v>
      </c>
      <c r="N98" s="377">
        <f>M98*($O$4+$O$5)</f>
        <v>236785.31232439945</v>
      </c>
      <c r="O98" s="378">
        <f t="shared" si="24"/>
        <v>236785.31232439945</v>
      </c>
      <c r="P98" s="339">
        <f>HLOOKUP(Labor!$B$11,InflationTable,4)*$I98</f>
        <v>777.99579339950333</v>
      </c>
      <c r="Q98" s="296">
        <f>P98*($O$4+$O$5)</f>
        <v>239622.70436704703</v>
      </c>
      <c r="R98" s="297">
        <f t="shared" si="25"/>
        <v>239622.70436704703</v>
      </c>
      <c r="S98" s="211">
        <f>AVERAGE(L98,O98,R98)</f>
        <v>235632.67924285951</v>
      </c>
      <c r="T98" s="1027" t="s">
        <v>12</v>
      </c>
      <c r="U98" s="1062" t="s">
        <v>12</v>
      </c>
    </row>
    <row r="99" spans="1:22" x14ac:dyDescent="0.25">
      <c r="A99" s="615"/>
      <c r="B99" s="1048" t="s">
        <v>367</v>
      </c>
      <c r="C99" s="1017">
        <v>0</v>
      </c>
      <c r="D99" s="1017">
        <v>2</v>
      </c>
      <c r="E99" s="1017">
        <v>6</v>
      </c>
      <c r="F99" s="1017">
        <v>8</v>
      </c>
      <c r="G99" s="1025">
        <v>0</v>
      </c>
      <c r="H99" s="1017">
        <v>0</v>
      </c>
      <c r="I99" s="1018">
        <f t="shared" ref="I99:I104" si="27">SUM(C99:H99)</f>
        <v>16</v>
      </c>
      <c r="J99" s="263">
        <f>$I99</f>
        <v>16</v>
      </c>
      <c r="K99" s="281">
        <f>J99*$L$6</f>
        <v>0</v>
      </c>
      <c r="L99" s="289">
        <f t="shared" si="23"/>
        <v>0</v>
      </c>
      <c r="M99" s="58">
        <f>$I99</f>
        <v>16</v>
      </c>
      <c r="N99" s="69">
        <f>M99*$L$6</f>
        <v>0</v>
      </c>
      <c r="O99" s="68">
        <f t="shared" si="24"/>
        <v>0</v>
      </c>
      <c r="P99" s="263">
        <f>$I99</f>
        <v>16</v>
      </c>
      <c r="Q99" s="281">
        <f>P99*$L$6</f>
        <v>0</v>
      </c>
      <c r="R99" s="289">
        <f t="shared" si="25"/>
        <v>0</v>
      </c>
      <c r="S99" s="121">
        <f t="shared" ref="S99:S104" si="28">AVERAGE(L99,O99,R99)</f>
        <v>0</v>
      </c>
      <c r="T99" s="119" t="s">
        <v>12</v>
      </c>
      <c r="U99" s="1059" t="s">
        <v>12</v>
      </c>
    </row>
    <row r="100" spans="1:22" s="1" customFormat="1" ht="13.8" thickBot="1" x14ac:dyDescent="0.3">
      <c r="A100" s="616"/>
      <c r="B100" s="1261" t="s">
        <v>8</v>
      </c>
      <c r="C100" s="712">
        <f>ROUND(C99*Labor!$D$3,0)</f>
        <v>0</v>
      </c>
      <c r="D100" s="219">
        <f>ROUND(D99*Labor!$D$4,0)</f>
        <v>82</v>
      </c>
      <c r="E100" s="219">
        <f>ROUND(E99*Labor!$D$5,0)</f>
        <v>265</v>
      </c>
      <c r="F100" s="219">
        <f>ROUND(F99*Labor!$D$6,0)</f>
        <v>394</v>
      </c>
      <c r="G100" s="219">
        <f>ROUND(G99*Labor!$D$7,0)</f>
        <v>0</v>
      </c>
      <c r="H100" s="219">
        <f>ROUND(H99*Labor!$D$8,0)</f>
        <v>0</v>
      </c>
      <c r="I100" s="209">
        <f t="shared" si="27"/>
        <v>741</v>
      </c>
      <c r="J100" s="332">
        <f>HLOOKUP(Labor!$B$11,InflationTable,2)*$I100</f>
        <v>1000.9441698422033</v>
      </c>
      <c r="K100" s="296">
        <f>J100*$L$6</f>
        <v>0</v>
      </c>
      <c r="L100" s="297">
        <f t="shared" si="23"/>
        <v>0</v>
      </c>
      <c r="M100" s="376">
        <f>HLOOKUP(Labor!$B$11,InflationTable,3)*$I100</f>
        <v>1028.282598998898</v>
      </c>
      <c r="N100" s="377">
        <f>M100*$L$6</f>
        <v>0</v>
      </c>
      <c r="O100" s="378">
        <f t="shared" si="24"/>
        <v>0</v>
      </c>
      <c r="P100" s="332">
        <f>HLOOKUP(Labor!$B$11,InflationTable,4)*$I100</f>
        <v>1040.6044817852562</v>
      </c>
      <c r="Q100" s="296">
        <f>P100*$L$6</f>
        <v>0</v>
      </c>
      <c r="R100" s="297">
        <f t="shared" si="25"/>
        <v>0</v>
      </c>
      <c r="S100" s="211">
        <f t="shared" si="28"/>
        <v>0</v>
      </c>
      <c r="T100" s="218" t="s">
        <v>12</v>
      </c>
      <c r="U100" s="228" t="s">
        <v>12</v>
      </c>
    </row>
    <row r="101" spans="1:22" x14ac:dyDescent="0.25">
      <c r="A101" s="615"/>
      <c r="B101" s="1048" t="s">
        <v>297</v>
      </c>
      <c r="C101" s="1017">
        <v>0</v>
      </c>
      <c r="D101" s="1017">
        <v>5</v>
      </c>
      <c r="E101" s="1017">
        <v>5</v>
      </c>
      <c r="F101" s="1017">
        <v>4</v>
      </c>
      <c r="G101" s="1025">
        <v>0</v>
      </c>
      <c r="H101" s="1017">
        <v>0</v>
      </c>
      <c r="I101" s="1018">
        <f t="shared" si="27"/>
        <v>14</v>
      </c>
      <c r="J101" s="263">
        <f>$I101</f>
        <v>14</v>
      </c>
      <c r="K101" s="281">
        <f>J101*$O$6</f>
        <v>13622</v>
      </c>
      <c r="L101" s="289">
        <f t="shared" si="23"/>
        <v>13622</v>
      </c>
      <c r="M101" s="58">
        <f>$I101</f>
        <v>14</v>
      </c>
      <c r="N101" s="69">
        <f>M101*$O$6</f>
        <v>13622</v>
      </c>
      <c r="O101" s="68">
        <f t="shared" si="24"/>
        <v>13622</v>
      </c>
      <c r="P101" s="263">
        <f>$I101</f>
        <v>14</v>
      </c>
      <c r="Q101" s="281">
        <f>P101*$O$6</f>
        <v>13622</v>
      </c>
      <c r="R101" s="289">
        <f t="shared" si="25"/>
        <v>13622</v>
      </c>
      <c r="S101" s="121">
        <f t="shared" si="28"/>
        <v>13622</v>
      </c>
      <c r="T101" s="119" t="s">
        <v>12</v>
      </c>
      <c r="U101" s="232" t="s">
        <v>12</v>
      </c>
    </row>
    <row r="102" spans="1:22" s="1" customFormat="1" ht="13.8" thickBot="1" x14ac:dyDescent="0.3">
      <c r="A102" s="616"/>
      <c r="B102" s="1049" t="s">
        <v>8</v>
      </c>
      <c r="C102" s="712">
        <f>ROUND(C101*Labor!$D$3,0)</f>
        <v>0</v>
      </c>
      <c r="D102" s="219">
        <f>ROUND(D101*Labor!$D$4,0)</f>
        <v>204</v>
      </c>
      <c r="E102" s="219">
        <f>ROUND(E101*Labor!$D$5,0)</f>
        <v>221</v>
      </c>
      <c r="F102" s="219">
        <f>ROUND(F101*Labor!$D$6,0)</f>
        <v>197</v>
      </c>
      <c r="G102" s="219">
        <f>ROUND(G101*Labor!$D$7,0)</f>
        <v>0</v>
      </c>
      <c r="H102" s="219">
        <f>ROUND(H101*Labor!$D$8,0)</f>
        <v>0</v>
      </c>
      <c r="I102" s="209">
        <f t="shared" si="27"/>
        <v>622</v>
      </c>
      <c r="J102" s="332">
        <f>HLOOKUP(Labor!$B$11,InflationTable,2)*$I102</f>
        <v>840.1987498540492</v>
      </c>
      <c r="K102" s="296">
        <f>J102*$O$6</f>
        <v>817513.38360798988</v>
      </c>
      <c r="L102" s="297">
        <f t="shared" si="23"/>
        <v>817513.38360798988</v>
      </c>
      <c r="M102" s="376">
        <f>HLOOKUP(Labor!$B$11,InflationTable,3)*$I102</f>
        <v>863.14679700042461</v>
      </c>
      <c r="N102" s="377">
        <f>M102*$O$6</f>
        <v>839841.8334814132</v>
      </c>
      <c r="O102" s="378">
        <f t="shared" si="24"/>
        <v>839841.8334814132</v>
      </c>
      <c r="P102" s="332">
        <f>HLOOKUP(Labor!$B$11,InflationTable,4)*$I102</f>
        <v>873.4898619034135</v>
      </c>
      <c r="Q102" s="296">
        <f>P102*$O$6</f>
        <v>849905.63563202135</v>
      </c>
      <c r="R102" s="297">
        <f t="shared" si="25"/>
        <v>849905.63563202135</v>
      </c>
      <c r="S102" s="211">
        <f t="shared" si="28"/>
        <v>835753.61757380806</v>
      </c>
      <c r="T102" s="218" t="s">
        <v>12</v>
      </c>
      <c r="U102" s="228" t="s">
        <v>12</v>
      </c>
    </row>
    <row r="103" spans="1:22" x14ac:dyDescent="0.25">
      <c r="A103" s="615"/>
      <c r="B103" s="1047" t="s">
        <v>335</v>
      </c>
      <c r="C103" s="1017">
        <v>0</v>
      </c>
      <c r="D103" s="1017">
        <v>0</v>
      </c>
      <c r="E103" s="1017">
        <v>4</v>
      </c>
      <c r="F103" s="1017">
        <v>12</v>
      </c>
      <c r="G103" s="1025">
        <v>0</v>
      </c>
      <c r="H103" s="1017">
        <v>0</v>
      </c>
      <c r="I103" s="1018">
        <f t="shared" si="27"/>
        <v>16</v>
      </c>
      <c r="J103" s="263">
        <f>$I103</f>
        <v>16</v>
      </c>
      <c r="K103" s="281">
        <f>$I103*$O$7</f>
        <v>3168</v>
      </c>
      <c r="L103" s="289">
        <f t="shared" si="23"/>
        <v>3168</v>
      </c>
      <c r="M103" s="58">
        <f>$I103</f>
        <v>16</v>
      </c>
      <c r="N103" s="69">
        <f>$I103*$O$7</f>
        <v>3168</v>
      </c>
      <c r="O103" s="68">
        <f t="shared" si="24"/>
        <v>3168</v>
      </c>
      <c r="P103" s="263">
        <f>$I103</f>
        <v>16</v>
      </c>
      <c r="Q103" s="281">
        <f>$I103*$O$7</f>
        <v>3168</v>
      </c>
      <c r="R103" s="289">
        <f t="shared" si="25"/>
        <v>3168</v>
      </c>
      <c r="S103" s="121">
        <f t="shared" si="28"/>
        <v>3168</v>
      </c>
      <c r="T103" s="119" t="s">
        <v>12</v>
      </c>
      <c r="U103" s="232" t="s">
        <v>12</v>
      </c>
    </row>
    <row r="104" spans="1:22" s="1" customFormat="1" ht="13.8" thickBot="1" x14ac:dyDescent="0.3">
      <c r="A104" s="616"/>
      <c r="B104" s="1049" t="s">
        <v>8</v>
      </c>
      <c r="C104" s="712">
        <f>ROUND(C103*Labor!$D$3,0)</f>
        <v>0</v>
      </c>
      <c r="D104" s="219">
        <f>ROUND(D103*Labor!$D$4,0)</f>
        <v>0</v>
      </c>
      <c r="E104" s="219">
        <f>ROUND(E103*Labor!$D$5,0)</f>
        <v>176</v>
      </c>
      <c r="F104" s="219">
        <f>ROUND(F103*Labor!$D$6,0)</f>
        <v>591</v>
      </c>
      <c r="G104" s="219">
        <f>ROUND(G103*Labor!$D$7,0)</f>
        <v>0</v>
      </c>
      <c r="H104" s="219">
        <f>ROUND(H103*Labor!$D$8,0)</f>
        <v>0</v>
      </c>
      <c r="I104" s="209">
        <f t="shared" si="27"/>
        <v>767</v>
      </c>
      <c r="J104" s="332">
        <f>HLOOKUP(Labor!$B$11,InflationTable,2)*$I104</f>
        <v>1036.0650179068421</v>
      </c>
      <c r="K104" s="296">
        <f>J104*$O$7</f>
        <v>205140.87354555473</v>
      </c>
      <c r="L104" s="297">
        <f t="shared" si="23"/>
        <v>205140.87354555473</v>
      </c>
      <c r="M104" s="376">
        <f>HLOOKUP(Labor!$B$11,InflationTable,3)*$I104</f>
        <v>1064.3626901918419</v>
      </c>
      <c r="N104" s="377">
        <f>M104*$O$7</f>
        <v>210743.8126579847</v>
      </c>
      <c r="O104" s="378">
        <f t="shared" si="24"/>
        <v>210743.8126579847</v>
      </c>
      <c r="P104" s="332">
        <f>HLOOKUP(Labor!$B$11,InflationTable,4)*$I104</f>
        <v>1077.1169197426336</v>
      </c>
      <c r="Q104" s="296">
        <f>P104*$O$7</f>
        <v>213269.15010904145</v>
      </c>
      <c r="R104" s="297">
        <f t="shared" si="25"/>
        <v>213269.15010904145</v>
      </c>
      <c r="S104" s="211">
        <f t="shared" si="28"/>
        <v>209717.94543752694</v>
      </c>
      <c r="T104" s="218" t="s">
        <v>12</v>
      </c>
      <c r="U104" s="228" t="s">
        <v>12</v>
      </c>
    </row>
    <row r="105" spans="1:22" x14ac:dyDescent="0.25">
      <c r="A105" s="615"/>
      <c r="B105" s="605" t="s">
        <v>66</v>
      </c>
      <c r="C105" s="33">
        <f>C84+C86+C88+C90+C92+C95+C97+C99+C101+C103</f>
        <v>0</v>
      </c>
      <c r="D105" s="33">
        <f t="shared" ref="D105:I105" si="29">D84+D86+D88+D90+D92+D95+D97+D99+D101+D103</f>
        <v>19</v>
      </c>
      <c r="E105" s="33">
        <f t="shared" si="29"/>
        <v>49</v>
      </c>
      <c r="F105" s="33">
        <f t="shared" si="29"/>
        <v>66</v>
      </c>
      <c r="G105" s="33">
        <f t="shared" si="29"/>
        <v>4</v>
      </c>
      <c r="H105" s="33">
        <f t="shared" si="29"/>
        <v>0</v>
      </c>
      <c r="I105" s="99">
        <f t="shared" si="29"/>
        <v>138</v>
      </c>
      <c r="J105" s="284">
        <f t="shared" ref="J105:R105" si="30">J84+J86+J88+J90+J92+J95+J97+J99+J101+J103</f>
        <v>138</v>
      </c>
      <c r="K105" s="285">
        <f t="shared" si="30"/>
        <v>64874</v>
      </c>
      <c r="L105" s="312">
        <f t="shared" si="30"/>
        <v>64874</v>
      </c>
      <c r="M105" s="44">
        <f t="shared" si="30"/>
        <v>138</v>
      </c>
      <c r="N105" s="33">
        <f t="shared" si="30"/>
        <v>64874</v>
      </c>
      <c r="O105" s="99">
        <f t="shared" si="30"/>
        <v>64874</v>
      </c>
      <c r="P105" s="284">
        <f t="shared" si="30"/>
        <v>138</v>
      </c>
      <c r="Q105" s="285">
        <f t="shared" si="30"/>
        <v>64874</v>
      </c>
      <c r="R105" s="285">
        <f t="shared" si="30"/>
        <v>64874</v>
      </c>
      <c r="S105" s="121">
        <f>AVERAGE(L105,O105,R105)</f>
        <v>64874</v>
      </c>
      <c r="T105" s="136" t="s">
        <v>12</v>
      </c>
      <c r="U105" s="513" t="s">
        <v>12</v>
      </c>
    </row>
    <row r="106" spans="1:22" ht="13.8" thickBot="1" x14ac:dyDescent="0.3">
      <c r="A106" s="615"/>
      <c r="B106" s="606" t="s">
        <v>67</v>
      </c>
      <c r="C106" s="710">
        <f>C85+C87+C89+C91+C93+C96+C98+C100+C102+C104</f>
        <v>0</v>
      </c>
      <c r="D106" s="710">
        <f t="shared" ref="D106:M106" si="31">D85+D87+D89+D91+D93+D96+D98+D100+D102+D104</f>
        <v>778</v>
      </c>
      <c r="E106" s="710">
        <f t="shared" si="31"/>
        <v>2162</v>
      </c>
      <c r="F106" s="710">
        <f t="shared" si="31"/>
        <v>3253</v>
      </c>
      <c r="G106" s="710">
        <f t="shared" si="31"/>
        <v>222</v>
      </c>
      <c r="H106" s="710">
        <f t="shared" si="31"/>
        <v>0</v>
      </c>
      <c r="I106" s="1341">
        <f t="shared" si="31"/>
        <v>6415</v>
      </c>
      <c r="J106" s="1340">
        <f t="shared" si="31"/>
        <v>8665.3938590252819</v>
      </c>
      <c r="K106" s="927">
        <f>K85+K87+K89+K91+K93+K96+K98+K100+K102+K104+SUM(K78:K82)</f>
        <v>4725748.4711330412</v>
      </c>
      <c r="L106" s="1339">
        <f>L85+L87+L89+L91+L93+L96+L98+L100+L102+L104+SUM(L78:L82)</f>
        <v>4725748.4711330412</v>
      </c>
      <c r="M106" s="1338">
        <f t="shared" si="31"/>
        <v>8902.0686539513244</v>
      </c>
      <c r="N106" s="710">
        <f>N85+N87+N89+N91+N93+N96+N98+N100+N102+N104+SUM(N78:N82)</f>
        <v>4854821.1443979209</v>
      </c>
      <c r="O106" s="1341">
        <f>O85+O87+O89+O91+O93+O96+O98+O100+O102+O104+SUM(O78:O82)</f>
        <v>4854821.1443979209</v>
      </c>
      <c r="P106" s="1340">
        <f>P85+P87+P89+P91+P93+P96+P98+P100+P102+P104</f>
        <v>9008.7419037144646</v>
      </c>
      <c r="Q106" s="927">
        <f>Q85+Q87+Q89+Q91+Q93+Q96+Q98+Q100+Q102+Q104+SUM(Q78:Q82)</f>
        <v>4912996.3358756751</v>
      </c>
      <c r="R106" s="1337">
        <f>R85+R87+R89+R91+R93+R96+R98+R100+R102+R104+SUM(R78:R82)</f>
        <v>4912996.3358756751</v>
      </c>
      <c r="S106" s="408">
        <f>S85+S87+S89+S91+S93+S96+S98+S100+S102+S104+SUM(S78:S82)</f>
        <v>4117378.3675601804</v>
      </c>
      <c r="T106" s="251">
        <f>SUM(T78:T82)</f>
        <v>713810.28290869773</v>
      </c>
      <c r="U106" s="231" t="s">
        <v>12</v>
      </c>
    </row>
    <row r="107" spans="1:22" ht="14.4" thickTop="1" thickBot="1" x14ac:dyDescent="0.3">
      <c r="B107" s="618"/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18"/>
      <c r="O107" s="618"/>
      <c r="P107" s="618"/>
      <c r="Q107" s="618"/>
      <c r="R107" s="618"/>
      <c r="S107" s="618"/>
      <c r="T107" s="618"/>
      <c r="U107" s="618"/>
      <c r="V107" s="5"/>
    </row>
    <row r="108" spans="1:22" ht="16.2" thickTop="1" x14ac:dyDescent="0.3">
      <c r="A108" s="615"/>
      <c r="B108" s="709" t="s">
        <v>26</v>
      </c>
      <c r="C108" s="5"/>
      <c r="D108" s="5"/>
      <c r="E108" s="5"/>
      <c r="F108" s="112" t="s">
        <v>6</v>
      </c>
      <c r="G108" s="1415"/>
      <c r="H108" s="1416"/>
      <c r="I108" s="1417"/>
      <c r="J108" s="181" t="s">
        <v>26</v>
      </c>
      <c r="K108" s="426"/>
      <c r="L108" s="67"/>
      <c r="M108" s="245" t="s">
        <v>26</v>
      </c>
      <c r="N108" s="426"/>
      <c r="O108" s="426"/>
      <c r="P108" s="245" t="s">
        <v>26</v>
      </c>
      <c r="Q108" s="426"/>
      <c r="R108" s="67"/>
      <c r="S108" s="225"/>
      <c r="T108" s="37"/>
      <c r="U108" s="508"/>
    </row>
    <row r="109" spans="1:22" x14ac:dyDescent="0.25">
      <c r="A109" s="615"/>
      <c r="B109" s="5"/>
      <c r="C109" s="5"/>
      <c r="D109" s="5"/>
      <c r="E109" s="5"/>
      <c r="F109" s="7"/>
      <c r="G109" s="5"/>
      <c r="H109" s="5"/>
      <c r="I109" s="45" t="s">
        <v>61</v>
      </c>
      <c r="J109" s="57" t="s">
        <v>61</v>
      </c>
      <c r="K109" s="1432" t="s">
        <v>57</v>
      </c>
      <c r="L109" s="1433"/>
      <c r="M109" s="57" t="s">
        <v>61</v>
      </c>
      <c r="N109" s="1432" t="s">
        <v>57</v>
      </c>
      <c r="O109" s="1433"/>
      <c r="P109" s="57" t="s">
        <v>61</v>
      </c>
      <c r="Q109" s="1432" t="s">
        <v>57</v>
      </c>
      <c r="R109" s="1433"/>
      <c r="S109" s="131"/>
      <c r="T109" s="37"/>
      <c r="U109" s="227"/>
    </row>
    <row r="110" spans="1:22" x14ac:dyDescent="0.25">
      <c r="A110" s="615"/>
      <c r="B110" s="611" t="s">
        <v>27</v>
      </c>
      <c r="C110" s="23" t="s">
        <v>45</v>
      </c>
      <c r="D110" s="24" t="s">
        <v>46</v>
      </c>
      <c r="E110" s="23" t="s">
        <v>47</v>
      </c>
      <c r="F110" s="23" t="s">
        <v>48</v>
      </c>
      <c r="G110" s="23" t="s">
        <v>49</v>
      </c>
      <c r="H110" s="23" t="s">
        <v>50</v>
      </c>
      <c r="I110" s="45" t="s">
        <v>13</v>
      </c>
      <c r="J110" s="77" t="s">
        <v>56</v>
      </c>
      <c r="K110" s="24" t="s">
        <v>13</v>
      </c>
      <c r="L110" s="38" t="s">
        <v>68</v>
      </c>
      <c r="M110" s="77" t="s">
        <v>56</v>
      </c>
      <c r="N110" s="24" t="s">
        <v>13</v>
      </c>
      <c r="O110" s="38" t="s">
        <v>68</v>
      </c>
      <c r="P110" s="77" t="s">
        <v>56</v>
      </c>
      <c r="Q110" s="24" t="s">
        <v>13</v>
      </c>
      <c r="R110" s="38" t="s">
        <v>68</v>
      </c>
      <c r="S110" s="123"/>
      <c r="T110" s="37"/>
      <c r="U110" s="227"/>
    </row>
    <row r="111" spans="1:22" x14ac:dyDescent="0.25">
      <c r="A111" s="615"/>
      <c r="B111" s="1254" t="s">
        <v>350</v>
      </c>
      <c r="C111" s="21">
        <v>0</v>
      </c>
      <c r="D111" s="21">
        <f>4*4.5</f>
        <v>18</v>
      </c>
      <c r="E111" s="21">
        <f>12*4.5</f>
        <v>54</v>
      </c>
      <c r="F111" s="21">
        <f>4*4.5</f>
        <v>18</v>
      </c>
      <c r="G111" s="21">
        <v>0</v>
      </c>
      <c r="H111" s="21">
        <v>0</v>
      </c>
      <c r="I111" s="52">
        <f t="shared" ref="I111:I118" si="32">SUM(C111:H111)</f>
        <v>90</v>
      </c>
      <c r="J111" s="1016">
        <f>$I111</f>
        <v>90</v>
      </c>
      <c r="K111" s="281">
        <f>J111*$O$3</f>
        <v>76590</v>
      </c>
      <c r="L111" s="289">
        <f t="shared" ref="L111:L145" si="33">K111</f>
        <v>76590</v>
      </c>
      <c r="M111" s="1021">
        <f>$I111</f>
        <v>90</v>
      </c>
      <c r="N111" s="69">
        <f>M111*$O$3</f>
        <v>76590</v>
      </c>
      <c r="O111" s="68">
        <f t="shared" ref="O111:O145" si="34">N111</f>
        <v>76590</v>
      </c>
      <c r="P111" s="1016">
        <f>$I111</f>
        <v>90</v>
      </c>
      <c r="Q111" s="281">
        <f>P111*$O$3</f>
        <v>76590</v>
      </c>
      <c r="R111" s="289">
        <f t="shared" ref="R111:R145" si="35">Q111</f>
        <v>76590</v>
      </c>
      <c r="S111" s="121">
        <f t="shared" ref="S111:S118" si="36">AVERAGE(L111,O111,R111)</f>
        <v>76590</v>
      </c>
      <c r="T111" s="135" t="s">
        <v>12</v>
      </c>
      <c r="U111" s="230" t="s">
        <v>12</v>
      </c>
    </row>
    <row r="112" spans="1:22" s="1" customFormat="1" ht="13.8" thickBot="1" x14ac:dyDescent="0.3">
      <c r="A112" s="616"/>
      <c r="B112" s="1044" t="s">
        <v>8</v>
      </c>
      <c r="C112" s="373">
        <f>ROUND(C111*Labor!$D$3,0)</f>
        <v>0</v>
      </c>
      <c r="D112" s="374">
        <f>ROUND(D111*Labor!$D$4,0)</f>
        <v>735</v>
      </c>
      <c r="E112" s="374">
        <f>ROUND(E111*Labor!$D$5,0)</f>
        <v>2382</v>
      </c>
      <c r="F112" s="374">
        <f>ROUND(F111*Labor!$D$6,0)</f>
        <v>887</v>
      </c>
      <c r="G112" s="374">
        <f>ROUND(G111*Labor!$D$7,0)</f>
        <v>0</v>
      </c>
      <c r="H112" s="374">
        <f>ROUND(H111*Labor!$D$8,0)</f>
        <v>0</v>
      </c>
      <c r="I112" s="209">
        <f t="shared" si="32"/>
        <v>4004</v>
      </c>
      <c r="J112" s="332">
        <f>HLOOKUP(Labor!$B$11,InflationTable,2)*$I112</f>
        <v>5408.6106019543613</v>
      </c>
      <c r="K112" s="296">
        <f>J112*$O$3</f>
        <v>4602727.6222631615</v>
      </c>
      <c r="L112" s="297">
        <f t="shared" si="33"/>
        <v>4602727.6222631615</v>
      </c>
      <c r="M112" s="376">
        <f>HLOOKUP(Labor!$B$11,InflationTable,3)*$I112</f>
        <v>5556.3340437133438</v>
      </c>
      <c r="N112" s="377">
        <f>M112*$O$3</f>
        <v>4728440.2712000553</v>
      </c>
      <c r="O112" s="378">
        <f t="shared" si="34"/>
        <v>4728440.2712000553</v>
      </c>
      <c r="P112" s="332">
        <f>HLOOKUP(Labor!$B$11,InflationTable,4)*$I112</f>
        <v>5622.9154454361214</v>
      </c>
      <c r="Q112" s="296">
        <f>P112*$O$3</f>
        <v>4785101.0440661395</v>
      </c>
      <c r="R112" s="297">
        <f t="shared" si="35"/>
        <v>4785101.0440661395</v>
      </c>
      <c r="S112" s="211">
        <f t="shared" si="36"/>
        <v>4705422.9791764515</v>
      </c>
      <c r="T112" s="393" t="s">
        <v>12</v>
      </c>
      <c r="U112" s="228" t="s">
        <v>12</v>
      </c>
    </row>
    <row r="113" spans="1:21" x14ac:dyDescent="0.25">
      <c r="A113" s="615"/>
      <c r="B113" s="1252" t="s">
        <v>351</v>
      </c>
      <c r="C113" s="21">
        <v>0</v>
      </c>
      <c r="D113" s="21">
        <v>0</v>
      </c>
      <c r="E113" s="21">
        <v>6</v>
      </c>
      <c r="F113" s="21">
        <v>12</v>
      </c>
      <c r="G113" s="21">
        <v>0</v>
      </c>
      <c r="H113" s="21">
        <v>0</v>
      </c>
      <c r="I113" s="52">
        <f t="shared" si="32"/>
        <v>18</v>
      </c>
      <c r="J113" s="1016">
        <f>$I113</f>
        <v>18</v>
      </c>
      <c r="K113" s="281">
        <f>J113*($O$4+$O$5)</f>
        <v>5544</v>
      </c>
      <c r="L113" s="289">
        <f t="shared" si="33"/>
        <v>5544</v>
      </c>
      <c r="M113" s="1021">
        <f>$I113</f>
        <v>18</v>
      </c>
      <c r="N113" s="69">
        <f>M113*($O$4+$O$5)</f>
        <v>5544</v>
      </c>
      <c r="O113" s="68">
        <f t="shared" si="34"/>
        <v>5544</v>
      </c>
      <c r="P113" s="1016">
        <f>$I113</f>
        <v>18</v>
      </c>
      <c r="Q113" s="281">
        <f>P113*($O$4+$O$5)</f>
        <v>5544</v>
      </c>
      <c r="R113" s="289">
        <f t="shared" si="35"/>
        <v>5544</v>
      </c>
      <c r="S113" s="121">
        <f t="shared" si="36"/>
        <v>5544</v>
      </c>
      <c r="T113" s="135" t="s">
        <v>12</v>
      </c>
      <c r="U113" s="230" t="s">
        <v>12</v>
      </c>
    </row>
    <row r="114" spans="1:21" s="1" customFormat="1" ht="13.8" thickBot="1" x14ac:dyDescent="0.3">
      <c r="A114" s="616"/>
      <c r="B114" s="1253" t="s">
        <v>8</v>
      </c>
      <c r="C114" s="373">
        <f>ROUND(C113*Labor!$D$3,0)</f>
        <v>0</v>
      </c>
      <c r="D114" s="374">
        <f>ROUND(D113*Labor!$D$4,0)</f>
        <v>0</v>
      </c>
      <c r="E114" s="374">
        <f>ROUND(E113*Labor!$D$5,0)</f>
        <v>265</v>
      </c>
      <c r="F114" s="374">
        <f>ROUND(F113*Labor!$D$6,0)</f>
        <v>591</v>
      </c>
      <c r="G114" s="374">
        <f>ROUND(G113*Labor!$D$7,0)</f>
        <v>0</v>
      </c>
      <c r="H114" s="374">
        <f>ROUND(H113*Labor!$D$8,0)</f>
        <v>0</v>
      </c>
      <c r="I114" s="209">
        <f t="shared" si="32"/>
        <v>856</v>
      </c>
      <c r="J114" s="332">
        <f>HLOOKUP(Labor!$B$11,InflationTable,2)*$I114</f>
        <v>1156.2863824357976</v>
      </c>
      <c r="K114" s="296">
        <f>J114*($O$4+$O$5)</f>
        <v>356136.20579022565</v>
      </c>
      <c r="L114" s="297">
        <f t="shared" si="33"/>
        <v>356136.20579022565</v>
      </c>
      <c r="M114" s="376">
        <f>HLOOKUP(Labor!$B$11,InflationTable,3)*$I114</f>
        <v>1187.8676177369186</v>
      </c>
      <c r="N114" s="377">
        <f>M114*($O$4+$O$5)</f>
        <v>365863.22626297094</v>
      </c>
      <c r="O114" s="378">
        <f t="shared" si="34"/>
        <v>365863.22626297094</v>
      </c>
      <c r="P114" s="332">
        <f>HLOOKUP(Labor!$B$11,InflationTable,4)*$I114</f>
        <v>1202.1018035198101</v>
      </c>
      <c r="Q114" s="296">
        <f>P114*($O$4+$O$5)</f>
        <v>370247.35548410151</v>
      </c>
      <c r="R114" s="297">
        <f t="shared" si="35"/>
        <v>370247.35548410151</v>
      </c>
      <c r="S114" s="211">
        <f t="shared" si="36"/>
        <v>364082.2625124327</v>
      </c>
      <c r="T114" s="393" t="s">
        <v>12</v>
      </c>
      <c r="U114" s="228" t="s">
        <v>12</v>
      </c>
    </row>
    <row r="115" spans="1:21" x14ac:dyDescent="0.25">
      <c r="A115" s="615"/>
      <c r="B115" s="1254" t="s">
        <v>353</v>
      </c>
      <c r="C115" s="21">
        <v>0</v>
      </c>
      <c r="D115" s="21">
        <v>18</v>
      </c>
      <c r="E115" s="21">
        <v>54</v>
      </c>
      <c r="F115" s="21">
        <v>18</v>
      </c>
      <c r="G115" s="21">
        <v>0</v>
      </c>
      <c r="H115" s="21">
        <v>0</v>
      </c>
      <c r="I115" s="52">
        <f t="shared" si="32"/>
        <v>90</v>
      </c>
      <c r="J115" s="1016">
        <f>$I115</f>
        <v>90</v>
      </c>
      <c r="K115" s="281">
        <f>J115*$L$6</f>
        <v>0</v>
      </c>
      <c r="L115" s="289">
        <f t="shared" si="33"/>
        <v>0</v>
      </c>
      <c r="M115" s="1021">
        <f>$I115</f>
        <v>90</v>
      </c>
      <c r="N115" s="69">
        <f>M115*$L$6</f>
        <v>0</v>
      </c>
      <c r="O115" s="68">
        <f t="shared" si="34"/>
        <v>0</v>
      </c>
      <c r="P115" s="1016">
        <f>$I115</f>
        <v>90</v>
      </c>
      <c r="Q115" s="281">
        <f>P115*$L$6</f>
        <v>0</v>
      </c>
      <c r="R115" s="289">
        <f t="shared" si="35"/>
        <v>0</v>
      </c>
      <c r="S115" s="121">
        <f t="shared" si="36"/>
        <v>0</v>
      </c>
      <c r="T115" s="135" t="s">
        <v>12</v>
      </c>
      <c r="U115" s="230" t="s">
        <v>12</v>
      </c>
    </row>
    <row r="116" spans="1:21" s="1" customFormat="1" ht="13.8" thickBot="1" x14ac:dyDescent="0.3">
      <c r="A116" s="616"/>
      <c r="B116" s="1253" t="s">
        <v>8</v>
      </c>
      <c r="C116" s="373">
        <f>ROUND(C115*Labor!$D$3,0)</f>
        <v>0</v>
      </c>
      <c r="D116" s="374">
        <f>ROUND(D115*Labor!$D$4,0)</f>
        <v>735</v>
      </c>
      <c r="E116" s="374">
        <f>ROUND(E115*Labor!$D$5,0)</f>
        <v>2382</v>
      </c>
      <c r="F116" s="374">
        <f>ROUND(F115*Labor!$D$6,0)</f>
        <v>887</v>
      </c>
      <c r="G116" s="374">
        <f>ROUND(G115*Labor!$D$7,0)</f>
        <v>0</v>
      </c>
      <c r="H116" s="374">
        <f>ROUND(H115*Labor!$D$8,0)</f>
        <v>0</v>
      </c>
      <c r="I116" s="209">
        <f t="shared" si="32"/>
        <v>4004</v>
      </c>
      <c r="J116" s="332">
        <f>HLOOKUP(Labor!$B$11,InflationTable,2)*$I116</f>
        <v>5408.6106019543613</v>
      </c>
      <c r="K116" s="296">
        <f>J116*$L$6</f>
        <v>0</v>
      </c>
      <c r="L116" s="297">
        <f t="shared" si="33"/>
        <v>0</v>
      </c>
      <c r="M116" s="376">
        <f>HLOOKUP(Labor!$B$11,InflationTable,3)*$I116</f>
        <v>5556.3340437133438</v>
      </c>
      <c r="N116" s="377">
        <f>M116*$L$6</f>
        <v>0</v>
      </c>
      <c r="O116" s="378">
        <f t="shared" si="34"/>
        <v>0</v>
      </c>
      <c r="P116" s="332">
        <f>HLOOKUP(Labor!$B$11,InflationTable,4)*$I116</f>
        <v>5622.9154454361214</v>
      </c>
      <c r="Q116" s="296">
        <f>P116*$L$6</f>
        <v>0</v>
      </c>
      <c r="R116" s="297">
        <f t="shared" si="35"/>
        <v>0</v>
      </c>
      <c r="S116" s="211">
        <f t="shared" si="36"/>
        <v>0</v>
      </c>
      <c r="T116" s="393" t="s">
        <v>12</v>
      </c>
      <c r="U116" s="228" t="s">
        <v>12</v>
      </c>
    </row>
    <row r="117" spans="1:21" x14ac:dyDescent="0.25">
      <c r="A117" s="615"/>
      <c r="B117" s="1252" t="s">
        <v>352</v>
      </c>
      <c r="C117" s="21">
        <v>0</v>
      </c>
      <c r="D117" s="21">
        <v>0</v>
      </c>
      <c r="E117" s="21">
        <v>2.5</v>
      </c>
      <c r="F117" s="21">
        <v>10.5</v>
      </c>
      <c r="G117" s="21">
        <v>3</v>
      </c>
      <c r="H117" s="21">
        <v>0</v>
      </c>
      <c r="I117" s="52">
        <f t="shared" si="32"/>
        <v>16</v>
      </c>
      <c r="J117" s="1016">
        <f>$I117</f>
        <v>16</v>
      </c>
      <c r="K117" s="281">
        <f>J117*$O$6</f>
        <v>15568</v>
      </c>
      <c r="L117" s="289">
        <f t="shared" si="33"/>
        <v>15568</v>
      </c>
      <c r="M117" s="1021">
        <f>$I117</f>
        <v>16</v>
      </c>
      <c r="N117" s="69">
        <f>M117*$O$6</f>
        <v>15568</v>
      </c>
      <c r="O117" s="68">
        <f t="shared" si="34"/>
        <v>15568</v>
      </c>
      <c r="P117" s="263">
        <f>$I$117</f>
        <v>16</v>
      </c>
      <c r="Q117" s="281">
        <f>P117*$O$6</f>
        <v>15568</v>
      </c>
      <c r="R117" s="289">
        <f t="shared" si="35"/>
        <v>15568</v>
      </c>
      <c r="S117" s="121">
        <f t="shared" si="36"/>
        <v>15568</v>
      </c>
      <c r="T117" s="135" t="s">
        <v>12</v>
      </c>
      <c r="U117" s="230" t="s">
        <v>12</v>
      </c>
    </row>
    <row r="118" spans="1:21" s="1" customFormat="1" ht="13.8" thickBot="1" x14ac:dyDescent="0.3">
      <c r="A118" s="616"/>
      <c r="B118" s="1253" t="s">
        <v>8</v>
      </c>
      <c r="C118" s="373">
        <f>ROUND(C117*Labor!$D$3,0)</f>
        <v>0</v>
      </c>
      <c r="D118" s="374">
        <f>ROUND(D117*Labor!$D$4,0)</f>
        <v>0</v>
      </c>
      <c r="E118" s="374">
        <f>ROUND(E117*Labor!$D$5,0)</f>
        <v>110</v>
      </c>
      <c r="F118" s="374">
        <f>ROUND(F117*Labor!$D$6,0)</f>
        <v>517</v>
      </c>
      <c r="G118" s="374">
        <f>ROUND(G117*Labor!$D$7,0)</f>
        <v>166</v>
      </c>
      <c r="H118" s="374">
        <f>ROUND(H117*Labor!$D$8,0)</f>
        <v>0</v>
      </c>
      <c r="I118" s="209">
        <f t="shared" si="32"/>
        <v>793</v>
      </c>
      <c r="J118" s="332">
        <f>HLOOKUP(Labor!$B$11,InflationTable,2)*$I118</f>
        <v>1071.1858659714808</v>
      </c>
      <c r="K118" s="296">
        <f>J118*$O$6</f>
        <v>1042263.8475902508</v>
      </c>
      <c r="L118" s="297">
        <f t="shared" si="33"/>
        <v>1042263.8475902508</v>
      </c>
      <c r="M118" s="376">
        <f>HLOOKUP(Labor!$B$11,InflationTable,3)*$I118</f>
        <v>1100.4427813847858</v>
      </c>
      <c r="N118" s="377">
        <f>M118*$O$6</f>
        <v>1070730.8262873965</v>
      </c>
      <c r="O118" s="378">
        <f t="shared" si="34"/>
        <v>1070730.8262873965</v>
      </c>
      <c r="P118" s="332">
        <f>HLOOKUP(Labor!$B$11,InflationTable,4)*$I118</f>
        <v>1113.629357700011</v>
      </c>
      <c r="Q118" s="296">
        <f>P118*$O$6</f>
        <v>1083561.3650421107</v>
      </c>
      <c r="R118" s="297">
        <f t="shared" si="35"/>
        <v>1083561.3650421107</v>
      </c>
      <c r="S118" s="211">
        <f t="shared" si="36"/>
        <v>1065518.6796399194</v>
      </c>
      <c r="T118" s="393" t="s">
        <v>12</v>
      </c>
      <c r="U118" s="228" t="s">
        <v>12</v>
      </c>
    </row>
    <row r="119" spans="1:21" x14ac:dyDescent="0.25">
      <c r="A119" s="615"/>
      <c r="B119" s="1039" t="s">
        <v>357</v>
      </c>
      <c r="C119" s="23" t="s">
        <v>45</v>
      </c>
      <c r="D119" s="24" t="s">
        <v>46</v>
      </c>
      <c r="E119" s="23" t="s">
        <v>47</v>
      </c>
      <c r="F119" s="23" t="s">
        <v>48</v>
      </c>
      <c r="G119" s="23" t="s">
        <v>49</v>
      </c>
      <c r="H119" s="23" t="s">
        <v>50</v>
      </c>
      <c r="I119" s="45" t="s">
        <v>13</v>
      </c>
      <c r="J119" s="260" t="s">
        <v>56</v>
      </c>
      <c r="K119" s="261" t="s">
        <v>13</v>
      </c>
      <c r="L119" s="262" t="s">
        <v>68</v>
      </c>
      <c r="M119" s="77" t="s">
        <v>56</v>
      </c>
      <c r="N119" s="24" t="s">
        <v>13</v>
      </c>
      <c r="O119" s="38" t="s">
        <v>68</v>
      </c>
      <c r="P119" s="260" t="s">
        <v>56</v>
      </c>
      <c r="Q119" s="261" t="s">
        <v>13</v>
      </c>
      <c r="R119" s="262" t="s">
        <v>68</v>
      </c>
      <c r="S119" s="120"/>
      <c r="T119" s="133"/>
      <c r="U119" s="227"/>
    </row>
    <row r="120" spans="1:21" x14ac:dyDescent="0.25">
      <c r="A120" s="615"/>
      <c r="B120" s="1254" t="s">
        <v>350</v>
      </c>
      <c r="C120" s="21">
        <v>0</v>
      </c>
      <c r="D120" s="21">
        <v>4.5</v>
      </c>
      <c r="E120" s="21">
        <v>13.5</v>
      </c>
      <c r="F120" s="21">
        <v>4.5</v>
      </c>
      <c r="G120" s="21">
        <v>0</v>
      </c>
      <c r="H120" s="21">
        <v>0</v>
      </c>
      <c r="I120" s="52">
        <f t="shared" ref="I120:I127" si="37">SUM(C120:H120)</f>
        <v>22.5</v>
      </c>
      <c r="J120" s="1016">
        <f>$I120</f>
        <v>22.5</v>
      </c>
      <c r="K120" s="281">
        <f>J120*$O$3</f>
        <v>19147.5</v>
      </c>
      <c r="L120" s="289">
        <f t="shared" si="33"/>
        <v>19147.5</v>
      </c>
      <c r="M120" s="1021">
        <f>$I120</f>
        <v>22.5</v>
      </c>
      <c r="N120" s="69">
        <f>M120*$O$3</f>
        <v>19147.5</v>
      </c>
      <c r="O120" s="68">
        <f t="shared" si="34"/>
        <v>19147.5</v>
      </c>
      <c r="P120" s="782">
        <f>$I120</f>
        <v>22.5</v>
      </c>
      <c r="Q120" s="281">
        <f>P120*$O$3</f>
        <v>19147.5</v>
      </c>
      <c r="R120" s="289">
        <f t="shared" si="35"/>
        <v>19147.5</v>
      </c>
      <c r="S120" s="121">
        <f t="shared" ref="S120:S127" si="38">AVERAGE(L120,O120,R120)</f>
        <v>19147.5</v>
      </c>
      <c r="T120" s="135" t="s">
        <v>12</v>
      </c>
      <c r="U120" s="230" t="s">
        <v>12</v>
      </c>
    </row>
    <row r="121" spans="1:21" s="1" customFormat="1" ht="13.8" thickBot="1" x14ac:dyDescent="0.3">
      <c r="A121" s="616"/>
      <c r="B121" s="1253" t="s">
        <v>8</v>
      </c>
      <c r="C121" s="373">
        <f>ROUND(C120*Labor!$D$3,0)</f>
        <v>0</v>
      </c>
      <c r="D121" s="374">
        <f>ROUND(D120*Labor!$D$4,0)</f>
        <v>184</v>
      </c>
      <c r="E121" s="374">
        <f>ROUND(E120*Labor!$D$5,0)</f>
        <v>596</v>
      </c>
      <c r="F121" s="374">
        <f>ROUND(F120*Labor!$D$6,0)</f>
        <v>222</v>
      </c>
      <c r="G121" s="374">
        <f>ROUND(G120*Labor!$D$7,0)</f>
        <v>0</v>
      </c>
      <c r="H121" s="374">
        <f>ROUND(H120*Labor!$D$8,0)</f>
        <v>0</v>
      </c>
      <c r="I121" s="209">
        <f t="shared" si="37"/>
        <v>1002</v>
      </c>
      <c r="J121" s="332">
        <f>HLOOKUP(Labor!$B$11,InflationTable,2)*$I121</f>
        <v>1353.5034523372303</v>
      </c>
      <c r="K121" s="296">
        <f>J121*$O$3</f>
        <v>1151831.4379389831</v>
      </c>
      <c r="L121" s="297">
        <f t="shared" si="33"/>
        <v>1151831.4379389831</v>
      </c>
      <c r="M121" s="376">
        <f>HLOOKUP(Labor!$B$11,InflationTable,3)*$I121</f>
        <v>1390.4712067434493</v>
      </c>
      <c r="N121" s="377">
        <f>M121*$O$3</f>
        <v>1183290.9969386754</v>
      </c>
      <c r="O121" s="378">
        <f t="shared" si="34"/>
        <v>1183290.9969386754</v>
      </c>
      <c r="P121" s="332">
        <f>HLOOKUP(Labor!$B$11,InflationTable,4)*$I121</f>
        <v>1407.1331858958526</v>
      </c>
      <c r="Q121" s="296">
        <f>P121*$O$3</f>
        <v>1197470.3411973706</v>
      </c>
      <c r="R121" s="297">
        <f t="shared" si="35"/>
        <v>1197470.3411973706</v>
      </c>
      <c r="S121" s="211">
        <f t="shared" si="38"/>
        <v>1177530.9253583429</v>
      </c>
      <c r="T121" s="393" t="s">
        <v>12</v>
      </c>
      <c r="U121" s="228" t="s">
        <v>12</v>
      </c>
    </row>
    <row r="122" spans="1:21" x14ac:dyDescent="0.25">
      <c r="A122" s="615"/>
      <c r="B122" s="1252" t="s">
        <v>351</v>
      </c>
      <c r="C122" s="21">
        <v>0</v>
      </c>
      <c r="D122" s="21">
        <v>1</v>
      </c>
      <c r="E122" s="21">
        <v>2</v>
      </c>
      <c r="F122" s="21">
        <v>1</v>
      </c>
      <c r="G122" s="21">
        <v>2</v>
      </c>
      <c r="H122" s="21">
        <v>0</v>
      </c>
      <c r="I122" s="52">
        <f t="shared" si="37"/>
        <v>6</v>
      </c>
      <c r="J122" s="1016">
        <f>$I122</f>
        <v>6</v>
      </c>
      <c r="K122" s="281">
        <f>J122*($O$4+$O$5)</f>
        <v>1848</v>
      </c>
      <c r="L122" s="289">
        <f t="shared" si="33"/>
        <v>1848</v>
      </c>
      <c r="M122" s="1021">
        <f>$I122</f>
        <v>6</v>
      </c>
      <c r="N122" s="69">
        <f>M122*($O$4+$O$5)</f>
        <v>1848</v>
      </c>
      <c r="O122" s="68">
        <f t="shared" si="34"/>
        <v>1848</v>
      </c>
      <c r="P122" s="782">
        <f>$I122</f>
        <v>6</v>
      </c>
      <c r="Q122" s="281">
        <f>P122*($O$4+$O$5)</f>
        <v>1848</v>
      </c>
      <c r="R122" s="289">
        <f t="shared" si="35"/>
        <v>1848</v>
      </c>
      <c r="S122" s="121">
        <f t="shared" si="38"/>
        <v>1848</v>
      </c>
      <c r="T122" s="135" t="s">
        <v>12</v>
      </c>
      <c r="U122" s="230" t="s">
        <v>12</v>
      </c>
    </row>
    <row r="123" spans="1:21" s="1" customFormat="1" ht="13.8" thickBot="1" x14ac:dyDescent="0.3">
      <c r="A123" s="616"/>
      <c r="B123" s="1253" t="s">
        <v>8</v>
      </c>
      <c r="C123" s="373">
        <f>ROUND(C122*Labor!$D$3,0)</f>
        <v>0</v>
      </c>
      <c r="D123" s="374">
        <f>ROUND(D122*Labor!$D$4,0)</f>
        <v>41</v>
      </c>
      <c r="E123" s="374">
        <f>ROUND(E122*Labor!$D$5,0)</f>
        <v>88</v>
      </c>
      <c r="F123" s="374">
        <f>ROUND(F122*Labor!$D$6,0)</f>
        <v>49</v>
      </c>
      <c r="G123" s="374">
        <f>ROUND(G122*Labor!$D$7,0)</f>
        <v>111</v>
      </c>
      <c r="H123" s="374">
        <f>ROUND(H122*Labor!$D$8,0)</f>
        <v>0</v>
      </c>
      <c r="I123" s="209">
        <f t="shared" si="37"/>
        <v>289</v>
      </c>
      <c r="J123" s="332">
        <f>HLOOKUP(Labor!$B$11,InflationTable,2)*$I123</f>
        <v>390.38173425694566</v>
      </c>
      <c r="K123" s="296">
        <f>J123*($O$5+$O$4)</f>
        <v>120237.57415113927</v>
      </c>
      <c r="L123" s="297">
        <f t="shared" si="33"/>
        <v>120237.57415113927</v>
      </c>
      <c r="M123" s="376">
        <f>HLOOKUP(Labor!$B$11,InflationTable,3)*$I123</f>
        <v>401.04409056772141</v>
      </c>
      <c r="N123" s="377">
        <f>M123*($O$5+$O$4)</f>
        <v>123521.57989485819</v>
      </c>
      <c r="O123" s="378">
        <f t="shared" si="34"/>
        <v>123521.57989485819</v>
      </c>
      <c r="P123" s="332">
        <f>HLOOKUP(Labor!$B$11,InflationTable,4)*$I123</f>
        <v>405.84979114161814</v>
      </c>
      <c r="Q123" s="296">
        <f>P123*($O$5+$O$4)</f>
        <v>125001.73567161839</v>
      </c>
      <c r="R123" s="297">
        <f t="shared" si="35"/>
        <v>125001.73567161839</v>
      </c>
      <c r="S123" s="211">
        <f t="shared" si="38"/>
        <v>122920.29657253862</v>
      </c>
      <c r="T123" s="393" t="s">
        <v>12</v>
      </c>
      <c r="U123" s="228" t="s">
        <v>12</v>
      </c>
    </row>
    <row r="124" spans="1:21" x14ac:dyDescent="0.25">
      <c r="A124" s="615"/>
      <c r="B124" s="1254" t="s">
        <v>353</v>
      </c>
      <c r="C124" s="21">
        <v>0</v>
      </c>
      <c r="D124" s="21">
        <v>4.5</v>
      </c>
      <c r="E124" s="21">
        <v>13.5</v>
      </c>
      <c r="F124" s="21">
        <v>4.5</v>
      </c>
      <c r="G124" s="21">
        <v>0</v>
      </c>
      <c r="H124" s="21">
        <v>0</v>
      </c>
      <c r="I124" s="52">
        <f t="shared" si="37"/>
        <v>22.5</v>
      </c>
      <c r="J124" s="1016">
        <f>$I124</f>
        <v>22.5</v>
      </c>
      <c r="K124" s="281">
        <f>J124*$L$6</f>
        <v>0</v>
      </c>
      <c r="L124" s="289">
        <f t="shared" si="33"/>
        <v>0</v>
      </c>
      <c r="M124" s="1021">
        <f>$I124</f>
        <v>22.5</v>
      </c>
      <c r="N124" s="69">
        <f>M124*$L$6</f>
        <v>0</v>
      </c>
      <c r="O124" s="68">
        <f t="shared" si="34"/>
        <v>0</v>
      </c>
      <c r="P124" s="782">
        <f>$I124</f>
        <v>22.5</v>
      </c>
      <c r="Q124" s="281">
        <f>P124*$L$6</f>
        <v>0</v>
      </c>
      <c r="R124" s="289">
        <f t="shared" si="35"/>
        <v>0</v>
      </c>
      <c r="S124" s="121">
        <f t="shared" si="38"/>
        <v>0</v>
      </c>
      <c r="T124" s="135" t="s">
        <v>12</v>
      </c>
      <c r="U124" s="230" t="s">
        <v>12</v>
      </c>
    </row>
    <row r="125" spans="1:21" s="1" customFormat="1" ht="13.8" thickBot="1" x14ac:dyDescent="0.3">
      <c r="A125" s="616"/>
      <c r="B125" s="1253" t="s">
        <v>8</v>
      </c>
      <c r="C125" s="373">
        <f>ROUND(C124*Labor!$D$3,0)</f>
        <v>0</v>
      </c>
      <c r="D125" s="374">
        <f>ROUND(D124*Labor!$D$4,0)</f>
        <v>184</v>
      </c>
      <c r="E125" s="374">
        <f>ROUND(E124*Labor!$D$5,0)</f>
        <v>596</v>
      </c>
      <c r="F125" s="374">
        <f>ROUND(F124*Labor!$D$6,0)</f>
        <v>222</v>
      </c>
      <c r="G125" s="374">
        <f>ROUND(G124*Labor!$D$7,0)</f>
        <v>0</v>
      </c>
      <c r="H125" s="374">
        <f>ROUND(H124*Labor!$D$8,0)</f>
        <v>0</v>
      </c>
      <c r="I125" s="209">
        <f t="shared" si="37"/>
        <v>1002</v>
      </c>
      <c r="J125" s="332">
        <f>HLOOKUP(Labor!$B$11,InflationTable,2)*$I125</f>
        <v>1353.5034523372303</v>
      </c>
      <c r="K125" s="296">
        <f>J125*L6</f>
        <v>0</v>
      </c>
      <c r="L125" s="297">
        <f t="shared" si="33"/>
        <v>0</v>
      </c>
      <c r="M125" s="376">
        <f>HLOOKUP(Labor!$B$11,InflationTable,3)*$I125</f>
        <v>1390.4712067434493</v>
      </c>
      <c r="N125" s="377">
        <f>M125*$L$6</f>
        <v>0</v>
      </c>
      <c r="O125" s="378">
        <f t="shared" si="34"/>
        <v>0</v>
      </c>
      <c r="P125" s="332">
        <f>HLOOKUP(Labor!$B$11,InflationTable,4)*$I125</f>
        <v>1407.1331858958526</v>
      </c>
      <c r="Q125" s="296">
        <f>P125*$L$6</f>
        <v>0</v>
      </c>
      <c r="R125" s="297">
        <f t="shared" si="35"/>
        <v>0</v>
      </c>
      <c r="S125" s="211">
        <f t="shared" si="38"/>
        <v>0</v>
      </c>
      <c r="T125" s="393" t="s">
        <v>12</v>
      </c>
      <c r="U125" s="228" t="s">
        <v>12</v>
      </c>
    </row>
    <row r="126" spans="1:21" x14ac:dyDescent="0.25">
      <c r="A126" s="615"/>
      <c r="B126" s="1252" t="s">
        <v>352</v>
      </c>
      <c r="C126" s="21">
        <v>0</v>
      </c>
      <c r="D126" s="21">
        <v>0</v>
      </c>
      <c r="E126" s="21">
        <v>4</v>
      </c>
      <c r="F126" s="21">
        <v>6</v>
      </c>
      <c r="G126" s="21">
        <v>2</v>
      </c>
      <c r="H126" s="21">
        <v>0</v>
      </c>
      <c r="I126" s="52">
        <f t="shared" si="37"/>
        <v>12</v>
      </c>
      <c r="J126" s="1016">
        <f>$I126</f>
        <v>12</v>
      </c>
      <c r="K126" s="281">
        <f>J126*$O$6</f>
        <v>11676</v>
      </c>
      <c r="L126" s="289">
        <f t="shared" si="33"/>
        <v>11676</v>
      </c>
      <c r="M126" s="1021">
        <f>$I126</f>
        <v>12</v>
      </c>
      <c r="N126" s="69">
        <f>M126*$O$6</f>
        <v>11676</v>
      </c>
      <c r="O126" s="68">
        <f t="shared" si="34"/>
        <v>11676</v>
      </c>
      <c r="P126" s="782">
        <f>$I126</f>
        <v>12</v>
      </c>
      <c r="Q126" s="281">
        <f>P126*$O$6</f>
        <v>11676</v>
      </c>
      <c r="R126" s="289">
        <f t="shared" si="35"/>
        <v>11676</v>
      </c>
      <c r="S126" s="121">
        <f t="shared" si="38"/>
        <v>11676</v>
      </c>
      <c r="T126" s="135" t="s">
        <v>12</v>
      </c>
      <c r="U126" s="230" t="s">
        <v>12</v>
      </c>
    </row>
    <row r="127" spans="1:21" s="1" customFormat="1" ht="13.8" thickBot="1" x14ac:dyDescent="0.3">
      <c r="A127" s="616"/>
      <c r="B127" s="1253" t="s">
        <v>8</v>
      </c>
      <c r="C127" s="373">
        <f>ROUND(C126*Labor!$D$3,0)</f>
        <v>0</v>
      </c>
      <c r="D127" s="374">
        <f>ROUND(D126*Labor!$D$4,0)</f>
        <v>0</v>
      </c>
      <c r="E127" s="374">
        <f>ROUND(E126*Labor!$D$5,0)</f>
        <v>176</v>
      </c>
      <c r="F127" s="374">
        <f>ROUND(F126*Labor!$D$6,0)</f>
        <v>296</v>
      </c>
      <c r="G127" s="374">
        <f>ROUND(G126*Labor!$D$7,0)</f>
        <v>111</v>
      </c>
      <c r="H127" s="374">
        <f>ROUND(H126*Labor!$D$8,0)</f>
        <v>0</v>
      </c>
      <c r="I127" s="209">
        <f t="shared" si="37"/>
        <v>583</v>
      </c>
      <c r="J127" s="332">
        <f>HLOOKUP(Labor!$B$11,InflationTable,2)*$I127</f>
        <v>787.51747775709111</v>
      </c>
      <c r="K127" s="296">
        <f>J127*$O$6</f>
        <v>766254.50585764961</v>
      </c>
      <c r="L127" s="297">
        <f t="shared" si="33"/>
        <v>766254.50585764961</v>
      </c>
      <c r="M127" s="376">
        <f>HLOOKUP(Labor!$B$11,InflationTable,3)*$I127</f>
        <v>809.0266602110089</v>
      </c>
      <c r="N127" s="377">
        <f>M127*$O$6</f>
        <v>787182.94038531161</v>
      </c>
      <c r="O127" s="378">
        <f t="shared" si="34"/>
        <v>787182.94038531161</v>
      </c>
      <c r="P127" s="332">
        <f>HLOOKUP(Labor!$B$11,InflationTable,4)*$I127</f>
        <v>818.72120496734738</v>
      </c>
      <c r="Q127" s="296">
        <f>P127*$O$6</f>
        <v>796615.73243322899</v>
      </c>
      <c r="R127" s="297">
        <f t="shared" si="35"/>
        <v>796615.73243322899</v>
      </c>
      <c r="S127" s="211">
        <f t="shared" si="38"/>
        <v>783351.05955872999</v>
      </c>
      <c r="T127" s="393" t="s">
        <v>12</v>
      </c>
      <c r="U127" s="228" t="s">
        <v>12</v>
      </c>
    </row>
    <row r="128" spans="1:21" x14ac:dyDescent="0.25">
      <c r="A128" s="615"/>
      <c r="B128" s="1039" t="s">
        <v>358</v>
      </c>
      <c r="C128" s="23" t="s">
        <v>45</v>
      </c>
      <c r="D128" s="24" t="s">
        <v>46</v>
      </c>
      <c r="E128" s="23" t="s">
        <v>47</v>
      </c>
      <c r="F128" s="23" t="s">
        <v>48</v>
      </c>
      <c r="G128" s="23" t="s">
        <v>49</v>
      </c>
      <c r="H128" s="23" t="s">
        <v>50</v>
      </c>
      <c r="I128" s="45" t="s">
        <v>13</v>
      </c>
      <c r="J128" s="260" t="s">
        <v>56</v>
      </c>
      <c r="K128" s="261" t="s">
        <v>13</v>
      </c>
      <c r="L128" s="262" t="s">
        <v>68</v>
      </c>
      <c r="M128" s="77" t="s">
        <v>56</v>
      </c>
      <c r="N128" s="24" t="s">
        <v>13</v>
      </c>
      <c r="O128" s="38" t="s">
        <v>68</v>
      </c>
      <c r="P128" s="260" t="s">
        <v>56</v>
      </c>
      <c r="Q128" s="261" t="s">
        <v>13</v>
      </c>
      <c r="R128" s="262" t="s">
        <v>68</v>
      </c>
      <c r="S128" s="120"/>
      <c r="T128" s="133"/>
      <c r="U128" s="227"/>
    </row>
    <row r="129" spans="1:21" x14ac:dyDescent="0.25">
      <c r="A129" s="615"/>
      <c r="B129" s="1254" t="s">
        <v>350</v>
      </c>
      <c r="C129" s="21">
        <v>0</v>
      </c>
      <c r="D129" s="21">
        <v>9</v>
      </c>
      <c r="E129" s="21">
        <v>9</v>
      </c>
      <c r="F129" s="21">
        <v>18</v>
      </c>
      <c r="G129" s="21">
        <v>27</v>
      </c>
      <c r="H129" s="21">
        <v>0</v>
      </c>
      <c r="I129" s="52">
        <f t="shared" ref="I129:I136" si="39">SUM(C129:H129)</f>
        <v>63</v>
      </c>
      <c r="J129" s="1016">
        <f>$I129</f>
        <v>63</v>
      </c>
      <c r="K129" s="281">
        <f>J129*$O$3</f>
        <v>53613</v>
      </c>
      <c r="L129" s="289">
        <f t="shared" si="33"/>
        <v>53613</v>
      </c>
      <c r="M129" s="1021">
        <f>$I129</f>
        <v>63</v>
      </c>
      <c r="N129" s="69">
        <f>M129*$O$3</f>
        <v>53613</v>
      </c>
      <c r="O129" s="68">
        <f t="shared" si="34"/>
        <v>53613</v>
      </c>
      <c r="P129" s="782">
        <f>$I129</f>
        <v>63</v>
      </c>
      <c r="Q129" s="281">
        <f>P129*$O$3</f>
        <v>53613</v>
      </c>
      <c r="R129" s="289">
        <f t="shared" si="35"/>
        <v>53613</v>
      </c>
      <c r="S129" s="121">
        <f t="shared" ref="S129:S136" si="40">AVERAGE(L129,O129,R129)</f>
        <v>53613</v>
      </c>
      <c r="T129" s="135" t="s">
        <v>12</v>
      </c>
      <c r="U129" s="230" t="s">
        <v>12</v>
      </c>
    </row>
    <row r="130" spans="1:21" s="1" customFormat="1" ht="13.8" thickBot="1" x14ac:dyDescent="0.3">
      <c r="A130" s="616"/>
      <c r="B130" s="1044" t="s">
        <v>8</v>
      </c>
      <c r="C130" s="373">
        <f>ROUND(C129*Labor!$D$3,0)</f>
        <v>0</v>
      </c>
      <c r="D130" s="374">
        <f>ROUND(D129*Labor!$D$4,0)</f>
        <v>368</v>
      </c>
      <c r="E130" s="374">
        <f>ROUND(E129*Labor!$D$5,0)</f>
        <v>397</v>
      </c>
      <c r="F130" s="374">
        <f>ROUND(F129*Labor!$D$6,0)</f>
        <v>887</v>
      </c>
      <c r="G130" s="374">
        <f>ROUND(G129*Labor!$D$7,0)</f>
        <v>1498</v>
      </c>
      <c r="H130" s="374">
        <f>ROUND(H129*Labor!$D$8,0)</f>
        <v>0</v>
      </c>
      <c r="I130" s="209">
        <f t="shared" si="39"/>
        <v>3150</v>
      </c>
      <c r="J130" s="332">
        <f>HLOOKUP(Labor!$B$11,InflationTable,2)*$I130</f>
        <v>4255.025823215844</v>
      </c>
      <c r="K130" s="296">
        <f>J130*$O$3</f>
        <v>3621026.9755566833</v>
      </c>
      <c r="L130" s="297">
        <f t="shared" si="33"/>
        <v>3621026.9755566833</v>
      </c>
      <c r="M130" s="376">
        <f>HLOOKUP(Labor!$B$11,InflationTable,3)*$I130</f>
        <v>4371.2418176066521</v>
      </c>
      <c r="N130" s="377">
        <f>M130*$O$3</f>
        <v>3719926.7867832608</v>
      </c>
      <c r="O130" s="378">
        <f t="shared" si="34"/>
        <v>3719926.7867832608</v>
      </c>
      <c r="P130" s="332">
        <f>HLOOKUP(Labor!$B$11,InflationTable,4)*$I130</f>
        <v>4423.6222909899552</v>
      </c>
      <c r="Q130" s="296">
        <f>P130*$O$3</f>
        <v>3764502.569632452</v>
      </c>
      <c r="R130" s="297">
        <f t="shared" si="35"/>
        <v>3764502.569632452</v>
      </c>
      <c r="S130" s="211">
        <f t="shared" si="40"/>
        <v>3701818.7773241322</v>
      </c>
      <c r="T130" s="393" t="s">
        <v>12</v>
      </c>
      <c r="U130" s="228" t="s">
        <v>12</v>
      </c>
    </row>
    <row r="131" spans="1:21" x14ac:dyDescent="0.25">
      <c r="A131" s="615"/>
      <c r="B131" s="1252" t="s">
        <v>351</v>
      </c>
      <c r="C131" s="21">
        <v>0</v>
      </c>
      <c r="D131" s="21">
        <v>0</v>
      </c>
      <c r="E131" s="21">
        <v>4</v>
      </c>
      <c r="F131" s="21">
        <v>6</v>
      </c>
      <c r="G131" s="21">
        <v>2</v>
      </c>
      <c r="H131" s="21">
        <v>0</v>
      </c>
      <c r="I131" s="52">
        <f t="shared" si="39"/>
        <v>12</v>
      </c>
      <c r="J131" s="1016">
        <f>$I131</f>
        <v>12</v>
      </c>
      <c r="K131" s="281">
        <f>$I$159*($O$4+$O$5)</f>
        <v>3080</v>
      </c>
      <c r="L131" s="289">
        <f t="shared" si="33"/>
        <v>3080</v>
      </c>
      <c r="M131" s="1021">
        <f>$I131</f>
        <v>12</v>
      </c>
      <c r="N131" s="69">
        <f>$I$159*($O$4+$O$5)</f>
        <v>3080</v>
      </c>
      <c r="O131" s="68">
        <f t="shared" si="34"/>
        <v>3080</v>
      </c>
      <c r="P131" s="782">
        <f>$I131</f>
        <v>12</v>
      </c>
      <c r="Q131" s="281">
        <f>$I$159*($O$4+$O$5)</f>
        <v>3080</v>
      </c>
      <c r="R131" s="289">
        <f t="shared" si="35"/>
        <v>3080</v>
      </c>
      <c r="S131" s="121">
        <f t="shared" si="40"/>
        <v>3080</v>
      </c>
      <c r="T131" s="135" t="s">
        <v>12</v>
      </c>
      <c r="U131" s="230" t="s">
        <v>12</v>
      </c>
    </row>
    <row r="132" spans="1:21" s="1" customFormat="1" ht="13.8" thickBot="1" x14ac:dyDescent="0.3">
      <c r="A132" s="616"/>
      <c r="B132" s="1253" t="s">
        <v>8</v>
      </c>
      <c r="C132" s="373">
        <f>ROUND(C131*Labor!$D$3,0)</f>
        <v>0</v>
      </c>
      <c r="D132" s="374">
        <f>ROUND(D131*Labor!$D$4,0)</f>
        <v>0</v>
      </c>
      <c r="E132" s="374">
        <f>ROUND(E131*Labor!$D$5,0)</f>
        <v>176</v>
      </c>
      <c r="F132" s="374">
        <f>ROUND(F131*Labor!$D$6,0)</f>
        <v>296</v>
      </c>
      <c r="G132" s="374">
        <f>ROUND(G131*Labor!$D$7,0)</f>
        <v>111</v>
      </c>
      <c r="H132" s="374">
        <f>ROUND(H131*Labor!$D$8,0)</f>
        <v>0</v>
      </c>
      <c r="I132" s="209">
        <f t="shared" si="39"/>
        <v>583</v>
      </c>
      <c r="J132" s="332">
        <f>HLOOKUP(Labor!$B$11,InflationTable,2)*$I132</f>
        <v>787.51747775709111</v>
      </c>
      <c r="K132" s="296">
        <f>J132*($O$4+$O$5)</f>
        <v>242555.38314918405</v>
      </c>
      <c r="L132" s="297">
        <f t="shared" si="33"/>
        <v>242555.38314918405</v>
      </c>
      <c r="M132" s="376">
        <f>HLOOKUP(Labor!$B$11,InflationTable,3)*$I132</f>
        <v>809.0266602110089</v>
      </c>
      <c r="N132" s="377">
        <f>M132*($O$4+$O$5)</f>
        <v>249180.21134499073</v>
      </c>
      <c r="O132" s="378">
        <f t="shared" si="34"/>
        <v>249180.21134499073</v>
      </c>
      <c r="P132" s="332">
        <f>HLOOKUP(Labor!$B$11,InflationTable,4)*$I132</f>
        <v>818.72120496734738</v>
      </c>
      <c r="Q132" s="296">
        <f>P132*($O$4+$O$5)</f>
        <v>252166.13112994298</v>
      </c>
      <c r="R132" s="297">
        <f t="shared" si="35"/>
        <v>252166.13112994298</v>
      </c>
      <c r="S132" s="211">
        <f t="shared" si="40"/>
        <v>247967.24187470591</v>
      </c>
      <c r="T132" s="393" t="s">
        <v>12</v>
      </c>
      <c r="U132" s="228" t="s">
        <v>12</v>
      </c>
    </row>
    <row r="133" spans="1:21" x14ac:dyDescent="0.25">
      <c r="A133" s="615"/>
      <c r="B133" s="1252" t="s">
        <v>353</v>
      </c>
      <c r="C133" s="21">
        <v>0</v>
      </c>
      <c r="D133" s="21">
        <v>9</v>
      </c>
      <c r="E133" s="21">
        <v>9</v>
      </c>
      <c r="F133" s="21">
        <v>13.5</v>
      </c>
      <c r="G133" s="21">
        <v>27</v>
      </c>
      <c r="H133" s="21">
        <v>0</v>
      </c>
      <c r="I133" s="52">
        <f t="shared" si="39"/>
        <v>58.5</v>
      </c>
      <c r="J133" s="1016">
        <f>$I133</f>
        <v>58.5</v>
      </c>
      <c r="K133" s="281">
        <f>J133*$L$6</f>
        <v>0</v>
      </c>
      <c r="L133" s="289">
        <f t="shared" si="33"/>
        <v>0</v>
      </c>
      <c r="M133" s="1021">
        <f>$I133</f>
        <v>58.5</v>
      </c>
      <c r="N133" s="69">
        <f>M133*$L$6</f>
        <v>0</v>
      </c>
      <c r="O133" s="68">
        <f t="shared" si="34"/>
        <v>0</v>
      </c>
      <c r="P133" s="782">
        <f>$I133</f>
        <v>58.5</v>
      </c>
      <c r="Q133" s="281">
        <f>P133*$L$6</f>
        <v>0</v>
      </c>
      <c r="R133" s="289">
        <f t="shared" si="35"/>
        <v>0</v>
      </c>
      <c r="S133" s="121">
        <f t="shared" si="40"/>
        <v>0</v>
      </c>
      <c r="T133" s="135" t="s">
        <v>12</v>
      </c>
      <c r="U133" s="230" t="s">
        <v>12</v>
      </c>
    </row>
    <row r="134" spans="1:21" s="1" customFormat="1" ht="13.8" thickBot="1" x14ac:dyDescent="0.3">
      <c r="A134" s="616"/>
      <c r="B134" s="1253" t="s">
        <v>8</v>
      </c>
      <c r="C134" s="373">
        <f>ROUND(C133*Labor!$D$3,0)</f>
        <v>0</v>
      </c>
      <c r="D134" s="374">
        <f>ROUND(D133*Labor!$D$4,0)</f>
        <v>368</v>
      </c>
      <c r="E134" s="374">
        <f>ROUND(E133*Labor!$D$5,0)</f>
        <v>397</v>
      </c>
      <c r="F134" s="374">
        <f>ROUND(F133*Labor!$D$6,0)</f>
        <v>665</v>
      </c>
      <c r="G134" s="374">
        <f>ROUND(G133*Labor!$D$7,0)</f>
        <v>1498</v>
      </c>
      <c r="H134" s="374">
        <f>ROUND(H133*Labor!$D$8,0)</f>
        <v>0</v>
      </c>
      <c r="I134" s="209">
        <f t="shared" si="39"/>
        <v>2928</v>
      </c>
      <c r="J134" s="332">
        <f>HLOOKUP(Labor!$B$11,InflationTable,2)*$I134</f>
        <v>3955.147812817775</v>
      </c>
      <c r="K134" s="296">
        <f>J134*$L$6</f>
        <v>0</v>
      </c>
      <c r="L134" s="297">
        <f t="shared" si="33"/>
        <v>0</v>
      </c>
      <c r="M134" s="376">
        <f>HLOOKUP(Labor!$B$11,InflationTable,3)*$I134</f>
        <v>4063.1733466515166</v>
      </c>
      <c r="N134" s="377">
        <f>M134*$L$6</f>
        <v>0</v>
      </c>
      <c r="O134" s="378">
        <f t="shared" si="34"/>
        <v>0</v>
      </c>
      <c r="P134" s="332">
        <f>HLOOKUP(Labor!$B$11,InflationTable,4)*$I134</f>
        <v>4111.8622438154252</v>
      </c>
      <c r="Q134" s="296">
        <f>P134*$L$6</f>
        <v>0</v>
      </c>
      <c r="R134" s="297">
        <f t="shared" si="35"/>
        <v>0</v>
      </c>
      <c r="S134" s="211">
        <f t="shared" si="40"/>
        <v>0</v>
      </c>
      <c r="T134" s="393" t="s">
        <v>12</v>
      </c>
      <c r="U134" s="228" t="s">
        <v>12</v>
      </c>
    </row>
    <row r="135" spans="1:21" x14ac:dyDescent="0.25">
      <c r="A135" s="615"/>
      <c r="B135" s="1252" t="s">
        <v>352</v>
      </c>
      <c r="C135" s="21">
        <v>0</v>
      </c>
      <c r="D135" s="21">
        <v>0</v>
      </c>
      <c r="E135" s="21">
        <v>5</v>
      </c>
      <c r="F135" s="21">
        <v>5</v>
      </c>
      <c r="G135" s="21">
        <v>2</v>
      </c>
      <c r="H135" s="21">
        <v>1</v>
      </c>
      <c r="I135" s="52">
        <f t="shared" si="39"/>
        <v>13</v>
      </c>
      <c r="J135" s="1016">
        <f>$I135</f>
        <v>13</v>
      </c>
      <c r="K135" s="281">
        <f>J135*$O$3</f>
        <v>11063</v>
      </c>
      <c r="L135" s="289">
        <f t="shared" si="33"/>
        <v>11063</v>
      </c>
      <c r="M135" s="1021">
        <f>$I135</f>
        <v>13</v>
      </c>
      <c r="N135" s="69">
        <f>M135*$O$3</f>
        <v>11063</v>
      </c>
      <c r="O135" s="68">
        <f t="shared" si="34"/>
        <v>11063</v>
      </c>
      <c r="P135" s="782">
        <f>$I135</f>
        <v>13</v>
      </c>
      <c r="Q135" s="281">
        <f>P135*$O$3</f>
        <v>11063</v>
      </c>
      <c r="R135" s="289">
        <f t="shared" si="35"/>
        <v>11063</v>
      </c>
      <c r="S135" s="121">
        <f t="shared" si="40"/>
        <v>11063</v>
      </c>
      <c r="T135" s="135" t="s">
        <v>12</v>
      </c>
      <c r="U135" s="230" t="s">
        <v>12</v>
      </c>
    </row>
    <row r="136" spans="1:21" s="1" customFormat="1" ht="13.8" thickBot="1" x14ac:dyDescent="0.3">
      <c r="A136" s="616"/>
      <c r="B136" s="1253" t="s">
        <v>8</v>
      </c>
      <c r="C136" s="373">
        <f>ROUND(C135*Labor!$D$3,0)</f>
        <v>0</v>
      </c>
      <c r="D136" s="374">
        <f>ROUND(D135*Labor!$D$4,0)</f>
        <v>0</v>
      </c>
      <c r="E136" s="374">
        <f>ROUND(E135*Labor!$D$5,0)</f>
        <v>221</v>
      </c>
      <c r="F136" s="374">
        <f>ROUND(F135*Labor!$D$6,0)</f>
        <v>246</v>
      </c>
      <c r="G136" s="374">
        <f>ROUND(G135*Labor!$D$7,0)</f>
        <v>111</v>
      </c>
      <c r="H136" s="374">
        <f>ROUND(H135*Labor!$D$8,0)</f>
        <v>59</v>
      </c>
      <c r="I136" s="209">
        <f t="shared" si="39"/>
        <v>637</v>
      </c>
      <c r="J136" s="332">
        <f>HLOOKUP(Labor!$B$11,InflationTable,2)*$I136</f>
        <v>860.46077758364845</v>
      </c>
      <c r="K136" s="296">
        <f>J136*$O$6</f>
        <v>837228.33658888994</v>
      </c>
      <c r="L136" s="297">
        <f t="shared" si="33"/>
        <v>837228.33658888994</v>
      </c>
      <c r="M136" s="376">
        <f>HLOOKUP(Labor!$B$11,InflationTable,3)*$I136</f>
        <v>883.96223422712296</v>
      </c>
      <c r="N136" s="377">
        <f>M136*$O$6</f>
        <v>860095.2539029906</v>
      </c>
      <c r="O136" s="378">
        <f t="shared" si="34"/>
        <v>860095.2539029906</v>
      </c>
      <c r="P136" s="332">
        <f>HLOOKUP(Labor!$B$11,InflationTable,4)*$I136</f>
        <v>894.55472995574655</v>
      </c>
      <c r="Q136" s="296">
        <f>P136*$O$6</f>
        <v>870401.75224694144</v>
      </c>
      <c r="R136" s="297">
        <f t="shared" si="35"/>
        <v>870401.75224694144</v>
      </c>
      <c r="S136" s="211">
        <f t="shared" si="40"/>
        <v>855908.44757960737</v>
      </c>
      <c r="T136" s="393" t="s">
        <v>12</v>
      </c>
      <c r="U136" s="228" t="s">
        <v>12</v>
      </c>
    </row>
    <row r="137" spans="1:21" x14ac:dyDescent="0.25">
      <c r="A137" s="615"/>
      <c r="B137" s="1039" t="s">
        <v>359</v>
      </c>
      <c r="C137" s="23" t="s">
        <v>45</v>
      </c>
      <c r="D137" s="24" t="s">
        <v>46</v>
      </c>
      <c r="E137" s="23" t="s">
        <v>47</v>
      </c>
      <c r="F137" s="23" t="s">
        <v>48</v>
      </c>
      <c r="G137" s="23" t="s">
        <v>49</v>
      </c>
      <c r="H137" s="23" t="s">
        <v>50</v>
      </c>
      <c r="I137" s="45" t="s">
        <v>13</v>
      </c>
      <c r="J137" s="260" t="s">
        <v>56</v>
      </c>
      <c r="K137" s="261" t="s">
        <v>13</v>
      </c>
      <c r="L137" s="262" t="s">
        <v>68</v>
      </c>
      <c r="M137" s="77" t="s">
        <v>56</v>
      </c>
      <c r="N137" s="24" t="s">
        <v>13</v>
      </c>
      <c r="O137" s="38" t="s">
        <v>68</v>
      </c>
      <c r="P137" s="260" t="s">
        <v>56</v>
      </c>
      <c r="Q137" s="261" t="s">
        <v>13</v>
      </c>
      <c r="R137" s="262" t="s">
        <v>68</v>
      </c>
      <c r="S137" s="120"/>
      <c r="T137" s="133"/>
      <c r="U137" s="515"/>
    </row>
    <row r="138" spans="1:21" x14ac:dyDescent="0.25">
      <c r="A138" s="615"/>
      <c r="B138" s="1254" t="s">
        <v>350</v>
      </c>
      <c r="C138" s="21">
        <v>0</v>
      </c>
      <c r="D138" s="21">
        <v>0</v>
      </c>
      <c r="E138" s="21">
        <v>0</v>
      </c>
      <c r="F138" s="21">
        <v>9</v>
      </c>
      <c r="G138" s="21">
        <v>9</v>
      </c>
      <c r="H138" s="21">
        <v>0</v>
      </c>
      <c r="I138" s="52">
        <f t="shared" ref="I138:I145" si="41">SUM(C138:H138)</f>
        <v>18</v>
      </c>
      <c r="J138" s="1016">
        <f>$I138</f>
        <v>18</v>
      </c>
      <c r="K138" s="281">
        <f>J138*$O$3</f>
        <v>15318</v>
      </c>
      <c r="L138" s="289">
        <f t="shared" si="33"/>
        <v>15318</v>
      </c>
      <c r="M138" s="1021">
        <f>$I138</f>
        <v>18</v>
      </c>
      <c r="N138" s="69">
        <f>M138*$O$3</f>
        <v>15318</v>
      </c>
      <c r="O138" s="68">
        <f t="shared" si="34"/>
        <v>15318</v>
      </c>
      <c r="P138" s="782">
        <f>$I138</f>
        <v>18</v>
      </c>
      <c r="Q138" s="281">
        <f>P138*$O$3</f>
        <v>15318</v>
      </c>
      <c r="R138" s="289">
        <f t="shared" si="35"/>
        <v>15318</v>
      </c>
      <c r="S138" s="121">
        <f t="shared" ref="S138:S145" si="42">AVERAGE(L138,O138,R138)</f>
        <v>15318</v>
      </c>
      <c r="T138" s="135" t="s">
        <v>12</v>
      </c>
      <c r="U138" s="230" t="s">
        <v>12</v>
      </c>
    </row>
    <row r="139" spans="1:21" s="1" customFormat="1" ht="13.8" thickBot="1" x14ac:dyDescent="0.3">
      <c r="A139" s="616"/>
      <c r="B139" s="1253" t="s">
        <v>8</v>
      </c>
      <c r="C139" s="373">
        <f>ROUND(C138*Labor!$D$3,0)</f>
        <v>0</v>
      </c>
      <c r="D139" s="374">
        <f>ROUND(D138*Labor!$D$4,0)</f>
        <v>0</v>
      </c>
      <c r="E139" s="374">
        <f>ROUND(E138*Labor!$D$5,0)</f>
        <v>0</v>
      </c>
      <c r="F139" s="374">
        <f>ROUND(F138*Labor!$D$6,0)</f>
        <v>443</v>
      </c>
      <c r="G139" s="374">
        <f>ROUND(G138*Labor!$D$7,0)</f>
        <v>499</v>
      </c>
      <c r="H139" s="374">
        <f>ROUND(H138*Labor!$D$8,0)</f>
        <v>0</v>
      </c>
      <c r="I139" s="209">
        <f t="shared" si="41"/>
        <v>942</v>
      </c>
      <c r="J139" s="332">
        <f>HLOOKUP(Labor!$B$11,InflationTable,2)*$I139</f>
        <v>1272.4553414188333</v>
      </c>
      <c r="K139" s="296">
        <f>J139*$O$3</f>
        <v>1082859.4955474271</v>
      </c>
      <c r="L139" s="297">
        <f t="shared" si="33"/>
        <v>1082859.4955474271</v>
      </c>
      <c r="M139" s="376">
        <f>HLOOKUP(Labor!$B$11,InflationTable,3)*$I139</f>
        <v>1307.2094578366559</v>
      </c>
      <c r="N139" s="377">
        <f>M139*$O$3</f>
        <v>1112435.2486189941</v>
      </c>
      <c r="O139" s="378">
        <f t="shared" si="34"/>
        <v>1112435.2486189941</v>
      </c>
      <c r="P139" s="332">
        <f>HLOOKUP(Labor!$B$11,InflationTable,4)*$I139</f>
        <v>1322.87371368652</v>
      </c>
      <c r="Q139" s="296">
        <f>P139*$O$3</f>
        <v>1125765.5303472285</v>
      </c>
      <c r="R139" s="297">
        <f t="shared" si="35"/>
        <v>1125765.5303472285</v>
      </c>
      <c r="S139" s="211">
        <f t="shared" si="42"/>
        <v>1107020.0915045498</v>
      </c>
      <c r="T139" s="393" t="s">
        <v>12</v>
      </c>
      <c r="U139" s="228" t="s">
        <v>12</v>
      </c>
    </row>
    <row r="140" spans="1:21" x14ac:dyDescent="0.25">
      <c r="A140" s="615"/>
      <c r="B140" s="1252" t="s">
        <v>351</v>
      </c>
      <c r="C140" s="21">
        <v>0</v>
      </c>
      <c r="D140" s="21">
        <v>0</v>
      </c>
      <c r="E140" s="21">
        <v>0</v>
      </c>
      <c r="F140" s="21">
        <v>1</v>
      </c>
      <c r="G140" s="21">
        <v>1</v>
      </c>
      <c r="H140" s="21">
        <v>0</v>
      </c>
      <c r="I140" s="52">
        <f t="shared" si="41"/>
        <v>2</v>
      </c>
      <c r="J140" s="1016">
        <f>$I140</f>
        <v>2</v>
      </c>
      <c r="K140" s="281">
        <f>J140*($O$4+$O$5)</f>
        <v>616</v>
      </c>
      <c r="L140" s="289">
        <f t="shared" si="33"/>
        <v>616</v>
      </c>
      <c r="M140" s="1021">
        <f>$I140</f>
        <v>2</v>
      </c>
      <c r="N140" s="69">
        <f>M140*($O$4+$O$5)</f>
        <v>616</v>
      </c>
      <c r="O140" s="68">
        <f t="shared" si="34"/>
        <v>616</v>
      </c>
      <c r="P140" s="782">
        <f>$I140</f>
        <v>2</v>
      </c>
      <c r="Q140" s="281">
        <f>P140*($O$4+$O$5)</f>
        <v>616</v>
      </c>
      <c r="R140" s="289">
        <f t="shared" si="35"/>
        <v>616</v>
      </c>
      <c r="S140" s="121">
        <f t="shared" si="42"/>
        <v>616</v>
      </c>
      <c r="T140" s="135" t="s">
        <v>12</v>
      </c>
      <c r="U140" s="230" t="s">
        <v>12</v>
      </c>
    </row>
    <row r="141" spans="1:21" s="1" customFormat="1" ht="13.8" thickBot="1" x14ac:dyDescent="0.3">
      <c r="A141" s="616"/>
      <c r="B141" s="1253" t="s">
        <v>8</v>
      </c>
      <c r="C141" s="373">
        <f>ROUND(C140*Labor!$D$3,0)</f>
        <v>0</v>
      </c>
      <c r="D141" s="374">
        <f>ROUND(D140*Labor!$D$4,0)</f>
        <v>0</v>
      </c>
      <c r="E141" s="374">
        <f>ROUND(E140*Labor!$D$5,0)</f>
        <v>0</v>
      </c>
      <c r="F141" s="374">
        <f>ROUND(F140*Labor!$D$6,0)</f>
        <v>49</v>
      </c>
      <c r="G141" s="374">
        <f>ROUND(G140*Labor!$D$7,0)</f>
        <v>55</v>
      </c>
      <c r="H141" s="374">
        <f>ROUND(H140*Labor!$D$8,0)</f>
        <v>0</v>
      </c>
      <c r="I141" s="209">
        <f t="shared" si="41"/>
        <v>104</v>
      </c>
      <c r="J141" s="332">
        <f>HLOOKUP(Labor!$B$11,InflationTable,2)*$I141</f>
        <v>140.48339225855486</v>
      </c>
      <c r="K141" s="296">
        <f>J141*($O$4+$O$5)</f>
        <v>43268.884815634898</v>
      </c>
      <c r="L141" s="297">
        <f t="shared" si="33"/>
        <v>43268.884815634898</v>
      </c>
      <c r="M141" s="376">
        <f>HLOOKUP(Labor!$B$11,InflationTable,3)*$I141</f>
        <v>144.32036477177516</v>
      </c>
      <c r="N141" s="377">
        <f>M141*($O$4+$O$5)</f>
        <v>44450.672349706751</v>
      </c>
      <c r="O141" s="378">
        <f t="shared" si="34"/>
        <v>44450.672349706751</v>
      </c>
      <c r="P141" s="332">
        <f>HLOOKUP(Labor!$B$11,InflationTable,4)*$I141</f>
        <v>146.04975182950966</v>
      </c>
      <c r="Q141" s="296">
        <f>P141*($O$4+$O$5)</f>
        <v>44983.323563488972</v>
      </c>
      <c r="R141" s="297">
        <f t="shared" si="35"/>
        <v>44983.323563488972</v>
      </c>
      <c r="S141" s="211">
        <f t="shared" si="42"/>
        <v>44234.293576276883</v>
      </c>
      <c r="T141" s="393" t="s">
        <v>12</v>
      </c>
      <c r="U141" s="228" t="s">
        <v>12</v>
      </c>
    </row>
    <row r="142" spans="1:21" x14ac:dyDescent="0.25">
      <c r="A142" s="615"/>
      <c r="B142" s="1254" t="s">
        <v>353</v>
      </c>
      <c r="C142" s="21">
        <v>0</v>
      </c>
      <c r="D142" s="21">
        <v>0</v>
      </c>
      <c r="E142" s="21">
        <v>0</v>
      </c>
      <c r="F142" s="21">
        <v>9</v>
      </c>
      <c r="G142" s="21">
        <v>9</v>
      </c>
      <c r="H142" s="21">
        <v>0</v>
      </c>
      <c r="I142" s="52">
        <f t="shared" si="41"/>
        <v>18</v>
      </c>
      <c r="J142" s="1016">
        <f>$I142</f>
        <v>18</v>
      </c>
      <c r="K142" s="281">
        <f>J142*$L$6</f>
        <v>0</v>
      </c>
      <c r="L142" s="289">
        <f t="shared" si="33"/>
        <v>0</v>
      </c>
      <c r="M142" s="1021">
        <f>$I142</f>
        <v>18</v>
      </c>
      <c r="N142" s="69">
        <f>M142*$L$6</f>
        <v>0</v>
      </c>
      <c r="O142" s="68">
        <f t="shared" si="34"/>
        <v>0</v>
      </c>
      <c r="P142" s="782">
        <f>$I142</f>
        <v>18</v>
      </c>
      <c r="Q142" s="281">
        <f>P142*$L$6</f>
        <v>0</v>
      </c>
      <c r="R142" s="289">
        <f t="shared" si="35"/>
        <v>0</v>
      </c>
      <c r="S142" s="121">
        <f t="shared" si="42"/>
        <v>0</v>
      </c>
      <c r="T142" s="135" t="s">
        <v>12</v>
      </c>
      <c r="U142" s="230" t="s">
        <v>12</v>
      </c>
    </row>
    <row r="143" spans="1:21" s="1" customFormat="1" ht="13.8" thickBot="1" x14ac:dyDescent="0.3">
      <c r="A143" s="616"/>
      <c r="B143" s="1253" t="s">
        <v>8</v>
      </c>
      <c r="C143" s="373">
        <f>ROUND(C142*Labor!$D$3,0)</f>
        <v>0</v>
      </c>
      <c r="D143" s="374">
        <f>ROUND(D142*Labor!$D$4,0)</f>
        <v>0</v>
      </c>
      <c r="E143" s="374">
        <f>ROUND(E142*Labor!$D$5,0)</f>
        <v>0</v>
      </c>
      <c r="F143" s="374">
        <f>ROUND(F142*Labor!$D$6,0)</f>
        <v>443</v>
      </c>
      <c r="G143" s="374">
        <f>ROUND(G142*Labor!$D$7,0)</f>
        <v>499</v>
      </c>
      <c r="H143" s="374">
        <f>ROUND(H142*Labor!$D$8,0)</f>
        <v>0</v>
      </c>
      <c r="I143" s="209">
        <f t="shared" si="41"/>
        <v>942</v>
      </c>
      <c r="J143" s="332">
        <f>HLOOKUP(Labor!$B$11,InflationTable,2)*$I143</f>
        <v>1272.4553414188333</v>
      </c>
      <c r="K143" s="296">
        <f>J143*$L$6</f>
        <v>0</v>
      </c>
      <c r="L143" s="297">
        <f t="shared" si="33"/>
        <v>0</v>
      </c>
      <c r="M143" s="376">
        <f>HLOOKUP(Labor!$B$11,InflationTable,3)*$I143</f>
        <v>1307.2094578366559</v>
      </c>
      <c r="N143" s="377">
        <f>M143*$L$6</f>
        <v>0</v>
      </c>
      <c r="O143" s="378">
        <f t="shared" si="34"/>
        <v>0</v>
      </c>
      <c r="P143" s="332">
        <f>HLOOKUP(Labor!$B$11,InflationTable,4)*$I143</f>
        <v>1322.87371368652</v>
      </c>
      <c r="Q143" s="296">
        <f>P143*$L$6</f>
        <v>0</v>
      </c>
      <c r="R143" s="297">
        <f t="shared" si="35"/>
        <v>0</v>
      </c>
      <c r="S143" s="211">
        <f t="shared" si="42"/>
        <v>0</v>
      </c>
      <c r="T143" s="393" t="s">
        <v>12</v>
      </c>
      <c r="U143" s="228" t="s">
        <v>12</v>
      </c>
    </row>
    <row r="144" spans="1:21" x14ac:dyDescent="0.25">
      <c r="A144" s="615"/>
      <c r="B144" s="1254" t="s">
        <v>352</v>
      </c>
      <c r="C144" s="21">
        <v>0</v>
      </c>
      <c r="D144" s="21">
        <v>0</v>
      </c>
      <c r="E144" s="21">
        <v>0</v>
      </c>
      <c r="F144" s="21">
        <v>3</v>
      </c>
      <c r="G144" s="21">
        <v>2</v>
      </c>
      <c r="H144" s="21">
        <v>0</v>
      </c>
      <c r="I144" s="52">
        <f t="shared" si="41"/>
        <v>5</v>
      </c>
      <c r="J144" s="1016">
        <f>$I144</f>
        <v>5</v>
      </c>
      <c r="K144" s="281">
        <f>J144*$O$6</f>
        <v>4865</v>
      </c>
      <c r="L144" s="289">
        <f t="shared" si="33"/>
        <v>4865</v>
      </c>
      <c r="M144" s="1021">
        <f>$I144</f>
        <v>5</v>
      </c>
      <c r="N144" s="69">
        <f>M144*$O$6</f>
        <v>4865</v>
      </c>
      <c r="O144" s="68">
        <f t="shared" si="34"/>
        <v>4865</v>
      </c>
      <c r="P144" s="782">
        <f>$I144</f>
        <v>5</v>
      </c>
      <c r="Q144" s="281">
        <f>P144*$O$6</f>
        <v>4865</v>
      </c>
      <c r="R144" s="289">
        <f t="shared" si="35"/>
        <v>4865</v>
      </c>
      <c r="S144" s="121">
        <f t="shared" si="42"/>
        <v>4865</v>
      </c>
      <c r="T144" s="135" t="s">
        <v>12</v>
      </c>
      <c r="U144" s="230" t="s">
        <v>12</v>
      </c>
    </row>
    <row r="145" spans="1:22" s="1" customFormat="1" ht="13.8" thickBot="1" x14ac:dyDescent="0.3">
      <c r="A145" s="616"/>
      <c r="B145" s="1044" t="s">
        <v>8</v>
      </c>
      <c r="C145" s="373">
        <f>ROUND(C144*Labor!$D$3,0)</f>
        <v>0</v>
      </c>
      <c r="D145" s="374">
        <f>ROUND(D144*Labor!$D$4,0)</f>
        <v>0</v>
      </c>
      <c r="E145" s="374">
        <f>ROUND(E144*Labor!$D$5,0)</f>
        <v>0</v>
      </c>
      <c r="F145" s="374">
        <f>ROUND(F144*Labor!$D$6,0)</f>
        <v>148</v>
      </c>
      <c r="G145" s="374">
        <f>ROUND(G144*Labor!$D$7,0)</f>
        <v>111</v>
      </c>
      <c r="H145" s="374">
        <f>ROUND(H144*Labor!$D$8,0)</f>
        <v>0</v>
      </c>
      <c r="I145" s="209">
        <f t="shared" si="41"/>
        <v>259</v>
      </c>
      <c r="J145" s="332">
        <f>HLOOKUP(Labor!$B$11,InflationTable,2)*$I145</f>
        <v>349.85767879774716</v>
      </c>
      <c r="K145" s="296">
        <f>J145*$O$6</f>
        <v>340411.52147020795</v>
      </c>
      <c r="L145" s="297">
        <f t="shared" si="33"/>
        <v>340411.52147020795</v>
      </c>
      <c r="M145" s="376">
        <f>HLOOKUP(Labor!$B$11,InflationTable,3)*$I145</f>
        <v>359.41321611432471</v>
      </c>
      <c r="N145" s="377">
        <f>M145*$O$6</f>
        <v>349709.05927923793</v>
      </c>
      <c r="O145" s="378">
        <f t="shared" si="34"/>
        <v>349709.05927923793</v>
      </c>
      <c r="P145" s="332">
        <f>HLOOKUP(Labor!$B$11,InflationTable,4)*$I145</f>
        <v>363.72005503695192</v>
      </c>
      <c r="Q145" s="296">
        <f>P145*$O$6</f>
        <v>353899.61355095421</v>
      </c>
      <c r="R145" s="297">
        <f t="shared" si="35"/>
        <v>353899.61355095421</v>
      </c>
      <c r="S145" s="211">
        <f t="shared" si="42"/>
        <v>348006.73143346672</v>
      </c>
      <c r="T145" s="393" t="s">
        <v>12</v>
      </c>
      <c r="U145" s="228" t="s">
        <v>12</v>
      </c>
    </row>
    <row r="146" spans="1:22" x14ac:dyDescent="0.25">
      <c r="A146" s="615"/>
      <c r="B146" s="605" t="s">
        <v>66</v>
      </c>
      <c r="C146" s="33">
        <f>C111+C113+C115+C117+C120+C122+C124+C126+C129+C131+C133+C135+C138+C140+C142+C144</f>
        <v>0</v>
      </c>
      <c r="D146" s="33">
        <f t="shared" ref="D146:I146" si="43">D111+D113+D115+D117+D120+D122+D124+D126+D129+D131+D133+D135+D138+D140+D142+D144</f>
        <v>64</v>
      </c>
      <c r="E146" s="33">
        <f t="shared" si="43"/>
        <v>176.5</v>
      </c>
      <c r="F146" s="33">
        <f t="shared" si="43"/>
        <v>139</v>
      </c>
      <c r="G146" s="33">
        <f t="shared" si="43"/>
        <v>86</v>
      </c>
      <c r="H146" s="33">
        <f t="shared" si="43"/>
        <v>1</v>
      </c>
      <c r="I146" s="33">
        <f t="shared" si="43"/>
        <v>466.5</v>
      </c>
      <c r="J146" s="285">
        <f t="shared" ref="J146:R146" si="44">J111+J113+J115+J117+J120+J122+J124+J126+J129+J131+J133+J135+J138+J140+J142+J144</f>
        <v>466.5</v>
      </c>
      <c r="K146" s="285">
        <f t="shared" si="44"/>
        <v>218928.5</v>
      </c>
      <c r="L146" s="312">
        <f t="shared" si="44"/>
        <v>218928.5</v>
      </c>
      <c r="M146" s="44">
        <f t="shared" si="44"/>
        <v>466.5</v>
      </c>
      <c r="N146" s="33">
        <f t="shared" si="44"/>
        <v>218928.5</v>
      </c>
      <c r="O146" s="99">
        <f t="shared" si="44"/>
        <v>218928.5</v>
      </c>
      <c r="P146" s="284">
        <f t="shared" si="44"/>
        <v>466.5</v>
      </c>
      <c r="Q146" s="1376">
        <f t="shared" si="44"/>
        <v>218928.5</v>
      </c>
      <c r="R146" s="312">
        <f t="shared" si="44"/>
        <v>218928.5</v>
      </c>
      <c r="S146" s="44">
        <f>S111+S113+S115+S117+S120+S122+S124+S126+S129+S131+S133+S135+S138+S140+S142+S144</f>
        <v>218928.5</v>
      </c>
      <c r="T146" s="136" t="s">
        <v>12</v>
      </c>
      <c r="U146" s="230" t="s">
        <v>12</v>
      </c>
    </row>
    <row r="147" spans="1:22" ht="13.8" thickBot="1" x14ac:dyDescent="0.3">
      <c r="A147" s="615"/>
      <c r="B147" s="606" t="s">
        <v>67</v>
      </c>
      <c r="C147" s="710">
        <f>C112+C114+C116+C118+C121+C123+C125+C127+C130+C132+C134+C136+C139+C141+C143+C145</f>
        <v>0</v>
      </c>
      <c r="D147" s="710">
        <f t="shared" ref="D147:I147" si="45">D112+D114+D116+D118+D121+D123+D125+D127+D130+D132+D134+D136+D139+D141+D143+D145</f>
        <v>2615</v>
      </c>
      <c r="E147" s="710">
        <f t="shared" si="45"/>
        <v>7786</v>
      </c>
      <c r="F147" s="710">
        <f t="shared" si="45"/>
        <v>6848</v>
      </c>
      <c r="G147" s="710">
        <f t="shared" si="45"/>
        <v>4770</v>
      </c>
      <c r="H147" s="710">
        <f t="shared" si="45"/>
        <v>59</v>
      </c>
      <c r="I147" s="240">
        <f t="shared" si="45"/>
        <v>22078</v>
      </c>
      <c r="J147" s="275">
        <f t="shared" ref="J147:R147" si="46">J112+J114+J116+J118+J121+J123+J125+J127+J130+J132+J134+J136+J139+J141+J143+J145</f>
        <v>29823.003214272827</v>
      </c>
      <c r="K147" s="275">
        <f t="shared" si="46"/>
        <v>14206801.790719436</v>
      </c>
      <c r="L147" s="276">
        <f t="shared" si="46"/>
        <v>14206801.790719436</v>
      </c>
      <c r="M147" s="242">
        <f t="shared" si="46"/>
        <v>30637.548206069732</v>
      </c>
      <c r="N147" s="240">
        <f t="shared" si="46"/>
        <v>14594827.07324845</v>
      </c>
      <c r="O147" s="243">
        <f t="shared" si="46"/>
        <v>14594827.07324845</v>
      </c>
      <c r="P147" s="274">
        <f t="shared" si="46"/>
        <v>31004.677123960708</v>
      </c>
      <c r="Q147" s="275">
        <f t="shared" si="46"/>
        <v>14769716.494365575</v>
      </c>
      <c r="R147" s="276">
        <f t="shared" si="46"/>
        <v>14769716.494365575</v>
      </c>
      <c r="S147" s="242">
        <f>S112+S114+S116+S118+S121+S123+S125+S127+S130+S132+S134+S136+S139+S141+S143+S145</f>
        <v>14523781.786111154</v>
      </c>
      <c r="T147" s="249" t="s">
        <v>12</v>
      </c>
      <c r="U147" s="231" t="s">
        <v>12</v>
      </c>
    </row>
    <row r="148" spans="1:22" ht="13.8" thickTop="1" x14ac:dyDescent="0.25">
      <c r="B148" s="624"/>
      <c r="C148" s="621"/>
      <c r="D148" s="621"/>
      <c r="E148" s="621"/>
      <c r="F148" s="621"/>
      <c r="G148" s="621"/>
      <c r="H148" s="621"/>
      <c r="I148" s="622"/>
      <c r="J148" s="622"/>
      <c r="K148" s="622"/>
      <c r="L148" s="622"/>
      <c r="M148" s="622"/>
      <c r="N148" s="622"/>
      <c r="O148" s="622"/>
      <c r="P148" s="622"/>
      <c r="Q148" s="622"/>
      <c r="R148" s="622"/>
      <c r="S148" s="625"/>
      <c r="T148" s="626"/>
      <c r="U148" s="627"/>
      <c r="V148" s="5"/>
    </row>
    <row r="149" spans="1:22" ht="13.8" thickBot="1" x14ac:dyDescent="0.3">
      <c r="B149" s="410"/>
      <c r="C149" s="410"/>
      <c r="D149" s="410"/>
      <c r="E149" s="410"/>
      <c r="F149" s="410"/>
      <c r="G149" s="410"/>
      <c r="H149" s="410"/>
      <c r="I149" s="410"/>
      <c r="J149" s="410"/>
      <c r="K149" s="410"/>
      <c r="L149" s="410"/>
      <c r="M149" s="413"/>
      <c r="N149" s="413"/>
      <c r="O149" s="413"/>
      <c r="P149" s="410"/>
      <c r="Q149" s="410"/>
      <c r="R149" s="410"/>
      <c r="S149" s="410"/>
      <c r="T149" s="410"/>
      <c r="U149" s="410"/>
      <c r="V149" s="5"/>
    </row>
    <row r="150" spans="1:22" ht="28.2" thickTop="1" thickBot="1" x14ac:dyDescent="0.35">
      <c r="A150" s="615"/>
      <c r="B150" s="709" t="s">
        <v>28</v>
      </c>
      <c r="C150" s="5"/>
      <c r="D150" s="5"/>
      <c r="E150" s="1024"/>
      <c r="F150" s="112" t="s">
        <v>6</v>
      </c>
      <c r="G150" s="1415"/>
      <c r="H150" s="1416"/>
      <c r="I150" s="1417"/>
      <c r="J150" s="181" t="s">
        <v>28</v>
      </c>
      <c r="K150" s="426"/>
      <c r="L150" s="67"/>
      <c r="M150" s="181" t="s">
        <v>28</v>
      </c>
      <c r="N150" s="426"/>
      <c r="O150" s="67"/>
      <c r="P150" s="181" t="s">
        <v>28</v>
      </c>
      <c r="Q150" s="426"/>
      <c r="R150" s="67"/>
      <c r="S150" s="546" t="s">
        <v>17</v>
      </c>
      <c r="T150" s="547" t="s">
        <v>103</v>
      </c>
      <c r="U150" s="1233" t="s">
        <v>79</v>
      </c>
    </row>
    <row r="151" spans="1:22" x14ac:dyDescent="0.25">
      <c r="A151" s="615"/>
      <c r="B151" s="5"/>
      <c r="C151" s="72"/>
      <c r="D151" s="431" t="s">
        <v>54</v>
      </c>
      <c r="E151" s="70">
        <v>7</v>
      </c>
      <c r="I151" s="43"/>
      <c r="J151" s="57" t="s">
        <v>61</v>
      </c>
      <c r="K151" s="1432" t="s">
        <v>57</v>
      </c>
      <c r="L151" s="1433"/>
      <c r="M151" s="57" t="s">
        <v>61</v>
      </c>
      <c r="N151" s="1432" t="s">
        <v>57</v>
      </c>
      <c r="O151" s="1436"/>
      <c r="P151" s="120" t="s">
        <v>61</v>
      </c>
      <c r="Q151" s="1432" t="s">
        <v>57</v>
      </c>
      <c r="R151" s="1433"/>
      <c r="S151" s="170"/>
      <c r="T151" s="133"/>
      <c r="U151" s="227"/>
    </row>
    <row r="152" spans="1:22" x14ac:dyDescent="0.25">
      <c r="A152" s="615"/>
      <c r="B152" s="796"/>
      <c r="C152" s="23" t="s">
        <v>60</v>
      </c>
      <c r="D152" s="23" t="s">
        <v>62</v>
      </c>
      <c r="E152" s="1023"/>
      <c r="F152" s="396"/>
      <c r="G152" s="396"/>
      <c r="H152" s="396"/>
      <c r="I152" s="145"/>
      <c r="J152" s="77" t="s">
        <v>56</v>
      </c>
      <c r="K152" s="24" t="s">
        <v>13</v>
      </c>
      <c r="L152" s="38" t="s">
        <v>68</v>
      </c>
      <c r="M152" s="77" t="s">
        <v>56</v>
      </c>
      <c r="N152" s="24" t="s">
        <v>13</v>
      </c>
      <c r="O152" s="38" t="s">
        <v>68</v>
      </c>
      <c r="P152" s="77" t="s">
        <v>56</v>
      </c>
      <c r="Q152" s="24" t="s">
        <v>13</v>
      </c>
      <c r="R152" s="38" t="s">
        <v>68</v>
      </c>
      <c r="S152" s="120"/>
      <c r="T152" s="133"/>
      <c r="U152" s="227"/>
    </row>
    <row r="153" spans="1:22" ht="13.8" thickBot="1" x14ac:dyDescent="0.3">
      <c r="A153" s="615"/>
      <c r="B153" s="1257" t="str">
        <f>VLOOKUP(C$2,Monitor_Costs,34,FALSE)</f>
        <v>Filter-based calibration kit</v>
      </c>
      <c r="C153" s="458">
        <f>VLOOKUP(C$2,Monitor_Costs,35,FALSE)</f>
        <v>120</v>
      </c>
      <c r="D153" s="381">
        <f>VLOOKUP(C$2,Monitor_Costs,36,FALSE)</f>
        <v>2019</v>
      </c>
      <c r="E153" s="74"/>
      <c r="F153" s="75"/>
      <c r="G153" s="76"/>
      <c r="H153" s="76"/>
      <c r="I153" s="862"/>
      <c r="J153" s="424">
        <f>HLOOKUP($D153,InflationTable,2)*$C153</f>
        <v>162.09622183679406</v>
      </c>
      <c r="K153" s="355">
        <f>J153*$L$7</f>
        <v>121896.35882126912</v>
      </c>
      <c r="L153" s="308">
        <f>K153/$E$151*0.2</f>
        <v>3482.7531091791179</v>
      </c>
      <c r="M153" s="1034">
        <f>HLOOKUP($D153,InflationTable,3)*$C153</f>
        <v>166.52349781358674</v>
      </c>
      <c r="N153" s="357">
        <f>M153*$L$7</f>
        <v>125225.67035581723</v>
      </c>
      <c r="O153" s="95">
        <f>N153/$E$151*0.2</f>
        <v>3577.8762958804928</v>
      </c>
      <c r="P153" s="424">
        <f>HLOOKUP($D153,InflationTable,4)*$C153</f>
        <v>168.51894441866497</v>
      </c>
      <c r="Q153" s="355">
        <f>P153*$L$7</f>
        <v>126726.24620283606</v>
      </c>
      <c r="R153" s="308">
        <f>Q153/$E$151*0.2</f>
        <v>3620.7498915096021</v>
      </c>
      <c r="S153" s="359" t="s">
        <v>12</v>
      </c>
      <c r="T153" s="926" t="s">
        <v>12</v>
      </c>
      <c r="U153" s="1231">
        <f>AVERAGE(L153,O153,R153)</f>
        <v>3560.4597655230705</v>
      </c>
    </row>
    <row r="154" spans="1:22" ht="13.8" thickBot="1" x14ac:dyDescent="0.3">
      <c r="A154" s="615"/>
      <c r="B154" s="1258" t="str">
        <f>VLOOKUP(C$2,Monitor_Costs,37,FALSE)</f>
        <v>Continuous calibration kit</v>
      </c>
      <c r="C154" s="720">
        <f>VLOOKUP(C$2,Monitor_Costs,38,FALSE)</f>
        <v>75</v>
      </c>
      <c r="D154" s="373">
        <f>VLOOKUP(C$2,Monitor_Costs,39,FALSE)</f>
        <v>2019</v>
      </c>
      <c r="E154" s="641"/>
      <c r="F154" s="12"/>
      <c r="G154" s="4"/>
      <c r="H154" s="4"/>
      <c r="I154" s="41"/>
      <c r="J154" s="424">
        <f>HLOOKUP($D154,InflationTable,2)*$C154</f>
        <v>101.31013864799628</v>
      </c>
      <c r="K154" s="355">
        <f>J154*$O$6</f>
        <v>98574.764904500378</v>
      </c>
      <c r="L154" s="308">
        <f>K154/$E$151*0.2</f>
        <v>2816.4218544142968</v>
      </c>
      <c r="M154" s="1034">
        <f>HLOOKUP($D154,InflationTable,3)*$C154</f>
        <v>104.07718613349171</v>
      </c>
      <c r="N154" s="357">
        <f>M154*$O$6</f>
        <v>101267.10210788743</v>
      </c>
      <c r="O154" s="95">
        <f>N154/$E$151*0.2</f>
        <v>2893.34577451107</v>
      </c>
      <c r="P154" s="424">
        <f>HLOOKUP($D154,InflationTable,4)*$C154</f>
        <v>105.32434026166561</v>
      </c>
      <c r="Q154" s="355">
        <f>P154*$O$6</f>
        <v>102480.58307460064</v>
      </c>
      <c r="R154" s="308">
        <f>Q154/$E$151*0.2</f>
        <v>2928.0166592743044</v>
      </c>
      <c r="S154" s="359" t="s">
        <v>12</v>
      </c>
      <c r="T154" s="926" t="s">
        <v>12</v>
      </c>
      <c r="U154" s="1231">
        <f>AVERAGE(L154,O154,R154)</f>
        <v>2879.2614293998904</v>
      </c>
    </row>
    <row r="155" spans="1:22" x14ac:dyDescent="0.25">
      <c r="A155" s="615"/>
      <c r="B155" s="112"/>
      <c r="C155" s="5"/>
      <c r="D155" s="5"/>
      <c r="E155" s="5"/>
      <c r="F155" s="7"/>
      <c r="G155" s="5"/>
      <c r="H155" s="5"/>
      <c r="I155" s="45" t="s">
        <v>61</v>
      </c>
      <c r="J155" s="277" t="s">
        <v>61</v>
      </c>
      <c r="K155" s="1422" t="s">
        <v>57</v>
      </c>
      <c r="L155" s="1423"/>
      <c r="M155" s="57" t="s">
        <v>61</v>
      </c>
      <c r="N155" s="1432" t="s">
        <v>57</v>
      </c>
      <c r="O155" s="1436"/>
      <c r="P155" s="318" t="s">
        <v>61</v>
      </c>
      <c r="Q155" s="1422" t="s">
        <v>57</v>
      </c>
      <c r="R155" s="1423"/>
      <c r="S155" s="120"/>
      <c r="T155" s="133"/>
      <c r="U155" s="227"/>
    </row>
    <row r="156" spans="1:22" x14ac:dyDescent="0.25">
      <c r="A156" s="615"/>
      <c r="B156" s="600" t="s">
        <v>349</v>
      </c>
      <c r="C156" s="23" t="s">
        <v>45</v>
      </c>
      <c r="D156" s="24" t="s">
        <v>46</v>
      </c>
      <c r="E156" s="23" t="s">
        <v>47</v>
      </c>
      <c r="F156" s="23" t="s">
        <v>48</v>
      </c>
      <c r="G156" s="23" t="s">
        <v>49</v>
      </c>
      <c r="H156" s="23" t="s">
        <v>50</v>
      </c>
      <c r="I156" s="45" t="s">
        <v>13</v>
      </c>
      <c r="J156" s="260" t="s">
        <v>56</v>
      </c>
      <c r="K156" s="261" t="s">
        <v>13</v>
      </c>
      <c r="L156" s="262" t="s">
        <v>68</v>
      </c>
      <c r="M156" s="77" t="s">
        <v>56</v>
      </c>
      <c r="N156" s="24" t="s">
        <v>13</v>
      </c>
      <c r="O156" s="38" t="s">
        <v>68</v>
      </c>
      <c r="P156" s="260" t="s">
        <v>56</v>
      </c>
      <c r="Q156" s="261" t="s">
        <v>13</v>
      </c>
      <c r="R156" s="262" t="s">
        <v>68</v>
      </c>
      <c r="S156" s="120"/>
      <c r="T156" s="133"/>
      <c r="U156" s="227"/>
    </row>
    <row r="157" spans="1:22" x14ac:dyDescent="0.25">
      <c r="A157" s="615"/>
      <c r="B157" s="1254" t="s">
        <v>350</v>
      </c>
      <c r="C157" s="21">
        <v>0</v>
      </c>
      <c r="D157" s="21">
        <v>2</v>
      </c>
      <c r="E157" s="21">
        <v>6</v>
      </c>
      <c r="F157" s="21">
        <v>2</v>
      </c>
      <c r="G157" s="21">
        <v>0</v>
      </c>
      <c r="H157" s="21">
        <v>0</v>
      </c>
      <c r="I157" s="52">
        <f t="shared" ref="I157:I164" si="47">SUM(C157:H157)</f>
        <v>10</v>
      </c>
      <c r="J157" s="782">
        <f>$I157</f>
        <v>10</v>
      </c>
      <c r="K157" s="281">
        <f>J157*$O$3</f>
        <v>8510</v>
      </c>
      <c r="L157" s="289">
        <f t="shared" ref="L157:L191" si="48">K157</f>
        <v>8510</v>
      </c>
      <c r="M157" s="1015">
        <f>$I157</f>
        <v>10</v>
      </c>
      <c r="N157" s="69">
        <f>M157*$O$3</f>
        <v>8510</v>
      </c>
      <c r="O157" s="68">
        <f t="shared" ref="O157:O191" si="49">N157</f>
        <v>8510</v>
      </c>
      <c r="P157" s="782">
        <f>$I157</f>
        <v>10</v>
      </c>
      <c r="Q157" s="281">
        <f>P157*$O$3</f>
        <v>8510</v>
      </c>
      <c r="R157" s="289">
        <f t="shared" ref="R157:R191" si="50">Q157</f>
        <v>8510</v>
      </c>
      <c r="S157" s="121">
        <f t="shared" ref="S157:S164" si="51">AVERAGE(L157,O157,R157)</f>
        <v>8510</v>
      </c>
      <c r="T157" s="135" t="s">
        <v>12</v>
      </c>
      <c r="U157" s="230" t="s">
        <v>12</v>
      </c>
    </row>
    <row r="158" spans="1:22" s="1" customFormat="1" ht="13.8" thickBot="1" x14ac:dyDescent="0.3">
      <c r="A158" s="616"/>
      <c r="B158" s="1044" t="s">
        <v>8</v>
      </c>
      <c r="C158" s="373">
        <f>ROUND(C157*Labor!$D$3,0)</f>
        <v>0</v>
      </c>
      <c r="D158" s="374">
        <f>ROUND(D157*Labor!$D$4,0)</f>
        <v>82</v>
      </c>
      <c r="E158" s="374">
        <f>ROUND(E157*Labor!$D$5,0)</f>
        <v>265</v>
      </c>
      <c r="F158" s="374">
        <f>ROUND(F157*Labor!$D$6,0)</f>
        <v>99</v>
      </c>
      <c r="G158" s="374">
        <f>ROUND(G157*Labor!$D$7,0)</f>
        <v>0</v>
      </c>
      <c r="H158" s="374">
        <f>ROUND(H157*Labor!$D$8,0)</f>
        <v>0</v>
      </c>
      <c r="I158" s="209">
        <f t="shared" si="47"/>
        <v>446</v>
      </c>
      <c r="J158" s="332">
        <f>HLOOKUP(Labor!$B$11,InflationTable,2)*$I158</f>
        <v>602.45762449341794</v>
      </c>
      <c r="K158" s="296">
        <f>J158*$O$3</f>
        <v>512691.43844389869</v>
      </c>
      <c r="L158" s="297">
        <f t="shared" si="48"/>
        <v>512691.43844389869</v>
      </c>
      <c r="M158" s="376">
        <f>HLOOKUP(Labor!$B$11,InflationTable,3)*$I158</f>
        <v>618.91233354049734</v>
      </c>
      <c r="N158" s="377">
        <f>M158*$O$3</f>
        <v>526694.39584296325</v>
      </c>
      <c r="O158" s="378">
        <f t="shared" si="49"/>
        <v>526694.39584296325</v>
      </c>
      <c r="P158" s="332">
        <f>HLOOKUP(Labor!$B$11,InflationTable,4)*$I158</f>
        <v>626.32874342270486</v>
      </c>
      <c r="Q158" s="296">
        <f>P158*$O$3</f>
        <v>533005.76065272186</v>
      </c>
      <c r="R158" s="297">
        <f t="shared" si="50"/>
        <v>533005.76065272186</v>
      </c>
      <c r="S158" s="211">
        <f t="shared" si="51"/>
        <v>524130.53164652799</v>
      </c>
      <c r="T158" s="393" t="s">
        <v>12</v>
      </c>
      <c r="U158" s="228" t="s">
        <v>12</v>
      </c>
    </row>
    <row r="159" spans="1:22" x14ac:dyDescent="0.25">
      <c r="A159" s="615"/>
      <c r="B159" s="1252" t="s">
        <v>351</v>
      </c>
      <c r="C159" s="21">
        <v>0</v>
      </c>
      <c r="D159" s="21">
        <v>2</v>
      </c>
      <c r="E159" s="21">
        <v>6</v>
      </c>
      <c r="F159" s="21">
        <v>2</v>
      </c>
      <c r="G159" s="21">
        <v>0</v>
      </c>
      <c r="H159" s="21">
        <v>0</v>
      </c>
      <c r="I159" s="52">
        <f t="shared" si="47"/>
        <v>10</v>
      </c>
      <c r="J159" s="263">
        <f>$I$159</f>
        <v>10</v>
      </c>
      <c r="K159" s="281">
        <f>$I$159*($O$4+$O$5)</f>
        <v>3080</v>
      </c>
      <c r="L159" s="289">
        <f t="shared" si="48"/>
        <v>3080</v>
      </c>
      <c r="M159" s="58">
        <f>$I$159</f>
        <v>10</v>
      </c>
      <c r="N159" s="69">
        <f>$I$159*($O$4+$O$5)</f>
        <v>3080</v>
      </c>
      <c r="O159" s="68">
        <f t="shared" si="49"/>
        <v>3080</v>
      </c>
      <c r="P159" s="263">
        <f>$I$159</f>
        <v>10</v>
      </c>
      <c r="Q159" s="281">
        <f>$I$159*($O$4+$O$5)</f>
        <v>3080</v>
      </c>
      <c r="R159" s="289">
        <f t="shared" si="50"/>
        <v>3080</v>
      </c>
      <c r="S159" s="121">
        <f t="shared" si="51"/>
        <v>3080</v>
      </c>
      <c r="T159" s="135" t="s">
        <v>12</v>
      </c>
      <c r="U159" s="230" t="s">
        <v>12</v>
      </c>
    </row>
    <row r="160" spans="1:22" s="1" customFormat="1" ht="13.8" thickBot="1" x14ac:dyDescent="0.3">
      <c r="A160" s="616"/>
      <c r="B160" s="1253" t="s">
        <v>8</v>
      </c>
      <c r="C160" s="373">
        <f>ROUND(C159*Labor!$D$3,0)</f>
        <v>0</v>
      </c>
      <c r="D160" s="374">
        <f>ROUND(D159*Labor!$D$4,0)</f>
        <v>82</v>
      </c>
      <c r="E160" s="374">
        <f>ROUND(E159*Labor!$D$5,0)</f>
        <v>265</v>
      </c>
      <c r="F160" s="374">
        <f>ROUND(F159*Labor!$D$6,0)</f>
        <v>99</v>
      </c>
      <c r="G160" s="374">
        <f>ROUND(G159*Labor!$D$7,0)</f>
        <v>0</v>
      </c>
      <c r="H160" s="374">
        <f>ROUND(H159*Labor!$D$8,0)</f>
        <v>0</v>
      </c>
      <c r="I160" s="209">
        <f t="shared" si="47"/>
        <v>446</v>
      </c>
      <c r="J160" s="332">
        <f>HLOOKUP(Labor!$B$11,InflationTable,2)*$I160</f>
        <v>602.45762449341794</v>
      </c>
      <c r="K160" s="296">
        <f>J160*($O$4+$O$5)</f>
        <v>185556.94834397273</v>
      </c>
      <c r="L160" s="297">
        <f t="shared" si="48"/>
        <v>185556.94834397273</v>
      </c>
      <c r="M160" s="376">
        <f>HLOOKUP(Labor!$B$11,InflationTable,3)*$I160</f>
        <v>618.91233354049734</v>
      </c>
      <c r="N160" s="377">
        <f>M160*($O$4+$O$5)</f>
        <v>190624.99873047319</v>
      </c>
      <c r="O160" s="378">
        <f t="shared" si="49"/>
        <v>190624.99873047319</v>
      </c>
      <c r="P160" s="332">
        <f>HLOOKUP(Labor!$B$11,InflationTable,4)*$I160</f>
        <v>626.32874342270486</v>
      </c>
      <c r="Q160" s="296">
        <f>P160*($O$4+$O$5)</f>
        <v>192909.25297419311</v>
      </c>
      <c r="R160" s="297">
        <f t="shared" si="50"/>
        <v>192909.25297419311</v>
      </c>
      <c r="S160" s="211">
        <f t="shared" si="51"/>
        <v>189697.06668287967</v>
      </c>
      <c r="T160" s="393" t="s">
        <v>12</v>
      </c>
      <c r="U160" s="228" t="s">
        <v>12</v>
      </c>
    </row>
    <row r="161" spans="1:21" x14ac:dyDescent="0.25">
      <c r="A161" s="615"/>
      <c r="B161" s="1254" t="s">
        <v>353</v>
      </c>
      <c r="C161" s="21">
        <v>0</v>
      </c>
      <c r="D161" s="21">
        <v>2</v>
      </c>
      <c r="E161" s="21">
        <v>6</v>
      </c>
      <c r="F161" s="21">
        <v>2</v>
      </c>
      <c r="G161" s="21">
        <v>0</v>
      </c>
      <c r="H161" s="21">
        <v>0</v>
      </c>
      <c r="I161" s="52">
        <f t="shared" si="47"/>
        <v>10</v>
      </c>
      <c r="J161" s="263">
        <f>$I$161</f>
        <v>10</v>
      </c>
      <c r="K161" s="281">
        <f>J161*$L$6</f>
        <v>0</v>
      </c>
      <c r="L161" s="289">
        <f t="shared" si="48"/>
        <v>0</v>
      </c>
      <c r="M161" s="58">
        <f>$I$161</f>
        <v>10</v>
      </c>
      <c r="N161" s="69">
        <f>M161*$L$6</f>
        <v>0</v>
      </c>
      <c r="O161" s="68">
        <f t="shared" si="49"/>
        <v>0</v>
      </c>
      <c r="P161" s="263">
        <f>$I$161</f>
        <v>10</v>
      </c>
      <c r="Q161" s="281">
        <f>P161*$L$6</f>
        <v>0</v>
      </c>
      <c r="R161" s="289">
        <f t="shared" si="50"/>
        <v>0</v>
      </c>
      <c r="S161" s="121">
        <f t="shared" si="51"/>
        <v>0</v>
      </c>
      <c r="T161" s="135" t="s">
        <v>12</v>
      </c>
      <c r="U161" s="230" t="s">
        <v>12</v>
      </c>
    </row>
    <row r="162" spans="1:21" s="1" customFormat="1" ht="13.8" thickBot="1" x14ac:dyDescent="0.3">
      <c r="A162" s="616"/>
      <c r="B162" s="1044" t="s">
        <v>8</v>
      </c>
      <c r="C162" s="373">
        <f>ROUND(C161*Labor!$D$3,0)</f>
        <v>0</v>
      </c>
      <c r="D162" s="374">
        <f>ROUND(D161*Labor!$D$4,0)</f>
        <v>82</v>
      </c>
      <c r="E162" s="374">
        <f>ROUND(E161*Labor!$D$5,0)</f>
        <v>265</v>
      </c>
      <c r="F162" s="374">
        <f>ROUND(F161*Labor!$D$6,0)</f>
        <v>99</v>
      </c>
      <c r="G162" s="374">
        <f>ROUND(G161*Labor!$D$7,0)</f>
        <v>0</v>
      </c>
      <c r="H162" s="374">
        <f>ROUND(H161*Labor!$D$8,0)</f>
        <v>0</v>
      </c>
      <c r="I162" s="209">
        <f t="shared" si="47"/>
        <v>446</v>
      </c>
      <c r="J162" s="332">
        <f>HLOOKUP(Labor!$B$11,InflationTable,2)*$I162</f>
        <v>602.45762449341794</v>
      </c>
      <c r="K162" s="296">
        <f>J162*$L$6</f>
        <v>0</v>
      </c>
      <c r="L162" s="297">
        <f t="shared" si="48"/>
        <v>0</v>
      </c>
      <c r="M162" s="376">
        <f>HLOOKUP(Labor!$B$11,InflationTable,3)*$I162</f>
        <v>618.91233354049734</v>
      </c>
      <c r="N162" s="377">
        <f>M162*$L$6</f>
        <v>0</v>
      </c>
      <c r="O162" s="378">
        <f t="shared" si="49"/>
        <v>0</v>
      </c>
      <c r="P162" s="332">
        <f>HLOOKUP(Labor!$B$11,InflationTable,4)*$I162</f>
        <v>626.32874342270486</v>
      </c>
      <c r="Q162" s="296">
        <f>P162*$L$6</f>
        <v>0</v>
      </c>
      <c r="R162" s="297">
        <f t="shared" si="50"/>
        <v>0</v>
      </c>
      <c r="S162" s="211">
        <f t="shared" si="51"/>
        <v>0</v>
      </c>
      <c r="T162" s="393" t="s">
        <v>12</v>
      </c>
      <c r="U162" s="228" t="s">
        <v>12</v>
      </c>
    </row>
    <row r="163" spans="1:21" x14ac:dyDescent="0.25">
      <c r="A163" s="615"/>
      <c r="B163" s="1252" t="s">
        <v>352</v>
      </c>
      <c r="C163" s="21">
        <v>0</v>
      </c>
      <c r="D163" s="21">
        <v>3</v>
      </c>
      <c r="E163" s="21">
        <v>5</v>
      </c>
      <c r="F163" s="21">
        <v>2</v>
      </c>
      <c r="G163" s="21">
        <v>0</v>
      </c>
      <c r="H163" s="21">
        <v>0</v>
      </c>
      <c r="I163" s="52">
        <f t="shared" si="47"/>
        <v>10</v>
      </c>
      <c r="J163" s="263">
        <f>$I$163</f>
        <v>10</v>
      </c>
      <c r="K163" s="281">
        <f>J163*$O$6</f>
        <v>9730</v>
      </c>
      <c r="L163" s="289">
        <f t="shared" si="48"/>
        <v>9730</v>
      </c>
      <c r="M163" s="58">
        <f>$I$163</f>
        <v>10</v>
      </c>
      <c r="N163" s="69">
        <f>M163*$O$6</f>
        <v>9730</v>
      </c>
      <c r="O163" s="68">
        <f t="shared" si="49"/>
        <v>9730</v>
      </c>
      <c r="P163" s="263">
        <f>$I$163</f>
        <v>10</v>
      </c>
      <c r="Q163" s="281">
        <f>P163*$O$6</f>
        <v>9730</v>
      </c>
      <c r="R163" s="289">
        <f t="shared" si="50"/>
        <v>9730</v>
      </c>
      <c r="S163" s="121">
        <f t="shared" si="51"/>
        <v>9730</v>
      </c>
      <c r="T163" s="135" t="s">
        <v>12</v>
      </c>
      <c r="U163" s="230" t="s">
        <v>12</v>
      </c>
    </row>
    <row r="164" spans="1:21" s="1" customFormat="1" ht="13.8" thickBot="1" x14ac:dyDescent="0.3">
      <c r="A164" s="616"/>
      <c r="B164" s="1253" t="s">
        <v>8</v>
      </c>
      <c r="C164" s="373">
        <f>ROUND(C163*Labor!$D$3,0)</f>
        <v>0</v>
      </c>
      <c r="D164" s="374">
        <f>ROUND(D163*Labor!$D$4,0)</f>
        <v>123</v>
      </c>
      <c r="E164" s="374">
        <f>ROUND(E163*Labor!$D$5,0)</f>
        <v>221</v>
      </c>
      <c r="F164" s="374">
        <f>ROUND(F163*Labor!$D$6,0)</f>
        <v>99</v>
      </c>
      <c r="G164" s="374">
        <f>ROUND(G163*Labor!$D$7,0)</f>
        <v>0</v>
      </c>
      <c r="H164" s="374">
        <f>ROUND(H163*Labor!$D$8,0)</f>
        <v>0</v>
      </c>
      <c r="I164" s="209">
        <f t="shared" si="47"/>
        <v>443</v>
      </c>
      <c r="J164" s="332">
        <f>HLOOKUP(Labor!$B$11,InflationTable,2)*$I164</f>
        <v>598.40521894749804</v>
      </c>
      <c r="K164" s="296">
        <f>J164*$O$6</f>
        <v>582248.27803591557</v>
      </c>
      <c r="L164" s="297">
        <f t="shared" si="48"/>
        <v>582248.27803591557</v>
      </c>
      <c r="M164" s="376">
        <f>HLOOKUP(Labor!$B$11,InflationTable,3)*$I164</f>
        <v>614.74924609515767</v>
      </c>
      <c r="N164" s="377">
        <f>M164*$O$6</f>
        <v>598151.01645058836</v>
      </c>
      <c r="O164" s="378">
        <f t="shared" si="49"/>
        <v>598151.01645058836</v>
      </c>
      <c r="P164" s="332">
        <f>HLOOKUP(Labor!$B$11,InflationTable,4)*$I164</f>
        <v>622.11576981223823</v>
      </c>
      <c r="Q164" s="296">
        <f>P164*$O$6</f>
        <v>605318.64402730775</v>
      </c>
      <c r="R164" s="297">
        <f t="shared" si="50"/>
        <v>605318.64402730775</v>
      </c>
      <c r="S164" s="211">
        <f t="shared" si="51"/>
        <v>595239.31283793726</v>
      </c>
      <c r="T164" s="393" t="s">
        <v>12</v>
      </c>
      <c r="U164" s="228" t="s">
        <v>12</v>
      </c>
    </row>
    <row r="165" spans="1:21" x14ac:dyDescent="0.25">
      <c r="A165" s="615"/>
      <c r="B165" s="600" t="s">
        <v>354</v>
      </c>
      <c r="C165" s="23" t="s">
        <v>45</v>
      </c>
      <c r="D165" s="24" t="s">
        <v>46</v>
      </c>
      <c r="E165" s="23" t="s">
        <v>47</v>
      </c>
      <c r="F165" s="23" t="s">
        <v>48</v>
      </c>
      <c r="G165" s="23" t="s">
        <v>49</v>
      </c>
      <c r="H165" s="23" t="s">
        <v>50</v>
      </c>
      <c r="I165" s="45" t="s">
        <v>13</v>
      </c>
      <c r="J165" s="260" t="s">
        <v>56</v>
      </c>
      <c r="K165" s="261" t="s">
        <v>13</v>
      </c>
      <c r="L165" s="262" t="s">
        <v>68</v>
      </c>
      <c r="M165" s="77" t="s">
        <v>56</v>
      </c>
      <c r="N165" s="24" t="s">
        <v>13</v>
      </c>
      <c r="O165" s="38" t="s">
        <v>68</v>
      </c>
      <c r="P165" s="260" t="s">
        <v>56</v>
      </c>
      <c r="Q165" s="261" t="s">
        <v>13</v>
      </c>
      <c r="R165" s="262" t="s">
        <v>68</v>
      </c>
      <c r="S165" s="120"/>
      <c r="T165" s="133"/>
      <c r="U165" s="227"/>
    </row>
    <row r="166" spans="1:21" x14ac:dyDescent="0.25">
      <c r="A166" s="615"/>
      <c r="B166" s="1254" t="s">
        <v>350</v>
      </c>
      <c r="C166" s="21">
        <v>0</v>
      </c>
      <c r="D166" s="21">
        <v>0</v>
      </c>
      <c r="E166" s="21">
        <v>0</v>
      </c>
      <c r="F166" s="21">
        <v>2</v>
      </c>
      <c r="G166" s="21">
        <v>2</v>
      </c>
      <c r="H166" s="21">
        <v>0</v>
      </c>
      <c r="I166" s="52">
        <f t="shared" ref="I166:I173" si="52">SUM(C166:H166)</f>
        <v>4</v>
      </c>
      <c r="J166" s="1016">
        <f>$I166</f>
        <v>4</v>
      </c>
      <c r="K166" s="281">
        <f>J166*$O$3</f>
        <v>3404</v>
      </c>
      <c r="L166" s="289">
        <f t="shared" si="48"/>
        <v>3404</v>
      </c>
      <c r="M166" s="1021">
        <f>$I166</f>
        <v>4</v>
      </c>
      <c r="N166" s="69">
        <f>M166*$O$3</f>
        <v>3404</v>
      </c>
      <c r="O166" s="68">
        <f t="shared" si="49"/>
        <v>3404</v>
      </c>
      <c r="P166" s="1016">
        <f>$I166</f>
        <v>4</v>
      </c>
      <c r="Q166" s="281">
        <f>P166*$O$3</f>
        <v>3404</v>
      </c>
      <c r="R166" s="289">
        <f t="shared" si="50"/>
        <v>3404</v>
      </c>
      <c r="S166" s="121">
        <f t="shared" ref="S166:S173" si="53">AVERAGE(L166,O166,R166)</f>
        <v>3404</v>
      </c>
      <c r="T166" s="135" t="s">
        <v>12</v>
      </c>
      <c r="U166" s="230" t="s">
        <v>12</v>
      </c>
    </row>
    <row r="167" spans="1:21" s="1" customFormat="1" ht="13.8" thickBot="1" x14ac:dyDescent="0.3">
      <c r="A167" s="616"/>
      <c r="B167" s="1044" t="s">
        <v>8</v>
      </c>
      <c r="C167" s="373">
        <f>ROUND(C166*Labor!$D$3,0)</f>
        <v>0</v>
      </c>
      <c r="D167" s="374">
        <f>ROUND(D166*Labor!$D$4,0)</f>
        <v>0</v>
      </c>
      <c r="E167" s="374">
        <f>ROUND(E166*Labor!$D$5,0)</f>
        <v>0</v>
      </c>
      <c r="F167" s="374">
        <f>ROUND(F166*Labor!$D$6,0)</f>
        <v>99</v>
      </c>
      <c r="G167" s="374">
        <f>ROUND(G166*Labor!$D$7,0)</f>
        <v>111</v>
      </c>
      <c r="H167" s="374">
        <f>ROUND(H166*Labor!$D$8,0)</f>
        <v>0</v>
      </c>
      <c r="I167" s="209">
        <f t="shared" si="52"/>
        <v>210</v>
      </c>
      <c r="J167" s="332">
        <f>HLOOKUP(Labor!$B$11,InflationTable,2)*$I167</f>
        <v>283.66838821438961</v>
      </c>
      <c r="K167" s="296">
        <f>J167*$O$3</f>
        <v>241401.79837044555</v>
      </c>
      <c r="L167" s="297">
        <f t="shared" si="48"/>
        <v>241401.79837044555</v>
      </c>
      <c r="M167" s="376">
        <f>HLOOKUP(Labor!$B$11,InflationTable,3)*$I167</f>
        <v>291.41612117377679</v>
      </c>
      <c r="N167" s="377">
        <f>M167*$O$3</f>
        <v>247995.11911888406</v>
      </c>
      <c r="O167" s="378">
        <f t="shared" si="49"/>
        <v>247995.11911888406</v>
      </c>
      <c r="P167" s="332">
        <f>HLOOKUP(Labor!$B$11,InflationTable,4)*$I167</f>
        <v>294.90815273266372</v>
      </c>
      <c r="Q167" s="296">
        <f>P167*$O$3</f>
        <v>250966.83797549683</v>
      </c>
      <c r="R167" s="297">
        <f t="shared" si="50"/>
        <v>250966.83797549683</v>
      </c>
      <c r="S167" s="211">
        <f t="shared" si="53"/>
        <v>246787.91848827549</v>
      </c>
      <c r="T167" s="393" t="s">
        <v>12</v>
      </c>
      <c r="U167" s="228" t="s">
        <v>12</v>
      </c>
    </row>
    <row r="168" spans="1:21" x14ac:dyDescent="0.25">
      <c r="A168" s="615"/>
      <c r="B168" s="1252" t="s">
        <v>351</v>
      </c>
      <c r="C168" s="21">
        <v>0</v>
      </c>
      <c r="D168" s="21">
        <v>0</v>
      </c>
      <c r="E168" s="21">
        <v>0</v>
      </c>
      <c r="F168" s="21">
        <v>2</v>
      </c>
      <c r="G168" s="21">
        <v>2</v>
      </c>
      <c r="H168" s="21">
        <v>0</v>
      </c>
      <c r="I168" s="52">
        <f t="shared" si="52"/>
        <v>4</v>
      </c>
      <c r="J168" s="1016">
        <f>$I168</f>
        <v>4</v>
      </c>
      <c r="K168" s="281">
        <f>$I$159*($O$4+$O$5)</f>
        <v>3080</v>
      </c>
      <c r="L168" s="289">
        <f t="shared" si="48"/>
        <v>3080</v>
      </c>
      <c r="M168" s="1021">
        <f>$I168</f>
        <v>4</v>
      </c>
      <c r="N168" s="69">
        <f>$I$159*($O$4+$O$5)</f>
        <v>3080</v>
      </c>
      <c r="O168" s="68">
        <f t="shared" si="49"/>
        <v>3080</v>
      </c>
      <c r="P168" s="1016">
        <f>$I168</f>
        <v>4</v>
      </c>
      <c r="Q168" s="281">
        <f>$I$159*($O$4+$O$5)</f>
        <v>3080</v>
      </c>
      <c r="R168" s="289">
        <f t="shared" si="50"/>
        <v>3080</v>
      </c>
      <c r="S168" s="121">
        <f t="shared" si="53"/>
        <v>3080</v>
      </c>
      <c r="T168" s="135" t="s">
        <v>12</v>
      </c>
      <c r="U168" s="230" t="s">
        <v>12</v>
      </c>
    </row>
    <row r="169" spans="1:21" s="1" customFormat="1" ht="13.8" thickBot="1" x14ac:dyDescent="0.3">
      <c r="A169" s="616"/>
      <c r="B169" s="1253" t="s">
        <v>8</v>
      </c>
      <c r="C169" s="373">
        <f>ROUND(C168*Labor!$D$3,0)</f>
        <v>0</v>
      </c>
      <c r="D169" s="374">
        <f>ROUND(D168*Labor!$D$4,0)</f>
        <v>0</v>
      </c>
      <c r="E169" s="374">
        <f>ROUND(E168*Labor!$D$5,0)</f>
        <v>0</v>
      </c>
      <c r="F169" s="374">
        <f>ROUND(F168*Labor!$D$6,0)</f>
        <v>99</v>
      </c>
      <c r="G169" s="374">
        <f>ROUND(G168*Labor!$D$7,0)</f>
        <v>111</v>
      </c>
      <c r="H169" s="374">
        <f>ROUND(H168*Labor!$D$8,0)</f>
        <v>0</v>
      </c>
      <c r="I169" s="209">
        <f t="shared" si="52"/>
        <v>210</v>
      </c>
      <c r="J169" s="332">
        <f>HLOOKUP(Labor!$B$11,InflationTable,2)*$I169</f>
        <v>283.66838821438961</v>
      </c>
      <c r="K169" s="296">
        <f>J169*($O$4+$O$5)</f>
        <v>87369.863570032001</v>
      </c>
      <c r="L169" s="297">
        <f t="shared" si="48"/>
        <v>87369.863570032001</v>
      </c>
      <c r="M169" s="376">
        <f>HLOOKUP(Labor!$B$11,InflationTable,3)*$I169</f>
        <v>291.41612117377679</v>
      </c>
      <c r="N169" s="377">
        <f>M169*($O$4+$O$5)</f>
        <v>89756.165321523251</v>
      </c>
      <c r="O169" s="378">
        <f t="shared" si="49"/>
        <v>89756.165321523251</v>
      </c>
      <c r="P169" s="332">
        <f>HLOOKUP(Labor!$B$11,InflationTable,4)*$I169</f>
        <v>294.90815273266372</v>
      </c>
      <c r="Q169" s="296">
        <f>P169*($O$4+$O$5)</f>
        <v>90831.711041660426</v>
      </c>
      <c r="R169" s="297">
        <f t="shared" si="50"/>
        <v>90831.711041660426</v>
      </c>
      <c r="S169" s="211">
        <f t="shared" si="53"/>
        <v>89319.246644405226</v>
      </c>
      <c r="T169" s="393" t="s">
        <v>12</v>
      </c>
      <c r="U169" s="228" t="s">
        <v>12</v>
      </c>
    </row>
    <row r="170" spans="1:21" x14ac:dyDescent="0.25">
      <c r="A170" s="615"/>
      <c r="B170" s="1252" t="s">
        <v>353</v>
      </c>
      <c r="C170" s="21">
        <v>0</v>
      </c>
      <c r="D170" s="21">
        <v>0</v>
      </c>
      <c r="E170" s="21">
        <v>0</v>
      </c>
      <c r="F170" s="21">
        <v>2</v>
      </c>
      <c r="G170" s="21">
        <v>2</v>
      </c>
      <c r="H170" s="21">
        <v>0</v>
      </c>
      <c r="I170" s="52">
        <f t="shared" si="52"/>
        <v>4</v>
      </c>
      <c r="J170" s="1016">
        <f>$I170</f>
        <v>4</v>
      </c>
      <c r="K170" s="281">
        <f>J170*$L$6</f>
        <v>0</v>
      </c>
      <c r="L170" s="289">
        <f t="shared" si="48"/>
        <v>0</v>
      </c>
      <c r="M170" s="1021">
        <f>$I170</f>
        <v>4</v>
      </c>
      <c r="N170" s="69">
        <f>M170*$L$6</f>
        <v>0</v>
      </c>
      <c r="O170" s="68">
        <f t="shared" si="49"/>
        <v>0</v>
      </c>
      <c r="P170" s="1016">
        <f>$I170</f>
        <v>4</v>
      </c>
      <c r="Q170" s="281">
        <f>P170*$L$6</f>
        <v>0</v>
      </c>
      <c r="R170" s="289">
        <f t="shared" si="50"/>
        <v>0</v>
      </c>
      <c r="S170" s="121">
        <f t="shared" si="53"/>
        <v>0</v>
      </c>
      <c r="T170" s="135" t="s">
        <v>12</v>
      </c>
      <c r="U170" s="230" t="s">
        <v>12</v>
      </c>
    </row>
    <row r="171" spans="1:21" s="1" customFormat="1" ht="13.8" thickBot="1" x14ac:dyDescent="0.3">
      <c r="A171" s="616"/>
      <c r="B171" s="1044" t="s">
        <v>8</v>
      </c>
      <c r="C171" s="373">
        <f>ROUND(C170*Labor!$D$3,0)</f>
        <v>0</v>
      </c>
      <c r="D171" s="374">
        <f>ROUND(D170*Labor!$D$4,0)</f>
        <v>0</v>
      </c>
      <c r="E171" s="374">
        <f>ROUND(E170*Labor!$D$5,0)</f>
        <v>0</v>
      </c>
      <c r="F171" s="374">
        <f>ROUND(F170*Labor!$D$6,0)</f>
        <v>99</v>
      </c>
      <c r="G171" s="374">
        <f>ROUND(G170*Labor!$D$7,0)</f>
        <v>111</v>
      </c>
      <c r="H171" s="374">
        <f>ROUND(H170*Labor!$D$8,0)</f>
        <v>0</v>
      </c>
      <c r="I171" s="209">
        <f t="shared" si="52"/>
        <v>210</v>
      </c>
      <c r="J171" s="332">
        <f>HLOOKUP(Labor!$B$11,InflationTable,2)*$I171</f>
        <v>283.66838821438961</v>
      </c>
      <c r="K171" s="296">
        <f>J171*$L$6</f>
        <v>0</v>
      </c>
      <c r="L171" s="297">
        <f t="shared" si="48"/>
        <v>0</v>
      </c>
      <c r="M171" s="376">
        <f>HLOOKUP(Labor!$B$11,InflationTable,3)*$I171</f>
        <v>291.41612117377679</v>
      </c>
      <c r="N171" s="377">
        <f>M171*$L$6</f>
        <v>0</v>
      </c>
      <c r="O171" s="378">
        <f t="shared" si="49"/>
        <v>0</v>
      </c>
      <c r="P171" s="332">
        <f>HLOOKUP(Labor!$B$11,InflationTable,4)*$I171</f>
        <v>294.90815273266372</v>
      </c>
      <c r="Q171" s="296">
        <f>P171*$L$6</f>
        <v>0</v>
      </c>
      <c r="R171" s="297">
        <f t="shared" si="50"/>
        <v>0</v>
      </c>
      <c r="S171" s="211">
        <f t="shared" si="53"/>
        <v>0</v>
      </c>
      <c r="T171" s="393" t="s">
        <v>12</v>
      </c>
      <c r="U171" s="228" t="s">
        <v>12</v>
      </c>
    </row>
    <row r="172" spans="1:21" x14ac:dyDescent="0.25">
      <c r="A172" s="615"/>
      <c r="B172" s="1252" t="s">
        <v>352</v>
      </c>
      <c r="C172" s="21">
        <v>0</v>
      </c>
      <c r="D172" s="21">
        <v>0</v>
      </c>
      <c r="E172" s="21">
        <v>0</v>
      </c>
      <c r="F172" s="21">
        <v>2</v>
      </c>
      <c r="G172" s="21">
        <v>2</v>
      </c>
      <c r="H172" s="21">
        <v>0</v>
      </c>
      <c r="I172" s="52">
        <f t="shared" si="52"/>
        <v>4</v>
      </c>
      <c r="J172" s="1016">
        <f>$I172</f>
        <v>4</v>
      </c>
      <c r="K172" s="281">
        <f>J172*$O$6</f>
        <v>3892</v>
      </c>
      <c r="L172" s="289">
        <f t="shared" si="48"/>
        <v>3892</v>
      </c>
      <c r="M172" s="1021">
        <f>$I172</f>
        <v>4</v>
      </c>
      <c r="N172" s="69">
        <f>M172*$O$6</f>
        <v>3892</v>
      </c>
      <c r="O172" s="68">
        <f t="shared" si="49"/>
        <v>3892</v>
      </c>
      <c r="P172" s="1016">
        <f>$I172</f>
        <v>4</v>
      </c>
      <c r="Q172" s="281">
        <f>P172*$O$6</f>
        <v>3892</v>
      </c>
      <c r="R172" s="289">
        <f t="shared" si="50"/>
        <v>3892</v>
      </c>
      <c r="S172" s="121">
        <f t="shared" si="53"/>
        <v>3892</v>
      </c>
      <c r="T172" s="135" t="s">
        <v>12</v>
      </c>
      <c r="U172" s="230" t="s">
        <v>12</v>
      </c>
    </row>
    <row r="173" spans="1:21" s="1" customFormat="1" ht="13.8" thickBot="1" x14ac:dyDescent="0.3">
      <c r="A173" s="616"/>
      <c r="B173" s="1253" t="s">
        <v>8</v>
      </c>
      <c r="C173" s="373">
        <f>ROUND(C172*Labor!$D$3,0)</f>
        <v>0</v>
      </c>
      <c r="D173" s="374">
        <f>ROUND(D172*Labor!$D$4,0)</f>
        <v>0</v>
      </c>
      <c r="E173" s="374">
        <f>ROUND(E172*Labor!$D$5,0)</f>
        <v>0</v>
      </c>
      <c r="F173" s="374">
        <f>ROUND(F172*Labor!$D$6,0)</f>
        <v>99</v>
      </c>
      <c r="G173" s="374">
        <f>ROUND(G172*Labor!$D$7,0)</f>
        <v>111</v>
      </c>
      <c r="H173" s="374">
        <f>ROUND(H172*Labor!$D$8,0)</f>
        <v>0</v>
      </c>
      <c r="I173" s="209">
        <f t="shared" si="52"/>
        <v>210</v>
      </c>
      <c r="J173" s="332">
        <f>HLOOKUP(Labor!$B$11,InflationTable,2)*$I173</f>
        <v>283.66838821438961</v>
      </c>
      <c r="K173" s="296">
        <f>J173*$O$6</f>
        <v>276009.34173260111</v>
      </c>
      <c r="L173" s="297">
        <f t="shared" si="48"/>
        <v>276009.34173260111</v>
      </c>
      <c r="M173" s="376">
        <f>HLOOKUP(Labor!$B$11,InflationTable,3)*$I173</f>
        <v>291.41612117377679</v>
      </c>
      <c r="N173" s="377">
        <f>M173*$O$6</f>
        <v>283547.88590208482</v>
      </c>
      <c r="O173" s="378">
        <f t="shared" si="49"/>
        <v>283547.88590208482</v>
      </c>
      <c r="P173" s="332">
        <f>HLOOKUP(Labor!$B$11,InflationTable,4)*$I173</f>
        <v>294.90815273266372</v>
      </c>
      <c r="Q173" s="296">
        <f>P173*$O$6</f>
        <v>286945.6326088818</v>
      </c>
      <c r="R173" s="297">
        <f t="shared" si="50"/>
        <v>286945.6326088818</v>
      </c>
      <c r="S173" s="211">
        <f t="shared" si="53"/>
        <v>282167.62008118926</v>
      </c>
      <c r="T173" s="393" t="s">
        <v>12</v>
      </c>
      <c r="U173" s="228" t="s">
        <v>12</v>
      </c>
    </row>
    <row r="174" spans="1:21" x14ac:dyDescent="0.25">
      <c r="A174" s="615"/>
      <c r="B174" s="600" t="s">
        <v>355</v>
      </c>
      <c r="C174" s="23" t="s">
        <v>45</v>
      </c>
      <c r="D174" s="24" t="s">
        <v>46</v>
      </c>
      <c r="E174" s="23" t="s">
        <v>47</v>
      </c>
      <c r="F174" s="23" t="s">
        <v>48</v>
      </c>
      <c r="G174" s="23" t="s">
        <v>49</v>
      </c>
      <c r="H174" s="23" t="s">
        <v>50</v>
      </c>
      <c r="I174" s="45" t="s">
        <v>13</v>
      </c>
      <c r="J174" s="260" t="s">
        <v>56</v>
      </c>
      <c r="K174" s="261" t="s">
        <v>13</v>
      </c>
      <c r="L174" s="262" t="s">
        <v>68</v>
      </c>
      <c r="M174" s="77" t="s">
        <v>56</v>
      </c>
      <c r="N174" s="24" t="s">
        <v>13</v>
      </c>
      <c r="O174" s="38" t="s">
        <v>68</v>
      </c>
      <c r="P174" s="260" t="s">
        <v>56</v>
      </c>
      <c r="Q174" s="261" t="s">
        <v>13</v>
      </c>
      <c r="R174" s="262" t="s">
        <v>68</v>
      </c>
      <c r="S174" s="120"/>
      <c r="T174" s="133"/>
      <c r="U174" s="227"/>
    </row>
    <row r="175" spans="1:21" x14ac:dyDescent="0.25">
      <c r="A175" s="615"/>
      <c r="B175" s="1254" t="s">
        <v>350</v>
      </c>
      <c r="C175" s="21">
        <v>0</v>
      </c>
      <c r="D175" s="21">
        <v>5</v>
      </c>
      <c r="E175" s="21">
        <v>5</v>
      </c>
      <c r="F175" s="21">
        <v>2</v>
      </c>
      <c r="G175" s="21">
        <v>1</v>
      </c>
      <c r="H175" s="21">
        <v>0</v>
      </c>
      <c r="I175" s="52">
        <f t="shared" ref="I175:I182" si="54">SUM(C175:H175)</f>
        <v>13</v>
      </c>
      <c r="J175" s="263">
        <f>$I175</f>
        <v>13</v>
      </c>
      <c r="K175" s="281">
        <f>J175*$O$3</f>
        <v>11063</v>
      </c>
      <c r="L175" s="289">
        <f t="shared" si="48"/>
        <v>11063</v>
      </c>
      <c r="M175" s="1021">
        <f>$I175</f>
        <v>13</v>
      </c>
      <c r="N175" s="69">
        <f>M175*$O$3</f>
        <v>11063</v>
      </c>
      <c r="O175" s="68">
        <f t="shared" si="49"/>
        <v>11063</v>
      </c>
      <c r="P175" s="1016">
        <f>$I175</f>
        <v>13</v>
      </c>
      <c r="Q175" s="281">
        <f>P175*$O$3</f>
        <v>11063</v>
      </c>
      <c r="R175" s="289">
        <f t="shared" si="50"/>
        <v>11063</v>
      </c>
      <c r="S175" s="121">
        <f t="shared" ref="S175:S182" si="55">AVERAGE(L175,O175,R175)</f>
        <v>11063</v>
      </c>
      <c r="T175" s="135" t="s">
        <v>12</v>
      </c>
      <c r="U175" s="230" t="s">
        <v>12</v>
      </c>
    </row>
    <row r="176" spans="1:21" s="1" customFormat="1" ht="13.8" thickBot="1" x14ac:dyDescent="0.3">
      <c r="A176" s="616"/>
      <c r="B176" s="1044" t="s">
        <v>8</v>
      </c>
      <c r="C176" s="373">
        <f>ROUND(C175*Labor!$D$3,0)</f>
        <v>0</v>
      </c>
      <c r="D176" s="374">
        <f>ROUND(D175*Labor!$D$4,0)</f>
        <v>204</v>
      </c>
      <c r="E176" s="374">
        <f>ROUND(E175*Labor!$D$5,0)</f>
        <v>221</v>
      </c>
      <c r="F176" s="374">
        <f>ROUND(F175*Labor!$D$6,0)</f>
        <v>99</v>
      </c>
      <c r="G176" s="374">
        <f>ROUND(G175*Labor!$D$7,0)</f>
        <v>55</v>
      </c>
      <c r="H176" s="374">
        <f>ROUND(H175*Labor!$D$8,0)</f>
        <v>0</v>
      </c>
      <c r="I176" s="209">
        <f t="shared" si="54"/>
        <v>579</v>
      </c>
      <c r="J176" s="332">
        <f>HLOOKUP(Labor!$B$11,InflationTable,2)*$I176</f>
        <v>782.11427036253133</v>
      </c>
      <c r="K176" s="296">
        <f>J176*$O$3</f>
        <v>665579.24407851417</v>
      </c>
      <c r="L176" s="297">
        <f t="shared" si="48"/>
        <v>665579.24407851417</v>
      </c>
      <c r="M176" s="376">
        <f>HLOOKUP(Labor!$B$11,InflationTable,3)*$I176</f>
        <v>803.47587695055597</v>
      </c>
      <c r="N176" s="377">
        <f>M176*$O$3</f>
        <v>683757.97128492314</v>
      </c>
      <c r="O176" s="378">
        <f t="shared" si="49"/>
        <v>683757.97128492314</v>
      </c>
      <c r="P176" s="332">
        <f>HLOOKUP(Labor!$B$11,InflationTable,4)*$I176</f>
        <v>813.10390682005857</v>
      </c>
      <c r="Q176" s="296">
        <f>P176*$O$3</f>
        <v>691951.42470386985</v>
      </c>
      <c r="R176" s="297">
        <f t="shared" si="50"/>
        <v>691951.42470386985</v>
      </c>
      <c r="S176" s="211">
        <f t="shared" si="55"/>
        <v>680429.54668910243</v>
      </c>
      <c r="T176" s="393" t="s">
        <v>12</v>
      </c>
      <c r="U176" s="228" t="s">
        <v>12</v>
      </c>
    </row>
    <row r="177" spans="1:21" x14ac:dyDescent="0.25">
      <c r="A177" s="615"/>
      <c r="B177" s="1252" t="s">
        <v>351</v>
      </c>
      <c r="C177" s="21">
        <v>0</v>
      </c>
      <c r="D177" s="21">
        <v>5</v>
      </c>
      <c r="E177" s="21">
        <v>5</v>
      </c>
      <c r="F177" s="21">
        <v>2</v>
      </c>
      <c r="G177" s="21">
        <v>1</v>
      </c>
      <c r="H177" s="21">
        <v>0</v>
      </c>
      <c r="I177" s="52">
        <f t="shared" si="54"/>
        <v>13</v>
      </c>
      <c r="J177" s="263">
        <f>$I177</f>
        <v>13</v>
      </c>
      <c r="K177" s="281">
        <f>$I$159*($O$4+$O$5)</f>
        <v>3080</v>
      </c>
      <c r="L177" s="289">
        <f t="shared" si="48"/>
        <v>3080</v>
      </c>
      <c r="M177" s="1021">
        <f>$I177</f>
        <v>13</v>
      </c>
      <c r="N177" s="69">
        <f>$I$159*($O$4+$O$5)</f>
        <v>3080</v>
      </c>
      <c r="O177" s="68">
        <f t="shared" si="49"/>
        <v>3080</v>
      </c>
      <c r="P177" s="1016">
        <f>$I177</f>
        <v>13</v>
      </c>
      <c r="Q177" s="281">
        <f>$I$159*($O$4+$O$5)</f>
        <v>3080</v>
      </c>
      <c r="R177" s="289">
        <f t="shared" si="50"/>
        <v>3080</v>
      </c>
      <c r="S177" s="121">
        <f t="shared" si="55"/>
        <v>3080</v>
      </c>
      <c r="T177" s="135" t="s">
        <v>12</v>
      </c>
      <c r="U177" s="230" t="s">
        <v>12</v>
      </c>
    </row>
    <row r="178" spans="1:21" s="1" customFormat="1" ht="13.8" thickBot="1" x14ac:dyDescent="0.3">
      <c r="A178" s="616"/>
      <c r="B178" s="1253" t="s">
        <v>8</v>
      </c>
      <c r="C178" s="373">
        <f>ROUND(C177*Labor!$D$3,0)</f>
        <v>0</v>
      </c>
      <c r="D178" s="374">
        <f>ROUND(D177*Labor!$D$4,0)</f>
        <v>204</v>
      </c>
      <c r="E178" s="374">
        <f>ROUND(E177*Labor!$D$5,0)</f>
        <v>221</v>
      </c>
      <c r="F178" s="374">
        <f>ROUND(F177*Labor!$D$6,0)</f>
        <v>99</v>
      </c>
      <c r="G178" s="374">
        <f>ROUND(G177*Labor!$D$7,0)</f>
        <v>55</v>
      </c>
      <c r="H178" s="374">
        <f>ROUND(H177*Labor!$D$8,0)</f>
        <v>0</v>
      </c>
      <c r="I178" s="209">
        <f t="shared" si="54"/>
        <v>579</v>
      </c>
      <c r="J178" s="332">
        <f>HLOOKUP(Labor!$B$11,InflationTable,2)*$I178</f>
        <v>782.11427036253133</v>
      </c>
      <c r="K178" s="296">
        <f>J178*($O$4+$O$5)</f>
        <v>240891.19527165964</v>
      </c>
      <c r="L178" s="297">
        <f t="shared" si="48"/>
        <v>240891.19527165964</v>
      </c>
      <c r="M178" s="376">
        <f>HLOOKUP(Labor!$B$11,InflationTable,3)*$I178</f>
        <v>803.47587695055597</v>
      </c>
      <c r="N178" s="377">
        <f>M178*($O$4+$O$5)</f>
        <v>247470.57010077123</v>
      </c>
      <c r="O178" s="378">
        <f t="shared" si="49"/>
        <v>247470.57010077123</v>
      </c>
      <c r="P178" s="332">
        <f>HLOOKUP(Labor!$B$11,InflationTable,4)*$I178</f>
        <v>813.10390682005857</v>
      </c>
      <c r="Q178" s="296">
        <f>P178*($O$4+$O$5)</f>
        <v>250436.00330057804</v>
      </c>
      <c r="R178" s="297">
        <f t="shared" si="50"/>
        <v>250436.00330057804</v>
      </c>
      <c r="S178" s="211">
        <f t="shared" si="55"/>
        <v>246265.92289100299</v>
      </c>
      <c r="T178" s="393" t="s">
        <v>12</v>
      </c>
      <c r="U178" s="228" t="s">
        <v>12</v>
      </c>
    </row>
    <row r="179" spans="1:21" x14ac:dyDescent="0.25">
      <c r="A179" s="615"/>
      <c r="B179" s="1252" t="s">
        <v>353</v>
      </c>
      <c r="C179" s="21">
        <v>0</v>
      </c>
      <c r="D179" s="21">
        <v>5</v>
      </c>
      <c r="E179" s="21">
        <v>5</v>
      </c>
      <c r="F179" s="21">
        <v>2</v>
      </c>
      <c r="G179" s="21">
        <v>1</v>
      </c>
      <c r="H179" s="21">
        <v>0</v>
      </c>
      <c r="I179" s="52">
        <f t="shared" si="54"/>
        <v>13</v>
      </c>
      <c r="J179" s="263">
        <f>$I179</f>
        <v>13</v>
      </c>
      <c r="K179" s="281">
        <f>J179*$L$6</f>
        <v>0</v>
      </c>
      <c r="L179" s="289">
        <f t="shared" si="48"/>
        <v>0</v>
      </c>
      <c r="M179" s="1021">
        <f>$I179</f>
        <v>13</v>
      </c>
      <c r="N179" s="69">
        <f>M179*$L$6</f>
        <v>0</v>
      </c>
      <c r="O179" s="68">
        <f t="shared" si="49"/>
        <v>0</v>
      </c>
      <c r="P179" s="1016">
        <f>$I179</f>
        <v>13</v>
      </c>
      <c r="Q179" s="281">
        <f>P179*$L$6</f>
        <v>0</v>
      </c>
      <c r="R179" s="289">
        <f t="shared" si="50"/>
        <v>0</v>
      </c>
      <c r="S179" s="121">
        <f t="shared" si="55"/>
        <v>0</v>
      </c>
      <c r="T179" s="135" t="s">
        <v>12</v>
      </c>
      <c r="U179" s="230" t="s">
        <v>12</v>
      </c>
    </row>
    <row r="180" spans="1:21" s="1" customFormat="1" ht="13.8" thickBot="1" x14ac:dyDescent="0.3">
      <c r="A180" s="616"/>
      <c r="B180" s="1044" t="s">
        <v>8</v>
      </c>
      <c r="C180" s="373">
        <f>ROUND(C179*Labor!$D$3,0)</f>
        <v>0</v>
      </c>
      <c r="D180" s="374">
        <f>ROUND(D179*Labor!$D$4,0)</f>
        <v>204</v>
      </c>
      <c r="E180" s="374">
        <f>ROUND(E179*Labor!$D$5,0)</f>
        <v>221</v>
      </c>
      <c r="F180" s="374">
        <f>ROUND(F179*Labor!$D$6,0)</f>
        <v>99</v>
      </c>
      <c r="G180" s="374">
        <f>ROUND(G179*Labor!$D$7,0)</f>
        <v>55</v>
      </c>
      <c r="H180" s="374">
        <f>ROUND(H179*Labor!$D$8,0)</f>
        <v>0</v>
      </c>
      <c r="I180" s="209">
        <f t="shared" si="54"/>
        <v>579</v>
      </c>
      <c r="J180" s="332">
        <f>HLOOKUP(Labor!$B$11,InflationTable,2)*$I180</f>
        <v>782.11427036253133</v>
      </c>
      <c r="K180" s="296">
        <f>J180*$L$6</f>
        <v>0</v>
      </c>
      <c r="L180" s="297">
        <f t="shared" si="48"/>
        <v>0</v>
      </c>
      <c r="M180" s="376">
        <f>HLOOKUP(Labor!$B$11,InflationTable,3)*$I180</f>
        <v>803.47587695055597</v>
      </c>
      <c r="N180" s="377">
        <f>M180*$L$6</f>
        <v>0</v>
      </c>
      <c r="O180" s="378">
        <f t="shared" si="49"/>
        <v>0</v>
      </c>
      <c r="P180" s="332">
        <f>HLOOKUP(Labor!$B$11,InflationTable,4)*$I180</f>
        <v>813.10390682005857</v>
      </c>
      <c r="Q180" s="296">
        <f>P180*$L$6</f>
        <v>0</v>
      </c>
      <c r="R180" s="297">
        <f t="shared" si="50"/>
        <v>0</v>
      </c>
      <c r="S180" s="211">
        <f t="shared" si="55"/>
        <v>0</v>
      </c>
      <c r="T180" s="393" t="s">
        <v>12</v>
      </c>
      <c r="U180" s="228" t="s">
        <v>12</v>
      </c>
    </row>
    <row r="181" spans="1:21" x14ac:dyDescent="0.25">
      <c r="A181" s="615"/>
      <c r="B181" s="1252" t="s">
        <v>352</v>
      </c>
      <c r="C181" s="21">
        <v>0</v>
      </c>
      <c r="D181" s="21">
        <v>0</v>
      </c>
      <c r="E181" s="21">
        <v>5</v>
      </c>
      <c r="F181" s="21">
        <v>5</v>
      </c>
      <c r="G181" s="21">
        <v>2</v>
      </c>
      <c r="H181" s="21">
        <v>1</v>
      </c>
      <c r="I181" s="52">
        <f t="shared" si="54"/>
        <v>13</v>
      </c>
      <c r="J181" s="263">
        <f>$I181</f>
        <v>13</v>
      </c>
      <c r="K181" s="281">
        <f>J181*$O$6</f>
        <v>12649</v>
      </c>
      <c r="L181" s="289">
        <f t="shared" si="48"/>
        <v>12649</v>
      </c>
      <c r="M181" s="1021">
        <f>$I181</f>
        <v>13</v>
      </c>
      <c r="N181" s="69">
        <f>M181*$O$6</f>
        <v>12649</v>
      </c>
      <c r="O181" s="68">
        <f t="shared" si="49"/>
        <v>12649</v>
      </c>
      <c r="P181" s="1016">
        <f>$I181</f>
        <v>13</v>
      </c>
      <c r="Q181" s="281">
        <f>P181*$O$6</f>
        <v>12649</v>
      </c>
      <c r="R181" s="289">
        <f t="shared" si="50"/>
        <v>12649</v>
      </c>
      <c r="S181" s="121">
        <f t="shared" si="55"/>
        <v>12649</v>
      </c>
      <c r="T181" s="135" t="s">
        <v>12</v>
      </c>
      <c r="U181" s="230" t="s">
        <v>12</v>
      </c>
    </row>
    <row r="182" spans="1:21" s="1" customFormat="1" ht="13.8" thickBot="1" x14ac:dyDescent="0.3">
      <c r="A182" s="616"/>
      <c r="B182" s="1253" t="s">
        <v>8</v>
      </c>
      <c r="C182" s="373">
        <f>ROUND(C181*Labor!$D$3,0)</f>
        <v>0</v>
      </c>
      <c r="D182" s="374">
        <f>ROUND(D181*Labor!$D$4,0)</f>
        <v>0</v>
      </c>
      <c r="E182" s="374">
        <f>ROUND(E181*Labor!$D$5,0)</f>
        <v>221</v>
      </c>
      <c r="F182" s="374">
        <f>ROUND(F181*Labor!$D$6,0)</f>
        <v>246</v>
      </c>
      <c r="G182" s="374">
        <f>ROUND(G181*Labor!$D$7,0)</f>
        <v>111</v>
      </c>
      <c r="H182" s="374">
        <f>ROUND(H181*Labor!$D$8,0)</f>
        <v>59</v>
      </c>
      <c r="I182" s="209">
        <f t="shared" si="54"/>
        <v>637</v>
      </c>
      <c r="J182" s="332">
        <f>HLOOKUP(Labor!$B$11,InflationTable,2)*$I182</f>
        <v>860.46077758364845</v>
      </c>
      <c r="K182" s="296">
        <f>J182*$O$6</f>
        <v>837228.33658888994</v>
      </c>
      <c r="L182" s="297">
        <f t="shared" si="48"/>
        <v>837228.33658888994</v>
      </c>
      <c r="M182" s="376">
        <f>HLOOKUP(Labor!$B$11,InflationTable,3)*$I182</f>
        <v>883.96223422712296</v>
      </c>
      <c r="N182" s="377">
        <f>M182*$O$6</f>
        <v>860095.2539029906</v>
      </c>
      <c r="O182" s="378">
        <f t="shared" si="49"/>
        <v>860095.2539029906</v>
      </c>
      <c r="P182" s="332">
        <f>HLOOKUP(Labor!$B$11,InflationTable,4)*$I182</f>
        <v>894.55472995574655</v>
      </c>
      <c r="Q182" s="296">
        <f>P182*$O$6</f>
        <v>870401.75224694144</v>
      </c>
      <c r="R182" s="297">
        <f t="shared" si="50"/>
        <v>870401.75224694144</v>
      </c>
      <c r="S182" s="211">
        <f t="shared" si="55"/>
        <v>855908.44757960737</v>
      </c>
      <c r="T182" s="393" t="s">
        <v>12</v>
      </c>
      <c r="U182" s="228" t="s">
        <v>12</v>
      </c>
    </row>
    <row r="183" spans="1:21" x14ac:dyDescent="0.25">
      <c r="A183" s="615"/>
      <c r="B183" s="600" t="s">
        <v>356</v>
      </c>
      <c r="C183" s="23" t="s">
        <v>45</v>
      </c>
      <c r="D183" s="24" t="s">
        <v>46</v>
      </c>
      <c r="E183" s="23" t="s">
        <v>47</v>
      </c>
      <c r="F183" s="23" t="s">
        <v>48</v>
      </c>
      <c r="G183" s="23" t="s">
        <v>49</v>
      </c>
      <c r="H183" s="23" t="s">
        <v>50</v>
      </c>
      <c r="I183" s="45" t="s">
        <v>13</v>
      </c>
      <c r="J183" s="260" t="s">
        <v>56</v>
      </c>
      <c r="K183" s="261" t="s">
        <v>13</v>
      </c>
      <c r="L183" s="262" t="s">
        <v>68</v>
      </c>
      <c r="M183" s="77" t="s">
        <v>56</v>
      </c>
      <c r="N183" s="24" t="s">
        <v>13</v>
      </c>
      <c r="O183" s="38" t="s">
        <v>68</v>
      </c>
      <c r="P183" s="260" t="s">
        <v>56</v>
      </c>
      <c r="Q183" s="261" t="s">
        <v>13</v>
      </c>
      <c r="R183" s="262" t="s">
        <v>68</v>
      </c>
      <c r="S183" s="120"/>
      <c r="T183" s="133"/>
      <c r="U183" s="227"/>
    </row>
    <row r="184" spans="1:21" x14ac:dyDescent="0.25">
      <c r="A184" s="615"/>
      <c r="B184" s="1254" t="s">
        <v>350</v>
      </c>
      <c r="C184" s="21">
        <v>0</v>
      </c>
      <c r="D184" s="21">
        <v>0</v>
      </c>
      <c r="E184" s="21">
        <v>3</v>
      </c>
      <c r="F184" s="21">
        <v>2</v>
      </c>
      <c r="G184" s="21">
        <v>1</v>
      </c>
      <c r="H184" s="21">
        <v>0</v>
      </c>
      <c r="I184" s="52">
        <f t="shared" ref="I184:I191" si="56">SUM(C184:H184)</f>
        <v>6</v>
      </c>
      <c r="J184" s="263">
        <f>$I184</f>
        <v>6</v>
      </c>
      <c r="K184" s="281">
        <f>J184*$O$3</f>
        <v>5106</v>
      </c>
      <c r="L184" s="289">
        <f t="shared" si="48"/>
        <v>5106</v>
      </c>
      <c r="M184" s="1021">
        <f>$I184</f>
        <v>6</v>
      </c>
      <c r="N184" s="69">
        <f>M184*$O$3</f>
        <v>5106</v>
      </c>
      <c r="O184" s="68">
        <f t="shared" si="49"/>
        <v>5106</v>
      </c>
      <c r="P184" s="1016">
        <f>$I184</f>
        <v>6</v>
      </c>
      <c r="Q184" s="281">
        <f>P184*$O$3</f>
        <v>5106</v>
      </c>
      <c r="R184" s="289">
        <f t="shared" si="50"/>
        <v>5106</v>
      </c>
      <c r="S184" s="121">
        <f t="shared" ref="S184:S191" si="57">AVERAGE(L184,O184,R184)</f>
        <v>5106</v>
      </c>
      <c r="T184" s="135" t="s">
        <v>12</v>
      </c>
      <c r="U184" s="230" t="s">
        <v>12</v>
      </c>
    </row>
    <row r="185" spans="1:21" s="1" customFormat="1" ht="13.8" thickBot="1" x14ac:dyDescent="0.3">
      <c r="A185" s="616"/>
      <c r="B185" s="1044" t="s">
        <v>8</v>
      </c>
      <c r="C185" s="373">
        <f>ROUND(C184*Labor!$D$3,0)</f>
        <v>0</v>
      </c>
      <c r="D185" s="374">
        <f>ROUND(D184*Labor!$D$4,0)</f>
        <v>0</v>
      </c>
      <c r="E185" s="374">
        <f>ROUND(E184*Labor!$D$5,0)</f>
        <v>132</v>
      </c>
      <c r="F185" s="374">
        <f>ROUND(F184*Labor!$D$6,0)</f>
        <v>99</v>
      </c>
      <c r="G185" s="374">
        <f>ROUND(G184*Labor!$D$7,0)</f>
        <v>55</v>
      </c>
      <c r="H185" s="374">
        <f>ROUND(H184*Labor!$D$8,0)</f>
        <v>0</v>
      </c>
      <c r="I185" s="209">
        <f t="shared" si="56"/>
        <v>286</v>
      </c>
      <c r="J185" s="332">
        <f>HLOOKUP(Labor!$B$11,InflationTable,2)*$I185</f>
        <v>386.32932871102582</v>
      </c>
      <c r="K185" s="296">
        <f>J185*$O$3</f>
        <v>328766.25873308297</v>
      </c>
      <c r="L185" s="297">
        <f t="shared" si="48"/>
        <v>328766.25873308297</v>
      </c>
      <c r="M185" s="376">
        <f>HLOOKUP(Labor!$B$11,InflationTable,3)*$I185</f>
        <v>396.88100312238174</v>
      </c>
      <c r="N185" s="377">
        <f>M185*$O$3</f>
        <v>337745.73365714686</v>
      </c>
      <c r="O185" s="378">
        <f t="shared" si="49"/>
        <v>337745.73365714686</v>
      </c>
      <c r="P185" s="332">
        <f>HLOOKUP(Labor!$B$11,InflationTable,4)*$I185</f>
        <v>401.63681753115151</v>
      </c>
      <c r="Q185" s="296">
        <f>P185*$O$3</f>
        <v>341792.93171900994</v>
      </c>
      <c r="R185" s="297">
        <f t="shared" si="50"/>
        <v>341792.93171900994</v>
      </c>
      <c r="S185" s="211">
        <f t="shared" si="57"/>
        <v>336101.64136974659</v>
      </c>
      <c r="T185" s="393" t="s">
        <v>12</v>
      </c>
      <c r="U185" s="228" t="s">
        <v>12</v>
      </c>
    </row>
    <row r="186" spans="1:21" x14ac:dyDescent="0.25">
      <c r="A186" s="615"/>
      <c r="B186" s="1252" t="s">
        <v>351</v>
      </c>
      <c r="C186" s="21">
        <v>0</v>
      </c>
      <c r="D186" s="21">
        <v>0</v>
      </c>
      <c r="E186" s="21">
        <v>3</v>
      </c>
      <c r="F186" s="21">
        <v>2</v>
      </c>
      <c r="G186" s="21">
        <v>1</v>
      </c>
      <c r="H186" s="21">
        <v>0</v>
      </c>
      <c r="I186" s="52">
        <f t="shared" si="56"/>
        <v>6</v>
      </c>
      <c r="J186" s="263">
        <f>$I186</f>
        <v>6</v>
      </c>
      <c r="K186" s="281">
        <f>$I$159*($O$4+$O$5)</f>
        <v>3080</v>
      </c>
      <c r="L186" s="289">
        <f t="shared" si="48"/>
        <v>3080</v>
      </c>
      <c r="M186" s="1021">
        <f>$I186</f>
        <v>6</v>
      </c>
      <c r="N186" s="69">
        <f>$I$159*($O$4+$O$5)</f>
        <v>3080</v>
      </c>
      <c r="O186" s="68">
        <f t="shared" si="49"/>
        <v>3080</v>
      </c>
      <c r="P186" s="1016">
        <f>$I186</f>
        <v>6</v>
      </c>
      <c r="Q186" s="281">
        <f>$I$159*($O$4+$O$5)</f>
        <v>3080</v>
      </c>
      <c r="R186" s="289">
        <f t="shared" si="50"/>
        <v>3080</v>
      </c>
      <c r="S186" s="121">
        <f t="shared" si="57"/>
        <v>3080</v>
      </c>
      <c r="T186" s="135" t="s">
        <v>12</v>
      </c>
      <c r="U186" s="230" t="s">
        <v>12</v>
      </c>
    </row>
    <row r="187" spans="1:21" s="1" customFormat="1" ht="13.8" thickBot="1" x14ac:dyDescent="0.3">
      <c r="A187" s="616"/>
      <c r="B187" s="1253" t="s">
        <v>8</v>
      </c>
      <c r="C187" s="373">
        <f>ROUND(C186*Labor!$D$3,0)</f>
        <v>0</v>
      </c>
      <c r="D187" s="374">
        <f>ROUND(D186*Labor!$D$4,0)</f>
        <v>0</v>
      </c>
      <c r="E187" s="374">
        <f>ROUND(E186*Labor!$D$5,0)</f>
        <v>132</v>
      </c>
      <c r="F187" s="374">
        <f>ROUND(F186*Labor!$D$6,0)</f>
        <v>99</v>
      </c>
      <c r="G187" s="374">
        <f>ROUND(G186*Labor!$D$7,0)</f>
        <v>55</v>
      </c>
      <c r="H187" s="374">
        <f>ROUND(H186*Labor!$D$8,0)</f>
        <v>0</v>
      </c>
      <c r="I187" s="209">
        <f t="shared" si="56"/>
        <v>286</v>
      </c>
      <c r="J187" s="332">
        <f>HLOOKUP(Labor!$B$11,InflationTable,2)*$I187</f>
        <v>386.32932871102582</v>
      </c>
      <c r="K187" s="296">
        <f>J187*($O$4+$O$5)</f>
        <v>118989.43324299595</v>
      </c>
      <c r="L187" s="297">
        <f t="shared" si="48"/>
        <v>118989.43324299595</v>
      </c>
      <c r="M187" s="376">
        <f>HLOOKUP(Labor!$B$11,InflationTable,3)*$I187</f>
        <v>396.88100312238174</v>
      </c>
      <c r="N187" s="377">
        <f>M187*($O$4+$O$5)</f>
        <v>122239.34896169357</v>
      </c>
      <c r="O187" s="378">
        <f t="shared" si="49"/>
        <v>122239.34896169357</v>
      </c>
      <c r="P187" s="332">
        <f>HLOOKUP(Labor!$B$11,InflationTable,4)*$I187</f>
        <v>401.63681753115151</v>
      </c>
      <c r="Q187" s="296">
        <f>P187*($O$4+$O$5)</f>
        <v>123704.13979959466</v>
      </c>
      <c r="R187" s="297">
        <f t="shared" si="50"/>
        <v>123704.13979959466</v>
      </c>
      <c r="S187" s="211">
        <f t="shared" si="57"/>
        <v>121644.30733476138</v>
      </c>
      <c r="T187" s="393" t="s">
        <v>12</v>
      </c>
      <c r="U187" s="228" t="s">
        <v>12</v>
      </c>
    </row>
    <row r="188" spans="1:21" x14ac:dyDescent="0.25">
      <c r="A188" s="615"/>
      <c r="B188" s="1254" t="s">
        <v>353</v>
      </c>
      <c r="C188" s="21">
        <v>0</v>
      </c>
      <c r="D188" s="21">
        <v>0</v>
      </c>
      <c r="E188" s="21">
        <v>3</v>
      </c>
      <c r="F188" s="21">
        <v>2</v>
      </c>
      <c r="G188" s="21">
        <v>1</v>
      </c>
      <c r="H188" s="21">
        <v>0</v>
      </c>
      <c r="I188" s="52">
        <f t="shared" si="56"/>
        <v>6</v>
      </c>
      <c r="J188" s="263">
        <f>$I188</f>
        <v>6</v>
      </c>
      <c r="K188" s="281">
        <f>J188*$L$6</f>
        <v>0</v>
      </c>
      <c r="L188" s="289">
        <f t="shared" si="48"/>
        <v>0</v>
      </c>
      <c r="M188" s="1021">
        <f>$I188</f>
        <v>6</v>
      </c>
      <c r="N188" s="69">
        <f>M188*$L$6</f>
        <v>0</v>
      </c>
      <c r="O188" s="68">
        <f t="shared" si="49"/>
        <v>0</v>
      </c>
      <c r="P188" s="1016">
        <f>$I188</f>
        <v>6</v>
      </c>
      <c r="Q188" s="281">
        <f>P188*$L$6</f>
        <v>0</v>
      </c>
      <c r="R188" s="289">
        <f t="shared" si="50"/>
        <v>0</v>
      </c>
      <c r="S188" s="121">
        <f t="shared" si="57"/>
        <v>0</v>
      </c>
      <c r="T188" s="135" t="s">
        <v>12</v>
      </c>
      <c r="U188" s="230" t="s">
        <v>12</v>
      </c>
    </row>
    <row r="189" spans="1:21" s="1" customFormat="1" ht="13.8" thickBot="1" x14ac:dyDescent="0.3">
      <c r="A189" s="616"/>
      <c r="B189" s="1253" t="s">
        <v>8</v>
      </c>
      <c r="C189" s="373">
        <f>ROUND(C188*Labor!$D$3,0)</f>
        <v>0</v>
      </c>
      <c r="D189" s="374">
        <f>ROUND(D188*Labor!$D$4,0)</f>
        <v>0</v>
      </c>
      <c r="E189" s="374">
        <f>ROUND(E188*Labor!$D$5,0)</f>
        <v>132</v>
      </c>
      <c r="F189" s="374">
        <f>ROUND(F188*Labor!$D$6,0)</f>
        <v>99</v>
      </c>
      <c r="G189" s="374">
        <f>ROUND(G188*Labor!$D$7,0)</f>
        <v>55</v>
      </c>
      <c r="H189" s="374">
        <f>ROUND(H188*Labor!$D$8,0)</f>
        <v>0</v>
      </c>
      <c r="I189" s="209">
        <f t="shared" si="56"/>
        <v>286</v>
      </c>
      <c r="J189" s="332">
        <f>HLOOKUP(Labor!$B$11,InflationTable,2)*$I189</f>
        <v>386.32932871102582</v>
      </c>
      <c r="K189" s="296">
        <f>J189*$L$6</f>
        <v>0</v>
      </c>
      <c r="L189" s="297">
        <f t="shared" si="48"/>
        <v>0</v>
      </c>
      <c r="M189" s="376">
        <f>HLOOKUP(Labor!$B$11,InflationTable,3)*$I189</f>
        <v>396.88100312238174</v>
      </c>
      <c r="N189" s="377">
        <f>M189*$L$6</f>
        <v>0</v>
      </c>
      <c r="O189" s="378">
        <f t="shared" si="49"/>
        <v>0</v>
      </c>
      <c r="P189" s="332">
        <f>HLOOKUP(Labor!$B$11,InflationTable,4)*$I189</f>
        <v>401.63681753115151</v>
      </c>
      <c r="Q189" s="296">
        <f>P189*$L$6</f>
        <v>0</v>
      </c>
      <c r="R189" s="297">
        <f t="shared" si="50"/>
        <v>0</v>
      </c>
      <c r="S189" s="211">
        <f t="shared" si="57"/>
        <v>0</v>
      </c>
      <c r="T189" s="393" t="s">
        <v>12</v>
      </c>
      <c r="U189" s="228" t="s">
        <v>12</v>
      </c>
    </row>
    <row r="190" spans="1:21" x14ac:dyDescent="0.25">
      <c r="A190" s="615"/>
      <c r="B190" s="1252" t="s">
        <v>352</v>
      </c>
      <c r="C190" s="21">
        <v>0</v>
      </c>
      <c r="D190" s="21">
        <v>0</v>
      </c>
      <c r="E190" s="21">
        <v>3</v>
      </c>
      <c r="F190" s="21">
        <v>2</v>
      </c>
      <c r="G190" s="21">
        <v>1</v>
      </c>
      <c r="H190" s="21">
        <v>0</v>
      </c>
      <c r="I190" s="52">
        <f t="shared" si="56"/>
        <v>6</v>
      </c>
      <c r="J190" s="263">
        <f>$I190</f>
        <v>6</v>
      </c>
      <c r="K190" s="281">
        <f>J190*$O$6</f>
        <v>5838</v>
      </c>
      <c r="L190" s="289">
        <f t="shared" si="48"/>
        <v>5838</v>
      </c>
      <c r="M190" s="1021">
        <f>$I190</f>
        <v>6</v>
      </c>
      <c r="N190" s="69">
        <f>M190*$O$6</f>
        <v>5838</v>
      </c>
      <c r="O190" s="68">
        <f t="shared" si="49"/>
        <v>5838</v>
      </c>
      <c r="P190" s="1016">
        <f>$I190</f>
        <v>6</v>
      </c>
      <c r="Q190" s="281">
        <f>P190*$O$6</f>
        <v>5838</v>
      </c>
      <c r="R190" s="289">
        <f t="shared" si="50"/>
        <v>5838</v>
      </c>
      <c r="S190" s="121">
        <f t="shared" si="57"/>
        <v>5838</v>
      </c>
      <c r="T190" s="135" t="s">
        <v>12</v>
      </c>
      <c r="U190" s="230" t="s">
        <v>12</v>
      </c>
    </row>
    <row r="191" spans="1:21" s="1" customFormat="1" ht="13.8" thickBot="1" x14ac:dyDescent="0.3">
      <c r="A191" s="616"/>
      <c r="B191" s="1253" t="s">
        <v>8</v>
      </c>
      <c r="C191" s="373">
        <f>ROUND(C190*Labor!$D$3,0)</f>
        <v>0</v>
      </c>
      <c r="D191" s="374">
        <f>ROUND(D190*Labor!$D$4,0)</f>
        <v>0</v>
      </c>
      <c r="E191" s="374">
        <f>ROUND(E190*Labor!$D$5,0)</f>
        <v>132</v>
      </c>
      <c r="F191" s="374">
        <f>ROUND(F190*Labor!$D$6,0)</f>
        <v>99</v>
      </c>
      <c r="G191" s="374">
        <f>ROUND(G190*Labor!$D$7,0)</f>
        <v>55</v>
      </c>
      <c r="H191" s="374">
        <f>ROUND(H190*Labor!$D$8,0)</f>
        <v>0</v>
      </c>
      <c r="I191" s="209">
        <f t="shared" si="56"/>
        <v>286</v>
      </c>
      <c r="J191" s="332">
        <f>HLOOKUP(Labor!$B$11,InflationTable,2)*$I191</f>
        <v>386.32932871102582</v>
      </c>
      <c r="K191" s="296">
        <f>J191*$O$6</f>
        <v>375898.43683582812</v>
      </c>
      <c r="L191" s="297">
        <f t="shared" si="48"/>
        <v>375898.43683582812</v>
      </c>
      <c r="M191" s="376">
        <f>HLOOKUP(Labor!$B$11,InflationTable,3)*$I191</f>
        <v>396.88100312238174</v>
      </c>
      <c r="N191" s="377">
        <f>M191*$O$6</f>
        <v>386165.21603807743</v>
      </c>
      <c r="O191" s="378">
        <f t="shared" si="49"/>
        <v>386165.21603807743</v>
      </c>
      <c r="P191" s="332">
        <f>HLOOKUP(Labor!$B$11,InflationTable,4)*$I191</f>
        <v>401.63681753115151</v>
      </c>
      <c r="Q191" s="296">
        <f>P191*$O$6</f>
        <v>390792.62345781043</v>
      </c>
      <c r="R191" s="297">
        <f t="shared" si="50"/>
        <v>390792.62345781043</v>
      </c>
      <c r="S191" s="211">
        <f t="shared" si="57"/>
        <v>384285.42544390535</v>
      </c>
      <c r="T191" s="393" t="s">
        <v>12</v>
      </c>
      <c r="U191" s="228" t="s">
        <v>12</v>
      </c>
    </row>
    <row r="192" spans="1:21" x14ac:dyDescent="0.25">
      <c r="A192" s="615"/>
      <c r="B192" s="1038" t="s">
        <v>106</v>
      </c>
      <c r="C192" s="32"/>
      <c r="D192" s="431" t="s">
        <v>54</v>
      </c>
      <c r="E192" s="28">
        <v>5</v>
      </c>
      <c r="F192" s="7"/>
      <c r="G192" s="5"/>
      <c r="H192" s="5"/>
      <c r="I192" s="109" t="s">
        <v>55</v>
      </c>
      <c r="J192" s="259"/>
      <c r="K192" s="542"/>
      <c r="L192" s="543"/>
      <c r="M192" s="364" t="s">
        <v>55</v>
      </c>
      <c r="N192" s="1434" t="s">
        <v>57</v>
      </c>
      <c r="O192" s="1435"/>
      <c r="P192" s="259" t="s">
        <v>55</v>
      </c>
      <c r="Q192" s="1431" t="s">
        <v>57</v>
      </c>
      <c r="R192" s="1439"/>
      <c r="S192" s="170"/>
      <c r="T192" s="133"/>
      <c r="U192" s="227"/>
    </row>
    <row r="193" spans="1:22" x14ac:dyDescent="0.25">
      <c r="A193" s="615"/>
      <c r="B193" s="1091" t="s">
        <v>51</v>
      </c>
      <c r="C193" s="21">
        <v>0</v>
      </c>
      <c r="D193" s="21">
        <v>0</v>
      </c>
      <c r="E193" s="21">
        <v>5</v>
      </c>
      <c r="F193" s="21">
        <v>5</v>
      </c>
      <c r="G193" s="21">
        <v>5</v>
      </c>
      <c r="H193" s="21">
        <v>0</v>
      </c>
      <c r="I193" s="52">
        <f>SUM(C193:H193)</f>
        <v>15</v>
      </c>
      <c r="J193" s="263" t="s">
        <v>12</v>
      </c>
      <c r="K193" s="283">
        <f>$I193*$I$4</f>
        <v>1935</v>
      </c>
      <c r="L193" s="282">
        <f>K193/$E$192</f>
        <v>387</v>
      </c>
      <c r="M193" s="58" t="s">
        <v>12</v>
      </c>
      <c r="N193" s="60">
        <f>$I193*$I$4</f>
        <v>1935</v>
      </c>
      <c r="O193" s="59">
        <f>N193/$E$192</f>
        <v>387</v>
      </c>
      <c r="P193" s="263" t="s">
        <v>12</v>
      </c>
      <c r="Q193" s="283">
        <f>$I193*$I$4</f>
        <v>1935</v>
      </c>
      <c r="R193" s="282">
        <f>Q193/$E$192</f>
        <v>387</v>
      </c>
      <c r="S193" s="121">
        <f>AVERAGE(L193,O193,R193)</f>
        <v>387</v>
      </c>
      <c r="T193" s="118" t="s">
        <v>12</v>
      </c>
      <c r="U193" s="232" t="s">
        <v>12</v>
      </c>
    </row>
    <row r="194" spans="1:22" ht="13.8" thickBot="1" x14ac:dyDescent="0.3">
      <c r="A194" s="615"/>
      <c r="B194" s="1255" t="s">
        <v>105</v>
      </c>
      <c r="C194" s="34">
        <f>ROUND(C193*Labor!$D$3,0)</f>
        <v>0</v>
      </c>
      <c r="D194" s="35">
        <f>ROUND(D193*Labor!$D$4,0)</f>
        <v>0</v>
      </c>
      <c r="E194" s="35">
        <f>ROUND(E193*Labor!$D$5,0)</f>
        <v>221</v>
      </c>
      <c r="F194" s="35">
        <f>ROUND(F193*Labor!$D$6,0)</f>
        <v>246</v>
      </c>
      <c r="G194" s="35">
        <f>ROUND(G193*Labor!$D$7,0)</f>
        <v>277</v>
      </c>
      <c r="H194" s="35">
        <f>ROUND(H193*Labor!$D$8,0)</f>
        <v>0</v>
      </c>
      <c r="I194" s="39">
        <f>SUM(C194:H194)</f>
        <v>744</v>
      </c>
      <c r="J194" s="268">
        <f>HLOOKUP(Labor!$B$11,InflationTable,2)*I194</f>
        <v>1004.9965753881231</v>
      </c>
      <c r="K194" s="269">
        <f>J194*$I$4</f>
        <v>129644.55822506789</v>
      </c>
      <c r="L194" s="270">
        <f>K194/$E$192</f>
        <v>25928.911645013577</v>
      </c>
      <c r="M194" s="91">
        <f>HLOOKUP(Labor!$B$11,InflationTable,3)*$I194</f>
        <v>1032.4456864442377</v>
      </c>
      <c r="N194" s="63">
        <f>M194*$I$4</f>
        <v>133185.49355130666</v>
      </c>
      <c r="O194" s="64">
        <f>N194/$E$192</f>
        <v>26637.098710261333</v>
      </c>
      <c r="P194" s="292">
        <f>HLOOKUP(Labor!$B$11,InflationTable,4)*$I194</f>
        <v>1044.8174553957228</v>
      </c>
      <c r="Q194" s="269">
        <f>P194*$I$4</f>
        <v>134781.45174604826</v>
      </c>
      <c r="R194" s="270">
        <f>Q194/$E$192</f>
        <v>26956.290349209652</v>
      </c>
      <c r="S194" s="128">
        <f>AVERAGE(L194,O194,R194)</f>
        <v>26507.433568161519</v>
      </c>
      <c r="T194" s="137" t="s">
        <v>12</v>
      </c>
      <c r="U194" s="519" t="s">
        <v>12</v>
      </c>
    </row>
    <row r="195" spans="1:22" x14ac:dyDescent="0.25">
      <c r="A195" s="615"/>
      <c r="B195" s="1038" t="s">
        <v>29</v>
      </c>
      <c r="C195" s="107" t="s">
        <v>45</v>
      </c>
      <c r="D195" s="108" t="s">
        <v>46</v>
      </c>
      <c r="E195" s="107" t="s">
        <v>47</v>
      </c>
      <c r="F195" s="107" t="s">
        <v>48</v>
      </c>
      <c r="G195" s="107" t="s">
        <v>49</v>
      </c>
      <c r="H195" s="107" t="s">
        <v>50</v>
      </c>
      <c r="I195" s="109" t="s">
        <v>112</v>
      </c>
      <c r="J195" s="351"/>
      <c r="K195" s="352"/>
      <c r="L195" s="356"/>
      <c r="M195" s="110" t="s">
        <v>113</v>
      </c>
      <c r="N195" s="108" t="s">
        <v>13</v>
      </c>
      <c r="O195" s="111" t="s">
        <v>68</v>
      </c>
      <c r="P195" s="351" t="s">
        <v>113</v>
      </c>
      <c r="Q195" s="352" t="s">
        <v>13</v>
      </c>
      <c r="R195" s="356" t="s">
        <v>68</v>
      </c>
      <c r="S195" s="123"/>
      <c r="T195" s="133"/>
      <c r="U195" s="227"/>
    </row>
    <row r="196" spans="1:22" x14ac:dyDescent="0.25">
      <c r="A196" s="615"/>
      <c r="B196" s="1256" t="s">
        <v>51</v>
      </c>
      <c r="C196" s="21">
        <v>0</v>
      </c>
      <c r="D196" s="21">
        <v>0</v>
      </c>
      <c r="E196" s="21">
        <v>0</v>
      </c>
      <c r="F196" s="21">
        <v>5</v>
      </c>
      <c r="G196" s="21">
        <v>5</v>
      </c>
      <c r="H196" s="21">
        <v>5</v>
      </c>
      <c r="I196" s="52">
        <f>SUM(C196:H196)</f>
        <v>15</v>
      </c>
      <c r="J196" s="263" t="s">
        <v>12</v>
      </c>
      <c r="K196" s="314">
        <f>$I196*$I$4</f>
        <v>1935</v>
      </c>
      <c r="L196" s="289">
        <f>K196</f>
        <v>1935</v>
      </c>
      <c r="M196" s="58" t="s">
        <v>12</v>
      </c>
      <c r="N196" s="89">
        <f>$I196*$I$4</f>
        <v>1935</v>
      </c>
      <c r="O196" s="68">
        <f>N196</f>
        <v>1935</v>
      </c>
      <c r="P196" s="263" t="s">
        <v>12</v>
      </c>
      <c r="Q196" s="314">
        <f>$I196*$I$4</f>
        <v>1935</v>
      </c>
      <c r="R196" s="289">
        <f>Q196</f>
        <v>1935</v>
      </c>
      <c r="S196" s="121">
        <f>AVERAGE(L196,O196,R196)</f>
        <v>1935</v>
      </c>
      <c r="T196" s="135" t="s">
        <v>12</v>
      </c>
      <c r="U196" s="230" t="s">
        <v>12</v>
      </c>
    </row>
    <row r="197" spans="1:22" ht="13.8" thickBot="1" x14ac:dyDescent="0.3">
      <c r="A197" s="615"/>
      <c r="B197" s="1092" t="s">
        <v>107</v>
      </c>
      <c r="C197" s="34">
        <f>ROUND(C196*Labor!$D$3,0)</f>
        <v>0</v>
      </c>
      <c r="D197" s="35">
        <f>ROUND(D196*Labor!$D$4,0)</f>
        <v>0</v>
      </c>
      <c r="E197" s="35">
        <f>ROUND(E196*Labor!$D$5,0)</f>
        <v>0</v>
      </c>
      <c r="F197" s="35">
        <f>ROUND(F196*Labor!$D$6,0)</f>
        <v>246</v>
      </c>
      <c r="G197" s="35">
        <f>ROUND(G196*Labor!$D$7,0)</f>
        <v>277</v>
      </c>
      <c r="H197" s="35">
        <f>ROUND(H196*Labor!$D$8,0)</f>
        <v>293</v>
      </c>
      <c r="I197" s="39">
        <f>SUM(C197:H197)</f>
        <v>816</v>
      </c>
      <c r="J197" s="268">
        <f>HLOOKUP(Labor!$B$11,InflationTable,2)*I197</f>
        <v>1102.2543084901995</v>
      </c>
      <c r="K197" s="269">
        <f>J197*$I$4</f>
        <v>142190.80579523573</v>
      </c>
      <c r="L197" s="308">
        <f>K197/$E$192</f>
        <v>28438.161159047148</v>
      </c>
      <c r="M197" s="362">
        <f>HLOOKUP(Labor!$B$11,InflationTable,3)*$I197</f>
        <v>1132.3597851323898</v>
      </c>
      <c r="N197" s="63">
        <f>M197*$I$4</f>
        <v>146074.41228207829</v>
      </c>
      <c r="O197" s="95">
        <f>N197/$E$192</f>
        <v>29214.88245641566</v>
      </c>
      <c r="P197" s="268">
        <f>HLOOKUP(Labor!$B$11,InflationTable,4)*$I197</f>
        <v>1145.9288220469218</v>
      </c>
      <c r="Q197" s="269">
        <f>P197*$I$4</f>
        <v>147824.81804405292</v>
      </c>
      <c r="R197" s="308">
        <f>Q197/$E$192</f>
        <v>29564.963608810584</v>
      </c>
      <c r="S197" s="171">
        <f>AVERAGE(L197,O197,R197)</f>
        <v>29072.6690747578</v>
      </c>
      <c r="T197" s="137" t="s">
        <v>12</v>
      </c>
      <c r="U197" s="519" t="s">
        <v>12</v>
      </c>
    </row>
    <row r="198" spans="1:22" x14ac:dyDescent="0.25">
      <c r="A198" s="615"/>
      <c r="B198" s="605" t="s">
        <v>66</v>
      </c>
      <c r="C198" s="42">
        <f t="shared" ref="C198:I199" si="58">C157+C159+C161+C163+C166+C168+C170+C172+C175+C177+C179+C181+C184+C186+C188+C190+C193+C196</f>
        <v>0</v>
      </c>
      <c r="D198" s="42">
        <f t="shared" si="58"/>
        <v>24</v>
      </c>
      <c r="E198" s="42">
        <f t="shared" si="58"/>
        <v>60</v>
      </c>
      <c r="F198" s="42">
        <f t="shared" si="58"/>
        <v>45</v>
      </c>
      <c r="G198" s="42">
        <f t="shared" si="58"/>
        <v>27</v>
      </c>
      <c r="H198" s="42">
        <f t="shared" si="58"/>
        <v>6</v>
      </c>
      <c r="I198" s="1349">
        <f t="shared" si="58"/>
        <v>162</v>
      </c>
      <c r="J198" s="1348">
        <f t="shared" ref="J198:R198" si="59">J157+J159+J161+J163+J166+J168+J170+J172+J175+J177+J179+J181+J184+J186+J188+J190</f>
        <v>132</v>
      </c>
      <c r="K198" s="285">
        <f t="shared" si="59"/>
        <v>72512</v>
      </c>
      <c r="L198" s="312">
        <f t="shared" si="59"/>
        <v>72512</v>
      </c>
      <c r="M198" s="1350">
        <f t="shared" si="59"/>
        <v>132</v>
      </c>
      <c r="N198" s="33">
        <f t="shared" si="59"/>
        <v>72512</v>
      </c>
      <c r="O198" s="99">
        <f t="shared" si="59"/>
        <v>72512</v>
      </c>
      <c r="P198" s="1350">
        <f t="shared" si="59"/>
        <v>132</v>
      </c>
      <c r="Q198" s="33">
        <f t="shared" si="59"/>
        <v>72512</v>
      </c>
      <c r="R198" s="33">
        <f t="shared" si="59"/>
        <v>72512</v>
      </c>
      <c r="S198" s="150">
        <f>AVERAGE(L198,O198,R198)</f>
        <v>72512</v>
      </c>
      <c r="T198" s="1352" t="s">
        <v>12</v>
      </c>
      <c r="U198" s="1353" t="s">
        <v>12</v>
      </c>
    </row>
    <row r="199" spans="1:22" ht="13.8" thickBot="1" x14ac:dyDescent="0.3">
      <c r="A199" s="615"/>
      <c r="B199" s="606" t="s">
        <v>67</v>
      </c>
      <c r="C199" s="710">
        <f t="shared" si="58"/>
        <v>0</v>
      </c>
      <c r="D199" s="710">
        <f t="shared" si="58"/>
        <v>981</v>
      </c>
      <c r="E199" s="710">
        <f t="shared" si="58"/>
        <v>2649</v>
      </c>
      <c r="F199" s="710">
        <f t="shared" si="58"/>
        <v>2223</v>
      </c>
      <c r="G199" s="710">
        <f t="shared" si="58"/>
        <v>1494</v>
      </c>
      <c r="H199" s="710">
        <f t="shared" si="58"/>
        <v>352</v>
      </c>
      <c r="I199" s="1341">
        <f t="shared" si="58"/>
        <v>7699</v>
      </c>
      <c r="J199" s="1340">
        <f>J158+J160+J162+J164+J167+J169+J171+J173+J176+J178+J180+J182+J185+J187+J189+J191+J194+J197</f>
        <v>10399.823432678977</v>
      </c>
      <c r="K199" s="927">
        <f>K158+K160+K162+K164+K167+K169+K171+K173+K176+K178+K180+K182+K185+K187+K189+K191+K194+K197+K154+K153</f>
        <v>4944937.0609939089</v>
      </c>
      <c r="L199" s="1339">
        <f>L158+L160+L162+L164+L167+L169+L171+L173+L176+L178+L180+L182+L185+L187+L189+L191+L194+L197+L154+L153</f>
        <v>4513296.8210154902</v>
      </c>
      <c r="M199" s="1338">
        <f>M158+M160+M162+M164+M167+M169+M171+M173+M176+M178+M180+M182+M185+M187+M189+M191+M194+M197</f>
        <v>10683.870080556704</v>
      </c>
      <c r="N199" s="710">
        <f>N158+N160+N162+N164+N167+N169+N171+N173+N176+N178+N180+N182+N185+N187+N189+N191+N194+N197+N154+N153</f>
        <v>5079996.3536092089</v>
      </c>
      <c r="O199" s="1341">
        <f>O158+O160+O162+O164+O167+O169+O171+O173+O176+O178+O180+O182+O185+O187+O189+O191+O194+O197+O154+O153</f>
        <v>4636566.8785491874</v>
      </c>
      <c r="P199" s="1338">
        <f>P158+P160+P162+P164+P167+P169+P171+P173+P176+P178+P180+P182+P185+P187+P189+P191+P194+P197</f>
        <v>10811.894608994184</v>
      </c>
      <c r="Q199" s="710">
        <f>Q158+Q160+Q162+Q164+Q167+Q169+Q171+Q173+Q176+Q178+Q180+Q182+Q185+Q187+Q189+Q191+Q194+Q197+Q154+Q153</f>
        <v>5140869.813575604</v>
      </c>
      <c r="R199" s="1355">
        <f>R158+R160+R162+R164+R167+R169+R171+R173+R176+R178+R180+R182+R185+R187+R189+R191+R194+R197+R154+R153</f>
        <v>4692126.7350168703</v>
      </c>
      <c r="S199" s="1351">
        <f>SUM(S151:S197)</f>
        <v>4682391.0903322613</v>
      </c>
      <c r="T199" s="1206">
        <f>SUM(T151:T197)</f>
        <v>0</v>
      </c>
      <c r="U199" s="1234">
        <f>SUM(U151:U197)</f>
        <v>6439.7211949229604</v>
      </c>
    </row>
    <row r="200" spans="1:22" ht="14.4" thickTop="1" thickBot="1" x14ac:dyDescent="0.3">
      <c r="B200" s="618"/>
      <c r="C200" s="618"/>
      <c r="D200" s="618"/>
      <c r="E200" s="618"/>
      <c r="F200" s="618"/>
      <c r="G200" s="618"/>
      <c r="H200" s="618"/>
      <c r="I200" s="618"/>
      <c r="J200" s="618"/>
      <c r="K200" s="618"/>
      <c r="L200" s="618"/>
      <c r="M200" s="1208"/>
      <c r="N200" s="1208"/>
      <c r="O200" s="1208"/>
      <c r="P200" s="618"/>
      <c r="Q200" s="618"/>
      <c r="R200" s="618"/>
      <c r="S200" s="618"/>
      <c r="T200" s="618"/>
      <c r="U200" s="618"/>
      <c r="V200" s="5"/>
    </row>
    <row r="201" spans="1:22" ht="16.2" thickTop="1" x14ac:dyDescent="0.3">
      <c r="A201" s="615"/>
      <c r="B201" s="181" t="s">
        <v>30</v>
      </c>
      <c r="C201" s="5"/>
      <c r="D201" s="5"/>
      <c r="E201" s="5"/>
      <c r="F201" s="112" t="s">
        <v>6</v>
      </c>
      <c r="G201" s="1415"/>
      <c r="H201" s="1416"/>
      <c r="I201" s="1417"/>
      <c r="J201" s="181" t="s">
        <v>30</v>
      </c>
      <c r="K201" s="426"/>
      <c r="L201" s="67"/>
      <c r="M201" s="181" t="s">
        <v>30</v>
      </c>
      <c r="N201" s="426"/>
      <c r="O201" s="67"/>
      <c r="P201" s="181" t="s">
        <v>30</v>
      </c>
      <c r="Q201" s="319"/>
      <c r="R201" s="180"/>
      <c r="S201" s="225"/>
      <c r="T201" s="133"/>
      <c r="U201" s="508"/>
    </row>
    <row r="202" spans="1:22" x14ac:dyDescent="0.25">
      <c r="A202" s="615"/>
      <c r="B202" s="72"/>
      <c r="C202" s="5"/>
      <c r="D202" s="5"/>
      <c r="E202" s="5"/>
      <c r="F202" s="7"/>
      <c r="G202" s="5"/>
      <c r="H202" s="5"/>
      <c r="I202" s="45" t="s">
        <v>61</v>
      </c>
      <c r="J202" s="277" t="s">
        <v>61</v>
      </c>
      <c r="K202" s="1422" t="s">
        <v>57</v>
      </c>
      <c r="L202" s="1423"/>
      <c r="M202" s="57" t="s">
        <v>61</v>
      </c>
      <c r="N202" s="1432" t="s">
        <v>57</v>
      </c>
      <c r="O202" s="1436"/>
      <c r="P202" s="318" t="s">
        <v>61</v>
      </c>
      <c r="Q202" s="1431" t="s">
        <v>57</v>
      </c>
      <c r="R202" s="1439"/>
      <c r="S202" s="131"/>
      <c r="T202" s="133"/>
      <c r="U202" s="227"/>
    </row>
    <row r="203" spans="1:22" x14ac:dyDescent="0.25">
      <c r="A203" s="615"/>
      <c r="B203" s="611" t="s">
        <v>21</v>
      </c>
      <c r="C203" s="23" t="s">
        <v>45</v>
      </c>
      <c r="D203" s="24" t="s">
        <v>46</v>
      </c>
      <c r="E203" s="23" t="s">
        <v>47</v>
      </c>
      <c r="F203" s="23" t="s">
        <v>48</v>
      </c>
      <c r="G203" s="23" t="s">
        <v>49</v>
      </c>
      <c r="H203" s="23" t="s">
        <v>50</v>
      </c>
      <c r="I203" s="45" t="s">
        <v>13</v>
      </c>
      <c r="J203" s="260" t="s">
        <v>56</v>
      </c>
      <c r="K203" s="261" t="s">
        <v>13</v>
      </c>
      <c r="L203" s="262" t="s">
        <v>68</v>
      </c>
      <c r="M203" s="77" t="s">
        <v>56</v>
      </c>
      <c r="N203" s="24" t="s">
        <v>13</v>
      </c>
      <c r="O203" s="38" t="s">
        <v>68</v>
      </c>
      <c r="P203" s="260" t="s">
        <v>56</v>
      </c>
      <c r="Q203" s="261" t="s">
        <v>13</v>
      </c>
      <c r="R203" s="262" t="s">
        <v>68</v>
      </c>
      <c r="S203" s="123"/>
      <c r="T203" s="198"/>
      <c r="U203" s="517"/>
    </row>
    <row r="204" spans="1:22" x14ac:dyDescent="0.25">
      <c r="A204" s="615"/>
      <c r="B204" s="1251" t="s">
        <v>339</v>
      </c>
      <c r="C204" s="21">
        <v>0</v>
      </c>
      <c r="D204" s="21">
        <v>6</v>
      </c>
      <c r="E204" s="21">
        <v>3</v>
      </c>
      <c r="F204" s="21">
        <v>3</v>
      </c>
      <c r="G204" s="21">
        <v>0</v>
      </c>
      <c r="H204" s="21">
        <v>0</v>
      </c>
      <c r="I204" s="52">
        <f t="shared" ref="I204:I213" si="60">SUM(C204:H204)</f>
        <v>12</v>
      </c>
      <c r="J204" s="263" t="s">
        <v>12</v>
      </c>
      <c r="K204" s="281">
        <f>$I204*$O$3</f>
        <v>10212</v>
      </c>
      <c r="L204" s="289">
        <f t="shared" ref="L204:L213" si="61">K204</f>
        <v>10212</v>
      </c>
      <c r="M204" s="58" t="s">
        <v>12</v>
      </c>
      <c r="N204" s="69">
        <f>$I204*$O$3</f>
        <v>10212</v>
      </c>
      <c r="O204" s="68">
        <f t="shared" ref="O204:O213" si="62">N204</f>
        <v>10212</v>
      </c>
      <c r="P204" s="263" t="s">
        <v>12</v>
      </c>
      <c r="Q204" s="281">
        <f>$I204*$O$3</f>
        <v>10212</v>
      </c>
      <c r="R204" s="289">
        <f t="shared" ref="R204:R213" si="63">Q204</f>
        <v>10212</v>
      </c>
      <c r="S204" s="173">
        <f t="shared" ref="S204:S213" si="64">AVERAGE(L204,O204,R204)</f>
        <v>10212</v>
      </c>
      <c r="T204" s="135" t="s">
        <v>12</v>
      </c>
      <c r="U204" s="230" t="s">
        <v>12</v>
      </c>
    </row>
    <row r="205" spans="1:22" s="1" customFormat="1" ht="13.8" thickBot="1" x14ac:dyDescent="0.3">
      <c r="A205" s="616"/>
      <c r="B205" s="1049" t="s">
        <v>8</v>
      </c>
      <c r="C205" s="373">
        <f>ROUND(C204*Labor!$D$3,0)</f>
        <v>0</v>
      </c>
      <c r="D205" s="374">
        <f>ROUND(D204*Labor!$D$4,0)</f>
        <v>245</v>
      </c>
      <c r="E205" s="374">
        <f>ROUND(E204*Labor!$D$5,0)</f>
        <v>132</v>
      </c>
      <c r="F205" s="374">
        <f>ROUND(F204*Labor!$D$6,0)</f>
        <v>148</v>
      </c>
      <c r="G205" s="374">
        <f>ROUND(G204*Labor!$D$7,0)</f>
        <v>0</v>
      </c>
      <c r="H205" s="374">
        <f>ROUND(H204*Labor!$D$8,0)</f>
        <v>0</v>
      </c>
      <c r="I205" s="209">
        <f t="shared" si="60"/>
        <v>525</v>
      </c>
      <c r="J205" s="332">
        <f>HLOOKUP(Labor!$B$11,InflationTable,2)*$I205</f>
        <v>709.17097053597399</v>
      </c>
      <c r="K205" s="384">
        <f>J205*$O$3</f>
        <v>603504.49592611392</v>
      </c>
      <c r="L205" s="297">
        <f t="shared" si="61"/>
        <v>603504.49592611392</v>
      </c>
      <c r="M205" s="376">
        <f>HLOOKUP(Labor!$B$11,InflationTable,3)*$I205</f>
        <v>728.54030293444202</v>
      </c>
      <c r="N205" s="387">
        <f>M205*$O$3</f>
        <v>619987.79779721017</v>
      </c>
      <c r="O205" s="378">
        <f t="shared" si="62"/>
        <v>619987.79779721017</v>
      </c>
      <c r="P205" s="332">
        <f>HLOOKUP(Labor!$B$11,InflationTable,4)*$I205</f>
        <v>737.27038183165928</v>
      </c>
      <c r="Q205" s="384">
        <f>P205*$O$3</f>
        <v>627417.094938742</v>
      </c>
      <c r="R205" s="297">
        <f t="shared" si="63"/>
        <v>627417.094938742</v>
      </c>
      <c r="S205" s="450">
        <f t="shared" si="64"/>
        <v>616969.79622068873</v>
      </c>
      <c r="T205" s="393" t="s">
        <v>12</v>
      </c>
      <c r="U205" s="228" t="s">
        <v>12</v>
      </c>
    </row>
    <row r="206" spans="1:22" x14ac:dyDescent="0.25">
      <c r="A206" s="615"/>
      <c r="B206" s="1048" t="s">
        <v>338</v>
      </c>
      <c r="C206" s="21">
        <v>0</v>
      </c>
      <c r="D206" s="21">
        <v>6</v>
      </c>
      <c r="E206" s="21">
        <v>3</v>
      </c>
      <c r="F206" s="21">
        <v>3</v>
      </c>
      <c r="G206" s="21">
        <v>0</v>
      </c>
      <c r="H206" s="21">
        <v>0</v>
      </c>
      <c r="I206" s="52">
        <f t="shared" si="60"/>
        <v>12</v>
      </c>
      <c r="J206" s="263" t="s">
        <v>12</v>
      </c>
      <c r="K206" s="281">
        <f>$I206*$O$4</f>
        <v>1728</v>
      </c>
      <c r="L206" s="289">
        <f t="shared" si="61"/>
        <v>1728</v>
      </c>
      <c r="M206" s="58" t="s">
        <v>12</v>
      </c>
      <c r="N206" s="69">
        <f>$I206*$O$4</f>
        <v>1728</v>
      </c>
      <c r="O206" s="68">
        <f t="shared" si="62"/>
        <v>1728</v>
      </c>
      <c r="P206" s="263" t="s">
        <v>12</v>
      </c>
      <c r="Q206" s="281">
        <f>$I206*$O$4</f>
        <v>1728</v>
      </c>
      <c r="R206" s="289">
        <f t="shared" si="63"/>
        <v>1728</v>
      </c>
      <c r="S206" s="173">
        <f t="shared" si="64"/>
        <v>1728</v>
      </c>
      <c r="T206" s="135" t="s">
        <v>12</v>
      </c>
      <c r="U206" s="230" t="s">
        <v>12</v>
      </c>
    </row>
    <row r="207" spans="1:22" s="1" customFormat="1" ht="13.8" thickBot="1" x14ac:dyDescent="0.3">
      <c r="A207" s="616"/>
      <c r="B207" s="1049" t="s">
        <v>8</v>
      </c>
      <c r="C207" s="373">
        <f>ROUND(C206*Labor!$D$3,0)</f>
        <v>0</v>
      </c>
      <c r="D207" s="374">
        <f>ROUND(D206*Labor!$D$4,0)</f>
        <v>245</v>
      </c>
      <c r="E207" s="374">
        <f>ROUND(E206*Labor!$D$5,0)</f>
        <v>132</v>
      </c>
      <c r="F207" s="374">
        <f>ROUND(F206*Labor!$D$6,0)</f>
        <v>148</v>
      </c>
      <c r="G207" s="374">
        <f>ROUND(G206*Labor!$D$7,0)</f>
        <v>0</v>
      </c>
      <c r="H207" s="374">
        <f>ROUND(H206*Labor!$D$8,0)</f>
        <v>0</v>
      </c>
      <c r="I207" s="209">
        <f t="shared" si="60"/>
        <v>525</v>
      </c>
      <c r="J207" s="332">
        <f>HLOOKUP(Labor!$B$11,InflationTable,2)*$I207</f>
        <v>709.17097053597399</v>
      </c>
      <c r="K207" s="296">
        <f>J207*$O$4</f>
        <v>102120.61975718025</v>
      </c>
      <c r="L207" s="297">
        <f t="shared" si="61"/>
        <v>102120.61975718025</v>
      </c>
      <c r="M207" s="376">
        <f>HLOOKUP(Labor!$B$11,InflationTable,3)*$I207</f>
        <v>728.54030293444202</v>
      </c>
      <c r="N207" s="377">
        <f>M207*$O$4</f>
        <v>104909.80362255964</v>
      </c>
      <c r="O207" s="378">
        <f t="shared" si="62"/>
        <v>104909.80362255964</v>
      </c>
      <c r="P207" s="332">
        <f>HLOOKUP(Labor!$B$11,InflationTable,4)*$I207</f>
        <v>737.27038183165928</v>
      </c>
      <c r="Q207" s="296">
        <f>P207*$O$4</f>
        <v>106166.93498375894</v>
      </c>
      <c r="R207" s="297">
        <f t="shared" si="63"/>
        <v>106166.93498375894</v>
      </c>
      <c r="S207" s="450">
        <f t="shared" si="64"/>
        <v>104399.11945449961</v>
      </c>
      <c r="T207" s="393" t="s">
        <v>12</v>
      </c>
      <c r="U207" s="228" t="s">
        <v>12</v>
      </c>
    </row>
    <row r="208" spans="1:22" x14ac:dyDescent="0.25">
      <c r="A208" s="615"/>
      <c r="B208" s="1048" t="s">
        <v>340</v>
      </c>
      <c r="C208" s="21">
        <v>0</v>
      </c>
      <c r="D208" s="21">
        <v>6</v>
      </c>
      <c r="E208" s="21">
        <v>3</v>
      </c>
      <c r="F208" s="21">
        <v>3</v>
      </c>
      <c r="G208" s="21">
        <v>0</v>
      </c>
      <c r="H208" s="21">
        <v>0</v>
      </c>
      <c r="I208" s="52">
        <f t="shared" si="60"/>
        <v>12</v>
      </c>
      <c r="J208" s="263" t="s">
        <v>12</v>
      </c>
      <c r="K208" s="281">
        <f>$I208*$L$6</f>
        <v>0</v>
      </c>
      <c r="L208" s="289">
        <f t="shared" si="61"/>
        <v>0</v>
      </c>
      <c r="M208" s="58" t="s">
        <v>12</v>
      </c>
      <c r="N208" s="69">
        <f>$I208*$L$6</f>
        <v>0</v>
      </c>
      <c r="O208" s="68">
        <f t="shared" si="62"/>
        <v>0</v>
      </c>
      <c r="P208" s="263" t="s">
        <v>12</v>
      </c>
      <c r="Q208" s="281">
        <f>$I208*$L$6</f>
        <v>0</v>
      </c>
      <c r="R208" s="289">
        <f t="shared" si="63"/>
        <v>0</v>
      </c>
      <c r="S208" s="173">
        <f t="shared" si="64"/>
        <v>0</v>
      </c>
      <c r="T208" s="135" t="s">
        <v>12</v>
      </c>
      <c r="U208" s="230" t="s">
        <v>12</v>
      </c>
    </row>
    <row r="209" spans="1:21" s="1" customFormat="1" ht="13.8" thickBot="1" x14ac:dyDescent="0.3">
      <c r="A209" s="616"/>
      <c r="B209" s="1049" t="s">
        <v>8</v>
      </c>
      <c r="C209" s="373">
        <f>ROUND(C208*Labor!$D$3,0)</f>
        <v>0</v>
      </c>
      <c r="D209" s="374">
        <f>ROUND(D208*Labor!$D$4,0)</f>
        <v>245</v>
      </c>
      <c r="E209" s="374">
        <f>ROUND(E208*Labor!$D$5,0)</f>
        <v>132</v>
      </c>
      <c r="F209" s="374">
        <f>ROUND(F208*Labor!$D$6,0)</f>
        <v>148</v>
      </c>
      <c r="G209" s="374">
        <f>ROUND(G208*Labor!$D$7,0)</f>
        <v>0</v>
      </c>
      <c r="H209" s="374">
        <f>ROUND(H208*Labor!$D$8,0)</f>
        <v>0</v>
      </c>
      <c r="I209" s="209">
        <f t="shared" si="60"/>
        <v>525</v>
      </c>
      <c r="J209" s="332">
        <f>HLOOKUP(Labor!$B$11,InflationTable,2)*$I209</f>
        <v>709.17097053597399</v>
      </c>
      <c r="K209" s="296">
        <f>J209*$L$6</f>
        <v>0</v>
      </c>
      <c r="L209" s="297">
        <f t="shared" si="61"/>
        <v>0</v>
      </c>
      <c r="M209" s="376">
        <f>HLOOKUP(Labor!$B$11,InflationTable,3)*$I209</f>
        <v>728.54030293444202</v>
      </c>
      <c r="N209" s="377">
        <f>M209*$L$6</f>
        <v>0</v>
      </c>
      <c r="O209" s="378">
        <f t="shared" si="62"/>
        <v>0</v>
      </c>
      <c r="P209" s="332">
        <f>HLOOKUP(Labor!$B$11,InflationTable,4)*$I209</f>
        <v>737.27038183165928</v>
      </c>
      <c r="Q209" s="296">
        <f>P209*$L$6</f>
        <v>0</v>
      </c>
      <c r="R209" s="297">
        <f t="shared" si="63"/>
        <v>0</v>
      </c>
      <c r="S209" s="450">
        <f t="shared" si="64"/>
        <v>0</v>
      </c>
      <c r="T209" s="393" t="s">
        <v>12</v>
      </c>
      <c r="U209" s="228" t="s">
        <v>12</v>
      </c>
    </row>
    <row r="210" spans="1:21" x14ac:dyDescent="0.25">
      <c r="A210" s="615"/>
      <c r="B210" s="1048" t="s">
        <v>342</v>
      </c>
      <c r="C210" s="21">
        <v>0</v>
      </c>
      <c r="D210" s="21">
        <v>0</v>
      </c>
      <c r="E210" s="21">
        <v>0</v>
      </c>
      <c r="F210" s="21">
        <v>12</v>
      </c>
      <c r="G210" s="21">
        <v>24</v>
      </c>
      <c r="H210" s="21">
        <v>0</v>
      </c>
      <c r="I210" s="52">
        <f t="shared" si="60"/>
        <v>36</v>
      </c>
      <c r="J210" s="263" t="s">
        <v>12</v>
      </c>
      <c r="K210" s="281">
        <f>$I210*$O$6</f>
        <v>35028</v>
      </c>
      <c r="L210" s="289">
        <f t="shared" si="61"/>
        <v>35028</v>
      </c>
      <c r="M210" s="58" t="s">
        <v>12</v>
      </c>
      <c r="N210" s="69">
        <f>$I210*$O$6</f>
        <v>35028</v>
      </c>
      <c r="O210" s="68">
        <f t="shared" si="62"/>
        <v>35028</v>
      </c>
      <c r="P210" s="263" t="s">
        <v>12</v>
      </c>
      <c r="Q210" s="281">
        <f>$I210*$O$6</f>
        <v>35028</v>
      </c>
      <c r="R210" s="289">
        <f t="shared" si="63"/>
        <v>35028</v>
      </c>
      <c r="S210" s="173">
        <f t="shared" si="64"/>
        <v>35028</v>
      </c>
      <c r="T210" s="135" t="s">
        <v>12</v>
      </c>
      <c r="U210" s="230" t="s">
        <v>12</v>
      </c>
    </row>
    <row r="211" spans="1:21" s="1" customFormat="1" ht="13.8" thickBot="1" x14ac:dyDescent="0.3">
      <c r="A211" s="616"/>
      <c r="B211" s="1049" t="s">
        <v>8</v>
      </c>
      <c r="C211" s="373">
        <f>ROUND(C210*Labor!$D$3,0)</f>
        <v>0</v>
      </c>
      <c r="D211" s="374">
        <f>ROUND(D210*Labor!$D$4,0)</f>
        <v>0</v>
      </c>
      <c r="E211" s="374">
        <f>ROUND(E210*Labor!$D$5,0)</f>
        <v>0</v>
      </c>
      <c r="F211" s="374">
        <f>ROUND(F210*Labor!$D$6,0)</f>
        <v>591</v>
      </c>
      <c r="G211" s="374">
        <f>ROUND(G210*Labor!$D$7,0)</f>
        <v>1331</v>
      </c>
      <c r="H211" s="374">
        <f>ROUND(H210*Labor!$D$8,0)</f>
        <v>0</v>
      </c>
      <c r="I211" s="209">
        <f t="shared" si="60"/>
        <v>1922</v>
      </c>
      <c r="J211" s="332">
        <f>HLOOKUP(Labor!$B$11,InflationTable,2)*$I211</f>
        <v>2596.2411530859849</v>
      </c>
      <c r="K211" s="296">
        <f>J211*$O$6</f>
        <v>2526142.6419526632</v>
      </c>
      <c r="L211" s="297">
        <f t="shared" si="61"/>
        <v>2526142.6419526632</v>
      </c>
      <c r="M211" s="376">
        <f>HLOOKUP(Labor!$B$11,InflationTable,3)*$I211</f>
        <v>2667.1513566476142</v>
      </c>
      <c r="N211" s="377">
        <f>M211*$O$6</f>
        <v>2595138.2700181287</v>
      </c>
      <c r="O211" s="378">
        <f t="shared" si="62"/>
        <v>2595138.2700181287</v>
      </c>
      <c r="P211" s="332">
        <f>HLOOKUP(Labor!$B$11,InflationTable,4)*$I211</f>
        <v>2699.1117597722841</v>
      </c>
      <c r="Q211" s="296">
        <f>P211*$O$6</f>
        <v>2626235.7422584323</v>
      </c>
      <c r="R211" s="297">
        <f t="shared" si="63"/>
        <v>2626235.7422584323</v>
      </c>
      <c r="S211" s="450">
        <f t="shared" si="64"/>
        <v>2582505.5514097414</v>
      </c>
      <c r="T211" s="393" t="s">
        <v>12</v>
      </c>
      <c r="U211" s="228" t="s">
        <v>12</v>
      </c>
    </row>
    <row r="212" spans="1:21" x14ac:dyDescent="0.25">
      <c r="A212" s="615"/>
      <c r="B212" s="1048" t="s">
        <v>341</v>
      </c>
      <c r="C212" s="21">
        <v>0</v>
      </c>
      <c r="D212" s="21">
        <v>0</v>
      </c>
      <c r="E212" s="21">
        <v>0</v>
      </c>
      <c r="F212" s="21">
        <v>7</v>
      </c>
      <c r="G212" s="21">
        <v>7</v>
      </c>
      <c r="H212" s="21">
        <v>0</v>
      </c>
      <c r="I212" s="52">
        <f t="shared" si="60"/>
        <v>14</v>
      </c>
      <c r="J212" s="263" t="s">
        <v>12</v>
      </c>
      <c r="K212" s="281">
        <f>$I212*$O$7</f>
        <v>2772</v>
      </c>
      <c r="L212" s="289">
        <f t="shared" si="61"/>
        <v>2772</v>
      </c>
      <c r="M212" s="58" t="s">
        <v>12</v>
      </c>
      <c r="N212" s="69">
        <f>$I212*$O$7</f>
        <v>2772</v>
      </c>
      <c r="O212" s="68">
        <f t="shared" si="62"/>
        <v>2772</v>
      </c>
      <c r="P212" s="263" t="s">
        <v>12</v>
      </c>
      <c r="Q212" s="281">
        <f>$I212*$O$7</f>
        <v>2772</v>
      </c>
      <c r="R212" s="289">
        <f t="shared" si="63"/>
        <v>2772</v>
      </c>
      <c r="S212" s="173">
        <f t="shared" si="64"/>
        <v>2772</v>
      </c>
      <c r="T212" s="135" t="s">
        <v>12</v>
      </c>
      <c r="U212" s="230" t="s">
        <v>12</v>
      </c>
    </row>
    <row r="213" spans="1:21" s="1" customFormat="1" ht="13.8" thickBot="1" x14ac:dyDescent="0.3">
      <c r="A213" s="616"/>
      <c r="B213" s="1049" t="s">
        <v>8</v>
      </c>
      <c r="C213" s="373">
        <f>ROUND(C212*Labor!$D$3,0)</f>
        <v>0</v>
      </c>
      <c r="D213" s="374">
        <f>ROUND(D212*Labor!$D$4,0)</f>
        <v>0</v>
      </c>
      <c r="E213" s="374">
        <f>ROUND(E212*Labor!$D$5,0)</f>
        <v>0</v>
      </c>
      <c r="F213" s="374">
        <f>ROUND(F212*Labor!$D$6,0)</f>
        <v>345</v>
      </c>
      <c r="G213" s="374">
        <f>ROUND(G212*Labor!$D$7,0)</f>
        <v>388</v>
      </c>
      <c r="H213" s="374">
        <f>ROUND(H212*Labor!$D$8,0)</f>
        <v>0</v>
      </c>
      <c r="I213" s="209">
        <f t="shared" si="60"/>
        <v>733</v>
      </c>
      <c r="J213" s="332">
        <f>HLOOKUP(Labor!$B$11,InflationTable,2)*$I213</f>
        <v>990.13775505308365</v>
      </c>
      <c r="K213" s="296">
        <f>J213*$O$7</f>
        <v>196047.27550051056</v>
      </c>
      <c r="L213" s="297">
        <f t="shared" si="61"/>
        <v>196047.27550051056</v>
      </c>
      <c r="M213" s="376">
        <f>HLOOKUP(Labor!$B$11,InflationTable,3)*$I213</f>
        <v>1017.1810324779923</v>
      </c>
      <c r="N213" s="377">
        <f>M213*$O$7</f>
        <v>201401.84443064246</v>
      </c>
      <c r="O213" s="378">
        <f t="shared" si="62"/>
        <v>201401.84443064246</v>
      </c>
      <c r="P213" s="332">
        <f>HLOOKUP(Labor!$B$11,InflationTable,4)*$I213</f>
        <v>1029.3698854906786</v>
      </c>
      <c r="Q213" s="296">
        <f>P213*$O$7</f>
        <v>203815.23732715438</v>
      </c>
      <c r="R213" s="297">
        <f t="shared" si="63"/>
        <v>203815.23732715438</v>
      </c>
      <c r="S213" s="450">
        <f t="shared" si="64"/>
        <v>200421.45241943581</v>
      </c>
      <c r="T213" s="393" t="s">
        <v>12</v>
      </c>
      <c r="U213" s="228" t="s">
        <v>12</v>
      </c>
    </row>
    <row r="214" spans="1:21" x14ac:dyDescent="0.25">
      <c r="A214" s="615"/>
      <c r="B214" s="112" t="s">
        <v>219</v>
      </c>
      <c r="C214" s="1139"/>
      <c r="D214" s="1149"/>
      <c r="E214" s="1149"/>
      <c r="F214" s="1149"/>
      <c r="G214" s="1149"/>
      <c r="H214" s="1149"/>
      <c r="I214" s="1150"/>
      <c r="J214" s="1146"/>
      <c r="K214" s="1141"/>
      <c r="L214" s="1142"/>
      <c r="M214" s="1143"/>
      <c r="N214" s="1144"/>
      <c r="O214" s="1145"/>
      <c r="P214" s="1146"/>
      <c r="Q214" s="327"/>
      <c r="R214" s="1142"/>
      <c r="S214" s="1354"/>
      <c r="T214" s="655"/>
      <c r="U214" s="1235"/>
    </row>
    <row r="215" spans="1:21" x14ac:dyDescent="0.25">
      <c r="A215" s="615"/>
      <c r="B215" s="1249" t="s">
        <v>343</v>
      </c>
      <c r="C215" s="346">
        <v>0</v>
      </c>
      <c r="D215" s="346">
        <v>0</v>
      </c>
      <c r="E215" s="346">
        <v>5</v>
      </c>
      <c r="F215" s="346">
        <v>5</v>
      </c>
      <c r="G215" s="346">
        <v>10</v>
      </c>
      <c r="H215" s="346">
        <v>10</v>
      </c>
      <c r="I215" s="347">
        <f t="shared" ref="I215:I224" si="65">SUM(C215:H215)</f>
        <v>30</v>
      </c>
      <c r="J215" s="293" t="s">
        <v>12</v>
      </c>
      <c r="K215" s="1202">
        <f>$I215*$O$3</f>
        <v>25530</v>
      </c>
      <c r="L215" s="328">
        <f t="shared" ref="L215:L224" si="66">K215</f>
        <v>25530</v>
      </c>
      <c r="M215" s="61" t="s">
        <v>12</v>
      </c>
      <c r="N215" s="1205">
        <f>$I215*$O$3</f>
        <v>25530</v>
      </c>
      <c r="O215" s="349">
        <f t="shared" ref="O215:O224" si="67">N215</f>
        <v>25530</v>
      </c>
      <c r="P215" s="293" t="s">
        <v>12</v>
      </c>
      <c r="Q215" s="1202">
        <f>$I215*$O$3</f>
        <v>25530</v>
      </c>
      <c r="R215" s="328">
        <f t="shared" ref="R215:R224" si="68">Q215</f>
        <v>25530</v>
      </c>
      <c r="S215" s="669">
        <f t="shared" ref="S215:S226" si="69">AVERAGE(L215,O215,R215)</f>
        <v>25530</v>
      </c>
      <c r="T215" s="135" t="s">
        <v>12</v>
      </c>
      <c r="U215" s="232" t="s">
        <v>12</v>
      </c>
    </row>
    <row r="216" spans="1:21" ht="13.8" thickBot="1" x14ac:dyDescent="0.3">
      <c r="A216" s="615"/>
      <c r="B216" s="1250" t="s">
        <v>8</v>
      </c>
      <c r="C216" s="34">
        <f>ROUND(C215*Labor!$D$3,0)</f>
        <v>0</v>
      </c>
      <c r="D216" s="35">
        <f>ROUND(D215*Labor!$D$4,0)</f>
        <v>0</v>
      </c>
      <c r="E216" s="35">
        <f>ROUND(E215*Labor!$D$5,0)</f>
        <v>221</v>
      </c>
      <c r="F216" s="35">
        <f>ROUND(F215*Labor!$D$6,0)</f>
        <v>246</v>
      </c>
      <c r="G216" s="35">
        <f>ROUND(G215*Labor!$D$7,0)</f>
        <v>555</v>
      </c>
      <c r="H216" s="35">
        <f>ROUND(H215*Labor!$D$8,0)</f>
        <v>586</v>
      </c>
      <c r="I216" s="39">
        <f t="shared" si="65"/>
        <v>1608</v>
      </c>
      <c r="J216" s="292">
        <f>HLOOKUP(Labor!$B$11,InflationTable,2)*I216</f>
        <v>2172.0893726130403</v>
      </c>
      <c r="K216" s="355">
        <f>J216*$O$3</f>
        <v>1848448.0560936972</v>
      </c>
      <c r="L216" s="308">
        <f t="shared" si="66"/>
        <v>1848448.0560936972</v>
      </c>
      <c r="M216" s="84">
        <f>HLOOKUP(Labor!$B$11,InflationTable,3)*$I216</f>
        <v>2231.4148707020622</v>
      </c>
      <c r="N216" s="357">
        <f>M216*$O$3</f>
        <v>1898934.0549674549</v>
      </c>
      <c r="O216" s="95">
        <f t="shared" si="67"/>
        <v>1898934.0549674549</v>
      </c>
      <c r="P216" s="292">
        <f>HLOOKUP(Labor!$B$11,InflationTable,4)*$I216</f>
        <v>2258.1538552101106</v>
      </c>
      <c r="Q216" s="778">
        <f>P216*$O$3</f>
        <v>1921688.930783804</v>
      </c>
      <c r="R216" s="300">
        <f t="shared" si="68"/>
        <v>1921688.930783804</v>
      </c>
      <c r="S216" s="128">
        <f t="shared" si="69"/>
        <v>1889690.3472816523</v>
      </c>
      <c r="T216" s="137" t="s">
        <v>12</v>
      </c>
      <c r="U216" s="519" t="s">
        <v>12</v>
      </c>
    </row>
    <row r="217" spans="1:21" x14ac:dyDescent="0.25">
      <c r="A217" s="615"/>
      <c r="B217" s="1249" t="s">
        <v>344</v>
      </c>
      <c r="C217" s="346">
        <v>0</v>
      </c>
      <c r="D217" s="346">
        <v>0</v>
      </c>
      <c r="E217" s="346">
        <v>5</v>
      </c>
      <c r="F217" s="346">
        <v>5</v>
      </c>
      <c r="G217" s="346">
        <v>10</v>
      </c>
      <c r="H217" s="346">
        <v>10</v>
      </c>
      <c r="I217" s="347">
        <f t="shared" si="65"/>
        <v>30</v>
      </c>
      <c r="J217" s="293" t="s">
        <v>12</v>
      </c>
      <c r="K217" s="327">
        <f>$I217*$O$4</f>
        <v>4320</v>
      </c>
      <c r="L217" s="328">
        <f t="shared" si="66"/>
        <v>4320</v>
      </c>
      <c r="M217" s="61" t="s">
        <v>12</v>
      </c>
      <c r="N217" s="348">
        <f>$I217*$O$4</f>
        <v>4320</v>
      </c>
      <c r="O217" s="349">
        <f t="shared" si="67"/>
        <v>4320</v>
      </c>
      <c r="P217" s="293" t="s">
        <v>12</v>
      </c>
      <c r="Q217" s="327">
        <f>$I217*$O$4</f>
        <v>4320</v>
      </c>
      <c r="R217" s="328">
        <f t="shared" si="68"/>
        <v>4320</v>
      </c>
      <c r="S217" s="173">
        <f t="shared" si="69"/>
        <v>4320</v>
      </c>
      <c r="T217" s="135" t="s">
        <v>12</v>
      </c>
      <c r="U217" s="230" t="s">
        <v>12</v>
      </c>
    </row>
    <row r="218" spans="1:21" ht="13.8" thickBot="1" x14ac:dyDescent="0.3">
      <c r="A218" s="615"/>
      <c r="B218" s="1250" t="s">
        <v>8</v>
      </c>
      <c r="C218" s="34">
        <f>ROUND(C217*Labor!$D$3,0)</f>
        <v>0</v>
      </c>
      <c r="D218" s="35">
        <f>ROUND(D217*Labor!$D$4,0)</f>
        <v>0</v>
      </c>
      <c r="E218" s="35">
        <f>ROUND(E217*Labor!$D$5,0)</f>
        <v>221</v>
      </c>
      <c r="F218" s="35">
        <f>ROUND(F217*Labor!$D$6,0)</f>
        <v>246</v>
      </c>
      <c r="G218" s="35">
        <f>ROUND(G217*Labor!$D$7,0)</f>
        <v>555</v>
      </c>
      <c r="H218" s="35">
        <f>ROUND(H217*Labor!$D$8,0)</f>
        <v>586</v>
      </c>
      <c r="I218" s="39">
        <f t="shared" si="65"/>
        <v>1608</v>
      </c>
      <c r="J218" s="268">
        <f>HLOOKUP(Labor!$B$11,InflationTable,2)*I218</f>
        <v>2172.0893726130403</v>
      </c>
      <c r="K218" s="269">
        <f>J218*$O$4</f>
        <v>312780.86965627782</v>
      </c>
      <c r="L218" s="308">
        <f t="shared" si="66"/>
        <v>312780.86965627782</v>
      </c>
      <c r="M218" s="84">
        <f>HLOOKUP(Labor!$B$11,InflationTable,3)*$I218</f>
        <v>2231.4148707020622</v>
      </c>
      <c r="N218" s="63">
        <f>M218*$O$4</f>
        <v>321323.74138109694</v>
      </c>
      <c r="O218" s="64">
        <f t="shared" si="67"/>
        <v>321323.74138109694</v>
      </c>
      <c r="P218" s="292">
        <f>HLOOKUP(Labor!$B$11,InflationTable,4)*$I218</f>
        <v>2258.1538552101106</v>
      </c>
      <c r="Q218" s="269">
        <f>P218*$O$4</f>
        <v>325174.15515025595</v>
      </c>
      <c r="R218" s="270">
        <f t="shared" si="68"/>
        <v>325174.15515025595</v>
      </c>
      <c r="S218" s="128">
        <f t="shared" si="69"/>
        <v>319759.5887292102</v>
      </c>
      <c r="T218" s="137" t="s">
        <v>12</v>
      </c>
      <c r="U218" s="519" t="s">
        <v>12</v>
      </c>
    </row>
    <row r="219" spans="1:21" x14ac:dyDescent="0.25">
      <c r="A219" s="615"/>
      <c r="B219" s="1249" t="s">
        <v>345</v>
      </c>
      <c r="C219" s="346">
        <v>0</v>
      </c>
      <c r="D219" s="346">
        <v>0</v>
      </c>
      <c r="E219" s="346">
        <v>0</v>
      </c>
      <c r="F219" s="346">
        <v>5</v>
      </c>
      <c r="G219" s="346">
        <v>2</v>
      </c>
      <c r="H219" s="346">
        <v>2</v>
      </c>
      <c r="I219" s="347">
        <f t="shared" si="65"/>
        <v>9</v>
      </c>
      <c r="J219" s="293" t="s">
        <v>12</v>
      </c>
      <c r="K219" s="327">
        <f>$I219*$L$6</f>
        <v>0</v>
      </c>
      <c r="L219" s="328">
        <f t="shared" si="66"/>
        <v>0</v>
      </c>
      <c r="M219" s="61" t="s">
        <v>12</v>
      </c>
      <c r="N219" s="348">
        <f>$I219*$L$6</f>
        <v>0</v>
      </c>
      <c r="O219" s="349">
        <f t="shared" si="67"/>
        <v>0</v>
      </c>
      <c r="P219" s="293" t="s">
        <v>12</v>
      </c>
      <c r="Q219" s="327">
        <f>$I219*$L$6</f>
        <v>0</v>
      </c>
      <c r="R219" s="328">
        <f t="shared" si="68"/>
        <v>0</v>
      </c>
      <c r="S219" s="173">
        <f t="shared" ref="S219:S224" si="70">AVERAGE(L219,O219,R219)</f>
        <v>0</v>
      </c>
      <c r="T219" s="135" t="s">
        <v>12</v>
      </c>
      <c r="U219" s="230" t="s">
        <v>12</v>
      </c>
    </row>
    <row r="220" spans="1:21" ht="13.8" thickBot="1" x14ac:dyDescent="0.3">
      <c r="A220" s="615"/>
      <c r="B220" s="1250" t="s">
        <v>8</v>
      </c>
      <c r="C220" s="34">
        <f>ROUND(C219*Labor!$D$3,0)</f>
        <v>0</v>
      </c>
      <c r="D220" s="35">
        <f>ROUND(D219*Labor!$D$4,0)</f>
        <v>0</v>
      </c>
      <c r="E220" s="35">
        <f>ROUND(E219*Labor!$D$5,0)</f>
        <v>0</v>
      </c>
      <c r="F220" s="35">
        <f>ROUND(F219*Labor!$D$6,0)</f>
        <v>246</v>
      </c>
      <c r="G220" s="35">
        <f>ROUND(G219*Labor!$D$7,0)</f>
        <v>111</v>
      </c>
      <c r="H220" s="35">
        <f>ROUND(H219*Labor!$D$8,0)</f>
        <v>117</v>
      </c>
      <c r="I220" s="39">
        <f t="shared" si="65"/>
        <v>474</v>
      </c>
      <c r="J220" s="268">
        <f>HLOOKUP(Labor!$B$11,InflationTable,2)*I220</f>
        <v>640.28007625533655</v>
      </c>
      <c r="K220" s="269">
        <f>J220*$L$6</f>
        <v>0</v>
      </c>
      <c r="L220" s="308">
        <f t="shared" si="66"/>
        <v>0</v>
      </c>
      <c r="M220" s="84">
        <f>HLOOKUP(Labor!$B$11,InflationTable,3)*$I220</f>
        <v>657.76781636366763</v>
      </c>
      <c r="N220" s="63">
        <f>M220*$L$6</f>
        <v>0</v>
      </c>
      <c r="O220" s="64">
        <f t="shared" si="67"/>
        <v>0</v>
      </c>
      <c r="P220" s="292">
        <f>HLOOKUP(Labor!$B$11,InflationTable,4)*$I220</f>
        <v>665.64983045372662</v>
      </c>
      <c r="Q220" s="269">
        <f>P220*$L$6</f>
        <v>0</v>
      </c>
      <c r="R220" s="270">
        <f t="shared" si="68"/>
        <v>0</v>
      </c>
      <c r="S220" s="128">
        <f t="shared" si="70"/>
        <v>0</v>
      </c>
      <c r="T220" s="137" t="s">
        <v>12</v>
      </c>
      <c r="U220" s="519" t="s">
        <v>12</v>
      </c>
    </row>
    <row r="221" spans="1:21" x14ac:dyDescent="0.25">
      <c r="A221" s="615"/>
      <c r="B221" s="1249" t="s">
        <v>346</v>
      </c>
      <c r="C221" s="346">
        <v>0</v>
      </c>
      <c r="D221" s="346">
        <v>0</v>
      </c>
      <c r="E221" s="346">
        <v>0</v>
      </c>
      <c r="F221" s="346">
        <v>12</v>
      </c>
      <c r="G221" s="346">
        <v>8</v>
      </c>
      <c r="H221" s="346">
        <v>4</v>
      </c>
      <c r="I221" s="347">
        <f t="shared" si="65"/>
        <v>24</v>
      </c>
      <c r="J221" s="293" t="s">
        <v>12</v>
      </c>
      <c r="K221" s="327">
        <f>$I221*$O$6</f>
        <v>23352</v>
      </c>
      <c r="L221" s="328">
        <f t="shared" si="66"/>
        <v>23352</v>
      </c>
      <c r="M221" s="61" t="s">
        <v>12</v>
      </c>
      <c r="N221" s="348">
        <f>$I221*$O$6</f>
        <v>23352</v>
      </c>
      <c r="O221" s="349">
        <f t="shared" si="67"/>
        <v>23352</v>
      </c>
      <c r="P221" s="293" t="s">
        <v>12</v>
      </c>
      <c r="Q221" s="327">
        <f>$I221*$O$6</f>
        <v>23352</v>
      </c>
      <c r="R221" s="328">
        <f t="shared" si="68"/>
        <v>23352</v>
      </c>
      <c r="S221" s="173">
        <f t="shared" si="70"/>
        <v>23352</v>
      </c>
      <c r="T221" s="135" t="s">
        <v>12</v>
      </c>
      <c r="U221" s="230" t="s">
        <v>12</v>
      </c>
    </row>
    <row r="222" spans="1:21" ht="13.8" thickBot="1" x14ac:dyDescent="0.3">
      <c r="A222" s="615"/>
      <c r="B222" s="1250" t="s">
        <v>8</v>
      </c>
      <c r="C222" s="34">
        <f>ROUND(C221*Labor!$D$3,0)</f>
        <v>0</v>
      </c>
      <c r="D222" s="35">
        <f>ROUND(D221*Labor!$D$4,0)</f>
        <v>0</v>
      </c>
      <c r="E222" s="35">
        <f>ROUND(E221*Labor!$D$5,0)</f>
        <v>0</v>
      </c>
      <c r="F222" s="35">
        <f>ROUND(F221*Labor!$D$6,0)</f>
        <v>591</v>
      </c>
      <c r="G222" s="35">
        <f>ROUND(G221*Labor!$D$7,0)</f>
        <v>444</v>
      </c>
      <c r="H222" s="35">
        <f>ROUND(H221*Labor!$D$8,0)</f>
        <v>234</v>
      </c>
      <c r="I222" s="39">
        <f t="shared" si="65"/>
        <v>1269</v>
      </c>
      <c r="J222" s="268">
        <f>HLOOKUP(Labor!$B$11,InflationTable,2)*I222</f>
        <v>1714.1675459240971</v>
      </c>
      <c r="K222" s="269">
        <f>J222*$O$6</f>
        <v>1667885.0221841466</v>
      </c>
      <c r="L222" s="308">
        <f t="shared" si="66"/>
        <v>1667885.0221841466</v>
      </c>
      <c r="M222" s="84">
        <f>HLOOKUP(Labor!$B$11,InflationTable,3)*$I222</f>
        <v>1760.9859893786797</v>
      </c>
      <c r="N222" s="63">
        <f>M222*$O$6</f>
        <v>1713439.3676654554</v>
      </c>
      <c r="O222" s="64">
        <f t="shared" si="67"/>
        <v>1713439.3676654554</v>
      </c>
      <c r="P222" s="292">
        <f>HLOOKUP(Labor!$B$11,InflationTable,4)*$I222</f>
        <v>1782.0878372273821</v>
      </c>
      <c r="Q222" s="269">
        <f>P222*$O$6</f>
        <v>1733971.4656222428</v>
      </c>
      <c r="R222" s="270">
        <f t="shared" si="68"/>
        <v>1733971.4656222428</v>
      </c>
      <c r="S222" s="128">
        <f t="shared" si="70"/>
        <v>1705098.6184906149</v>
      </c>
      <c r="T222" s="137" t="s">
        <v>12</v>
      </c>
      <c r="U222" s="519" t="s">
        <v>12</v>
      </c>
    </row>
    <row r="223" spans="1:21" x14ac:dyDescent="0.25">
      <c r="A223" s="615"/>
      <c r="B223" s="1249" t="s">
        <v>341</v>
      </c>
      <c r="C223" s="346">
        <v>0</v>
      </c>
      <c r="D223" s="346">
        <v>0</v>
      </c>
      <c r="E223" s="346">
        <v>0</v>
      </c>
      <c r="F223" s="346">
        <v>2</v>
      </c>
      <c r="G223" s="346">
        <v>8</v>
      </c>
      <c r="H223" s="346">
        <v>4</v>
      </c>
      <c r="I223" s="347">
        <f t="shared" si="65"/>
        <v>14</v>
      </c>
      <c r="J223" s="293" t="s">
        <v>12</v>
      </c>
      <c r="K223" s="327">
        <f>$I223*$O$7</f>
        <v>2772</v>
      </c>
      <c r="L223" s="328">
        <f t="shared" si="66"/>
        <v>2772</v>
      </c>
      <c r="M223" s="61" t="s">
        <v>12</v>
      </c>
      <c r="N223" s="348">
        <f>$I223*$O$7</f>
        <v>2772</v>
      </c>
      <c r="O223" s="349">
        <f t="shared" si="67"/>
        <v>2772</v>
      </c>
      <c r="P223" s="293" t="s">
        <v>12</v>
      </c>
      <c r="Q223" s="327">
        <f>$I223*$O$7</f>
        <v>2772</v>
      </c>
      <c r="R223" s="328">
        <f t="shared" si="68"/>
        <v>2772</v>
      </c>
      <c r="S223" s="173">
        <f t="shared" si="70"/>
        <v>2772</v>
      </c>
      <c r="T223" s="135" t="s">
        <v>12</v>
      </c>
      <c r="U223" s="230" t="s">
        <v>12</v>
      </c>
    </row>
    <row r="224" spans="1:21" ht="13.8" thickBot="1" x14ac:dyDescent="0.3">
      <c r="A224" s="615"/>
      <c r="B224" s="1250" t="s">
        <v>8</v>
      </c>
      <c r="C224" s="34">
        <f>ROUND(C223*Labor!$D$3,0)</f>
        <v>0</v>
      </c>
      <c r="D224" s="35">
        <f>ROUND(D223*Labor!$D$4,0)</f>
        <v>0</v>
      </c>
      <c r="E224" s="35">
        <f>ROUND(E223*Labor!$D$5,0)</f>
        <v>0</v>
      </c>
      <c r="F224" s="35">
        <f>ROUND(F223*Labor!$D$6,0)</f>
        <v>99</v>
      </c>
      <c r="G224" s="35">
        <f>ROUND(G223*Labor!$D$7,0)</f>
        <v>444</v>
      </c>
      <c r="H224" s="35">
        <f>ROUND(H223*Labor!$D$8,0)</f>
        <v>234</v>
      </c>
      <c r="I224" s="39">
        <f t="shared" si="65"/>
        <v>777</v>
      </c>
      <c r="J224" s="268">
        <f>HLOOKUP(Labor!$B$11,InflationTable,2)*I224</f>
        <v>1049.5730363932414</v>
      </c>
      <c r="K224" s="269">
        <f>J224*$O$7</f>
        <v>207815.46120586179</v>
      </c>
      <c r="L224" s="308">
        <f t="shared" si="66"/>
        <v>207815.46120586179</v>
      </c>
      <c r="M224" s="84">
        <f>HLOOKUP(Labor!$B$11,InflationTable,3)*$I224</f>
        <v>1078.2396483429741</v>
      </c>
      <c r="N224" s="63">
        <f>M224*$O$7</f>
        <v>213491.45037190887</v>
      </c>
      <c r="O224" s="64">
        <f t="shared" si="67"/>
        <v>213491.45037190887</v>
      </c>
      <c r="P224" s="292">
        <f>HLOOKUP(Labor!$B$11,InflationTable,4)*$I224</f>
        <v>1091.1601651108558</v>
      </c>
      <c r="Q224" s="269">
        <f>P224*$O$7</f>
        <v>216049.71269194945</v>
      </c>
      <c r="R224" s="270">
        <f t="shared" si="68"/>
        <v>216049.71269194945</v>
      </c>
      <c r="S224" s="128">
        <f t="shared" si="70"/>
        <v>212452.20808990672</v>
      </c>
      <c r="T224" s="137" t="s">
        <v>12</v>
      </c>
      <c r="U224" s="519" t="s">
        <v>12</v>
      </c>
    </row>
    <row r="225" spans="1:22" x14ac:dyDescent="0.25">
      <c r="A225" s="615"/>
      <c r="B225" s="605" t="s">
        <v>66</v>
      </c>
      <c r="C225" s="33">
        <f>C204+C206+C208+C210+C212+C215+C217+C219+C221+C223</f>
        <v>0</v>
      </c>
      <c r="D225" s="33">
        <f t="shared" ref="D225:R225" si="71">D204+D206+D208+D210+D212+D215+D217+D219+D221+D223</f>
        <v>18</v>
      </c>
      <c r="E225" s="33">
        <f t="shared" si="71"/>
        <v>19</v>
      </c>
      <c r="F225" s="33">
        <f t="shared" si="71"/>
        <v>57</v>
      </c>
      <c r="G225" s="33">
        <f t="shared" si="71"/>
        <v>69</v>
      </c>
      <c r="H225" s="33">
        <f t="shared" si="71"/>
        <v>30</v>
      </c>
      <c r="I225" s="99">
        <f t="shared" si="71"/>
        <v>193</v>
      </c>
      <c r="J225" s="1203" t="s">
        <v>12</v>
      </c>
      <c r="K225" s="285">
        <f t="shared" si="71"/>
        <v>105714</v>
      </c>
      <c r="L225" s="312">
        <f t="shared" si="71"/>
        <v>105714</v>
      </c>
      <c r="M225" s="1204" t="s">
        <v>12</v>
      </c>
      <c r="N225" s="33">
        <f t="shared" si="71"/>
        <v>105714</v>
      </c>
      <c r="O225" s="99">
        <f t="shared" si="71"/>
        <v>105714</v>
      </c>
      <c r="P225" s="1203" t="s">
        <v>12</v>
      </c>
      <c r="Q225" s="285">
        <f t="shared" si="71"/>
        <v>105714</v>
      </c>
      <c r="R225" s="285">
        <f t="shared" si="71"/>
        <v>105714</v>
      </c>
      <c r="S225" s="121">
        <f t="shared" si="69"/>
        <v>105714</v>
      </c>
      <c r="T225" s="135" t="s">
        <v>12</v>
      </c>
      <c r="U225" s="230" t="s">
        <v>12</v>
      </c>
    </row>
    <row r="226" spans="1:22" ht="13.8" thickBot="1" x14ac:dyDescent="0.3">
      <c r="A226" s="615"/>
      <c r="B226" s="606" t="s">
        <v>67</v>
      </c>
      <c r="C226" s="240">
        <f>C205+C207+C209+C211+C213+C216+C218+C220+C222+C224</f>
        <v>0</v>
      </c>
      <c r="D226" s="240">
        <f t="shared" ref="D226:R226" si="72">D205+D207+D209+D211+D213+D216+D218+D220+D222+D224</f>
        <v>735</v>
      </c>
      <c r="E226" s="240">
        <f t="shared" si="72"/>
        <v>838</v>
      </c>
      <c r="F226" s="240">
        <f t="shared" si="72"/>
        <v>2808</v>
      </c>
      <c r="G226" s="240">
        <f t="shared" si="72"/>
        <v>3828</v>
      </c>
      <c r="H226" s="240">
        <f t="shared" si="72"/>
        <v>1757</v>
      </c>
      <c r="I226" s="243">
        <f t="shared" si="72"/>
        <v>9966</v>
      </c>
      <c r="J226" s="274" t="s">
        <v>12</v>
      </c>
      <c r="K226" s="275">
        <f t="shared" si="72"/>
        <v>7464744.4422764508</v>
      </c>
      <c r="L226" s="287">
        <f t="shared" si="72"/>
        <v>7464744.4422764508</v>
      </c>
      <c r="M226" s="408" t="s">
        <v>12</v>
      </c>
      <c r="N226" s="240">
        <f t="shared" si="72"/>
        <v>7668626.330254457</v>
      </c>
      <c r="O226" s="243">
        <f t="shared" si="72"/>
        <v>7668626.330254457</v>
      </c>
      <c r="P226" s="274" t="s">
        <v>12</v>
      </c>
      <c r="Q226" s="275">
        <f t="shared" si="72"/>
        <v>7760519.2737563401</v>
      </c>
      <c r="R226" s="275">
        <f t="shared" si="72"/>
        <v>7760519.2737563401</v>
      </c>
      <c r="S226" s="257">
        <f t="shared" si="69"/>
        <v>7631296.6820957484</v>
      </c>
      <c r="T226" s="258" t="s">
        <v>12</v>
      </c>
      <c r="U226" s="231" t="s">
        <v>12</v>
      </c>
    </row>
    <row r="227" spans="1:22" ht="13.8" thickTop="1" x14ac:dyDescent="0.25">
      <c r="A227" s="5"/>
      <c r="B227" s="610"/>
      <c r="C227" s="622"/>
      <c r="D227" s="621"/>
      <c r="E227" s="621"/>
      <c r="F227" s="621"/>
      <c r="G227" s="621"/>
      <c r="H227" s="621"/>
      <c r="I227" s="622"/>
      <c r="J227" s="621"/>
      <c r="K227" s="622"/>
      <c r="L227" s="622"/>
      <c r="M227" s="621"/>
      <c r="N227" s="621"/>
      <c r="O227" s="621"/>
      <c r="P227" s="621"/>
      <c r="Q227" s="621"/>
      <c r="R227" s="621"/>
      <c r="S227" s="1358"/>
      <c r="T227" s="627"/>
      <c r="U227" s="627"/>
    </row>
    <row r="228" spans="1:22" ht="13.8" thickBot="1" x14ac:dyDescent="0.3">
      <c r="B228" s="410"/>
      <c r="C228" s="5"/>
      <c r="D228" s="410"/>
      <c r="E228" s="410"/>
      <c r="F228" s="410"/>
      <c r="G228" s="410"/>
      <c r="H228" s="410"/>
      <c r="I228" s="410"/>
      <c r="J228" s="410"/>
      <c r="K228" s="410"/>
      <c r="L228" s="410"/>
      <c r="M228" s="413"/>
      <c r="N228" s="413"/>
      <c r="O228" s="413"/>
      <c r="P228" s="410"/>
      <c r="Q228" s="410"/>
      <c r="R228" s="410"/>
      <c r="S228" s="410"/>
      <c r="T228" s="410"/>
      <c r="U228" s="410"/>
      <c r="V228" s="5"/>
    </row>
    <row r="229" spans="1:22" ht="18.600000000000001" thickTop="1" thickBot="1" x14ac:dyDescent="0.35">
      <c r="A229" s="615"/>
      <c r="B229" s="598" t="s">
        <v>121</v>
      </c>
      <c r="C229" s="234" t="str">
        <f>C2</f>
        <v>PM25</v>
      </c>
      <c r="D229" s="5"/>
      <c r="E229" s="4"/>
      <c r="F229" s="12"/>
      <c r="G229" s="4"/>
      <c r="H229" s="4"/>
      <c r="I229" s="41"/>
      <c r="J229" s="233" t="str">
        <f>J10</f>
        <v>Year 1</v>
      </c>
      <c r="K229" s="233">
        <f>K10</f>
        <v>2019</v>
      </c>
      <c r="L229" s="83"/>
      <c r="M229" s="233" t="str">
        <f>M10</f>
        <v>Year 2</v>
      </c>
      <c r="N229" s="233">
        <f>N10</f>
        <v>2020</v>
      </c>
      <c r="O229" s="83"/>
      <c r="P229" s="233" t="str">
        <f>P10</f>
        <v>Year 3</v>
      </c>
      <c r="Q229" s="233">
        <f>Q10</f>
        <v>2021</v>
      </c>
      <c r="R229" s="83"/>
      <c r="S229" s="152"/>
      <c r="T229" s="130"/>
      <c r="U229" s="1188"/>
    </row>
    <row r="230" spans="1:22" ht="13.8" thickBot="1" x14ac:dyDescent="0.3">
      <c r="A230" s="615"/>
      <c r="B230" s="5"/>
      <c r="C230" s="194" t="s">
        <v>45</v>
      </c>
      <c r="D230" s="190" t="s">
        <v>46</v>
      </c>
      <c r="E230" s="187" t="s">
        <v>47</v>
      </c>
      <c r="F230" s="202" t="s">
        <v>48</v>
      </c>
      <c r="G230" s="201" t="s">
        <v>49</v>
      </c>
      <c r="H230" s="187" t="s">
        <v>50</v>
      </c>
      <c r="I230" s="188" t="s">
        <v>13</v>
      </c>
      <c r="J230" s="323" t="s">
        <v>56</v>
      </c>
      <c r="K230" s="324" t="s">
        <v>13</v>
      </c>
      <c r="L230" s="325" t="s">
        <v>68</v>
      </c>
      <c r="M230" s="189" t="s">
        <v>56</v>
      </c>
      <c r="N230" s="190" t="s">
        <v>13</v>
      </c>
      <c r="O230" s="191" t="s">
        <v>68</v>
      </c>
      <c r="P230" s="323" t="s">
        <v>56</v>
      </c>
      <c r="Q230" s="324" t="s">
        <v>13</v>
      </c>
      <c r="R230" s="325" t="s">
        <v>68</v>
      </c>
      <c r="S230" s="192"/>
      <c r="T230" s="193"/>
      <c r="U230" s="1236"/>
      <c r="V230" s="5"/>
    </row>
    <row r="231" spans="1:22" x14ac:dyDescent="0.25">
      <c r="A231" s="615"/>
      <c r="B231" s="1080" t="s">
        <v>97</v>
      </c>
      <c r="C231" s="196">
        <f t="shared" ref="C231:S231" si="73">C19</f>
        <v>0</v>
      </c>
      <c r="D231" s="184">
        <f t="shared" si="73"/>
        <v>0</v>
      </c>
      <c r="E231" s="184">
        <f t="shared" si="73"/>
        <v>2</v>
      </c>
      <c r="F231" s="184">
        <f t="shared" si="73"/>
        <v>7</v>
      </c>
      <c r="G231" s="184">
        <f t="shared" si="73"/>
        <v>7</v>
      </c>
      <c r="H231" s="184">
        <f t="shared" si="73"/>
        <v>5</v>
      </c>
      <c r="I231" s="185">
        <f t="shared" si="73"/>
        <v>21</v>
      </c>
      <c r="J231" s="326" t="str">
        <f t="shared" si="73"/>
        <v>NA</v>
      </c>
      <c r="K231" s="327">
        <f t="shared" si="73"/>
        <v>2709</v>
      </c>
      <c r="L231" s="328">
        <f t="shared" si="73"/>
        <v>387</v>
      </c>
      <c r="M231" s="1209" t="str">
        <f t="shared" si="73"/>
        <v>NA</v>
      </c>
      <c r="N231" s="348">
        <f t="shared" si="73"/>
        <v>2709</v>
      </c>
      <c r="O231" s="349">
        <f t="shared" si="73"/>
        <v>387</v>
      </c>
      <c r="P231" s="326" t="str">
        <f t="shared" si="73"/>
        <v>NA</v>
      </c>
      <c r="Q231" s="327">
        <f t="shared" si="73"/>
        <v>2709</v>
      </c>
      <c r="R231" s="328">
        <f t="shared" si="73"/>
        <v>387</v>
      </c>
      <c r="S231" s="185">
        <f t="shared" si="73"/>
        <v>387</v>
      </c>
      <c r="T231" s="37"/>
      <c r="U231" s="227"/>
    </row>
    <row r="232" spans="1:22" ht="13.8" thickBot="1" x14ac:dyDescent="0.3">
      <c r="A232" s="615"/>
      <c r="B232" s="1081" t="s">
        <v>76</v>
      </c>
      <c r="C232" s="203">
        <f t="shared" ref="C232:S232" si="74">C20</f>
        <v>0</v>
      </c>
      <c r="D232" s="204">
        <f t="shared" si="74"/>
        <v>0</v>
      </c>
      <c r="E232" s="204">
        <f t="shared" si="74"/>
        <v>88</v>
      </c>
      <c r="F232" s="204">
        <f t="shared" si="74"/>
        <v>345</v>
      </c>
      <c r="G232" s="204">
        <f t="shared" si="74"/>
        <v>388</v>
      </c>
      <c r="H232" s="204">
        <f t="shared" si="74"/>
        <v>293</v>
      </c>
      <c r="I232" s="205">
        <f t="shared" si="74"/>
        <v>1114</v>
      </c>
      <c r="J232" s="329">
        <f t="shared" si="74"/>
        <v>1504.7932593849048</v>
      </c>
      <c r="K232" s="330">
        <f t="shared" si="74"/>
        <v>194118.33046065271</v>
      </c>
      <c r="L232" s="331">
        <f t="shared" si="74"/>
        <v>27731.190065807528</v>
      </c>
      <c r="M232" s="1210">
        <f t="shared" si="74"/>
        <v>1545.8931380361303</v>
      </c>
      <c r="N232" s="1211">
        <f t="shared" si="74"/>
        <v>199420.21480666081</v>
      </c>
      <c r="O232" s="1212">
        <f t="shared" si="74"/>
        <v>28488.602115237256</v>
      </c>
      <c r="P232" s="329">
        <f t="shared" si="74"/>
        <v>1564.4175340199399</v>
      </c>
      <c r="Q232" s="330">
        <f t="shared" si="74"/>
        <v>201809.86188857225</v>
      </c>
      <c r="R232" s="331">
        <f t="shared" si="74"/>
        <v>28829.980269796037</v>
      </c>
      <c r="S232" s="205">
        <f t="shared" si="74"/>
        <v>28349.924150280276</v>
      </c>
      <c r="T232" s="206" t="str">
        <f>T20</f>
        <v>NA</v>
      </c>
      <c r="U232" s="228" t="s">
        <v>12</v>
      </c>
    </row>
    <row r="233" spans="1:22" x14ac:dyDescent="0.25">
      <c r="A233" s="615"/>
      <c r="B233" s="466" t="s">
        <v>98</v>
      </c>
      <c r="C233" s="196">
        <f t="shared" ref="C233:S233" si="75">C50</f>
        <v>0</v>
      </c>
      <c r="D233" s="184">
        <f t="shared" si="75"/>
        <v>16</v>
      </c>
      <c r="E233" s="184">
        <f t="shared" si="75"/>
        <v>17</v>
      </c>
      <c r="F233" s="184">
        <f t="shared" si="75"/>
        <v>11</v>
      </c>
      <c r="G233" s="184">
        <f t="shared" si="75"/>
        <v>0</v>
      </c>
      <c r="H233" s="184">
        <f t="shared" si="75"/>
        <v>0</v>
      </c>
      <c r="I233" s="185">
        <f t="shared" si="75"/>
        <v>44</v>
      </c>
      <c r="J233" s="326" t="str">
        <f t="shared" si="75"/>
        <v>NA</v>
      </c>
      <c r="K233" s="327">
        <f t="shared" si="75"/>
        <v>41633.279999999999</v>
      </c>
      <c r="L233" s="328">
        <f t="shared" si="75"/>
        <v>6287.04</v>
      </c>
      <c r="M233" s="1209" t="str">
        <f t="shared" si="75"/>
        <v>NA</v>
      </c>
      <c r="N233" s="348">
        <f t="shared" si="75"/>
        <v>41633.279999999999</v>
      </c>
      <c r="O233" s="349">
        <f t="shared" si="75"/>
        <v>6287.04</v>
      </c>
      <c r="P233" s="326" t="str">
        <f t="shared" si="75"/>
        <v>NA</v>
      </c>
      <c r="Q233" s="327">
        <f t="shared" si="75"/>
        <v>41633.279999999999</v>
      </c>
      <c r="R233" s="328">
        <f t="shared" si="75"/>
        <v>6287.04</v>
      </c>
      <c r="S233" s="185">
        <f t="shared" si="75"/>
        <v>6287.04</v>
      </c>
      <c r="T233" s="37"/>
      <c r="U233" s="227"/>
    </row>
    <row r="234" spans="1:22" ht="13.8" thickBot="1" x14ac:dyDescent="0.3">
      <c r="A234" s="615"/>
      <c r="B234" s="1081" t="s">
        <v>76</v>
      </c>
      <c r="C234" s="207">
        <f t="shared" ref="C234:S234" si="76">C51</f>
        <v>0</v>
      </c>
      <c r="D234" s="208">
        <f t="shared" si="76"/>
        <v>653</v>
      </c>
      <c r="E234" s="208">
        <f t="shared" si="76"/>
        <v>749</v>
      </c>
      <c r="F234" s="208">
        <f t="shared" si="76"/>
        <v>544</v>
      </c>
      <c r="G234" s="208">
        <f t="shared" si="76"/>
        <v>0</v>
      </c>
      <c r="H234" s="208">
        <f t="shared" si="76"/>
        <v>0</v>
      </c>
      <c r="I234" s="209">
        <f t="shared" si="76"/>
        <v>1946</v>
      </c>
      <c r="J234" s="332">
        <f t="shared" si="76"/>
        <v>145471.90348558221</v>
      </c>
      <c r="K234" s="296">
        <f t="shared" si="76"/>
        <v>52107610.542081513</v>
      </c>
      <c r="L234" s="297">
        <f t="shared" si="76"/>
        <v>7443944.3631545017</v>
      </c>
      <c r="M234" s="376">
        <f t="shared" si="76"/>
        <v>143894.34215653545</v>
      </c>
      <c r="N234" s="377">
        <f t="shared" si="76"/>
        <v>53530807.022214793</v>
      </c>
      <c r="O234" s="378">
        <f t="shared" si="76"/>
        <v>7647258.1460306821</v>
      </c>
      <c r="P234" s="332">
        <f t="shared" si="76"/>
        <v>145618.62419670526</v>
      </c>
      <c r="Q234" s="296">
        <f t="shared" si="76"/>
        <v>54172265.246081501</v>
      </c>
      <c r="R234" s="297">
        <f t="shared" si="76"/>
        <v>7738895.0351544982</v>
      </c>
      <c r="S234" s="209">
        <f t="shared" si="76"/>
        <v>531134.22114593268</v>
      </c>
      <c r="T234" s="210" t="str">
        <f>T51</f>
        <v>NA</v>
      </c>
      <c r="U234" s="229">
        <f>U51</f>
        <v>7078898.293633963</v>
      </c>
    </row>
    <row r="235" spans="1:22" x14ac:dyDescent="0.25">
      <c r="A235" s="615"/>
      <c r="B235" s="466" t="s">
        <v>96</v>
      </c>
      <c r="C235" s="197">
        <f t="shared" ref="C235:S235" si="77">C71</f>
        <v>0</v>
      </c>
      <c r="D235" s="25">
        <f t="shared" si="77"/>
        <v>208</v>
      </c>
      <c r="E235" s="25">
        <f t="shared" si="77"/>
        <v>196</v>
      </c>
      <c r="F235" s="25">
        <f t="shared" si="77"/>
        <v>273</v>
      </c>
      <c r="G235" s="25">
        <f t="shared" si="77"/>
        <v>0</v>
      </c>
      <c r="H235" s="25">
        <f t="shared" si="77"/>
        <v>0</v>
      </c>
      <c r="I235" s="198">
        <f t="shared" si="77"/>
        <v>677</v>
      </c>
      <c r="J235" s="326" t="str">
        <f t="shared" si="77"/>
        <v>NA</v>
      </c>
      <c r="K235" s="327">
        <f t="shared" si="77"/>
        <v>180489.29787234042</v>
      </c>
      <c r="L235" s="328">
        <f t="shared" si="77"/>
        <v>180489.29787234042</v>
      </c>
      <c r="M235" s="1209" t="str">
        <f t="shared" si="77"/>
        <v>NA</v>
      </c>
      <c r="N235" s="348">
        <f t="shared" si="77"/>
        <v>180489.29787234042</v>
      </c>
      <c r="O235" s="349">
        <f t="shared" si="77"/>
        <v>180489.29787234042</v>
      </c>
      <c r="P235" s="326" t="str">
        <f t="shared" si="77"/>
        <v>NA</v>
      </c>
      <c r="Q235" s="327">
        <f t="shared" si="77"/>
        <v>180489.29787234042</v>
      </c>
      <c r="R235" s="328">
        <f t="shared" si="77"/>
        <v>180489.29787234042</v>
      </c>
      <c r="S235" s="185">
        <f t="shared" si="77"/>
        <v>31136</v>
      </c>
      <c r="T235" s="135" t="str">
        <f>T25</f>
        <v>NA</v>
      </c>
      <c r="U235" s="230" t="s">
        <v>12</v>
      </c>
    </row>
    <row r="236" spans="1:22" ht="13.8" thickBot="1" x14ac:dyDescent="0.3">
      <c r="A236" s="615"/>
      <c r="B236" s="1081" t="s">
        <v>76</v>
      </c>
      <c r="C236" s="211">
        <f t="shared" ref="C236:S236" si="78">C72</f>
        <v>0</v>
      </c>
      <c r="D236" s="208">
        <f t="shared" si="78"/>
        <v>8499</v>
      </c>
      <c r="E236" s="208">
        <f t="shared" si="78"/>
        <v>4677</v>
      </c>
      <c r="F236" s="208">
        <f t="shared" si="78"/>
        <v>9015</v>
      </c>
      <c r="G236" s="208">
        <f t="shared" si="78"/>
        <v>0</v>
      </c>
      <c r="H236" s="208">
        <f t="shared" si="78"/>
        <v>0</v>
      </c>
      <c r="I236" s="209">
        <f t="shared" si="78"/>
        <v>22191</v>
      </c>
      <c r="J236" s="332">
        <f t="shared" si="78"/>
        <v>4710154.2743106363</v>
      </c>
      <c r="K236" s="296">
        <f t="shared" si="78"/>
        <v>19486227.107077267</v>
      </c>
      <c r="L236" s="297">
        <f t="shared" si="78"/>
        <v>19486227.107077267</v>
      </c>
      <c r="M236" s="376">
        <f t="shared" si="78"/>
        <v>4838801.0288700275</v>
      </c>
      <c r="N236" s="377">
        <f t="shared" si="78"/>
        <v>20018447.439987622</v>
      </c>
      <c r="O236" s="378">
        <f t="shared" si="78"/>
        <v>20018447.439987622</v>
      </c>
      <c r="P236" s="332">
        <f t="shared" si="78"/>
        <v>4896784.2517333673</v>
      </c>
      <c r="Q236" s="296">
        <f t="shared" si="78"/>
        <v>20258327.958398171</v>
      </c>
      <c r="R236" s="297">
        <f t="shared" si="78"/>
        <v>20258327.958398171</v>
      </c>
      <c r="S236" s="209">
        <f t="shared" si="78"/>
        <v>14782887.695942473</v>
      </c>
      <c r="T236" s="209">
        <f>T72</f>
        <v>365604.0592007775</v>
      </c>
      <c r="U236" s="1237">
        <f>U72</f>
        <v>4787896.7053275257</v>
      </c>
    </row>
    <row r="237" spans="1:22" x14ac:dyDescent="0.25">
      <c r="A237" s="615"/>
      <c r="B237" s="466" t="s">
        <v>99</v>
      </c>
      <c r="C237" s="197">
        <f t="shared" ref="C237:S237" si="79">C105</f>
        <v>0</v>
      </c>
      <c r="D237" s="25">
        <f t="shared" si="79"/>
        <v>19</v>
      </c>
      <c r="E237" s="25">
        <f t="shared" si="79"/>
        <v>49</v>
      </c>
      <c r="F237" s="25">
        <f t="shared" si="79"/>
        <v>66</v>
      </c>
      <c r="G237" s="25">
        <f t="shared" si="79"/>
        <v>4</v>
      </c>
      <c r="H237" s="25">
        <f t="shared" si="79"/>
        <v>0</v>
      </c>
      <c r="I237" s="198">
        <f t="shared" si="79"/>
        <v>138</v>
      </c>
      <c r="J237" s="326">
        <f>J105</f>
        <v>138</v>
      </c>
      <c r="K237" s="327">
        <f>K105</f>
        <v>64874</v>
      </c>
      <c r="L237" s="328">
        <f t="shared" si="79"/>
        <v>64874</v>
      </c>
      <c r="M237" s="1209">
        <f t="shared" si="79"/>
        <v>138</v>
      </c>
      <c r="N237" s="348">
        <f t="shared" si="79"/>
        <v>64874</v>
      </c>
      <c r="O237" s="349">
        <f t="shared" si="79"/>
        <v>64874</v>
      </c>
      <c r="P237" s="326">
        <f t="shared" si="79"/>
        <v>138</v>
      </c>
      <c r="Q237" s="327">
        <f t="shared" si="79"/>
        <v>64874</v>
      </c>
      <c r="R237" s="328">
        <f t="shared" si="79"/>
        <v>64874</v>
      </c>
      <c r="S237" s="185">
        <f t="shared" si="79"/>
        <v>64874</v>
      </c>
      <c r="T237" s="37"/>
      <c r="U237" s="227"/>
    </row>
    <row r="238" spans="1:22" ht="13.8" thickBot="1" x14ac:dyDescent="0.3">
      <c r="A238" s="615"/>
      <c r="B238" s="1081" t="s">
        <v>76</v>
      </c>
      <c r="C238" s="207">
        <f t="shared" ref="C238:S238" si="80">C106</f>
        <v>0</v>
      </c>
      <c r="D238" s="208">
        <f t="shared" si="80"/>
        <v>778</v>
      </c>
      <c r="E238" s="208">
        <f t="shared" si="80"/>
        <v>2162</v>
      </c>
      <c r="F238" s="208">
        <f t="shared" si="80"/>
        <v>3253</v>
      </c>
      <c r="G238" s="208">
        <f t="shared" si="80"/>
        <v>222</v>
      </c>
      <c r="H238" s="208">
        <f t="shared" si="80"/>
        <v>0</v>
      </c>
      <c r="I238" s="209">
        <f>J106</f>
        <v>8665.3938590252819</v>
      </c>
      <c r="J238" s="332" t="e">
        <f>#REF!</f>
        <v>#REF!</v>
      </c>
      <c r="K238" s="296">
        <f t="shared" si="80"/>
        <v>4725748.4711330412</v>
      </c>
      <c r="L238" s="297">
        <f t="shared" si="80"/>
        <v>4725748.4711330412</v>
      </c>
      <c r="M238" s="450">
        <f t="shared" si="80"/>
        <v>8902.0686539513244</v>
      </c>
      <c r="N238" s="377">
        <f t="shared" si="80"/>
        <v>4854821.1443979209</v>
      </c>
      <c r="O238" s="378">
        <f t="shared" si="80"/>
        <v>4854821.1443979209</v>
      </c>
      <c r="P238" s="332">
        <f t="shared" si="80"/>
        <v>9008.7419037144646</v>
      </c>
      <c r="Q238" s="296">
        <f t="shared" si="80"/>
        <v>4912996.3358756751</v>
      </c>
      <c r="R238" s="297">
        <f t="shared" si="80"/>
        <v>4912996.3358756751</v>
      </c>
      <c r="S238" s="209">
        <f t="shared" si="80"/>
        <v>4117378.3675601804</v>
      </c>
      <c r="T238" s="209">
        <f>T106</f>
        <v>713810.28290869773</v>
      </c>
      <c r="U238" s="757" t="s">
        <v>12</v>
      </c>
    </row>
    <row r="239" spans="1:22" x14ac:dyDescent="0.25">
      <c r="A239" s="615"/>
      <c r="B239" s="466" t="s">
        <v>100</v>
      </c>
      <c r="C239" s="197">
        <f t="shared" ref="C239:U239" si="81">C146</f>
        <v>0</v>
      </c>
      <c r="D239" s="25">
        <f t="shared" si="81"/>
        <v>64</v>
      </c>
      <c r="E239" s="25">
        <f t="shared" si="81"/>
        <v>176.5</v>
      </c>
      <c r="F239" s="25">
        <f t="shared" si="81"/>
        <v>139</v>
      </c>
      <c r="G239" s="25">
        <f t="shared" si="81"/>
        <v>86</v>
      </c>
      <c r="H239" s="25">
        <f t="shared" si="81"/>
        <v>1</v>
      </c>
      <c r="I239" s="198">
        <f t="shared" si="81"/>
        <v>466.5</v>
      </c>
      <c r="J239" s="326">
        <f t="shared" si="81"/>
        <v>466.5</v>
      </c>
      <c r="K239" s="327">
        <f t="shared" si="81"/>
        <v>218928.5</v>
      </c>
      <c r="L239" s="328">
        <f t="shared" si="81"/>
        <v>218928.5</v>
      </c>
      <c r="M239" s="1209">
        <f t="shared" si="81"/>
        <v>466.5</v>
      </c>
      <c r="N239" s="348">
        <f t="shared" si="81"/>
        <v>218928.5</v>
      </c>
      <c r="O239" s="349">
        <f t="shared" si="81"/>
        <v>218928.5</v>
      </c>
      <c r="P239" s="326">
        <f t="shared" si="81"/>
        <v>466.5</v>
      </c>
      <c r="Q239" s="327">
        <f t="shared" si="81"/>
        <v>218928.5</v>
      </c>
      <c r="R239" s="328">
        <f t="shared" si="81"/>
        <v>218928.5</v>
      </c>
      <c r="S239" s="185">
        <f t="shared" si="81"/>
        <v>218928.5</v>
      </c>
      <c r="T239" s="212" t="str">
        <f t="shared" si="81"/>
        <v>NA</v>
      </c>
      <c r="U239" s="1069" t="str">
        <f t="shared" si="81"/>
        <v>NA</v>
      </c>
    </row>
    <row r="240" spans="1:22" ht="13.8" thickBot="1" x14ac:dyDescent="0.3">
      <c r="A240" s="615"/>
      <c r="B240" s="1081" t="s">
        <v>76</v>
      </c>
      <c r="C240" s="207">
        <f t="shared" ref="C240:T240" si="82">C147</f>
        <v>0</v>
      </c>
      <c r="D240" s="208">
        <f t="shared" si="82"/>
        <v>2615</v>
      </c>
      <c r="E240" s="208">
        <f t="shared" si="82"/>
        <v>7786</v>
      </c>
      <c r="F240" s="208">
        <f t="shared" si="82"/>
        <v>6848</v>
      </c>
      <c r="G240" s="208">
        <f t="shared" si="82"/>
        <v>4770</v>
      </c>
      <c r="H240" s="208">
        <f t="shared" si="82"/>
        <v>59</v>
      </c>
      <c r="I240" s="209">
        <f t="shared" si="82"/>
        <v>22078</v>
      </c>
      <c r="J240" s="332">
        <f t="shared" si="82"/>
        <v>29823.003214272827</v>
      </c>
      <c r="K240" s="296">
        <f t="shared" si="82"/>
        <v>14206801.790719436</v>
      </c>
      <c r="L240" s="297">
        <f t="shared" si="82"/>
        <v>14206801.790719436</v>
      </c>
      <c r="M240" s="376">
        <f t="shared" si="82"/>
        <v>30637.548206069732</v>
      </c>
      <c r="N240" s="377">
        <f t="shared" si="82"/>
        <v>14594827.07324845</v>
      </c>
      <c r="O240" s="378">
        <f t="shared" si="82"/>
        <v>14594827.07324845</v>
      </c>
      <c r="P240" s="339">
        <f t="shared" si="82"/>
        <v>31004.677123960708</v>
      </c>
      <c r="Q240" s="296">
        <f t="shared" si="82"/>
        <v>14769716.494365575</v>
      </c>
      <c r="R240" s="297">
        <f t="shared" si="82"/>
        <v>14769716.494365575</v>
      </c>
      <c r="S240" s="209">
        <f t="shared" si="82"/>
        <v>14523781.786111154</v>
      </c>
      <c r="T240" s="210" t="str">
        <f t="shared" si="82"/>
        <v>NA</v>
      </c>
      <c r="U240" s="228" t="s">
        <v>12</v>
      </c>
    </row>
    <row r="241" spans="1:21" x14ac:dyDescent="0.25">
      <c r="A241" s="615"/>
      <c r="B241" s="466" t="s">
        <v>101</v>
      </c>
      <c r="C241" s="213">
        <f t="shared" ref="C241:S241" si="83">C198</f>
        <v>0</v>
      </c>
      <c r="D241" s="214">
        <f t="shared" si="83"/>
        <v>24</v>
      </c>
      <c r="E241" s="214">
        <f t="shared" si="83"/>
        <v>60</v>
      </c>
      <c r="F241" s="214">
        <f t="shared" si="83"/>
        <v>45</v>
      </c>
      <c r="G241" s="214">
        <f t="shared" si="83"/>
        <v>27</v>
      </c>
      <c r="H241" s="214">
        <f t="shared" si="83"/>
        <v>6</v>
      </c>
      <c r="I241" s="215">
        <f>I198</f>
        <v>162</v>
      </c>
      <c r="J241" s="336">
        <f>J198</f>
        <v>132</v>
      </c>
      <c r="K241" s="337">
        <f t="shared" si="83"/>
        <v>72512</v>
      </c>
      <c r="L241" s="294">
        <f t="shared" si="83"/>
        <v>72512</v>
      </c>
      <c r="M241" s="1213">
        <f t="shared" si="83"/>
        <v>132</v>
      </c>
      <c r="N241" s="1214">
        <f t="shared" si="83"/>
        <v>72512</v>
      </c>
      <c r="O241" s="62">
        <f t="shared" si="83"/>
        <v>72512</v>
      </c>
      <c r="P241" s="336">
        <f t="shared" si="83"/>
        <v>132</v>
      </c>
      <c r="Q241" s="337">
        <f t="shared" si="83"/>
        <v>72512</v>
      </c>
      <c r="R241" s="294">
        <f t="shared" si="83"/>
        <v>72512</v>
      </c>
      <c r="S241" s="215">
        <f t="shared" si="83"/>
        <v>72512</v>
      </c>
      <c r="T241" s="136" t="s">
        <v>12</v>
      </c>
      <c r="U241" s="230" t="s">
        <v>12</v>
      </c>
    </row>
    <row r="242" spans="1:21" ht="13.8" thickBot="1" x14ac:dyDescent="0.3">
      <c r="A242" s="615"/>
      <c r="B242" s="1081" t="s">
        <v>76</v>
      </c>
      <c r="C242" s="207">
        <f t="shared" ref="C242:S242" si="84">C199</f>
        <v>0</v>
      </c>
      <c r="D242" s="208">
        <f>D199</f>
        <v>981</v>
      </c>
      <c r="E242" s="208">
        <f>E199</f>
        <v>2649</v>
      </c>
      <c r="F242" s="208">
        <f t="shared" si="84"/>
        <v>2223</v>
      </c>
      <c r="G242" s="208">
        <f t="shared" si="84"/>
        <v>1494</v>
      </c>
      <c r="H242" s="208">
        <f t="shared" si="84"/>
        <v>352</v>
      </c>
      <c r="I242" s="209">
        <f t="shared" si="84"/>
        <v>7699</v>
      </c>
      <c r="J242" s="332">
        <f t="shared" si="84"/>
        <v>10399.823432678977</v>
      </c>
      <c r="K242" s="338">
        <f t="shared" si="84"/>
        <v>4944937.0609939089</v>
      </c>
      <c r="L242" s="297">
        <f t="shared" si="84"/>
        <v>4513296.8210154902</v>
      </c>
      <c r="M242" s="450">
        <f t="shared" si="84"/>
        <v>10683.870080556704</v>
      </c>
      <c r="N242" s="1215">
        <f t="shared" si="84"/>
        <v>5079996.3536092089</v>
      </c>
      <c r="O242" s="378">
        <f t="shared" si="84"/>
        <v>4636566.8785491874</v>
      </c>
      <c r="P242" s="332">
        <f t="shared" si="84"/>
        <v>10811.894608994184</v>
      </c>
      <c r="Q242" s="338">
        <f t="shared" si="84"/>
        <v>5140869.813575604</v>
      </c>
      <c r="R242" s="297">
        <f t="shared" si="84"/>
        <v>4692126.7350168703</v>
      </c>
      <c r="S242" s="209">
        <f t="shared" si="84"/>
        <v>4682391.0903322613</v>
      </c>
      <c r="T242" s="209">
        <f>T199</f>
        <v>0</v>
      </c>
      <c r="U242" s="1237">
        <f>U199</f>
        <v>6439.7211949229604</v>
      </c>
    </row>
    <row r="243" spans="1:21" x14ac:dyDescent="0.25">
      <c r="A243" s="615"/>
      <c r="B243" s="466" t="s">
        <v>102</v>
      </c>
      <c r="C243" s="197">
        <f t="shared" ref="C243:S243" si="85">C225</f>
        <v>0</v>
      </c>
      <c r="D243" s="25">
        <f t="shared" si="85"/>
        <v>18</v>
      </c>
      <c r="E243" s="25">
        <f t="shared" si="85"/>
        <v>19</v>
      </c>
      <c r="F243" s="25">
        <f t="shared" si="85"/>
        <v>57</v>
      </c>
      <c r="G243" s="25">
        <f t="shared" si="85"/>
        <v>69</v>
      </c>
      <c r="H243" s="25">
        <f t="shared" si="85"/>
        <v>30</v>
      </c>
      <c r="I243" s="198">
        <f t="shared" si="85"/>
        <v>193</v>
      </c>
      <c r="J243" s="333" t="str">
        <f t="shared" si="85"/>
        <v>NA</v>
      </c>
      <c r="K243" s="334">
        <f t="shared" si="85"/>
        <v>105714</v>
      </c>
      <c r="L243" s="335">
        <f t="shared" si="85"/>
        <v>105714</v>
      </c>
      <c r="M243" s="1216" t="str">
        <f t="shared" si="85"/>
        <v>NA</v>
      </c>
      <c r="N243" s="667">
        <f t="shared" si="85"/>
        <v>105714</v>
      </c>
      <c r="O243" s="1217">
        <f t="shared" si="85"/>
        <v>105714</v>
      </c>
      <c r="P243" s="333" t="str">
        <f t="shared" si="85"/>
        <v>NA</v>
      </c>
      <c r="Q243" s="334">
        <f t="shared" si="85"/>
        <v>105714</v>
      </c>
      <c r="R243" s="335">
        <f t="shared" si="85"/>
        <v>105714</v>
      </c>
      <c r="S243" s="198">
        <f t="shared" si="85"/>
        <v>105714</v>
      </c>
      <c r="T243" s="136" t="s">
        <v>12</v>
      </c>
      <c r="U243" s="230" t="s">
        <v>12</v>
      </c>
    </row>
    <row r="244" spans="1:21" ht="13.8" thickBot="1" x14ac:dyDescent="0.3">
      <c r="A244" s="615"/>
      <c r="B244" s="1082" t="s">
        <v>76</v>
      </c>
      <c r="C244" s="220">
        <f t="shared" ref="C244:S244" si="86">C226</f>
        <v>0</v>
      </c>
      <c r="D244" s="221">
        <f t="shared" si="86"/>
        <v>735</v>
      </c>
      <c r="E244" s="221">
        <f t="shared" si="86"/>
        <v>838</v>
      </c>
      <c r="F244" s="221">
        <f t="shared" si="86"/>
        <v>2808</v>
      </c>
      <c r="G244" s="221">
        <f t="shared" si="86"/>
        <v>3828</v>
      </c>
      <c r="H244" s="221">
        <f t="shared" si="86"/>
        <v>1757</v>
      </c>
      <c r="I244" s="222">
        <f t="shared" si="86"/>
        <v>9966</v>
      </c>
      <c r="J244" s="304" t="str">
        <f t="shared" si="86"/>
        <v>NA</v>
      </c>
      <c r="K244" s="305">
        <f t="shared" si="86"/>
        <v>7464744.4422764508</v>
      </c>
      <c r="L244" s="306">
        <f t="shared" si="86"/>
        <v>7464744.4422764508</v>
      </c>
      <c r="M244" s="252" t="str">
        <f t="shared" si="86"/>
        <v>NA</v>
      </c>
      <c r="N244" s="253">
        <f t="shared" si="86"/>
        <v>7668626.330254457</v>
      </c>
      <c r="O244" s="254">
        <f t="shared" si="86"/>
        <v>7668626.330254457</v>
      </c>
      <c r="P244" s="311" t="str">
        <f t="shared" si="86"/>
        <v>NA</v>
      </c>
      <c r="Q244" s="305">
        <f t="shared" si="86"/>
        <v>7760519.2737563401</v>
      </c>
      <c r="R244" s="306">
        <f t="shared" si="86"/>
        <v>7760519.2737563401</v>
      </c>
      <c r="S244" s="222">
        <f t="shared" si="86"/>
        <v>7631296.6820957484</v>
      </c>
      <c r="T244" s="223" t="str">
        <f>T226</f>
        <v>NA</v>
      </c>
      <c r="U244" s="231" t="s">
        <v>12</v>
      </c>
    </row>
    <row r="245" spans="1:21" ht="18" thickTop="1" x14ac:dyDescent="0.3">
      <c r="A245" s="615"/>
      <c r="B245" s="1083" t="s">
        <v>13</v>
      </c>
      <c r="C245" s="183" t="s">
        <v>45</v>
      </c>
      <c r="D245" s="108" t="s">
        <v>46</v>
      </c>
      <c r="E245" s="107" t="s">
        <v>47</v>
      </c>
      <c r="F245" s="107" t="s">
        <v>48</v>
      </c>
      <c r="G245" s="107" t="s">
        <v>49</v>
      </c>
      <c r="H245" s="107" t="s">
        <v>50</v>
      </c>
      <c r="I245" s="109" t="s">
        <v>13</v>
      </c>
      <c r="J245" s="110" t="s">
        <v>56</v>
      </c>
      <c r="K245" s="108" t="s">
        <v>13</v>
      </c>
      <c r="L245" s="111" t="s">
        <v>68</v>
      </c>
      <c r="M245" s="110" t="s">
        <v>56</v>
      </c>
      <c r="N245" s="108" t="s">
        <v>13</v>
      </c>
      <c r="O245" s="111" t="s">
        <v>68</v>
      </c>
      <c r="P245" s="110" t="s">
        <v>56</v>
      </c>
      <c r="Q245" s="108" t="s">
        <v>13</v>
      </c>
      <c r="R245" s="111" t="s">
        <v>68</v>
      </c>
      <c r="S245" s="111"/>
      <c r="T245" s="37"/>
      <c r="U245" s="227"/>
    </row>
    <row r="246" spans="1:21" x14ac:dyDescent="0.25">
      <c r="A246" s="615"/>
      <c r="B246" s="1084" t="s">
        <v>75</v>
      </c>
      <c r="C246" s="195">
        <f t="shared" ref="C246:I247" si="87">C231+C233+C235+C237+C239+C241+C243</f>
        <v>0</v>
      </c>
      <c r="D246" s="101">
        <f t="shared" si="87"/>
        <v>349</v>
      </c>
      <c r="E246" s="101">
        <f t="shared" si="87"/>
        <v>519.5</v>
      </c>
      <c r="F246" s="101">
        <f t="shared" si="87"/>
        <v>598</v>
      </c>
      <c r="G246" s="101">
        <f t="shared" si="87"/>
        <v>193</v>
      </c>
      <c r="H246" s="101">
        <f t="shared" si="87"/>
        <v>42</v>
      </c>
      <c r="I246" s="102">
        <f t="shared" si="87"/>
        <v>1701.5</v>
      </c>
      <c r="J246" s="340" t="s">
        <v>12</v>
      </c>
      <c r="K246" s="281">
        <f>K231+K233+K235+K237+K239+K243</f>
        <v>614348.07787234045</v>
      </c>
      <c r="L246" s="289">
        <f>L231+L233+L235+L237+L239+L241+L243</f>
        <v>649191.83787234046</v>
      </c>
      <c r="M246" s="1218" t="s">
        <v>12</v>
      </c>
      <c r="N246" s="69">
        <f>N231+N233+N235+N237+N239+N243</f>
        <v>614348.07787234045</v>
      </c>
      <c r="O246" s="68">
        <f>O231+O233+O235+O237+O239+O241+O243</f>
        <v>649191.83787234046</v>
      </c>
      <c r="P246" s="340" t="s">
        <v>12</v>
      </c>
      <c r="Q246" s="281">
        <f>Q231+Q233+Q235+Q237+Q239+Q243</f>
        <v>614348.07787234045</v>
      </c>
      <c r="R246" s="289">
        <f>R231+R233+R235+R237+R239+R241+R243</f>
        <v>649191.83787234046</v>
      </c>
      <c r="S246" s="68">
        <f>S231+S233+S235+S237+S239+S241+S243</f>
        <v>499838.54000000004</v>
      </c>
      <c r="T246" s="102"/>
      <c r="U246" s="232" t="s">
        <v>12</v>
      </c>
    </row>
    <row r="247" spans="1:21" s="235" customFormat="1" ht="16.2" thickBot="1" x14ac:dyDescent="0.35">
      <c r="A247" s="1086"/>
      <c r="B247" s="1085" t="s">
        <v>76</v>
      </c>
      <c r="C247" s="1076">
        <f t="shared" si="87"/>
        <v>0</v>
      </c>
      <c r="D247" s="1077">
        <f t="shared" si="87"/>
        <v>14261</v>
      </c>
      <c r="E247" s="1077">
        <f t="shared" si="87"/>
        <v>18949</v>
      </c>
      <c r="F247" s="1077">
        <f t="shared" si="87"/>
        <v>25036</v>
      </c>
      <c r="G247" s="1077">
        <f t="shared" si="87"/>
        <v>10702</v>
      </c>
      <c r="H247" s="1077">
        <f t="shared" si="87"/>
        <v>2461</v>
      </c>
      <c r="I247" s="1074">
        <f t="shared" si="87"/>
        <v>73659.39385902528</v>
      </c>
      <c r="J247" s="1070" t="s">
        <v>12</v>
      </c>
      <c r="K247" s="1071">
        <f>K232+K234+K236+K238+K240+K244</f>
        <v>98185250.68374835</v>
      </c>
      <c r="L247" s="1072">
        <f>L232+L234+L236+L238+L240+L242+L244</f>
        <v>57868494.185441993</v>
      </c>
      <c r="M247" s="1238" t="s">
        <v>12</v>
      </c>
      <c r="N247" s="1239">
        <f>N232+N234+N236+N238+N240+N244</f>
        <v>100866949.22490989</v>
      </c>
      <c r="O247" s="1073">
        <f>O232+O234+O236+O238+O240+O242+O244</f>
        <v>59449035.614583559</v>
      </c>
      <c r="P247" s="1240" t="s">
        <v>12</v>
      </c>
      <c r="Q247" s="1071">
        <f>Q232+Q234+Q236+Q238+Q240+Q244</f>
        <v>102075635.17036584</v>
      </c>
      <c r="R247" s="1072">
        <f>R232+R234+R236+R238+R240+R242+R244</f>
        <v>60161411.812836923</v>
      </c>
      <c r="S247" s="1073">
        <f>S232+S234+S236+S238+S240+S242+S244</f>
        <v>46297219.76733803</v>
      </c>
      <c r="T247" s="1241">
        <f>SUM(T231:T246)</f>
        <v>1079414.3421094753</v>
      </c>
      <c r="U247" s="1075">
        <f>SUM(U231:U246)</f>
        <v>11873234.720156413</v>
      </c>
    </row>
    <row r="248" spans="1:21" ht="13.8" thickTop="1" x14ac:dyDescent="0.25">
      <c r="M248" s="868"/>
      <c r="N248" s="868"/>
      <c r="O248" s="868"/>
    </row>
    <row r="249" spans="1:21" x14ac:dyDescent="0.25">
      <c r="M249" s="868"/>
      <c r="N249" s="868"/>
      <c r="O249" s="868"/>
    </row>
    <row r="250" spans="1:21" x14ac:dyDescent="0.25">
      <c r="M250" s="868"/>
      <c r="N250" s="868"/>
      <c r="O250" s="868"/>
    </row>
    <row r="251" spans="1:21" x14ac:dyDescent="0.25">
      <c r="M251" s="868"/>
      <c r="N251" s="868"/>
      <c r="O251" s="868"/>
      <c r="S251" s="653">
        <f>+S247+T247+U247</f>
        <v>59249868.829603925</v>
      </c>
    </row>
    <row r="252" spans="1:21" x14ac:dyDescent="0.25">
      <c r="M252" s="868"/>
      <c r="N252" s="868"/>
      <c r="O252" s="868"/>
    </row>
    <row r="253" spans="1:21" x14ac:dyDescent="0.25">
      <c r="M253" s="868"/>
      <c r="N253" s="868"/>
      <c r="O253" s="868"/>
    </row>
    <row r="254" spans="1:21" x14ac:dyDescent="0.25">
      <c r="M254" s="868"/>
      <c r="N254" s="868"/>
      <c r="O254" s="868"/>
    </row>
    <row r="255" spans="1:21" x14ac:dyDescent="0.25">
      <c r="M255" s="868"/>
      <c r="N255" s="868"/>
      <c r="O255" s="868"/>
    </row>
    <row r="256" spans="1:21" x14ac:dyDescent="0.25">
      <c r="M256" s="868"/>
      <c r="N256" s="868"/>
      <c r="O256" s="868"/>
    </row>
    <row r="257" spans="13:15" x14ac:dyDescent="0.25">
      <c r="M257" s="868"/>
      <c r="N257" s="868"/>
      <c r="O257" s="868"/>
    </row>
    <row r="258" spans="13:15" x14ac:dyDescent="0.25">
      <c r="M258" s="868"/>
      <c r="N258" s="868"/>
      <c r="O258" s="868"/>
    </row>
    <row r="259" spans="13:15" x14ac:dyDescent="0.25">
      <c r="M259" s="868"/>
      <c r="N259" s="868"/>
      <c r="O259" s="868"/>
    </row>
    <row r="260" spans="13:15" x14ac:dyDescent="0.25">
      <c r="M260" s="868"/>
      <c r="N260" s="868"/>
      <c r="O260" s="868"/>
    </row>
    <row r="261" spans="13:15" x14ac:dyDescent="0.25">
      <c r="M261" s="868"/>
      <c r="N261" s="868"/>
      <c r="O261" s="868"/>
    </row>
    <row r="262" spans="13:15" x14ac:dyDescent="0.25">
      <c r="M262" s="868"/>
      <c r="N262" s="868"/>
      <c r="O262" s="868"/>
    </row>
  </sheetData>
  <mergeCells count="39">
    <mergeCell ref="F2:G2"/>
    <mergeCell ref="N2:O2"/>
    <mergeCell ref="K2:L2"/>
    <mergeCell ref="G201:I201"/>
    <mergeCell ref="K12:L12"/>
    <mergeCell ref="N12:O12"/>
    <mergeCell ref="G108:I108"/>
    <mergeCell ref="G150:I150"/>
    <mergeCell ref="N23:O23"/>
    <mergeCell ref="G76:I76"/>
    <mergeCell ref="K151:L151"/>
    <mergeCell ref="K76:L76"/>
    <mergeCell ref="C3:I3"/>
    <mergeCell ref="G75:I75"/>
    <mergeCell ref="K109:L109"/>
    <mergeCell ref="N192:O192"/>
    <mergeCell ref="Q23:R23"/>
    <mergeCell ref="G11:I11"/>
    <mergeCell ref="K23:L23"/>
    <mergeCell ref="Q12:R12"/>
    <mergeCell ref="G54:I54"/>
    <mergeCell ref="G22:I22"/>
    <mergeCell ref="G53:I53"/>
    <mergeCell ref="K202:L202"/>
    <mergeCell ref="N54:O54"/>
    <mergeCell ref="N76:O76"/>
    <mergeCell ref="N151:O151"/>
    <mergeCell ref="N202:O202"/>
    <mergeCell ref="N109:O109"/>
    <mergeCell ref="K54:L54"/>
    <mergeCell ref="K155:L155"/>
    <mergeCell ref="N155:O155"/>
    <mergeCell ref="Q202:R202"/>
    <mergeCell ref="Q54:R54"/>
    <mergeCell ref="Q76:R76"/>
    <mergeCell ref="Q109:R109"/>
    <mergeCell ref="Q192:R192"/>
    <mergeCell ref="Q151:R151"/>
    <mergeCell ref="Q155:R155"/>
  </mergeCells>
  <phoneticPr fontId="2" type="noConversion"/>
  <dataValidations count="2">
    <dataValidation allowBlank="1" showInputMessage="1" showErrorMessage="1" sqref="D153:D154 D29:D35 D25:D26 D56:D59" xr:uid="{00000000-0002-0000-0800-000000000000}"/>
    <dataValidation type="list" allowBlank="1" showInputMessage="1" showErrorMessage="1" sqref="D78:D82" xr:uid="{00000000-0002-0000-0800-000001000000}">
      <formula1>YearList</formula1>
    </dataValidation>
  </dataValidations>
  <pageMargins left="0.25" right="0.28000000000000003" top="0.64" bottom="0.47" header="0.5" footer="0.44"/>
  <pageSetup scale="46" fitToHeight="25" orientation="landscape" r:id="rId1"/>
  <headerFooter alignWithMargins="0"/>
  <rowBreaks count="3" manualBreakCount="3">
    <brk id="73" max="16383" man="1"/>
    <brk id="148" max="16383" man="1"/>
    <brk id="2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Labor</vt:lpstr>
      <vt:lpstr>Inflation</vt:lpstr>
      <vt:lpstr>MonitorEquip</vt:lpstr>
      <vt:lpstr>SO2</vt:lpstr>
      <vt:lpstr>CO</vt:lpstr>
      <vt:lpstr>NO2</vt:lpstr>
      <vt:lpstr>O3</vt:lpstr>
      <vt:lpstr>PM10</vt:lpstr>
      <vt:lpstr>PM25</vt:lpstr>
      <vt:lpstr>Pb</vt:lpstr>
      <vt:lpstr>PAMSVOC</vt:lpstr>
      <vt:lpstr>PAMSNMOC</vt:lpstr>
      <vt:lpstr>PAMS NO2</vt:lpstr>
      <vt:lpstr>NF_PAMSSurfMet</vt:lpstr>
      <vt:lpstr>PAMS_Upper_Air</vt:lpstr>
      <vt:lpstr>PAMSCarbonyls</vt:lpstr>
      <vt:lpstr>PAMSCarbD</vt:lpstr>
      <vt:lpstr>PAMSHalfD</vt:lpstr>
      <vt:lpstr>NATTS</vt:lpstr>
      <vt:lpstr>Generic</vt:lpstr>
      <vt:lpstr>Summary</vt:lpstr>
      <vt:lpstr>Grand Total</vt:lpstr>
      <vt:lpstr>InflationTable</vt:lpstr>
      <vt:lpstr>Labor_rates_based_on_year</vt:lpstr>
      <vt:lpstr>Monitor_Costs</vt:lpstr>
      <vt:lpstr>Generic!Print_Area</vt:lpstr>
      <vt:lpstr>PAMS_Upper_Air!Print_Area</vt:lpstr>
      <vt:lpstr>PAMSNMOC!Print_Area</vt:lpstr>
      <vt:lpstr>Summary!Print_Area</vt:lpstr>
      <vt:lpstr>MonitorEquip!Print_Titles</vt:lpstr>
      <vt:lpstr>YearList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</dc:creator>
  <cp:lastModifiedBy>EPA</cp:lastModifiedBy>
  <cp:lastPrinted>2013-02-05T17:25:44Z</cp:lastPrinted>
  <dcterms:created xsi:type="dcterms:W3CDTF">2009-06-01T18:12:38Z</dcterms:created>
  <dcterms:modified xsi:type="dcterms:W3CDTF">2018-11-26T18:47:44Z</dcterms:modified>
</cp:coreProperties>
</file>