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F:\New ICRs\"/>
    </mc:Choice>
  </mc:AlternateContent>
  <xr:revisionPtr revIDLastSave="0" documentId="8_{232AF333-4AF6-407C-AF01-B3311626AA95}" xr6:coauthVersionLast="31" xr6:coauthVersionMax="31" xr10:uidLastSave="{00000000-0000-0000-0000-000000000000}"/>
  <bookViews>
    <workbookView xWindow="0" yWindow="0" windowWidth="19200" windowHeight="7410" xr2:uid="{00000000-000D-0000-FFFF-FFFF00000000}"/>
  </bookViews>
  <sheets>
    <sheet name="TABLE 1" sheetId="4" r:id="rId1"/>
    <sheet name="TABLE 2" sheetId="8" r:id="rId2"/>
  </sheets>
  <definedNames>
    <definedName name="_xlnm.Print_Area" localSheetId="0">'TABLE 1'!$A$1:$I$66</definedName>
  </definedNames>
  <calcPr calcId="179017"/>
</workbook>
</file>

<file path=xl/calcChain.xml><?xml version="1.0" encoding="utf-8"?>
<calcChain xmlns="http://schemas.openxmlformats.org/spreadsheetml/2006/main">
  <c r="F48" i="4" l="1"/>
  <c r="F47" i="4"/>
  <c r="F12" i="8" l="1"/>
  <c r="H12" i="8" s="1"/>
  <c r="F44" i="4"/>
  <c r="G44" i="4" s="1"/>
  <c r="L9" i="8"/>
  <c r="L8" i="8"/>
  <c r="L5" i="8"/>
  <c r="E23" i="4"/>
  <c r="E26" i="4" s="1"/>
  <c r="F23" i="4"/>
  <c r="H23" i="4" s="1"/>
  <c r="E22" i="4"/>
  <c r="F22" i="4" s="1"/>
  <c r="L23" i="4"/>
  <c r="E9" i="4" s="1"/>
  <c r="L27" i="4"/>
  <c r="E44" i="4" s="1"/>
  <c r="L26" i="4"/>
  <c r="E36" i="4" s="1"/>
  <c r="E37" i="4" s="1"/>
  <c r="I49" i="4"/>
  <c r="D44" i="4"/>
  <c r="D42" i="4"/>
  <c r="D39" i="4"/>
  <c r="F39" i="4"/>
  <c r="G39" i="4" s="1"/>
  <c r="D38" i="4"/>
  <c r="F38" i="4"/>
  <c r="D37" i="4"/>
  <c r="D36" i="4"/>
  <c r="D35" i="4"/>
  <c r="D32" i="4"/>
  <c r="F32" i="4"/>
  <c r="D26" i="4"/>
  <c r="F26" i="4" s="1"/>
  <c r="D25" i="4"/>
  <c r="F25" i="4" s="1"/>
  <c r="D24" i="4"/>
  <c r="F24" i="4" s="1"/>
  <c r="D23" i="4"/>
  <c r="D22" i="4"/>
  <c r="D21" i="4"/>
  <c r="F21" i="4"/>
  <c r="G21" i="4" s="1"/>
  <c r="I21" i="4" s="1"/>
  <c r="D20" i="4"/>
  <c r="F20" i="4"/>
  <c r="G20" i="4"/>
  <c r="D19" i="4"/>
  <c r="F19" i="4"/>
  <c r="H19" i="4" s="1"/>
  <c r="I19" i="4" s="1"/>
  <c r="D18" i="4"/>
  <c r="F18" i="4"/>
  <c r="H18" i="4" s="1"/>
  <c r="D17" i="4"/>
  <c r="F17" i="4"/>
  <c r="G17" i="4" s="1"/>
  <c r="D16" i="4"/>
  <c r="F16" i="4" s="1"/>
  <c r="D9" i="4"/>
  <c r="F9" i="4" s="1"/>
  <c r="I5" i="8"/>
  <c r="I6" i="8"/>
  <c r="I7" i="8"/>
  <c r="I8" i="8"/>
  <c r="D9" i="8"/>
  <c r="F9" i="8" s="1"/>
  <c r="D10" i="8"/>
  <c r="F10" i="8" s="1"/>
  <c r="G10" i="8" s="1"/>
  <c r="F15" i="8"/>
  <c r="G15" i="8" s="1"/>
  <c r="F16" i="8"/>
  <c r="H16" i="8" s="1"/>
  <c r="G18" i="4"/>
  <c r="H32" i="4"/>
  <c r="G32" i="4"/>
  <c r="H21" i="4"/>
  <c r="G19" i="4"/>
  <c r="G12" i="8"/>
  <c r="I12" i="8" l="1"/>
  <c r="E13" i="8"/>
  <c r="F13" i="8" s="1"/>
  <c r="G13" i="8" s="1"/>
  <c r="H10" i="8"/>
  <c r="I10" i="8" s="1"/>
  <c r="H13" i="8"/>
  <c r="H9" i="8"/>
  <c r="G9" i="8"/>
  <c r="I9" i="8" s="1"/>
  <c r="H15" i="8"/>
  <c r="I15" i="8" s="1"/>
  <c r="E14" i="8"/>
  <c r="G16" i="8"/>
  <c r="I16" i="8" s="1"/>
  <c r="G24" i="4"/>
  <c r="H24" i="4"/>
  <c r="I24" i="4"/>
  <c r="F36" i="4"/>
  <c r="H9" i="4"/>
  <c r="I9" i="4" s="1"/>
  <c r="G9" i="4"/>
  <c r="G16" i="4"/>
  <c r="H16" i="4"/>
  <c r="I16" i="4"/>
  <c r="F37" i="4"/>
  <c r="G25" i="4"/>
  <c r="I25" i="4" s="1"/>
  <c r="H25" i="4"/>
  <c r="H26" i="4"/>
  <c r="G26" i="4"/>
  <c r="I26" i="4" s="1"/>
  <c r="H22" i="4"/>
  <c r="G22" i="4"/>
  <c r="I22" i="4" s="1"/>
  <c r="H44" i="4"/>
  <c r="I44" i="4" s="1"/>
  <c r="H38" i="4"/>
  <c r="G38" i="4"/>
  <c r="I38" i="4" s="1"/>
  <c r="E35" i="4"/>
  <c r="I32" i="4"/>
  <c r="H39" i="4"/>
  <c r="I23" i="4"/>
  <c r="G23" i="4"/>
  <c r="H17" i="4"/>
  <c r="I17" i="4" s="1"/>
  <c r="I39" i="4"/>
  <c r="I18" i="4"/>
  <c r="H20" i="4"/>
  <c r="I20" i="4" s="1"/>
  <c r="I13" i="8" l="1"/>
  <c r="F14" i="8"/>
  <c r="E17" i="8"/>
  <c r="F17" i="8" s="1"/>
  <c r="I27" i="4"/>
  <c r="F35" i="4"/>
  <c r="E42" i="4"/>
  <c r="F42" i="4" s="1"/>
  <c r="H36" i="4"/>
  <c r="G36" i="4"/>
  <c r="I36" i="4"/>
  <c r="F27" i="4"/>
  <c r="H37" i="4"/>
  <c r="G37" i="4"/>
  <c r="I37" i="4" s="1"/>
  <c r="G17" i="8" l="1"/>
  <c r="H17" i="8"/>
  <c r="H14" i="8"/>
  <c r="G14" i="8"/>
  <c r="F20" i="8" s="1"/>
  <c r="G42" i="4"/>
  <c r="I42" i="4" s="1"/>
  <c r="H42" i="4"/>
  <c r="G35" i="4"/>
  <c r="I35" i="4" s="1"/>
  <c r="I47" i="4" s="1"/>
  <c r="I48" i="4" s="1"/>
  <c r="I50" i="4" s="1"/>
  <c r="H35" i="4"/>
  <c r="I52" i="4"/>
  <c r="I17" i="8" l="1"/>
  <c r="I14" i="8"/>
  <c r="I2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DWang</author>
  </authors>
  <commentList>
    <comment ref="A66" authorId="0" shapeId="0" xr:uid="{00000000-0006-0000-0000-000004000000}">
      <text>
        <r>
          <rPr>
            <b/>
            <sz val="9"/>
            <color indexed="81"/>
            <rFont val="Tahoma"/>
            <family val="2"/>
          </rPr>
          <t>DWang:</t>
        </r>
        <r>
          <rPr>
            <sz val="9"/>
            <color indexed="81"/>
            <rFont val="Tahoma"/>
            <family val="2"/>
          </rPr>
          <t xml:space="preserve">
Changed from "We have assumed that 10 percent of the decorative chromium electroplating plants (10% of 517 = 51.7) use trivalent chromium baths."</t>
        </r>
      </text>
    </comment>
  </commentList>
</comments>
</file>

<file path=xl/sharedStrings.xml><?xml version="1.0" encoding="utf-8"?>
<sst xmlns="http://schemas.openxmlformats.org/spreadsheetml/2006/main" count="174" uniqueCount="117">
  <si>
    <t>N/A</t>
  </si>
  <si>
    <t>Assumptions:</t>
  </si>
  <si>
    <t>1.  APPLICATIONS</t>
  </si>
  <si>
    <t>2.  SURVEY AND STUDIES</t>
  </si>
  <si>
    <t>B.  Required Activities</t>
  </si>
  <si>
    <t>C.  Create Information</t>
  </si>
  <si>
    <t>D.  Gather Existing Information</t>
  </si>
  <si>
    <t>B.  Plan Activities</t>
  </si>
  <si>
    <t>C.  Implement Activities</t>
  </si>
  <si>
    <t xml:space="preserve">(A)
EPA Hours per Occurence  (Technical hours)        </t>
  </si>
  <si>
    <t xml:space="preserve">(B)
Number of Occurences per Plant per Year </t>
  </si>
  <si>
    <t xml:space="preserve">(C)
EPA Hours per Year
(C=A x B)          </t>
  </si>
  <si>
    <t xml:space="preserve">(B)
Number of
Occurences
per Respondent
per Year                        </t>
  </si>
  <si>
    <t xml:space="preserve">(C)
Hours
per Respondent
per Year
(C=A x B)          </t>
  </si>
  <si>
    <t>5.  RECORDKEEPING REQUIREMENTS</t>
  </si>
  <si>
    <t>Performance test report</t>
  </si>
  <si>
    <t>Notification of actual startup</t>
  </si>
  <si>
    <t>3.  ACQUISITION, INSTALLATION, AND UTILIZATION OF TECHNOLOGY AND SYSTEMS</t>
  </si>
  <si>
    <t>4. REPORTING REQUIREMENTS</t>
  </si>
  <si>
    <t xml:space="preserve">Notification of compliance status </t>
  </si>
  <si>
    <t>D.  Develop Record System</t>
  </si>
  <si>
    <t xml:space="preserve">E.  Time to Enter and Transmit Information  </t>
  </si>
  <si>
    <t>Records of monitoring:</t>
  </si>
  <si>
    <t xml:space="preserve"> - Excess emissions</t>
  </si>
  <si>
    <t xml:space="preserve"> - Operation and maintenance</t>
  </si>
  <si>
    <t xml:space="preserve"> - Cumulative rectifier capacity</t>
  </si>
  <si>
    <t>F. Time to train personnel</t>
  </si>
  <si>
    <t>G. Time for Audits</t>
  </si>
  <si>
    <t>Quarterly compliance status reports for major sources</t>
  </si>
  <si>
    <t>Notification of construction / reconstruction</t>
  </si>
  <si>
    <r>
      <t>h</t>
    </r>
    <r>
      <rPr>
        <sz val="10"/>
        <rFont val="Times New Roman"/>
        <family val="1"/>
      </rPr>
      <t xml:space="preserve">  We have assumed that all sources are area sources.  </t>
    </r>
  </si>
  <si>
    <t>Notification of Actual Startup</t>
  </si>
  <si>
    <t>Notification of construction/ reconstruction</t>
  </si>
  <si>
    <r>
      <t>a</t>
    </r>
    <r>
      <rPr>
        <sz val="10"/>
        <rFont val="Times New Roman"/>
        <family val="1"/>
      </rPr>
      <t xml:space="preserve">  There are an estimated total of 1,343 chromium electroplating and anodizing operations nationwide.  Of this total, approximately 652 are hard chromium electroplating operations, 517 are decorative chromium electroplating operations, and 174 are chromium anodizing operations.  No net growth is predicted for this industry.  It is expected that new tanks will only be added to replace or expand existing capacity.  The ongoing monitoring, reporting, and recordkeeping for new tanks is the same as that for existing tanks.</t>
    </r>
  </si>
  <si>
    <t>Subtotal for Reporting Requirements</t>
  </si>
  <si>
    <t>Subtotal for Recordkeeping Requirements</t>
  </si>
  <si>
    <r>
      <t>Performance test</t>
    </r>
    <r>
      <rPr>
        <vertAlign val="superscript"/>
        <sz val="10"/>
        <rFont val="Times New Roman"/>
        <family val="1"/>
      </rPr>
      <t>c</t>
    </r>
  </si>
  <si>
    <r>
      <t xml:space="preserve">Monitoring of operations equipment </t>
    </r>
    <r>
      <rPr>
        <vertAlign val="superscript"/>
        <sz val="10"/>
        <rFont val="Times New Roman"/>
        <family val="1"/>
      </rPr>
      <t>d</t>
    </r>
  </si>
  <si>
    <r>
      <t xml:space="preserve">E.  Write Report </t>
    </r>
    <r>
      <rPr>
        <vertAlign val="superscript"/>
        <sz val="10"/>
        <rFont val="Times New Roman"/>
        <family val="1"/>
      </rPr>
      <t>a,e</t>
    </r>
  </si>
  <si>
    <r>
      <t xml:space="preserve">Semiannual reports of exceedances for area sources </t>
    </r>
    <r>
      <rPr>
        <vertAlign val="superscript"/>
        <sz val="10"/>
        <rFont val="Times New Roman"/>
        <family val="1"/>
      </rPr>
      <t xml:space="preserve"> g</t>
    </r>
  </si>
  <si>
    <r>
      <t xml:space="preserve">Semiannual compliance status reports for major sources </t>
    </r>
    <r>
      <rPr>
        <vertAlign val="superscript"/>
        <sz val="10"/>
        <rFont val="Times New Roman"/>
        <family val="1"/>
      </rPr>
      <t>h</t>
    </r>
  </si>
  <si>
    <r>
      <t xml:space="preserve">Quarterly compliance status reports for major sources </t>
    </r>
    <r>
      <rPr>
        <vertAlign val="superscript"/>
        <sz val="10"/>
        <rFont val="Times New Roman"/>
        <family val="1"/>
      </rPr>
      <t>h</t>
    </r>
  </si>
  <si>
    <r>
      <t xml:space="preserve">Request to reduce report frequency </t>
    </r>
    <r>
      <rPr>
        <vertAlign val="superscript"/>
        <sz val="10"/>
        <rFont val="Times New Roman"/>
        <family val="1"/>
      </rPr>
      <t>g</t>
    </r>
  </si>
  <si>
    <r>
      <t xml:space="preserve"> - Composite mesh pad/packed scrubber </t>
    </r>
    <r>
      <rPr>
        <vertAlign val="superscript"/>
        <sz val="10"/>
        <rFont val="Times New Roman"/>
        <family val="1"/>
      </rPr>
      <t>i</t>
    </r>
  </si>
  <si>
    <r>
      <t xml:space="preserve"> - Wetting agents (normal schedule) </t>
    </r>
    <r>
      <rPr>
        <vertAlign val="superscript"/>
        <sz val="10"/>
        <rFont val="Times New Roman"/>
        <family val="1"/>
      </rPr>
      <t>j,k</t>
    </r>
  </si>
  <si>
    <r>
      <t xml:space="preserve"> - Wetting agents (reduced frequency schedule) </t>
    </r>
    <r>
      <rPr>
        <vertAlign val="superscript"/>
        <sz val="10"/>
        <rFont val="Times New Roman"/>
        <family val="1"/>
      </rPr>
      <t>j,k</t>
    </r>
  </si>
  <si>
    <r>
      <t xml:space="preserve"> - Foam Blankets (normal schedule) </t>
    </r>
    <r>
      <rPr>
        <vertAlign val="superscript"/>
        <sz val="10"/>
        <rFont val="Times New Roman"/>
        <family val="1"/>
      </rPr>
      <t>l</t>
    </r>
  </si>
  <si>
    <r>
      <t xml:space="preserve"> - Foam Blankets (reduced frequency schedule) </t>
    </r>
    <r>
      <rPr>
        <vertAlign val="superscript"/>
        <sz val="10"/>
        <rFont val="Times New Roman"/>
        <family val="1"/>
      </rPr>
      <t>l</t>
    </r>
  </si>
  <si>
    <r>
      <t xml:space="preserve">Records of operations: </t>
    </r>
    <r>
      <rPr>
        <vertAlign val="superscript"/>
        <sz val="10"/>
        <rFont val="Times New Roman"/>
        <family val="1"/>
      </rPr>
      <t>m</t>
    </r>
  </si>
  <si>
    <r>
      <t xml:space="preserve"> - Records of trivalent chromium bath purchases </t>
    </r>
    <r>
      <rPr>
        <vertAlign val="superscript"/>
        <sz val="10"/>
        <rFont val="Times New Roman"/>
        <family val="1"/>
      </rPr>
      <t>n</t>
    </r>
  </si>
  <si>
    <t>------------------------See 4E---------------------------</t>
  </si>
  <si>
    <t>------------------------See 5E---------------------------</t>
  </si>
  <si>
    <t>------------------------See 4B and 5E----------------------------</t>
  </si>
  <si>
    <t>------------------------See 4A----------------------------</t>
  </si>
  <si>
    <t>------------------------See 4B----------------------------</t>
  </si>
  <si>
    <r>
      <t>TOTAL LABOR BURDEN AND COST (rounded)</t>
    </r>
    <r>
      <rPr>
        <b/>
        <vertAlign val="superscript"/>
        <sz val="10"/>
        <rFont val="Times New Roman"/>
        <family val="1"/>
      </rPr>
      <t>o</t>
    </r>
  </si>
  <si>
    <r>
      <t xml:space="preserve">Notification of Compliance Status </t>
    </r>
    <r>
      <rPr>
        <vertAlign val="superscript"/>
        <sz val="10"/>
        <rFont val="Times New Roman"/>
        <family val="1"/>
      </rPr>
      <t>c</t>
    </r>
  </si>
  <si>
    <r>
      <t xml:space="preserve">Operation and maintenance plan </t>
    </r>
    <r>
      <rPr>
        <vertAlign val="superscript"/>
        <sz val="10"/>
        <rFont val="Times New Roman"/>
        <family val="1"/>
      </rPr>
      <t>d</t>
    </r>
  </si>
  <si>
    <r>
      <t>a</t>
    </r>
    <r>
      <rPr>
        <sz val="10"/>
        <rFont val="Times New Roman"/>
        <family val="1"/>
      </rPr>
      <t xml:space="preserve">  There are an estimated total of 1,770 chromium electroplating and anodizing operations nationwide.  Of this total, approximately 652 are hard chromium electroplating operations, 517 are decorative chromium electroplating operations, and 174 are chromium anodizing operations.  No net growth is predicted for this industry.  It is expected that new tanks will only be added to replace or expand existing capacity.  The ongoing monitoring, reporting, and recordkeeping for new tanks is the same as that for existing tanks.</t>
    </r>
  </si>
  <si>
    <r>
      <t xml:space="preserve">Notification of Performance Test </t>
    </r>
    <r>
      <rPr>
        <vertAlign val="superscript"/>
        <sz val="10"/>
        <rFont val="Times New Roman"/>
        <family val="1"/>
      </rPr>
      <t>c</t>
    </r>
  </si>
  <si>
    <r>
      <t xml:space="preserve">Reports of Performance Test results </t>
    </r>
    <r>
      <rPr>
        <vertAlign val="superscript"/>
        <sz val="10"/>
        <rFont val="Times New Roman"/>
        <family val="1"/>
      </rPr>
      <t>c</t>
    </r>
  </si>
  <si>
    <r>
      <t>Annual compliance status reports for area sources</t>
    </r>
    <r>
      <rPr>
        <vertAlign val="superscript"/>
        <sz val="10"/>
        <rFont val="Times New Roman"/>
        <family val="1"/>
      </rPr>
      <t xml:space="preserve"> f, g</t>
    </r>
  </si>
  <si>
    <r>
      <t xml:space="preserve">o  </t>
    </r>
    <r>
      <rPr>
        <sz val="10"/>
        <rFont val="Times New Roman"/>
        <family val="1"/>
      </rPr>
      <t>Totals have been rounded to 3 significant figures.  Figures may not add exactly due to rounding.</t>
    </r>
  </si>
  <si>
    <t>Table 1: Annual Respondent Burden and Cost for NESHAP for Chromium Emissions from Hard and Decorative Chromium Electroplating and Chromium Anodizing Tanks (40 CFR part 63, subpart N) (Renewal)</t>
  </si>
  <si>
    <t>Table 2: Annual Agency Burden and Cost for NESHAP for Chromium Emissions from Hard and Decorative Chromium Electroplating and Chromium Anodizing Tanks (40 CFR part 63, subpart N) (Renewal)</t>
  </si>
  <si>
    <t>Respondent Type</t>
  </si>
  <si>
    <t>Number of Respondents</t>
  </si>
  <si>
    <t xml:space="preserve">hard chromium electroplating </t>
  </si>
  <si>
    <t>decorative chromium electroplating</t>
  </si>
  <si>
    <t>chromium anodizing operations</t>
  </si>
  <si>
    <t>decorative chromium electroplating plants using trivalent chromium baths</t>
  </si>
  <si>
    <t>Total</t>
  </si>
  <si>
    <r>
      <t>n</t>
    </r>
    <r>
      <rPr>
        <sz val="10"/>
        <rFont val="Times New Roman"/>
        <family val="1"/>
      </rPr>
      <t xml:space="preserve">  We have assumed that 10 percent of the decorative chromium electroplating plants (10% of 517 = 51.7) use trivalent chromium baths and 90 percent use hexavalent chromium baths (90% of 517 = 465.3).</t>
    </r>
  </si>
  <si>
    <r>
      <t>f</t>
    </r>
    <r>
      <rPr>
        <sz val="10"/>
        <rFont val="Times New Roman"/>
        <family val="1"/>
      </rPr>
      <t xml:space="preserve">  All sources, except decorative chromium electroplating plants using trivalent chromium bath (1,343 - 51.7 = 1,291.3), are required to submit compliance status reports.  Area sources are required to submit an annual compliance status report and major sources a semiannual compliance status report.</t>
    </r>
  </si>
  <si>
    <r>
      <t>g</t>
    </r>
    <r>
      <rPr>
        <sz val="10"/>
        <rFont val="Times New Roman"/>
        <family val="1"/>
      </rPr>
      <t xml:space="preserve">  If excess emissions occur at the plant, sources are required to submit reports on a more frequent basis (i.e., semiannually for area sources and quarterly for major sources) until the regulatory agency has approved the source request to reduce frequency of ongoing compliance status reports.  We have assumed that 80 percent of the sources (0.80 x 1,291.3 = 1,033.04) will have no excess emissions and 20 percent of the sources (0.20 x 1,291.3 = 258.26) will have excess emissions. We have also assumed that half of the area sources submitting semiannual reports due to excess emissions (0.5 x 258 = 129.13) will request the regulatory agency to approve a reduction in frequency for ongoing compliance status reports (i.e., back to annual reporting).  </t>
    </r>
  </si>
  <si>
    <r>
      <t>j</t>
    </r>
    <r>
      <rPr>
        <sz val="10"/>
        <rFont val="Times New Roman"/>
        <family val="1"/>
      </rPr>
      <t xml:space="preserve">  We have assumed that 85 percent of decorative chromium electroplating plants that use hexavalent chromium bath (85% of 465.3 = 395.51) and 70 percent of chromium anodizing plants (70%  of 174 = 121.8) will use wetting agents for a total of 517.31 sources. </t>
    </r>
  </si>
  <si>
    <r>
      <t xml:space="preserve">k </t>
    </r>
    <r>
      <rPr>
        <sz val="10"/>
        <rFont val="Times New Roman"/>
        <family val="1"/>
      </rPr>
      <t xml:space="preserve"> We have assumed that area sources using wetting agents will be required to monitor once every four hours for two 8-hours shifts (a 16-hour day), five days a week, 50 weeks per year per operating schedule if the source is on a regular monitoring schedule.  If the source is on a reduced monitoring schedule, it will be required to monitor once every 40 hours for 16-hour day, five days a week, 50 weeks per year per operating schedule.  We have assumed that  90 percent of the sources (90% of 517.31 = 465.57) will be on a normal schedule and 10 percent of the sources (10% of 517.31 = 51.73) are on a reduced schedule.</t>
    </r>
  </si>
  <si>
    <r>
      <t>m</t>
    </r>
    <r>
      <rPr>
        <sz val="10"/>
        <rFont val="Times New Roman"/>
        <family val="1"/>
      </rPr>
      <t xml:space="preserve">  We have assumed that all facilities with add-on control devices (639.49) would be required to have an approved Operation and Maintenance Plan for their operations.</t>
    </r>
  </si>
  <si>
    <t>decorative chromium electroplating plants using hexavalent chromium baths</t>
  </si>
  <si>
    <r>
      <t>d</t>
    </r>
    <r>
      <rPr>
        <sz val="10"/>
        <rFont val="Times New Roman"/>
        <family val="1"/>
      </rPr>
      <t xml:space="preserve">  There will be no periodic burden for the regulatory agency associated with this requirement although we have assumed that all facilities with add-on control devices (639) would be required to have an approved Operation and Maintenance Plan for its operations. </t>
    </r>
  </si>
  <si>
    <t xml:space="preserve"> </t>
  </si>
  <si>
    <r>
      <t>i</t>
    </r>
    <r>
      <rPr>
        <sz val="10"/>
        <rFont val="Times New Roman"/>
        <family val="1"/>
      </rPr>
      <t xml:space="preserve">  Totals have been rounded to 3 significant figures.  Figures may not add exactly due to rounding.</t>
    </r>
  </si>
  <si>
    <r>
      <t xml:space="preserve">Semiannual reports of exceedances for area sources </t>
    </r>
    <r>
      <rPr>
        <vertAlign val="superscript"/>
        <sz val="10"/>
        <rFont val="Times New Roman"/>
        <family val="1"/>
      </rPr>
      <t>f, g</t>
    </r>
  </si>
  <si>
    <r>
      <t>e</t>
    </r>
    <r>
      <rPr>
        <sz val="10"/>
        <rFont val="Times New Roman"/>
        <family val="1"/>
      </rPr>
      <t>Assumes Agency will review records of 5% of the 540 plants that use fume suppressants (540 x 0.05 = 26) to confirm that non-PFOS fume suppressants are being used.</t>
    </r>
  </si>
  <si>
    <r>
      <t xml:space="preserve">Plant records of fume suppressant use </t>
    </r>
    <r>
      <rPr>
        <vertAlign val="superscript"/>
        <sz val="9"/>
        <rFont val="Times New Roman"/>
        <family val="1"/>
      </rPr>
      <t>e</t>
    </r>
    <r>
      <rPr>
        <sz val="9"/>
        <rFont val="Times New Roman"/>
        <family val="1"/>
      </rPr>
      <t xml:space="preserve"> (2012 amendment)</t>
    </r>
  </si>
  <si>
    <t>hr/resp</t>
  </si>
  <si>
    <t>A.  Familiarization of Regulatory Requirements</t>
  </si>
  <si>
    <t>Operation and maintenance plan</t>
  </si>
  <si>
    <r>
      <t>l</t>
    </r>
    <r>
      <rPr>
        <sz val="10"/>
        <rFont val="Times New Roman"/>
        <family val="1"/>
      </rPr>
      <t xml:space="preserve">  We have assumed that sources will not elect to use foam blankets because the rule requires them to do compliance testing.  If sources elect to use foam blankets, the reduced monitoring schedule will require them to monitor once every 8 hours, per 16-hour day, five days a week, 50 weeks per year per operating schedule.  If the source is on a normal monitoring schedule it will be required to monitor once every hour, per 16-hour day, five days a week, 50 weeks per year per operating schedule. </t>
    </r>
  </si>
  <si>
    <r>
      <t>i</t>
    </r>
    <r>
      <rPr>
        <sz val="10"/>
        <rFont val="Times New Roman"/>
        <family val="1"/>
      </rPr>
      <t xml:space="preserve">  We have assumed that the monitoring required for composite mesh pad/packed bed scrubbers occurs once per day, 5 five days a week, 50 weeks per year for all plants with add-on control devices.  The number of facilities with add-on control devices is estimated to be 639.49 based on the assumption that 84 percent of hard chromium electroplating facilities (84% of 652 = 547.68), 13 percent of the decorative chromium electroplating that use hexavalent chromium bath (13%  of 465.3 = 60.49) and 18 percent of chromium anodizing facilities (18% of 174 = 31.32) will use add-on control devices.   </t>
    </r>
  </si>
  <si>
    <t>Notification of performance test</t>
  </si>
  <si>
    <r>
      <t>g</t>
    </r>
    <r>
      <rPr>
        <sz val="10"/>
        <rFont val="Times New Roman"/>
        <family val="1"/>
      </rPr>
      <t xml:space="preserve"> If excess emissions occur at the plant, sources are required to submit reports on a more frequent basis (i.e., semiannually for area sources and quarterly for major sources) until the regulatory agency has approved the source request to reduce frequency of ongoing compliance status reports.  We have assumed that 80 percent of the sources (0.80 x 1,291.3 = 1,033.04) will have no excess emissions and 20 percent of the sources (0.20 x 1,291.3 = 258.26) will have excess emissions. We have also assumed that half of the area sources submitting semiannual reports due to excess emissions (0.5 x 258 = 129.13) will request the regulatory agency to approve a reduction in frequency for ongoing compliance status reports (i.e., back to annual reporting).  </t>
    </r>
  </si>
  <si>
    <r>
      <t xml:space="preserve">f </t>
    </r>
    <r>
      <rPr>
        <sz val="10"/>
        <rFont val="Times New Roman"/>
        <family val="1"/>
      </rPr>
      <t>All sources, except decorative chromium electroplating plants using trivalent chromium bath (1,343 - 51.7 = 1,291.3), are required to submit compliance status reports.  Area sources are required to submit an annual compliance status report</t>
    </r>
    <r>
      <rPr>
        <sz val="10"/>
        <color rgb="FFFF0000"/>
        <rFont val="Times New Roman"/>
        <family val="1"/>
      </rPr>
      <t xml:space="preserve"> </t>
    </r>
    <r>
      <rPr>
        <sz val="10"/>
        <rFont val="Times New Roman"/>
        <family val="1"/>
      </rPr>
      <t>and major sources a semiannual compliance status report.</t>
    </r>
  </si>
  <si>
    <r>
      <t>e</t>
    </r>
    <r>
      <rPr>
        <sz val="10"/>
        <rFont val="Times New Roman"/>
        <family val="1"/>
      </rPr>
      <t xml:space="preserve">  Since there are no new respondents estimated, these requirements do not apply.</t>
    </r>
  </si>
  <si>
    <r>
      <t>c</t>
    </r>
    <r>
      <rPr>
        <sz val="10"/>
        <rFont val="Times New Roman"/>
        <family val="1"/>
      </rPr>
      <t xml:space="preserve">  Sources are required to conduct performance tests using Methods 306 or 306A of Appendix A, or the California Air Resources Board (CARB) Method 425 or SCAQMD Method 205.1, as an alternative, Method 306B, and alternate methods if the method has been validated using Method 301 of Appendix A. </t>
    </r>
  </si>
  <si>
    <r>
      <t>d</t>
    </r>
    <r>
      <rPr>
        <sz val="10"/>
        <rFont val="Times New Roman"/>
        <family val="1"/>
      </rPr>
      <t xml:space="preserve">  Sources are required to follow work practice standards at composite-mesh-pad (CMP) systems, packed-bed scrubbers (PBS), PBS/CMP systems, fiber-bed mist eliminators, and other air pollution control devices not listed in the rule, as well as monitoring operational parameters (i.e., pressure drop for composite mesh pad systems and fiber bed mist eliminators; pressure drop and velocity pressure for packed bed scrubbers, surface tension for wetting agents,  thickness of the foam for foam blanket fume suppressants, or the appropriate parameter for an alternative control option) and monitoring equipment.</t>
    </r>
  </si>
  <si>
    <r>
      <t>Report Review</t>
    </r>
    <r>
      <rPr>
        <strike/>
        <sz val="10"/>
        <color rgb="FFFF0000"/>
        <rFont val="Times New Roman"/>
        <family val="1"/>
      </rPr>
      <t xml:space="preserve"> </t>
    </r>
  </si>
  <si>
    <r>
      <t>c</t>
    </r>
    <r>
      <rPr>
        <sz val="10"/>
        <rFont val="Times New Roman"/>
        <family val="1"/>
      </rPr>
      <t xml:space="preserve">  Since there are no new respondents estimated, these requirements do not apply.</t>
    </r>
  </si>
  <si>
    <r>
      <t>b</t>
    </r>
    <r>
      <rPr>
        <sz val="10"/>
        <rFont val="Times New Roman"/>
        <family val="1"/>
      </rPr>
      <t xml:space="preserve">  This cost is based on the following hourly labor rates: $64.80 for Managerial (GS-13, Step 5, $40.50 + 60%), $48.08 for Technical (GS-12, Step 1, $48.08 + 30.05%) and $26.02 Clerical (GS-6, Step 3, $16.26 + 60%).  These rates are from the Office of Personnel Management (OPM) "2017 General Schedule" which excludes locality rates of pay. The rates have been increased by 60% to account for the benefit packages available to government employees.</t>
    </r>
  </si>
  <si>
    <t>A. Familiarization with Regulatory Requirements</t>
  </si>
  <si>
    <r>
      <t>b</t>
    </r>
    <r>
      <rPr>
        <sz val="10"/>
        <rFont val="Times New Roman"/>
        <family val="1"/>
      </rPr>
      <t xml:space="preserve"> This ICR uses the following labor rates:  $149.35 per hour for Executive, Administrative, and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The rates have been increased by 110 percent to account for the benefit packages available to those employed by private industry.</t>
    </r>
  </si>
  <si>
    <t>Burden Item</t>
  </si>
  <si>
    <r>
      <t>(D)
Number of
Respondents 
per Year</t>
    </r>
    <r>
      <rPr>
        <b/>
        <vertAlign val="superscript"/>
        <sz val="10"/>
        <rFont val="Times New Roman"/>
        <family val="1"/>
      </rPr>
      <t xml:space="preserve">a  </t>
    </r>
    <r>
      <rPr>
        <b/>
        <sz val="10"/>
        <rFont val="Times New Roman"/>
        <family val="1"/>
      </rPr>
      <t xml:space="preserve">                </t>
    </r>
  </si>
  <si>
    <r>
      <t xml:space="preserve">
Total
Labor Costs
per Year </t>
    </r>
    <r>
      <rPr>
        <b/>
        <vertAlign val="superscript"/>
        <sz val="10"/>
        <rFont val="Times New Roman"/>
        <family val="1"/>
      </rPr>
      <t>b</t>
    </r>
    <r>
      <rPr>
        <b/>
        <sz val="10"/>
        <rFont val="Times New Roman"/>
        <family val="1"/>
      </rPr>
      <t xml:space="preserve">               </t>
    </r>
  </si>
  <si>
    <t xml:space="preserve">(E)
Technical Hours
per Year
(E=C x D)        </t>
  </si>
  <si>
    <t xml:space="preserve">(F)
Management 
Hours per Year
(F= E x 0.05)        </t>
  </si>
  <si>
    <t xml:space="preserve">(G)
Clerical Hours 
per Year
(G= E x 0.1)        </t>
  </si>
  <si>
    <t xml:space="preserve">(A)
Respondent Hours
per Occurrence
     </t>
  </si>
  <si>
    <r>
      <t xml:space="preserve">(D)
Plants per Year </t>
    </r>
    <r>
      <rPr>
        <b/>
        <vertAlign val="superscript"/>
        <sz val="10"/>
        <rFont val="Times New Roman"/>
        <family val="1"/>
      </rPr>
      <t>a</t>
    </r>
  </si>
  <si>
    <r>
      <t xml:space="preserve">
Costs per Year  </t>
    </r>
    <r>
      <rPr>
        <b/>
        <vertAlign val="superscript"/>
        <sz val="10"/>
        <rFont val="Times New Roman"/>
        <family val="1"/>
      </rPr>
      <t>b</t>
    </r>
  </si>
  <si>
    <t xml:space="preserve">(E)            Technical Hours per Year               (E=C x D)        </t>
  </si>
  <si>
    <t xml:space="preserve">(F)
Management Hours per Year 
(F= E x 0.05)        </t>
  </si>
  <si>
    <t xml:space="preserve">(G)
Clerical Hours per Year
(G= E x 0.1)        </t>
  </si>
  <si>
    <r>
      <t xml:space="preserve">Annual compliance status reports for area sources </t>
    </r>
    <r>
      <rPr>
        <vertAlign val="superscript"/>
        <sz val="10"/>
        <rFont val="Times New Roman"/>
        <family val="1"/>
      </rPr>
      <t>f, g</t>
    </r>
  </si>
  <si>
    <r>
      <t>TOTAL (rounded</t>
    </r>
    <r>
      <rPr>
        <b/>
        <vertAlign val="superscript"/>
        <sz val="10"/>
        <rFont val="Times New Roman"/>
        <family val="1"/>
      </rPr>
      <t>i</t>
    </r>
    <r>
      <rPr>
        <b/>
        <sz val="10"/>
        <rFont val="Times New Roman"/>
        <family val="1"/>
      </rPr>
      <t>)</t>
    </r>
  </si>
  <si>
    <r>
      <t>TOTAL CAPITAL/O&amp;M COST (rounded)</t>
    </r>
    <r>
      <rPr>
        <b/>
        <vertAlign val="superscript"/>
        <sz val="10"/>
        <rFont val="Times New Roman"/>
        <family val="1"/>
      </rPr>
      <t>o</t>
    </r>
  </si>
  <si>
    <r>
      <t>GRAND TOTAL (rounded)</t>
    </r>
    <r>
      <rPr>
        <b/>
        <vertAlign val="superscript"/>
        <sz val="10"/>
        <rFont val="Times New Roman"/>
        <family val="1"/>
      </rPr>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</si>
</sst>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quot;$&quot;#,##0.00"/>
    <numFmt numFmtId="166" formatCode="0.0"/>
    <numFmt numFmtId="167" formatCode="#,##0.0"/>
  </numFmts>
  <fonts count="18" x14ac:knownFonts="1">
    <font>
      <sz val="10"/>
      <name val="Arial"/>
    </font>
    <font>
      <sz val="10"/>
      <name val="Times New Roman"/>
      <family val="1"/>
    </font>
    <font>
      <vertAlign val="superscript"/>
      <sz val="10"/>
      <name val="Times New Roman"/>
      <family val="1"/>
    </font>
    <font>
      <sz val="8"/>
      <name val="Arial"/>
      <family val="2"/>
    </font>
    <font>
      <b/>
      <sz val="12"/>
      <name val="Times New Roman"/>
      <family val="1"/>
    </font>
    <font>
      <u/>
      <sz val="10"/>
      <name val="Times New Roman"/>
      <family val="1"/>
    </font>
    <font>
      <sz val="10"/>
      <color indexed="9"/>
      <name val="Times New Roman"/>
      <family val="1"/>
    </font>
    <font>
      <b/>
      <sz val="10"/>
      <name val="Times New Roman"/>
      <family val="1"/>
    </font>
    <font>
      <b/>
      <vertAlign val="superscript"/>
      <sz val="10"/>
      <name val="Times New Roman"/>
      <family val="1"/>
    </font>
    <font>
      <sz val="12"/>
      <name val="Times New Roman"/>
      <family val="1"/>
    </font>
    <font>
      <sz val="9"/>
      <color indexed="81"/>
      <name val="Tahoma"/>
      <family val="2"/>
    </font>
    <font>
      <b/>
      <sz val="9"/>
      <color indexed="81"/>
      <name val="Tahoma"/>
      <family val="2"/>
    </font>
    <font>
      <sz val="9"/>
      <name val="Times New Roman"/>
      <family val="1"/>
    </font>
    <font>
      <vertAlign val="superscript"/>
      <sz val="9"/>
      <name val="Times New Roman"/>
      <family val="1"/>
    </font>
    <font>
      <sz val="10"/>
      <color rgb="FFFF0000"/>
      <name val="Times New Roman"/>
      <family val="1"/>
    </font>
    <font>
      <sz val="10"/>
      <color rgb="FF00B050"/>
      <name val="Times New Roman"/>
      <family val="1"/>
    </font>
    <font>
      <strike/>
      <sz val="10"/>
      <color rgb="FFFF0000"/>
      <name val="Times New Roman"/>
      <family val="1"/>
    </font>
    <font>
      <sz val="10"/>
      <name val="Arial"/>
      <family val="2"/>
    </font>
  </fonts>
  <fills count="6">
    <fill>
      <patternFill patternType="none"/>
    </fill>
    <fill>
      <patternFill patternType="gray125"/>
    </fill>
    <fill>
      <patternFill patternType="solid">
        <fgColor indexed="22"/>
        <bgColor indexed="22"/>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131">
    <xf numFmtId="0" fontId="0" fillId="0" borderId="0" xfId="0"/>
    <xf numFmtId="0" fontId="1" fillId="0" borderId="0" xfId="0" applyFont="1" applyAlignment="1">
      <alignment wrapText="1"/>
    </xf>
    <xf numFmtId="0" fontId="1" fillId="0" borderId="0" xfId="0" applyFont="1"/>
    <xf numFmtId="0" fontId="4" fillId="0" borderId="0" xfId="0" applyFont="1" applyAlignment="1">
      <alignment horizontal="left"/>
    </xf>
    <xf numFmtId="0" fontId="5" fillId="0" borderId="0" xfId="0" applyFont="1" applyFill="1" applyAlignment="1">
      <alignment horizontal="left" wrapText="1"/>
    </xf>
    <xf numFmtId="0" fontId="5" fillId="0" borderId="0" xfId="0" applyFont="1" applyAlignment="1">
      <alignment horizontal="left" wrapText="1"/>
    </xf>
    <xf numFmtId="0" fontId="5" fillId="0" borderId="0" xfId="0" applyFont="1" applyAlignment="1">
      <alignment wrapText="1"/>
    </xf>
    <xf numFmtId="0" fontId="4" fillId="0" borderId="0" xfId="0" applyFont="1" applyAlignment="1"/>
    <xf numFmtId="0" fontId="5" fillId="0" borderId="0" xfId="0" applyFont="1" applyFill="1" applyAlignment="1">
      <alignment wrapText="1"/>
    </xf>
    <xf numFmtId="0" fontId="6" fillId="0" borderId="0" xfId="0" applyFont="1" applyAlignment="1" applyProtection="1">
      <alignment horizontal="left"/>
    </xf>
    <xf numFmtId="0" fontId="1" fillId="0" borderId="4" xfId="0" applyFont="1" applyBorder="1" applyAlignment="1">
      <alignment horizontal="center"/>
    </xf>
    <xf numFmtId="0" fontId="1" fillId="0" borderId="5" xfId="0" applyFont="1" applyBorder="1" applyAlignment="1">
      <alignment horizontal="center"/>
    </xf>
    <xf numFmtId="0" fontId="1" fillId="0" borderId="5" xfId="0" applyFont="1" applyBorder="1" applyAlignment="1">
      <alignment horizontal="right"/>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5" xfId="0" applyFont="1" applyFill="1" applyBorder="1" applyAlignment="1">
      <alignment horizontal="right"/>
    </xf>
    <xf numFmtId="1" fontId="1" fillId="0" borderId="5" xfId="0" applyNumberFormat="1" applyFont="1" applyBorder="1" applyAlignment="1" applyProtection="1">
      <alignment horizontal="center"/>
    </xf>
    <xf numFmtId="2" fontId="1" fillId="0" borderId="5" xfId="0" applyNumberFormat="1" applyFont="1" applyBorder="1" applyAlignment="1" applyProtection="1">
      <alignment horizontal="center"/>
    </xf>
    <xf numFmtId="165" fontId="1" fillId="0" borderId="5" xfId="0" applyNumberFormat="1" applyFont="1" applyBorder="1" applyAlignment="1">
      <alignment horizontal="right"/>
    </xf>
    <xf numFmtId="1" fontId="1" fillId="0" borderId="0" xfId="0" applyNumberFormat="1" applyFont="1"/>
    <xf numFmtId="2" fontId="5" fillId="3" borderId="4" xfId="0" applyNumberFormat="1" applyFont="1" applyFill="1" applyBorder="1" applyAlignment="1">
      <alignment horizontal="center"/>
    </xf>
    <xf numFmtId="2" fontId="1" fillId="3" borderId="5" xfId="0" applyNumberFormat="1" applyFont="1" applyFill="1" applyBorder="1" applyAlignment="1">
      <alignment horizontal="center"/>
    </xf>
    <xf numFmtId="2" fontId="1" fillId="3" borderId="4" xfId="0" applyNumberFormat="1" applyFont="1" applyFill="1" applyBorder="1" applyAlignment="1">
      <alignment horizontal="center"/>
    </xf>
    <xf numFmtId="3" fontId="1" fillId="0" borderId="4" xfId="0" applyNumberFormat="1" applyFont="1" applyBorder="1" applyAlignment="1">
      <alignment horizontal="center"/>
    </xf>
    <xf numFmtId="3" fontId="1" fillId="0" borderId="5" xfId="0" applyNumberFormat="1" applyFont="1" applyBorder="1" applyAlignment="1">
      <alignment horizontal="center"/>
    </xf>
    <xf numFmtId="3" fontId="1" fillId="0" borderId="5" xfId="0" applyNumberFormat="1" applyFont="1" applyBorder="1" applyAlignment="1" applyProtection="1">
      <alignment horizontal="center"/>
    </xf>
    <xf numFmtId="0" fontId="7" fillId="0" borderId="6" xfId="0" applyFont="1" applyBorder="1" applyAlignment="1" applyProtection="1">
      <alignment horizontal="left" vertical="center"/>
    </xf>
    <xf numFmtId="2" fontId="1" fillId="0" borderId="6" xfId="0" applyNumberFormat="1" applyFont="1" applyBorder="1" applyAlignment="1">
      <alignment horizontal="center"/>
    </xf>
    <xf numFmtId="164" fontId="7" fillId="0" borderId="5" xfId="0" applyNumberFormat="1" applyFont="1" applyBorder="1" applyAlignment="1">
      <alignment horizontal="right"/>
    </xf>
    <xf numFmtId="1" fontId="7" fillId="0" borderId="7" xfId="0" applyNumberFormat="1" applyFont="1" applyBorder="1"/>
    <xf numFmtId="166" fontId="1" fillId="0" borderId="0" xfId="0" applyNumberFormat="1" applyFont="1"/>
    <xf numFmtId="0" fontId="1" fillId="0" borderId="6" xfId="0" applyFont="1" applyBorder="1" applyAlignment="1">
      <alignment horizontal="left" indent="1"/>
    </xf>
    <xf numFmtId="4" fontId="1" fillId="0" borderId="4" xfId="0" applyNumberFormat="1" applyFont="1" applyBorder="1" applyAlignment="1">
      <alignment horizontal="center"/>
    </xf>
    <xf numFmtId="0" fontId="1" fillId="0" borderId="8" xfId="0" applyFont="1" applyBorder="1" applyAlignment="1">
      <alignment horizontal="center"/>
    </xf>
    <xf numFmtId="0" fontId="1" fillId="0" borderId="6" xfId="0" applyFont="1" applyBorder="1" applyAlignment="1">
      <alignment horizontal="center"/>
    </xf>
    <xf numFmtId="0" fontId="7" fillId="0" borderId="6" xfId="0" applyFont="1" applyBorder="1"/>
    <xf numFmtId="0" fontId="5" fillId="0" borderId="0" xfId="0" applyFont="1"/>
    <xf numFmtId="1" fontId="1" fillId="0" borderId="5" xfId="0" applyNumberFormat="1" applyFont="1" applyBorder="1" applyAlignment="1">
      <alignment horizontal="center"/>
    </xf>
    <xf numFmtId="1" fontId="1" fillId="0" borderId="5" xfId="0" applyNumberFormat="1" applyFont="1" applyFill="1" applyBorder="1" applyAlignment="1">
      <alignment horizontal="center"/>
    </xf>
    <xf numFmtId="1" fontId="1" fillId="0" borderId="9" xfId="0" applyNumberFormat="1" applyFont="1" applyFill="1" applyBorder="1" applyAlignment="1">
      <alignment horizontal="center"/>
    </xf>
    <xf numFmtId="167" fontId="1" fillId="0" borderId="4" xfId="0" applyNumberFormat="1" applyFont="1" applyBorder="1" applyAlignment="1">
      <alignment horizontal="center"/>
    </xf>
    <xf numFmtId="0" fontId="1" fillId="0" borderId="0" xfId="0" applyFont="1" applyAlignment="1"/>
    <xf numFmtId="0" fontId="4" fillId="0" borderId="0" xfId="0" applyFont="1"/>
    <xf numFmtId="0" fontId="9" fillId="0" borderId="0" xfId="0" applyFont="1"/>
    <xf numFmtId="0" fontId="6" fillId="0" borderId="0" xfId="0" applyFont="1"/>
    <xf numFmtId="0" fontId="1" fillId="0" borderId="5" xfId="0" applyFont="1" applyBorder="1"/>
    <xf numFmtId="0" fontId="1" fillId="0" borderId="0" xfId="0" applyNumberFormat="1" applyFont="1"/>
    <xf numFmtId="165" fontId="1" fillId="0" borderId="0" xfId="0" applyNumberFormat="1" applyFont="1"/>
    <xf numFmtId="165" fontId="1" fillId="0" borderId="0" xfId="0" applyNumberFormat="1" applyFont="1" applyAlignment="1">
      <alignment wrapText="1"/>
    </xf>
    <xf numFmtId="1" fontId="1" fillId="0" borderId="4" xfId="0" applyNumberFormat="1" applyFont="1" applyBorder="1" applyAlignment="1">
      <alignment horizontal="center"/>
    </xf>
    <xf numFmtId="167" fontId="1" fillId="0" borderId="4" xfId="0" quotePrefix="1" applyNumberFormat="1" applyFont="1" applyBorder="1" applyAlignment="1" applyProtection="1">
      <alignment horizontal="center"/>
    </xf>
    <xf numFmtId="0" fontId="7" fillId="0" borderId="5" xfId="0" applyFont="1" applyBorder="1" applyAlignment="1" applyProtection="1">
      <alignment horizontal="left" vertical="center"/>
    </xf>
    <xf numFmtId="0" fontId="1" fillId="0" borderId="5" xfId="0" applyFont="1" applyBorder="1" applyAlignment="1">
      <alignment horizontal="left"/>
    </xf>
    <xf numFmtId="1" fontId="1" fillId="0" borderId="4" xfId="0" quotePrefix="1" applyNumberFormat="1" applyFont="1" applyBorder="1" applyAlignment="1" applyProtection="1">
      <alignment horizontal="center"/>
    </xf>
    <xf numFmtId="0" fontId="1" fillId="0" borderId="5" xfId="0" applyFont="1" applyBorder="1" applyAlignment="1">
      <alignment wrapText="1"/>
    </xf>
    <xf numFmtId="0" fontId="1" fillId="0" borderId="5" xfId="0" applyFont="1" applyBorder="1" applyAlignment="1">
      <alignment horizontal="left" indent="1"/>
    </xf>
    <xf numFmtId="0" fontId="1" fillId="0" borderId="5" xfId="0" applyFont="1" applyBorder="1" applyAlignment="1">
      <alignment horizontal="left" indent="2"/>
    </xf>
    <xf numFmtId="0" fontId="1" fillId="0" borderId="5" xfId="0" applyFont="1" applyFill="1" applyBorder="1" applyAlignment="1">
      <alignment horizontal="left" indent="2"/>
    </xf>
    <xf numFmtId="0" fontId="1" fillId="0" borderId="5" xfId="0" applyFont="1" applyBorder="1" applyAlignment="1">
      <alignment horizontal="left" wrapText="1" indent="2"/>
    </xf>
    <xf numFmtId="2" fontId="1" fillId="0" borderId="5" xfId="0" applyNumberFormat="1" applyFont="1" applyFill="1" applyBorder="1" applyAlignment="1">
      <alignment horizontal="left"/>
    </xf>
    <xf numFmtId="0" fontId="7" fillId="4" borderId="5" xfId="0" applyFont="1" applyFill="1" applyBorder="1" applyAlignment="1">
      <alignment horizontal="center" wrapText="1"/>
    </xf>
    <xf numFmtId="0" fontId="1" fillId="0" borderId="5" xfId="0" applyFont="1" applyBorder="1" applyAlignment="1">
      <alignment horizontal="left" wrapText="1" indent="1"/>
    </xf>
    <xf numFmtId="2" fontId="1" fillId="0" borderId="5" xfId="0" applyNumberFormat="1" applyFont="1" applyBorder="1" applyAlignment="1">
      <alignment horizontal="center"/>
    </xf>
    <xf numFmtId="4" fontId="1" fillId="0" borderId="5" xfId="0" applyNumberFormat="1" applyFont="1" applyBorder="1" applyAlignment="1">
      <alignment horizontal="center"/>
    </xf>
    <xf numFmtId="2" fontId="1" fillId="0" borderId="9" xfId="0" applyNumberFormat="1" applyFont="1" applyFill="1" applyBorder="1" applyAlignment="1">
      <alignment horizontal="center"/>
    </xf>
    <xf numFmtId="166" fontId="1" fillId="0" borderId="5" xfId="0" applyNumberFormat="1" applyFont="1" applyBorder="1" applyAlignment="1" applyProtection="1">
      <alignment horizontal="center"/>
    </xf>
    <xf numFmtId="2" fontId="1" fillId="0" borderId="0" xfId="0" applyNumberFormat="1" applyFont="1" applyBorder="1" applyAlignment="1" applyProtection="1">
      <alignment horizontal="center"/>
    </xf>
    <xf numFmtId="0" fontId="1" fillId="0" borderId="0" xfId="0" applyFont="1" applyBorder="1"/>
    <xf numFmtId="0" fontId="15" fillId="0" borderId="0" xfId="0" applyFont="1"/>
    <xf numFmtId="4" fontId="1" fillId="0" borderId="5" xfId="0" applyNumberFormat="1" applyFont="1" applyFill="1" applyBorder="1" applyAlignment="1">
      <alignment horizontal="center"/>
    </xf>
    <xf numFmtId="166" fontId="1" fillId="0" borderId="5" xfId="0" applyNumberFormat="1" applyFont="1" applyBorder="1"/>
    <xf numFmtId="2" fontId="1" fillId="0" borderId="0" xfId="0" applyNumberFormat="1" applyFont="1"/>
    <xf numFmtId="3" fontId="1" fillId="0" borderId="5" xfId="0" applyNumberFormat="1" applyFont="1" applyFill="1" applyBorder="1" applyAlignment="1" applyProtection="1">
      <alignment horizontal="center"/>
    </xf>
    <xf numFmtId="0" fontId="15" fillId="0" borderId="0" xfId="0" applyFont="1" applyAlignment="1">
      <alignment wrapText="1"/>
    </xf>
    <xf numFmtId="165" fontId="1" fillId="5" borderId="5" xfId="0" applyNumberFormat="1" applyFont="1" applyFill="1" applyBorder="1" applyAlignment="1">
      <alignment horizontal="right"/>
    </xf>
    <xf numFmtId="164" fontId="7" fillId="5" borderId="5" xfId="0" applyNumberFormat="1" applyFont="1" applyFill="1" applyBorder="1" applyAlignment="1">
      <alignment horizontal="right"/>
    </xf>
    <xf numFmtId="0" fontId="1" fillId="5" borderId="11" xfId="0" applyFont="1" applyFill="1" applyBorder="1"/>
    <xf numFmtId="1" fontId="1" fillId="5" borderId="5" xfId="0" applyNumberFormat="1" applyFont="1" applyFill="1" applyBorder="1" applyAlignment="1">
      <alignment horizontal="center"/>
    </xf>
    <xf numFmtId="0" fontId="12" fillId="5" borderId="5" xfId="0" applyFont="1" applyFill="1" applyBorder="1" applyAlignment="1">
      <alignment horizontal="left" vertical="center" wrapText="1" indent="1"/>
    </xf>
    <xf numFmtId="1" fontId="1" fillId="5" borderId="4" xfId="0" applyNumberFormat="1" applyFont="1" applyFill="1" applyBorder="1" applyAlignment="1">
      <alignment horizontal="center"/>
    </xf>
    <xf numFmtId="2" fontId="1" fillId="5" borderId="5" xfId="0" applyNumberFormat="1" applyFont="1" applyFill="1" applyBorder="1" applyAlignment="1">
      <alignment horizontal="center"/>
    </xf>
    <xf numFmtId="0" fontId="1" fillId="5" borderId="12" xfId="0" applyFont="1" applyFill="1" applyBorder="1"/>
    <xf numFmtId="0" fontId="1" fillId="5" borderId="5" xfId="0" applyFont="1" applyFill="1" applyBorder="1"/>
    <xf numFmtId="0" fontId="1" fillId="5" borderId="5" xfId="0" applyFont="1" applyFill="1" applyBorder="1" applyAlignment="1">
      <alignment horizontal="center"/>
    </xf>
    <xf numFmtId="166" fontId="7" fillId="5" borderId="5" xfId="0" applyNumberFormat="1" applyFont="1" applyFill="1" applyBorder="1" applyAlignment="1">
      <alignment horizontal="center"/>
    </xf>
    <xf numFmtId="2" fontId="7" fillId="5" borderId="5" xfId="0" applyNumberFormat="1" applyFont="1" applyFill="1" applyBorder="1" applyAlignment="1">
      <alignment horizontal="center"/>
    </xf>
    <xf numFmtId="0" fontId="1" fillId="5" borderId="5" xfId="0" applyFont="1" applyFill="1" applyBorder="1" applyAlignment="1">
      <alignment horizontal="right"/>
    </xf>
    <xf numFmtId="0" fontId="1" fillId="5" borderId="5" xfId="0" applyFont="1" applyFill="1" applyBorder="1" applyAlignment="1" applyProtection="1">
      <alignment vertical="center"/>
    </xf>
    <xf numFmtId="164" fontId="1" fillId="5" borderId="5" xfId="0" applyNumberFormat="1" applyFont="1" applyFill="1" applyBorder="1" applyAlignment="1">
      <alignment horizontal="center"/>
    </xf>
    <xf numFmtId="0" fontId="7" fillId="5" borderId="5" xfId="0" applyFont="1" applyFill="1" applyBorder="1" applyAlignment="1" applyProtection="1">
      <alignment horizontal="left" vertical="center"/>
    </xf>
    <xf numFmtId="0" fontId="1" fillId="5" borderId="0" xfId="0" applyFont="1" applyFill="1"/>
    <xf numFmtId="0" fontId="5" fillId="5" borderId="0" xfId="0" applyFont="1" applyFill="1"/>
    <xf numFmtId="164" fontId="1" fillId="5" borderId="5" xfId="0" applyNumberFormat="1" applyFont="1" applyFill="1" applyBorder="1" applyAlignment="1">
      <alignment horizontal="right"/>
    </xf>
    <xf numFmtId="164" fontId="1" fillId="0" borderId="5" xfId="0" applyNumberFormat="1" applyFont="1" applyBorder="1" applyAlignment="1">
      <alignment horizontal="right"/>
    </xf>
    <xf numFmtId="0" fontId="7" fillId="2" borderId="5" xfId="0" applyFont="1" applyFill="1" applyBorder="1" applyAlignment="1" applyProtection="1">
      <alignment vertical="center" wrapText="1"/>
    </xf>
    <xf numFmtId="0" fontId="7" fillId="2" borderId="10" xfId="0"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2" borderId="1" xfId="0" quotePrefix="1" applyFont="1" applyFill="1" applyBorder="1" applyAlignment="1" applyProtection="1">
      <alignment horizontal="center" vertical="top" wrapText="1"/>
    </xf>
    <xf numFmtId="0" fontId="7" fillId="2" borderId="2" xfId="0" applyFont="1" applyFill="1" applyBorder="1" applyAlignment="1" applyProtection="1">
      <alignment horizontal="center" vertical="top" wrapText="1"/>
    </xf>
    <xf numFmtId="0" fontId="7" fillId="2" borderId="3" xfId="0" applyFont="1" applyFill="1" applyBorder="1" applyAlignment="1" applyProtection="1">
      <alignment horizontal="center" vertical="top" wrapText="1"/>
    </xf>
    <xf numFmtId="0" fontId="7" fillId="2" borderId="5" xfId="0" applyFont="1" applyFill="1" applyBorder="1" applyAlignment="1" applyProtection="1">
      <alignment horizontal="left" vertical="center" wrapText="1"/>
    </xf>
    <xf numFmtId="0" fontId="7" fillId="2" borderId="5" xfId="0" applyFont="1" applyFill="1" applyBorder="1" applyAlignment="1" applyProtection="1">
      <alignment horizontal="center" vertical="top" wrapText="1"/>
    </xf>
    <xf numFmtId="3" fontId="7" fillId="5" borderId="8" xfId="0" applyNumberFormat="1" applyFont="1" applyFill="1" applyBorder="1" applyAlignment="1">
      <alignment horizontal="center"/>
    </xf>
    <xf numFmtId="3" fontId="7" fillId="5" borderId="6" xfId="0" applyNumberFormat="1" applyFont="1" applyFill="1" applyBorder="1" applyAlignment="1">
      <alignment horizontal="center"/>
    </xf>
    <xf numFmtId="3" fontId="7" fillId="5" borderId="4" xfId="0" applyNumberFormat="1" applyFont="1" applyFill="1" applyBorder="1" applyAlignment="1">
      <alignment horizontal="center"/>
    </xf>
    <xf numFmtId="3" fontId="7" fillId="0" borderId="8" xfId="0" applyNumberFormat="1" applyFont="1" applyBorder="1" applyAlignment="1">
      <alignment horizontal="center"/>
    </xf>
    <xf numFmtId="3" fontId="7" fillId="0" borderId="6" xfId="0" applyNumberFormat="1" applyFont="1" applyBorder="1" applyAlignment="1">
      <alignment horizontal="center"/>
    </xf>
    <xf numFmtId="3" fontId="7" fillId="0" borderId="4" xfId="0" applyNumberFormat="1" applyFont="1" applyBorder="1" applyAlignment="1">
      <alignment horizontal="center"/>
    </xf>
    <xf numFmtId="0" fontId="2" fillId="0" borderId="15" xfId="0" applyFont="1" applyBorder="1" applyAlignment="1">
      <alignment horizontal="left" wrapText="1"/>
    </xf>
    <xf numFmtId="0" fontId="0" fillId="0" borderId="15" xfId="0" applyBorder="1" applyAlignment="1">
      <alignment horizontal="left" wrapText="1"/>
    </xf>
    <xf numFmtId="0" fontId="2" fillId="0" borderId="15" xfId="0" applyFont="1" applyFill="1" applyBorder="1" applyAlignment="1">
      <alignment horizontal="left" wrapText="1"/>
    </xf>
    <xf numFmtId="0" fontId="0" fillId="0" borderId="15" xfId="0" applyFill="1" applyBorder="1" applyAlignment="1">
      <alignment horizontal="left" wrapText="1"/>
    </xf>
    <xf numFmtId="0" fontId="2" fillId="0" borderId="0" xfId="0" applyFont="1" applyAlignment="1">
      <alignment horizontal="left" wrapText="1"/>
    </xf>
    <xf numFmtId="0" fontId="0" fillId="0" borderId="0" xfId="0" applyAlignment="1">
      <alignment horizontal="left" wrapText="1"/>
    </xf>
    <xf numFmtId="0" fontId="2" fillId="5" borderId="15" xfId="0" applyFont="1" applyFill="1" applyBorder="1" applyAlignment="1">
      <alignment horizontal="left" vertical="top" wrapText="1"/>
    </xf>
    <xf numFmtId="0" fontId="0" fillId="5" borderId="15" xfId="0" applyFill="1" applyBorder="1" applyAlignment="1">
      <alignment horizontal="left" vertical="top" wrapText="1"/>
    </xf>
    <xf numFmtId="0" fontId="2" fillId="5" borderId="15" xfId="0" applyFont="1" applyFill="1" applyBorder="1" applyAlignment="1">
      <alignment horizontal="left" wrapText="1"/>
    </xf>
    <xf numFmtId="0" fontId="17" fillId="5" borderId="15" xfId="0" applyFont="1" applyFill="1" applyBorder="1" applyAlignment="1">
      <alignment horizontal="left" wrapText="1"/>
    </xf>
    <xf numFmtId="0" fontId="2" fillId="5" borderId="15" xfId="0" applyFont="1" applyFill="1" applyBorder="1" applyAlignment="1">
      <alignment horizontal="left" vertical="center" wrapText="1"/>
    </xf>
    <xf numFmtId="0" fontId="17" fillId="5" borderId="15" xfId="0" applyFont="1" applyFill="1" applyBorder="1" applyAlignment="1">
      <alignment horizontal="left" vertical="center" wrapText="1"/>
    </xf>
    <xf numFmtId="2" fontId="1" fillId="0" borderId="13" xfId="0" quotePrefix="1" applyNumberFormat="1" applyFont="1" applyBorder="1" applyAlignment="1" applyProtection="1">
      <alignment horizontal="center"/>
    </xf>
    <xf numFmtId="2" fontId="1" fillId="0" borderId="13" xfId="0" applyNumberFormat="1" applyFont="1" applyBorder="1" applyAlignment="1" applyProtection="1">
      <alignment horizontal="center"/>
    </xf>
    <xf numFmtId="2" fontId="1" fillId="0" borderId="14" xfId="0" applyNumberFormat="1" applyFont="1" applyBorder="1" applyAlignment="1" applyProtection="1">
      <alignment horizontal="center"/>
    </xf>
    <xf numFmtId="3" fontId="7" fillId="0" borderId="6" xfId="0" applyNumberFormat="1" applyFont="1" applyFill="1" applyBorder="1" applyAlignment="1">
      <alignment horizontal="center"/>
    </xf>
    <xf numFmtId="3" fontId="7" fillId="0" borderId="4" xfId="0" applyNumberFormat="1" applyFont="1" applyFill="1" applyBorder="1" applyAlignment="1">
      <alignment horizontal="center"/>
    </xf>
    <xf numFmtId="0" fontId="2" fillId="5" borderId="0" xfId="0" applyFont="1" applyFill="1" applyAlignment="1">
      <alignment horizontal="left" wrapText="1"/>
    </xf>
    <xf numFmtId="0" fontId="2" fillId="0" borderId="0" xfId="0" applyFont="1" applyAlignment="1">
      <alignment horizontal="left" wrapText="1" indent="1"/>
    </xf>
    <xf numFmtId="0" fontId="17" fillId="5" borderId="0" xfId="0" applyFont="1" applyFill="1" applyAlignment="1">
      <alignment horizontal="left" wrapText="1"/>
    </xf>
    <xf numFmtId="0" fontId="0" fillId="5" borderId="0" xfId="0" applyFill="1" applyAlignment="1">
      <alignment horizontal="left" wrapText="1"/>
    </xf>
    <xf numFmtId="0" fontId="2" fillId="0" borderId="0" xfId="0" applyFont="1" applyFill="1" applyAlignment="1">
      <alignment horizontal="left" wrapText="1"/>
    </xf>
    <xf numFmtId="0" fontId="0" fillId="0" borderId="0" xfId="0"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tabSelected="1" zoomScale="110" zoomScaleNormal="110" workbookViewId="0">
      <selection activeCell="H18" sqref="H18"/>
    </sheetView>
  </sheetViews>
  <sheetFormatPr defaultColWidth="9.140625" defaultRowHeight="12.75" x14ac:dyDescent="0.2"/>
  <cols>
    <col min="1" max="1" width="48.85546875" style="2" customWidth="1"/>
    <col min="2" max="2" width="15.85546875" style="2" customWidth="1"/>
    <col min="3" max="3" width="14.42578125" style="2" customWidth="1"/>
    <col min="4" max="4" width="14.85546875" style="2" customWidth="1"/>
    <col min="5" max="5" width="15.5703125" style="2" customWidth="1"/>
    <col min="6" max="6" width="14.5703125" style="2" customWidth="1"/>
    <col min="7" max="7" width="14.85546875" style="2" customWidth="1"/>
    <col min="8" max="8" width="13.85546875" style="2" customWidth="1"/>
    <col min="9" max="9" width="14.28515625" style="2" customWidth="1"/>
    <col min="10" max="10" width="9.7109375" style="2" bestFit="1" customWidth="1"/>
    <col min="11" max="11" width="41.140625" style="2" customWidth="1"/>
    <col min="12" max="12" width="11.7109375" style="2" customWidth="1"/>
    <col min="13" max="16384" width="9.140625" style="2"/>
  </cols>
  <sheetData>
    <row r="1" spans="1:10" s="6" customFormat="1" ht="15.75" x14ac:dyDescent="0.25">
      <c r="A1" s="3" t="s">
        <v>63</v>
      </c>
      <c r="B1" s="4"/>
      <c r="C1" s="4"/>
      <c r="D1" s="5"/>
      <c r="E1" s="5"/>
      <c r="F1" s="5"/>
      <c r="G1" s="5"/>
      <c r="H1" s="5"/>
    </row>
    <row r="2" spans="1:10" s="6" customFormat="1" ht="15.75" x14ac:dyDescent="0.25">
      <c r="A2" s="7"/>
      <c r="B2" s="8"/>
      <c r="C2" s="8"/>
    </row>
    <row r="3" spans="1:10" s="1" customFormat="1" ht="12.75" customHeight="1" x14ac:dyDescent="0.2">
      <c r="B3" s="9">
        <v>0.86956500000000003</v>
      </c>
      <c r="F3" s="48">
        <v>112.98</v>
      </c>
      <c r="G3" s="48">
        <v>149.35</v>
      </c>
      <c r="H3" s="48">
        <v>54.81</v>
      </c>
    </row>
    <row r="4" spans="1:10" ht="63.75" customHeight="1" x14ac:dyDescent="0.2">
      <c r="A4" s="94" t="s">
        <v>101</v>
      </c>
      <c r="B4" s="95" t="s">
        <v>107</v>
      </c>
      <c r="C4" s="96" t="s">
        <v>12</v>
      </c>
      <c r="D4" s="97" t="s">
        <v>13</v>
      </c>
      <c r="E4" s="96" t="s">
        <v>102</v>
      </c>
      <c r="F4" s="98" t="s">
        <v>104</v>
      </c>
      <c r="G4" s="98" t="s">
        <v>105</v>
      </c>
      <c r="H4" s="98" t="s">
        <v>106</v>
      </c>
      <c r="I4" s="99" t="s">
        <v>103</v>
      </c>
    </row>
    <row r="5" spans="1:10" x14ac:dyDescent="0.2">
      <c r="A5" s="45" t="s">
        <v>2</v>
      </c>
      <c r="B5" s="10" t="s">
        <v>0</v>
      </c>
      <c r="C5" s="11" t="s">
        <v>0</v>
      </c>
      <c r="D5" s="11" t="s">
        <v>0</v>
      </c>
      <c r="E5" s="11" t="s">
        <v>0</v>
      </c>
      <c r="F5" s="11" t="s">
        <v>0</v>
      </c>
      <c r="G5" s="11" t="s">
        <v>0</v>
      </c>
      <c r="H5" s="11" t="s">
        <v>0</v>
      </c>
      <c r="I5" s="12" t="s">
        <v>0</v>
      </c>
    </row>
    <row r="6" spans="1:10" x14ac:dyDescent="0.2">
      <c r="A6" s="45" t="s">
        <v>3</v>
      </c>
      <c r="B6" s="10" t="s">
        <v>0</v>
      </c>
      <c r="C6" s="11" t="s">
        <v>0</v>
      </c>
      <c r="D6" s="11" t="s">
        <v>0</v>
      </c>
      <c r="E6" s="11" t="s">
        <v>0</v>
      </c>
      <c r="F6" s="11" t="s">
        <v>0</v>
      </c>
      <c r="G6" s="11" t="s">
        <v>0</v>
      </c>
      <c r="H6" s="11" t="s">
        <v>0</v>
      </c>
      <c r="I6" s="12" t="s">
        <v>0</v>
      </c>
    </row>
    <row r="7" spans="1:10" ht="25.5" customHeight="1" x14ac:dyDescent="0.2">
      <c r="A7" s="54" t="s">
        <v>17</v>
      </c>
      <c r="B7" s="10" t="s">
        <v>0</v>
      </c>
      <c r="C7" s="11" t="s">
        <v>0</v>
      </c>
      <c r="D7" s="11" t="s">
        <v>0</v>
      </c>
      <c r="E7" s="11" t="s">
        <v>0</v>
      </c>
      <c r="F7" s="11" t="s">
        <v>0</v>
      </c>
      <c r="G7" s="11" t="s">
        <v>0</v>
      </c>
      <c r="H7" s="11" t="s">
        <v>0</v>
      </c>
      <c r="I7" s="12" t="s">
        <v>0</v>
      </c>
    </row>
    <row r="8" spans="1:10" x14ac:dyDescent="0.2">
      <c r="A8" s="52" t="s">
        <v>18</v>
      </c>
      <c r="B8" s="13"/>
      <c r="C8" s="14"/>
      <c r="D8" s="14"/>
      <c r="E8" s="14"/>
      <c r="F8" s="14"/>
      <c r="G8" s="14"/>
      <c r="H8" s="14"/>
      <c r="I8" s="15"/>
    </row>
    <row r="9" spans="1:10" x14ac:dyDescent="0.2">
      <c r="A9" s="55" t="s">
        <v>99</v>
      </c>
      <c r="B9" s="53">
        <v>1</v>
      </c>
      <c r="C9" s="16">
        <v>1</v>
      </c>
      <c r="D9" s="16">
        <f>B9*C9</f>
        <v>1</v>
      </c>
      <c r="E9" s="72">
        <f>L23</f>
        <v>1343</v>
      </c>
      <c r="F9" s="16">
        <f>+D9*E9</f>
        <v>1343</v>
      </c>
      <c r="G9" s="17">
        <f>+F9*0.05</f>
        <v>67.150000000000006</v>
      </c>
      <c r="H9" s="65">
        <f>+F9*0.1</f>
        <v>134.30000000000001</v>
      </c>
      <c r="I9" s="18">
        <f>(F9*$F$3)+(G9*$G$3)+(H9*$H$3)</f>
        <v>169121.97550000003</v>
      </c>
      <c r="J9" s="19"/>
    </row>
    <row r="10" spans="1:10" x14ac:dyDescent="0.2">
      <c r="A10" s="55" t="s">
        <v>4</v>
      </c>
      <c r="B10" s="20"/>
      <c r="C10" s="21"/>
      <c r="D10" s="21"/>
      <c r="E10" s="21"/>
      <c r="F10" s="21"/>
      <c r="G10" s="21"/>
      <c r="H10" s="21"/>
      <c r="I10" s="15"/>
    </row>
    <row r="11" spans="1:10" ht="15.75" x14ac:dyDescent="0.2">
      <c r="A11" s="56" t="s">
        <v>36</v>
      </c>
      <c r="B11" s="120" t="s">
        <v>50</v>
      </c>
      <c r="C11" s="121"/>
      <c r="D11" s="121"/>
      <c r="E11" s="121"/>
      <c r="F11" s="121"/>
      <c r="G11" s="121"/>
      <c r="H11" s="122"/>
      <c r="I11" s="18"/>
      <c r="J11" s="19"/>
    </row>
    <row r="12" spans="1:10" ht="15.75" x14ac:dyDescent="0.2">
      <c r="A12" s="56" t="s">
        <v>37</v>
      </c>
      <c r="B12" s="120" t="s">
        <v>51</v>
      </c>
      <c r="C12" s="121"/>
      <c r="D12" s="121"/>
      <c r="E12" s="121"/>
      <c r="F12" s="121"/>
      <c r="G12" s="121"/>
      <c r="H12" s="122"/>
      <c r="I12" s="18"/>
      <c r="J12" s="19"/>
    </row>
    <row r="13" spans="1:10" x14ac:dyDescent="0.2">
      <c r="A13" s="55" t="s">
        <v>5</v>
      </c>
      <c r="B13" s="120" t="s">
        <v>52</v>
      </c>
      <c r="C13" s="121"/>
      <c r="D13" s="121"/>
      <c r="E13" s="121"/>
      <c r="F13" s="121"/>
      <c r="G13" s="121"/>
      <c r="H13" s="122"/>
      <c r="I13" s="12"/>
    </row>
    <row r="14" spans="1:10" x14ac:dyDescent="0.2">
      <c r="A14" s="55" t="s">
        <v>6</v>
      </c>
      <c r="B14" s="120" t="s">
        <v>52</v>
      </c>
      <c r="C14" s="121"/>
      <c r="D14" s="121"/>
      <c r="E14" s="121"/>
      <c r="F14" s="121"/>
      <c r="G14" s="121"/>
      <c r="H14" s="122"/>
      <c r="I14" s="12" t="s">
        <v>0</v>
      </c>
    </row>
    <row r="15" spans="1:10" ht="15.75" x14ac:dyDescent="0.2">
      <c r="A15" s="55" t="s">
        <v>38</v>
      </c>
      <c r="B15" s="22"/>
      <c r="C15" s="21"/>
      <c r="D15" s="21"/>
      <c r="E15" s="21"/>
      <c r="F15" s="21"/>
      <c r="G15" s="21"/>
      <c r="H15" s="21"/>
      <c r="I15" s="15"/>
    </row>
    <row r="16" spans="1:10" x14ac:dyDescent="0.2">
      <c r="A16" s="56" t="s">
        <v>19</v>
      </c>
      <c r="B16" s="23">
        <v>2</v>
      </c>
      <c r="C16" s="24">
        <v>1</v>
      </c>
      <c r="D16" s="25">
        <f t="shared" ref="D16:D26" si="0">B16*C16</f>
        <v>2</v>
      </c>
      <c r="E16" s="24">
        <v>0</v>
      </c>
      <c r="F16" s="24">
        <f t="shared" ref="F16:F26" si="1">D16*E16</f>
        <v>0</v>
      </c>
      <c r="G16" s="24">
        <f t="shared" ref="G16:G26" si="2">F16*0.05</f>
        <v>0</v>
      </c>
      <c r="H16" s="24">
        <f t="shared" ref="H16:H26" si="3">F16*0.1</f>
        <v>0</v>
      </c>
      <c r="I16" s="92">
        <f t="shared" ref="I16:I26" si="4">(F16*$F$3)+(G16*$G$3)+(H16*$H$3)</f>
        <v>0</v>
      </c>
      <c r="J16" s="68"/>
    </row>
    <row r="17" spans="1:12" x14ac:dyDescent="0.2">
      <c r="A17" s="56" t="s">
        <v>16</v>
      </c>
      <c r="B17" s="23">
        <v>2</v>
      </c>
      <c r="C17" s="24">
        <v>1</v>
      </c>
      <c r="D17" s="25">
        <f t="shared" si="0"/>
        <v>2</v>
      </c>
      <c r="E17" s="24">
        <v>0</v>
      </c>
      <c r="F17" s="24">
        <f t="shared" si="1"/>
        <v>0</v>
      </c>
      <c r="G17" s="24">
        <f t="shared" si="2"/>
        <v>0</v>
      </c>
      <c r="H17" s="24">
        <f t="shared" si="3"/>
        <v>0</v>
      </c>
      <c r="I17" s="92">
        <f t="shared" si="4"/>
        <v>0</v>
      </c>
    </row>
    <row r="18" spans="1:12" x14ac:dyDescent="0.2">
      <c r="A18" s="56" t="s">
        <v>29</v>
      </c>
      <c r="B18" s="23">
        <v>2</v>
      </c>
      <c r="C18" s="24">
        <v>1</v>
      </c>
      <c r="D18" s="25">
        <f t="shared" si="0"/>
        <v>2</v>
      </c>
      <c r="E18" s="24">
        <v>0</v>
      </c>
      <c r="F18" s="24">
        <f t="shared" si="1"/>
        <v>0</v>
      </c>
      <c r="G18" s="24">
        <f t="shared" si="2"/>
        <v>0</v>
      </c>
      <c r="H18" s="24">
        <f t="shared" si="3"/>
        <v>0</v>
      </c>
      <c r="I18" s="92">
        <f t="shared" si="4"/>
        <v>0</v>
      </c>
    </row>
    <row r="19" spans="1:12" x14ac:dyDescent="0.2">
      <c r="A19" s="56" t="s">
        <v>90</v>
      </c>
      <c r="B19" s="23">
        <v>2</v>
      </c>
      <c r="C19" s="24">
        <v>1</v>
      </c>
      <c r="D19" s="25">
        <f t="shared" si="0"/>
        <v>2</v>
      </c>
      <c r="E19" s="24">
        <v>0</v>
      </c>
      <c r="F19" s="24">
        <f t="shared" si="1"/>
        <v>0</v>
      </c>
      <c r="G19" s="24">
        <f t="shared" si="2"/>
        <v>0</v>
      </c>
      <c r="H19" s="24">
        <f t="shared" si="3"/>
        <v>0</v>
      </c>
      <c r="I19" s="92">
        <f t="shared" si="4"/>
        <v>0</v>
      </c>
    </row>
    <row r="20" spans="1:12" x14ac:dyDescent="0.2">
      <c r="A20" s="56" t="s">
        <v>15</v>
      </c>
      <c r="B20" s="23">
        <v>4</v>
      </c>
      <c r="C20" s="24">
        <v>1</v>
      </c>
      <c r="D20" s="25">
        <f t="shared" si="0"/>
        <v>4</v>
      </c>
      <c r="E20" s="24">
        <v>0</v>
      </c>
      <c r="F20" s="24">
        <f t="shared" si="1"/>
        <v>0</v>
      </c>
      <c r="G20" s="24">
        <f t="shared" si="2"/>
        <v>0</v>
      </c>
      <c r="H20" s="24">
        <f t="shared" si="3"/>
        <v>0</v>
      </c>
      <c r="I20" s="92">
        <f t="shared" si="4"/>
        <v>0</v>
      </c>
    </row>
    <row r="21" spans="1:12" x14ac:dyDescent="0.2">
      <c r="A21" s="57" t="s">
        <v>87</v>
      </c>
      <c r="B21" s="23">
        <v>10</v>
      </c>
      <c r="C21" s="24">
        <v>1</v>
      </c>
      <c r="D21" s="25">
        <f t="shared" si="0"/>
        <v>10</v>
      </c>
      <c r="E21" s="24">
        <v>0</v>
      </c>
      <c r="F21" s="24">
        <f t="shared" si="1"/>
        <v>0</v>
      </c>
      <c r="G21" s="24">
        <f t="shared" si="2"/>
        <v>0</v>
      </c>
      <c r="H21" s="24">
        <f t="shared" si="3"/>
        <v>0</v>
      </c>
      <c r="I21" s="92">
        <f t="shared" si="4"/>
        <v>0</v>
      </c>
    </row>
    <row r="22" spans="1:12" ht="25.5" x14ac:dyDescent="0.2">
      <c r="A22" s="57" t="s">
        <v>61</v>
      </c>
      <c r="B22" s="23">
        <v>4</v>
      </c>
      <c r="C22" s="24">
        <v>1</v>
      </c>
      <c r="D22" s="25">
        <f t="shared" si="0"/>
        <v>4</v>
      </c>
      <c r="E22" s="63">
        <f>(L23-L27)*0.8</f>
        <v>1033.04</v>
      </c>
      <c r="F22" s="63">
        <f>D22*E22</f>
        <v>4132.16</v>
      </c>
      <c r="G22" s="63">
        <f>F22*0.05</f>
        <v>206.608</v>
      </c>
      <c r="H22" s="63">
        <f>F22*0.1</f>
        <v>413.21600000000001</v>
      </c>
      <c r="I22" s="74">
        <f>(F22*$F$3)+(G22*$G$3)+(H22*$H$3)</f>
        <v>520356.71056000004</v>
      </c>
      <c r="K22" s="60" t="s">
        <v>65</v>
      </c>
      <c r="L22" s="60" t="s">
        <v>66</v>
      </c>
    </row>
    <row r="23" spans="1:12" ht="15.75" x14ac:dyDescent="0.2">
      <c r="A23" s="56" t="s">
        <v>39</v>
      </c>
      <c r="B23" s="23">
        <v>8</v>
      </c>
      <c r="C23" s="24">
        <v>2</v>
      </c>
      <c r="D23" s="25">
        <f t="shared" si="0"/>
        <v>16</v>
      </c>
      <c r="E23" s="63">
        <f>(L23-L27)*0.2</f>
        <v>258.26</v>
      </c>
      <c r="F23" s="63">
        <f t="shared" si="1"/>
        <v>4132.16</v>
      </c>
      <c r="G23" s="63">
        <f t="shared" si="2"/>
        <v>206.608</v>
      </c>
      <c r="H23" s="63">
        <f t="shared" si="3"/>
        <v>413.21600000000001</v>
      </c>
      <c r="I23" s="74">
        <f t="shared" si="4"/>
        <v>520356.71056000004</v>
      </c>
      <c r="K23" s="45" t="s">
        <v>71</v>
      </c>
      <c r="L23" s="45">
        <f>SUM(L24:L25,L28)</f>
        <v>1343</v>
      </c>
    </row>
    <row r="24" spans="1:12" ht="15.75" x14ac:dyDescent="0.2">
      <c r="A24" s="56" t="s">
        <v>40</v>
      </c>
      <c r="B24" s="23">
        <v>8</v>
      </c>
      <c r="C24" s="24">
        <v>2</v>
      </c>
      <c r="D24" s="25">
        <f t="shared" si="0"/>
        <v>16</v>
      </c>
      <c r="E24" s="24">
        <v>0</v>
      </c>
      <c r="F24" s="24">
        <f t="shared" si="1"/>
        <v>0</v>
      </c>
      <c r="G24" s="24">
        <f t="shared" si="2"/>
        <v>0</v>
      </c>
      <c r="H24" s="24">
        <f t="shared" si="3"/>
        <v>0</v>
      </c>
      <c r="I24" s="92">
        <f t="shared" si="4"/>
        <v>0</v>
      </c>
      <c r="K24" s="45" t="s">
        <v>67</v>
      </c>
      <c r="L24" s="45">
        <v>652</v>
      </c>
    </row>
    <row r="25" spans="1:12" ht="15.75" x14ac:dyDescent="0.2">
      <c r="A25" s="56" t="s">
        <v>41</v>
      </c>
      <c r="B25" s="23">
        <v>8</v>
      </c>
      <c r="C25" s="24">
        <v>2</v>
      </c>
      <c r="D25" s="25">
        <f t="shared" si="0"/>
        <v>16</v>
      </c>
      <c r="E25" s="24">
        <v>0</v>
      </c>
      <c r="F25" s="24">
        <f t="shared" si="1"/>
        <v>0</v>
      </c>
      <c r="G25" s="24">
        <f t="shared" si="2"/>
        <v>0</v>
      </c>
      <c r="H25" s="24">
        <f t="shared" si="3"/>
        <v>0</v>
      </c>
      <c r="I25" s="92">
        <f t="shared" si="4"/>
        <v>0</v>
      </c>
      <c r="K25" s="59" t="s">
        <v>68</v>
      </c>
      <c r="L25" s="45">
        <v>517</v>
      </c>
    </row>
    <row r="26" spans="1:12" ht="25.5" x14ac:dyDescent="0.2">
      <c r="A26" s="56" t="s">
        <v>42</v>
      </c>
      <c r="B26" s="23">
        <v>2</v>
      </c>
      <c r="C26" s="24">
        <v>1</v>
      </c>
      <c r="D26" s="25">
        <f t="shared" si="0"/>
        <v>2</v>
      </c>
      <c r="E26" s="63">
        <f>E23/2</f>
        <v>129.13</v>
      </c>
      <c r="F26" s="63">
        <f t="shared" si="1"/>
        <v>258.26</v>
      </c>
      <c r="G26" s="63">
        <f t="shared" si="2"/>
        <v>12.913</v>
      </c>
      <c r="H26" s="63">
        <f t="shared" si="3"/>
        <v>25.826000000000001</v>
      </c>
      <c r="I26" s="74">
        <f t="shared" si="4"/>
        <v>32522.294410000002</v>
      </c>
      <c r="K26" s="61" t="s">
        <v>78</v>
      </c>
      <c r="L26" s="45">
        <f>L25*0.9</f>
        <v>465.3</v>
      </c>
    </row>
    <row r="27" spans="1:12" ht="25.5" x14ac:dyDescent="0.2">
      <c r="A27" s="51" t="s">
        <v>34</v>
      </c>
      <c r="B27" s="27"/>
      <c r="C27" s="27"/>
      <c r="D27" s="27"/>
      <c r="E27" s="27"/>
      <c r="F27" s="123">
        <f>SUM(F9:H9,F16:H26)</f>
        <v>11345.417000000001</v>
      </c>
      <c r="G27" s="123"/>
      <c r="H27" s="124"/>
      <c r="I27" s="28">
        <f>SUM(I9:I26)</f>
        <v>1242357.6910300003</v>
      </c>
      <c r="J27" s="29"/>
      <c r="K27" s="61" t="s">
        <v>70</v>
      </c>
      <c r="L27" s="70">
        <f>L25*0.1</f>
        <v>51.7</v>
      </c>
    </row>
    <row r="28" spans="1:12" x14ac:dyDescent="0.2">
      <c r="A28" s="52" t="s">
        <v>14</v>
      </c>
      <c r="B28" s="22"/>
      <c r="C28" s="21"/>
      <c r="D28" s="21"/>
      <c r="E28" s="21"/>
      <c r="F28" s="21"/>
      <c r="G28" s="21"/>
      <c r="H28" s="21"/>
      <c r="I28" s="15"/>
      <c r="J28" s="30"/>
      <c r="K28" s="45" t="s">
        <v>69</v>
      </c>
      <c r="L28" s="45">
        <v>174</v>
      </c>
    </row>
    <row r="29" spans="1:12" x14ac:dyDescent="0.2">
      <c r="A29" s="55" t="s">
        <v>86</v>
      </c>
      <c r="B29" s="120" t="s">
        <v>53</v>
      </c>
      <c r="C29" s="121"/>
      <c r="D29" s="121"/>
      <c r="E29" s="121"/>
      <c r="F29" s="121"/>
      <c r="G29" s="121"/>
      <c r="H29" s="122"/>
      <c r="I29" s="12"/>
      <c r="J29" s="19"/>
    </row>
    <row r="30" spans="1:12" x14ac:dyDescent="0.2">
      <c r="A30" s="55" t="s">
        <v>7</v>
      </c>
      <c r="B30" s="120" t="s">
        <v>54</v>
      </c>
      <c r="C30" s="121"/>
      <c r="D30" s="121"/>
      <c r="E30" s="121"/>
      <c r="F30" s="121"/>
      <c r="G30" s="121"/>
      <c r="H30" s="122"/>
      <c r="I30" s="12"/>
      <c r="J30" s="19"/>
    </row>
    <row r="31" spans="1:12" x14ac:dyDescent="0.2">
      <c r="A31" s="55" t="s">
        <v>8</v>
      </c>
      <c r="B31" s="120" t="s">
        <v>54</v>
      </c>
      <c r="C31" s="121"/>
      <c r="D31" s="121"/>
      <c r="E31" s="121"/>
      <c r="F31" s="121"/>
      <c r="G31" s="121"/>
      <c r="H31" s="122"/>
      <c r="I31" s="12"/>
      <c r="J31" s="19"/>
    </row>
    <row r="32" spans="1:12" x14ac:dyDescent="0.2">
      <c r="A32" s="55" t="s">
        <v>20</v>
      </c>
      <c r="B32" s="10">
        <v>40</v>
      </c>
      <c r="C32" s="11">
        <v>1</v>
      </c>
      <c r="D32" s="16">
        <f>B32*C32</f>
        <v>40</v>
      </c>
      <c r="E32" s="37">
        <v>0</v>
      </c>
      <c r="F32" s="37">
        <f>D32*E32</f>
        <v>0</v>
      </c>
      <c r="G32" s="37">
        <f>F32*0.05</f>
        <v>0</v>
      </c>
      <c r="H32" s="37">
        <f>F32*0.1</f>
        <v>0</v>
      </c>
      <c r="I32" s="92">
        <f>(F32*$F$3)+(G32*$G$3)+(H32*$H$3)</f>
        <v>0</v>
      </c>
      <c r="J32" s="19"/>
    </row>
    <row r="33" spans="1:10" x14ac:dyDescent="0.2">
      <c r="A33" s="55" t="s">
        <v>21</v>
      </c>
      <c r="B33" s="22"/>
      <c r="C33" s="21"/>
      <c r="D33" s="21"/>
      <c r="E33" s="21"/>
      <c r="F33" s="21"/>
      <c r="G33" s="21"/>
      <c r="H33" s="21"/>
      <c r="I33" s="14"/>
      <c r="J33" s="19"/>
    </row>
    <row r="34" spans="1:10" ht="12.75" customHeight="1" x14ac:dyDescent="0.2">
      <c r="A34" s="58" t="s">
        <v>22</v>
      </c>
      <c r="B34" s="22"/>
      <c r="C34" s="21"/>
      <c r="D34" s="21"/>
      <c r="E34" s="21"/>
      <c r="F34" s="21"/>
      <c r="G34" s="21"/>
      <c r="H34" s="21"/>
      <c r="I34" s="14"/>
      <c r="J34" s="19"/>
    </row>
    <row r="35" spans="1:10" ht="12.75" customHeight="1" x14ac:dyDescent="0.2">
      <c r="A35" s="58" t="s">
        <v>43</v>
      </c>
      <c r="B35" s="40">
        <v>0.5</v>
      </c>
      <c r="C35" s="37">
        <v>250</v>
      </c>
      <c r="D35" s="16">
        <f>B35*C35</f>
        <v>125</v>
      </c>
      <c r="E35" s="62">
        <f>0.84*L24+0.13*L26+0.18*L28</f>
        <v>639.48900000000003</v>
      </c>
      <c r="F35" s="63">
        <f>D35*E35</f>
        <v>79936.125</v>
      </c>
      <c r="G35" s="63">
        <f>F35*0.05</f>
        <v>3996.8062500000001</v>
      </c>
      <c r="H35" s="63">
        <f>F35*0.1</f>
        <v>7993.6125000000002</v>
      </c>
      <c r="I35" s="18">
        <f>(F35*$F$3)+(G35*$G$3)+(H35*$H$3)</f>
        <v>10066236.317062501</v>
      </c>
      <c r="J35" s="19"/>
    </row>
    <row r="36" spans="1:10" ht="12.75" customHeight="1" x14ac:dyDescent="0.2">
      <c r="A36" s="58" t="s">
        <v>44</v>
      </c>
      <c r="B36" s="32">
        <v>0.25</v>
      </c>
      <c r="C36" s="37">
        <v>1000</v>
      </c>
      <c r="D36" s="16">
        <f>B36*C36</f>
        <v>250</v>
      </c>
      <c r="E36" s="69">
        <f>(0.85*L26+0.7*L28)*0.9</f>
        <v>465.57449999999994</v>
      </c>
      <c r="F36" s="63">
        <f>D36*E36</f>
        <v>116393.62499999999</v>
      </c>
      <c r="G36" s="63">
        <f>F36*0.05</f>
        <v>5819.6812499999996</v>
      </c>
      <c r="H36" s="63">
        <f>F36*0.1</f>
        <v>11639.362499999999</v>
      </c>
      <c r="I36" s="18">
        <f>(F36*$F$3)+(G36*$G$3)+(H36*$H$3)</f>
        <v>14657274.605812499</v>
      </c>
      <c r="J36" s="19"/>
    </row>
    <row r="37" spans="1:10" ht="12.75" customHeight="1" x14ac:dyDescent="0.2">
      <c r="A37" s="58" t="s">
        <v>45</v>
      </c>
      <c r="B37" s="32">
        <v>0.25</v>
      </c>
      <c r="C37" s="37">
        <v>100</v>
      </c>
      <c r="D37" s="16">
        <f>B37*C37</f>
        <v>25</v>
      </c>
      <c r="E37" s="69">
        <f>(E36/0.9)*0.1</f>
        <v>51.730499999999999</v>
      </c>
      <c r="F37" s="63">
        <f>D37*E37</f>
        <v>1293.2625</v>
      </c>
      <c r="G37" s="63">
        <f>F37*0.05</f>
        <v>64.663125000000008</v>
      </c>
      <c r="H37" s="63">
        <f>F37*0.1</f>
        <v>129.32625000000002</v>
      </c>
      <c r="I37" s="74">
        <f>(F37*$F$3)+(G37*$G$3)+(H37*$H$3)</f>
        <v>162858.60673125001</v>
      </c>
      <c r="J37" s="19"/>
    </row>
    <row r="38" spans="1:10" ht="12.75" customHeight="1" x14ac:dyDescent="0.2">
      <c r="A38" s="58" t="s">
        <v>46</v>
      </c>
      <c r="B38" s="32">
        <v>0.25</v>
      </c>
      <c r="C38" s="37">
        <v>4000</v>
      </c>
      <c r="D38" s="16">
        <f>B38*C38</f>
        <v>1000</v>
      </c>
      <c r="E38" s="38">
        <v>0</v>
      </c>
      <c r="F38" s="37">
        <f>D38*E38</f>
        <v>0</v>
      </c>
      <c r="G38" s="37">
        <f>F38*0.05</f>
        <v>0</v>
      </c>
      <c r="H38" s="37">
        <f>F38*0.1</f>
        <v>0</v>
      </c>
      <c r="I38" s="92">
        <f>(F38*$F$3)+(G38*$G$3)+(H38*$H$3)</f>
        <v>0</v>
      </c>
      <c r="J38" s="19"/>
    </row>
    <row r="39" spans="1:10" ht="12.75" customHeight="1" x14ac:dyDescent="0.2">
      <c r="A39" s="58" t="s">
        <v>47</v>
      </c>
      <c r="B39" s="32">
        <v>0.25</v>
      </c>
      <c r="C39" s="37">
        <v>500</v>
      </c>
      <c r="D39" s="16">
        <f>B39*C39</f>
        <v>125</v>
      </c>
      <c r="E39" s="39">
        <v>0</v>
      </c>
      <c r="F39" s="37">
        <f>D39*E39</f>
        <v>0</v>
      </c>
      <c r="G39" s="37">
        <f>F39*0.05</f>
        <v>0</v>
      </c>
      <c r="H39" s="37">
        <f>F39*0.1</f>
        <v>0</v>
      </c>
      <c r="I39" s="92">
        <f>(F39*$F$3)+(G39*$G$3)+(H39*$H$3)</f>
        <v>0</v>
      </c>
      <c r="J39" s="19"/>
    </row>
    <row r="40" spans="1:10" ht="12.75" customHeight="1" x14ac:dyDescent="0.2">
      <c r="A40" s="58" t="s">
        <v>23</v>
      </c>
      <c r="B40" s="120" t="s">
        <v>50</v>
      </c>
      <c r="C40" s="121"/>
      <c r="D40" s="121"/>
      <c r="E40" s="121"/>
      <c r="F40" s="121"/>
      <c r="G40" s="121"/>
      <c r="H40" s="122"/>
      <c r="I40" s="18"/>
      <c r="J40" s="19"/>
    </row>
    <row r="41" spans="1:10" ht="12.75" customHeight="1" x14ac:dyDescent="0.2">
      <c r="A41" s="58" t="s">
        <v>48</v>
      </c>
      <c r="B41" s="22"/>
      <c r="C41" s="21"/>
      <c r="D41" s="21"/>
      <c r="E41" s="21"/>
      <c r="F41" s="21"/>
      <c r="G41" s="21"/>
      <c r="H41" s="21"/>
      <c r="I41" s="14"/>
      <c r="J41" s="19"/>
    </row>
    <row r="42" spans="1:10" ht="12.75" customHeight="1" x14ac:dyDescent="0.2">
      <c r="A42" s="58" t="s">
        <v>24</v>
      </c>
      <c r="B42" s="49">
        <v>1</v>
      </c>
      <c r="C42" s="37">
        <v>4</v>
      </c>
      <c r="D42" s="16">
        <f>B42*C42</f>
        <v>4</v>
      </c>
      <c r="E42" s="64">
        <f>E35</f>
        <v>639.48900000000003</v>
      </c>
      <c r="F42" s="62">
        <f>D42*E42</f>
        <v>2557.9560000000001</v>
      </c>
      <c r="G42" s="62">
        <f>F42*0.05</f>
        <v>127.89780000000002</v>
      </c>
      <c r="H42" s="62">
        <f>F42*0.1</f>
        <v>255.79560000000004</v>
      </c>
      <c r="I42" s="18">
        <f>(F42*$F$3)+(G42*$G$3)+(H42*$H$3)</f>
        <v>322119.56214599998</v>
      </c>
      <c r="J42" s="19"/>
    </row>
    <row r="43" spans="1:10" ht="12.75" customHeight="1" x14ac:dyDescent="0.2">
      <c r="A43" s="58" t="s">
        <v>25</v>
      </c>
      <c r="B43" s="120" t="s">
        <v>50</v>
      </c>
      <c r="C43" s="121"/>
      <c r="D43" s="121"/>
      <c r="E43" s="121"/>
      <c r="F43" s="121"/>
      <c r="G43" s="121"/>
      <c r="H43" s="122"/>
      <c r="I43" s="18"/>
      <c r="J43" s="19"/>
    </row>
    <row r="44" spans="1:10" ht="12.75" customHeight="1" x14ac:dyDescent="0.2">
      <c r="A44" s="58" t="s">
        <v>49</v>
      </c>
      <c r="B44" s="50">
        <v>0.5</v>
      </c>
      <c r="C44" s="16">
        <v>12</v>
      </c>
      <c r="D44" s="16">
        <f>B44*C44</f>
        <v>6</v>
      </c>
      <c r="E44" s="66">
        <f>L27</f>
        <v>51.7</v>
      </c>
      <c r="F44" s="62">
        <f>D44*E44</f>
        <v>310.20000000000005</v>
      </c>
      <c r="G44" s="62">
        <f>F44*0.05</f>
        <v>15.510000000000003</v>
      </c>
      <c r="H44" s="62">
        <f>F44*0.1</f>
        <v>31.020000000000007</v>
      </c>
      <c r="I44" s="18">
        <f>(F44*$F$3)+(G44*$G$3)+(H44*$H$3)</f>
        <v>39063.020700000008</v>
      </c>
      <c r="J44" s="19"/>
    </row>
    <row r="45" spans="1:10" ht="12.75" customHeight="1" x14ac:dyDescent="0.2">
      <c r="A45" s="31" t="s">
        <v>26</v>
      </c>
      <c r="B45" s="10" t="s">
        <v>0</v>
      </c>
      <c r="C45" s="11" t="s">
        <v>0</v>
      </c>
      <c r="D45" s="11" t="s">
        <v>0</v>
      </c>
      <c r="E45" s="11" t="s">
        <v>0</v>
      </c>
      <c r="F45" s="11" t="s">
        <v>0</v>
      </c>
      <c r="G45" s="11" t="s">
        <v>0</v>
      </c>
      <c r="H45" s="11" t="s">
        <v>0</v>
      </c>
      <c r="I45" s="12" t="s">
        <v>0</v>
      </c>
      <c r="J45" s="19"/>
    </row>
    <row r="46" spans="1:10" ht="12.75" customHeight="1" x14ac:dyDescent="0.2">
      <c r="A46" s="31" t="s">
        <v>27</v>
      </c>
      <c r="B46" s="10" t="s">
        <v>0</v>
      </c>
      <c r="C46" s="11" t="s">
        <v>0</v>
      </c>
      <c r="D46" s="11" t="s">
        <v>0</v>
      </c>
      <c r="E46" s="11" t="s">
        <v>0</v>
      </c>
      <c r="F46" s="11" t="s">
        <v>0</v>
      </c>
      <c r="G46" s="11" t="s">
        <v>0</v>
      </c>
      <c r="H46" s="11" t="s">
        <v>0</v>
      </c>
      <c r="I46" s="12" t="s">
        <v>0</v>
      </c>
      <c r="J46" s="19"/>
    </row>
    <row r="47" spans="1:10" x14ac:dyDescent="0.2">
      <c r="A47" s="26" t="s">
        <v>35</v>
      </c>
      <c r="B47" s="33"/>
      <c r="C47" s="34"/>
      <c r="D47" s="34"/>
      <c r="E47" s="34"/>
      <c r="F47" s="102">
        <f>ROUND(SUM(F32:H46),0)</f>
        <v>230565</v>
      </c>
      <c r="G47" s="103"/>
      <c r="H47" s="104"/>
      <c r="I47" s="75">
        <f>ROUND(SUM(I32:I46),0)</f>
        <v>25247552</v>
      </c>
      <c r="J47" s="68"/>
    </row>
    <row r="48" spans="1:10" ht="15.75" x14ac:dyDescent="0.2">
      <c r="A48" s="35" t="s">
        <v>55</v>
      </c>
      <c r="B48" s="33"/>
      <c r="C48" s="34"/>
      <c r="D48" s="34"/>
      <c r="E48" s="34"/>
      <c r="F48" s="105">
        <f>ROUND(F47+F27,-3)</f>
        <v>242000</v>
      </c>
      <c r="G48" s="106"/>
      <c r="H48" s="107"/>
      <c r="I48" s="28">
        <f>ROUND(I27+I47,-5)</f>
        <v>26500000</v>
      </c>
    </row>
    <row r="49" spans="1:10" ht="15.75" x14ac:dyDescent="0.2">
      <c r="A49" s="35" t="s">
        <v>115</v>
      </c>
      <c r="B49" s="33"/>
      <c r="C49" s="34"/>
      <c r="D49" s="34"/>
      <c r="E49" s="34"/>
      <c r="F49" s="34"/>
      <c r="G49" s="34"/>
      <c r="H49" s="34"/>
      <c r="I49" s="28">
        <f>ROUND(20432348,-5)</f>
        <v>20400000</v>
      </c>
    </row>
    <row r="50" spans="1:10" ht="15.75" x14ac:dyDescent="0.2">
      <c r="A50" s="35" t="s">
        <v>116</v>
      </c>
      <c r="B50" s="33"/>
      <c r="C50" s="34"/>
      <c r="D50" s="34"/>
      <c r="E50" s="34"/>
      <c r="F50" s="34"/>
      <c r="G50" s="34"/>
      <c r="H50" s="34"/>
      <c r="I50" s="28">
        <f>ROUND(I49+I48,-5)</f>
        <v>46900000</v>
      </c>
    </row>
    <row r="52" spans="1:10" x14ac:dyDescent="0.2">
      <c r="A52" s="36" t="s">
        <v>1</v>
      </c>
      <c r="I52" s="19">
        <f>F48/1730</f>
        <v>139.88439306358381</v>
      </c>
      <c r="J52" s="2" t="s">
        <v>85</v>
      </c>
    </row>
    <row r="53" spans="1:10" ht="45.75" customHeight="1" x14ac:dyDescent="0.2">
      <c r="A53" s="108" t="s">
        <v>33</v>
      </c>
      <c r="B53" s="108"/>
      <c r="C53" s="108"/>
      <c r="D53" s="108"/>
      <c r="E53" s="108"/>
      <c r="F53" s="108"/>
      <c r="G53" s="108"/>
      <c r="H53" s="108"/>
      <c r="I53" s="108"/>
    </row>
    <row r="54" spans="1:10" ht="51" customHeight="1" x14ac:dyDescent="0.2">
      <c r="A54" s="114" t="s">
        <v>100</v>
      </c>
      <c r="B54" s="115"/>
      <c r="C54" s="115"/>
      <c r="D54" s="115"/>
      <c r="E54" s="115"/>
      <c r="F54" s="115"/>
      <c r="G54" s="115"/>
      <c r="H54" s="115"/>
      <c r="I54" s="115"/>
      <c r="J54" s="68"/>
    </row>
    <row r="55" spans="1:10" ht="30.75" customHeight="1" x14ac:dyDescent="0.2">
      <c r="A55" s="116" t="s">
        <v>94</v>
      </c>
      <c r="B55" s="117"/>
      <c r="C55" s="117"/>
      <c r="D55" s="117"/>
      <c r="E55" s="117"/>
      <c r="F55" s="117"/>
      <c r="G55" s="117"/>
      <c r="H55" s="117"/>
      <c r="I55" s="117"/>
    </row>
    <row r="56" spans="1:10" ht="39.75" customHeight="1" x14ac:dyDescent="0.2">
      <c r="A56" s="116" t="s">
        <v>95</v>
      </c>
      <c r="B56" s="117"/>
      <c r="C56" s="117"/>
      <c r="D56" s="117"/>
      <c r="E56" s="117"/>
      <c r="F56" s="117"/>
      <c r="G56" s="117"/>
      <c r="H56" s="117"/>
      <c r="I56" s="117"/>
    </row>
    <row r="57" spans="1:10" ht="15" customHeight="1" x14ac:dyDescent="0.2">
      <c r="A57" s="118" t="s">
        <v>93</v>
      </c>
      <c r="B57" s="119"/>
      <c r="C57" s="119"/>
      <c r="D57" s="119"/>
      <c r="E57" s="119"/>
      <c r="F57" s="119"/>
      <c r="G57" s="119"/>
      <c r="H57" s="119"/>
      <c r="I57" s="119"/>
      <c r="J57" s="73"/>
    </row>
    <row r="58" spans="1:10" ht="37.5" customHeight="1" x14ac:dyDescent="0.2">
      <c r="A58" s="108" t="s">
        <v>73</v>
      </c>
      <c r="B58" s="109"/>
      <c r="C58" s="109"/>
      <c r="D58" s="109"/>
      <c r="E58" s="109"/>
      <c r="F58" s="109"/>
      <c r="G58" s="109"/>
      <c r="H58" s="109"/>
      <c r="I58" s="109"/>
    </row>
    <row r="59" spans="1:10" ht="40.5" customHeight="1" x14ac:dyDescent="0.2">
      <c r="A59" s="108" t="s">
        <v>74</v>
      </c>
      <c r="B59" s="109"/>
      <c r="C59" s="109"/>
      <c r="D59" s="109"/>
      <c r="E59" s="109"/>
      <c r="F59" s="109"/>
      <c r="G59" s="109"/>
      <c r="H59" s="109"/>
      <c r="I59" s="109"/>
    </row>
    <row r="60" spans="1:10" ht="15.75" customHeight="1" x14ac:dyDescent="0.2">
      <c r="A60" s="108" t="s">
        <v>30</v>
      </c>
      <c r="B60" s="109"/>
      <c r="C60" s="109"/>
      <c r="D60" s="109"/>
      <c r="E60" s="109"/>
      <c r="F60" s="109"/>
      <c r="G60" s="109"/>
      <c r="H60" s="109"/>
      <c r="I60" s="109"/>
    </row>
    <row r="61" spans="1:10" ht="41.25" customHeight="1" x14ac:dyDescent="0.2">
      <c r="A61" s="108" t="s">
        <v>89</v>
      </c>
      <c r="B61" s="109"/>
      <c r="C61" s="109"/>
      <c r="D61" s="109"/>
      <c r="E61" s="109"/>
      <c r="F61" s="109"/>
      <c r="G61" s="109"/>
      <c r="H61" s="109"/>
      <c r="I61" s="109"/>
    </row>
    <row r="62" spans="1:10" ht="27.75" customHeight="1" x14ac:dyDescent="0.2">
      <c r="A62" s="108" t="s">
        <v>75</v>
      </c>
      <c r="B62" s="109"/>
      <c r="C62" s="109"/>
      <c r="D62" s="109"/>
      <c r="E62" s="109"/>
      <c r="F62" s="109"/>
      <c r="G62" s="109"/>
      <c r="H62" s="109"/>
      <c r="I62" s="109"/>
    </row>
    <row r="63" spans="1:10" ht="41.25" customHeight="1" x14ac:dyDescent="0.2">
      <c r="A63" s="108" t="s">
        <v>76</v>
      </c>
      <c r="B63" s="109"/>
      <c r="C63" s="109"/>
      <c r="D63" s="109"/>
      <c r="E63" s="109"/>
      <c r="F63" s="109"/>
      <c r="G63" s="109"/>
      <c r="H63" s="109"/>
      <c r="I63" s="109"/>
    </row>
    <row r="64" spans="1:10" ht="39.75" customHeight="1" x14ac:dyDescent="0.2">
      <c r="A64" s="108" t="s">
        <v>88</v>
      </c>
      <c r="B64" s="109"/>
      <c r="C64" s="109"/>
      <c r="D64" s="109"/>
      <c r="E64" s="109"/>
      <c r="F64" s="109"/>
      <c r="G64" s="109"/>
      <c r="H64" s="109"/>
      <c r="I64" s="109"/>
    </row>
    <row r="65" spans="1:9" ht="15.75" customHeight="1" x14ac:dyDescent="0.2">
      <c r="A65" s="108" t="s">
        <v>77</v>
      </c>
      <c r="B65" s="109"/>
      <c r="C65" s="109"/>
      <c r="D65" s="109"/>
      <c r="E65" s="109"/>
      <c r="F65" s="109"/>
      <c r="G65" s="109"/>
      <c r="H65" s="109"/>
      <c r="I65" s="109"/>
    </row>
    <row r="66" spans="1:9" x14ac:dyDescent="0.2">
      <c r="A66" s="110" t="s">
        <v>72</v>
      </c>
      <c r="B66" s="111"/>
      <c r="C66" s="111"/>
      <c r="D66" s="111"/>
      <c r="E66" s="111"/>
      <c r="F66" s="111"/>
      <c r="G66" s="111"/>
      <c r="H66" s="111"/>
      <c r="I66" s="111"/>
    </row>
    <row r="67" spans="1:9" x14ac:dyDescent="0.2">
      <c r="A67" s="112" t="s">
        <v>62</v>
      </c>
      <c r="B67" s="113"/>
      <c r="C67" s="113"/>
      <c r="D67" s="113"/>
      <c r="E67" s="113"/>
      <c r="F67" s="113"/>
      <c r="G67" s="113"/>
      <c r="H67" s="113"/>
      <c r="I67" s="113"/>
    </row>
  </sheetData>
  <mergeCells count="27">
    <mergeCell ref="A63:I63"/>
    <mergeCell ref="B11:H11"/>
    <mergeCell ref="B12:H12"/>
    <mergeCell ref="B14:H14"/>
    <mergeCell ref="B40:H40"/>
    <mergeCell ref="B43:H43"/>
    <mergeCell ref="B13:H13"/>
    <mergeCell ref="B31:H31"/>
    <mergeCell ref="B30:H30"/>
    <mergeCell ref="B29:H29"/>
    <mergeCell ref="F27:H27"/>
    <mergeCell ref="F47:H47"/>
    <mergeCell ref="F48:H48"/>
    <mergeCell ref="A65:I65"/>
    <mergeCell ref="A66:I66"/>
    <mergeCell ref="A67:I67"/>
    <mergeCell ref="A53:I53"/>
    <mergeCell ref="A54:I54"/>
    <mergeCell ref="A55:I55"/>
    <mergeCell ref="A56:I56"/>
    <mergeCell ref="A57:I57"/>
    <mergeCell ref="A64:I64"/>
    <mergeCell ref="A58:I58"/>
    <mergeCell ref="A59:I59"/>
    <mergeCell ref="A60:I60"/>
    <mergeCell ref="A61:I61"/>
    <mergeCell ref="A62:I62"/>
  </mergeCells>
  <phoneticPr fontId="3" type="noConversion"/>
  <pageMargins left="0.47" right="0.21" top="0.28999999999999998" bottom="0.28999999999999998" header="0.22" footer="0.24"/>
  <pageSetup scale="73" fitToHeight="2" orientation="landscape" r:id="rId1"/>
  <headerFooter alignWithMargins="0"/>
  <rowBreaks count="1" manualBreakCount="1">
    <brk id="50"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1"/>
  <sheetViews>
    <sheetView zoomScaleNormal="100" workbookViewId="0">
      <selection activeCell="A24" sqref="A24:I24"/>
    </sheetView>
  </sheetViews>
  <sheetFormatPr defaultColWidth="9.140625" defaultRowHeight="12.75" x14ac:dyDescent="0.2"/>
  <cols>
    <col min="1" max="1" width="42.85546875" style="2" customWidth="1"/>
    <col min="2" max="6" width="11.5703125" style="2" customWidth="1"/>
    <col min="7" max="7" width="13.42578125" style="2" customWidth="1"/>
    <col min="8" max="8" width="11.5703125" style="2" customWidth="1"/>
    <col min="9" max="9" width="12" style="2" customWidth="1"/>
    <col min="10" max="10" width="9.140625" style="2"/>
    <col min="11" max="11" width="43.85546875" style="2" customWidth="1"/>
    <col min="12" max="12" width="11.140625" style="2" customWidth="1"/>
    <col min="13" max="16384" width="9.140625" style="2"/>
  </cols>
  <sheetData>
    <row r="1" spans="1:12" ht="15.75" x14ac:dyDescent="0.25">
      <c r="A1" s="7" t="s">
        <v>64</v>
      </c>
      <c r="C1" s="41"/>
      <c r="D1" s="41"/>
      <c r="E1" s="41"/>
      <c r="F1" s="41"/>
      <c r="G1" s="41"/>
      <c r="H1" s="41"/>
    </row>
    <row r="2" spans="1:12" ht="15.75" x14ac:dyDescent="0.25">
      <c r="A2" s="42"/>
      <c r="C2" s="43"/>
    </row>
    <row r="3" spans="1:12" x14ac:dyDescent="0.2">
      <c r="B3" s="9">
        <v>0.86956500000000003</v>
      </c>
      <c r="C3" s="44"/>
      <c r="D3" s="44"/>
      <c r="E3" s="44"/>
      <c r="F3" s="47">
        <v>48.08</v>
      </c>
      <c r="G3" s="47">
        <v>64.8</v>
      </c>
      <c r="H3" s="47">
        <v>26.02</v>
      </c>
    </row>
    <row r="4" spans="1:12" ht="77.25" customHeight="1" x14ac:dyDescent="0.2">
      <c r="A4" s="100" t="s">
        <v>101</v>
      </c>
      <c r="B4" s="101" t="s">
        <v>9</v>
      </c>
      <c r="C4" s="101" t="s">
        <v>10</v>
      </c>
      <c r="D4" s="101" t="s">
        <v>11</v>
      </c>
      <c r="E4" s="101" t="s">
        <v>108</v>
      </c>
      <c r="F4" s="101" t="s">
        <v>110</v>
      </c>
      <c r="G4" s="101" t="s">
        <v>111</v>
      </c>
      <c r="H4" s="101" t="s">
        <v>112</v>
      </c>
      <c r="I4" s="101" t="s">
        <v>109</v>
      </c>
      <c r="K4" s="60" t="s">
        <v>65</v>
      </c>
      <c r="L4" s="60" t="s">
        <v>66</v>
      </c>
    </row>
    <row r="5" spans="1:12" ht="15.75" x14ac:dyDescent="0.2">
      <c r="A5" s="45" t="s">
        <v>56</v>
      </c>
      <c r="B5" s="37">
        <v>2</v>
      </c>
      <c r="C5" s="37">
        <v>1</v>
      </c>
      <c r="D5" s="37">
        <v>2</v>
      </c>
      <c r="E5" s="37">
        <v>0</v>
      </c>
      <c r="F5" s="37">
        <v>0</v>
      </c>
      <c r="G5" s="37">
        <v>0</v>
      </c>
      <c r="H5" s="37">
        <v>0</v>
      </c>
      <c r="I5" s="93">
        <f t="shared" ref="I5:I17" si="0">(F5*$F$3)+(G5*$G$3)+(H5*$H$3)</f>
        <v>0</v>
      </c>
      <c r="K5" s="45" t="s">
        <v>71</v>
      </c>
      <c r="L5" s="45">
        <f>SUM(L6:L7,L10)</f>
        <v>1343</v>
      </c>
    </row>
    <row r="6" spans="1:12" x14ac:dyDescent="0.2">
      <c r="A6" s="45" t="s">
        <v>31</v>
      </c>
      <c r="B6" s="37">
        <v>2</v>
      </c>
      <c r="C6" s="37">
        <v>1</v>
      </c>
      <c r="D6" s="37">
        <v>2</v>
      </c>
      <c r="E6" s="37">
        <v>0</v>
      </c>
      <c r="F6" s="37">
        <v>0</v>
      </c>
      <c r="G6" s="37">
        <v>0</v>
      </c>
      <c r="H6" s="37">
        <v>0</v>
      </c>
      <c r="I6" s="93">
        <f t="shared" si="0"/>
        <v>0</v>
      </c>
      <c r="K6" s="45" t="s">
        <v>67</v>
      </c>
      <c r="L6" s="45">
        <v>652</v>
      </c>
    </row>
    <row r="7" spans="1:12" x14ac:dyDescent="0.2">
      <c r="A7" s="45" t="s">
        <v>32</v>
      </c>
      <c r="B7" s="37">
        <v>2</v>
      </c>
      <c r="C7" s="37">
        <v>1</v>
      </c>
      <c r="D7" s="37">
        <v>2</v>
      </c>
      <c r="E7" s="37">
        <v>0</v>
      </c>
      <c r="F7" s="37">
        <v>0</v>
      </c>
      <c r="G7" s="37">
        <v>0</v>
      </c>
      <c r="H7" s="37">
        <v>0</v>
      </c>
      <c r="I7" s="93">
        <f t="shared" si="0"/>
        <v>0</v>
      </c>
      <c r="K7" s="59" t="s">
        <v>68</v>
      </c>
      <c r="L7" s="45">
        <v>517</v>
      </c>
    </row>
    <row r="8" spans="1:12" ht="25.5" x14ac:dyDescent="0.2">
      <c r="A8" s="45" t="s">
        <v>57</v>
      </c>
      <c r="B8" s="37">
        <v>2</v>
      </c>
      <c r="C8" s="37">
        <v>1</v>
      </c>
      <c r="D8" s="37">
        <v>2</v>
      </c>
      <c r="E8" s="37">
        <v>0</v>
      </c>
      <c r="F8" s="37">
        <v>0</v>
      </c>
      <c r="G8" s="37">
        <v>0</v>
      </c>
      <c r="H8" s="37">
        <v>0</v>
      </c>
      <c r="I8" s="93">
        <f t="shared" si="0"/>
        <v>0</v>
      </c>
      <c r="K8" s="61" t="s">
        <v>78</v>
      </c>
      <c r="L8" s="45">
        <f>L7*0.9</f>
        <v>465.3</v>
      </c>
    </row>
    <row r="9" spans="1:12" ht="25.5" x14ac:dyDescent="0.2">
      <c r="A9" s="45" t="s">
        <v>59</v>
      </c>
      <c r="B9" s="37">
        <v>2</v>
      </c>
      <c r="C9" s="37">
        <v>1</v>
      </c>
      <c r="D9" s="37">
        <f>+C9*B9</f>
        <v>2</v>
      </c>
      <c r="E9" s="37">
        <v>0</v>
      </c>
      <c r="F9" s="37">
        <f>D9*E9</f>
        <v>0</v>
      </c>
      <c r="G9" s="37">
        <f t="shared" ref="G9:G17" si="1">F9*0.05</f>
        <v>0</v>
      </c>
      <c r="H9" s="37">
        <f>F9*0.1</f>
        <v>0</v>
      </c>
      <c r="I9" s="93">
        <f t="shared" si="0"/>
        <v>0</v>
      </c>
      <c r="K9" s="61" t="s">
        <v>70</v>
      </c>
      <c r="L9" s="45">
        <f>L7*0.1</f>
        <v>51.7</v>
      </c>
    </row>
    <row r="10" spans="1:12" ht="15.75" x14ac:dyDescent="0.2">
      <c r="A10" s="45" t="s">
        <v>60</v>
      </c>
      <c r="B10" s="37">
        <v>2</v>
      </c>
      <c r="C10" s="37">
        <v>1</v>
      </c>
      <c r="D10" s="37">
        <f>+C10*B10</f>
        <v>2</v>
      </c>
      <c r="E10" s="37">
        <v>0</v>
      </c>
      <c r="F10" s="37">
        <f>D10*E10</f>
        <v>0</v>
      </c>
      <c r="G10" s="37">
        <f t="shared" si="1"/>
        <v>0</v>
      </c>
      <c r="H10" s="37">
        <f>F10*0.1</f>
        <v>0</v>
      </c>
      <c r="I10" s="93">
        <f t="shared" si="0"/>
        <v>0</v>
      </c>
      <c r="K10" s="45" t="s">
        <v>69</v>
      </c>
      <c r="L10" s="45">
        <v>174</v>
      </c>
    </row>
    <row r="11" spans="1:12" x14ac:dyDescent="0.2">
      <c r="A11" s="76" t="s">
        <v>96</v>
      </c>
      <c r="B11" s="77"/>
      <c r="C11" s="77"/>
      <c r="D11" s="77"/>
      <c r="E11" s="77"/>
      <c r="F11" s="77"/>
      <c r="G11" s="77"/>
      <c r="H11" s="77"/>
      <c r="I11" s="74"/>
      <c r="K11" s="67"/>
      <c r="L11" s="67"/>
    </row>
    <row r="12" spans="1:12" ht="25.5" x14ac:dyDescent="0.2">
      <c r="A12" s="78" t="s">
        <v>84</v>
      </c>
      <c r="B12" s="79">
        <v>2</v>
      </c>
      <c r="C12" s="77">
        <v>1</v>
      </c>
      <c r="D12" s="77">
        <v>2</v>
      </c>
      <c r="E12" s="80">
        <v>26</v>
      </c>
      <c r="F12" s="80">
        <f>D12*E12</f>
        <v>52</v>
      </c>
      <c r="G12" s="80">
        <f>F12*0.05</f>
        <v>2.6</v>
      </c>
      <c r="H12" s="80">
        <f t="shared" ref="H12:H17" si="2">F12*0.1</f>
        <v>5.2</v>
      </c>
      <c r="I12" s="74">
        <f>(F12*$F$3)+(G12*$G$3)+(H12*$H$3)</f>
        <v>2803.944</v>
      </c>
      <c r="J12" s="68"/>
      <c r="K12" s="67"/>
      <c r="L12" s="67"/>
    </row>
    <row r="13" spans="1:12" ht="15.75" x14ac:dyDescent="0.2">
      <c r="A13" s="81" t="s">
        <v>113</v>
      </c>
      <c r="B13" s="77">
        <v>2</v>
      </c>
      <c r="C13" s="77">
        <v>1</v>
      </c>
      <c r="D13" s="77">
        <v>2</v>
      </c>
      <c r="E13" s="80">
        <f>0.8*(L5-L9)</f>
        <v>1033.04</v>
      </c>
      <c r="F13" s="80">
        <f>D13*E13</f>
        <v>2066.08</v>
      </c>
      <c r="G13" s="80">
        <f t="shared" si="1"/>
        <v>103.304</v>
      </c>
      <c r="H13" s="80">
        <f t="shared" si="2"/>
        <v>206.608</v>
      </c>
      <c r="I13" s="74">
        <f t="shared" si="0"/>
        <v>111407.16575999999</v>
      </c>
    </row>
    <row r="14" spans="1:12" ht="15.75" x14ac:dyDescent="0.2">
      <c r="A14" s="82" t="s">
        <v>82</v>
      </c>
      <c r="B14" s="77">
        <v>2</v>
      </c>
      <c r="C14" s="77">
        <v>2</v>
      </c>
      <c r="D14" s="77">
        <v>4</v>
      </c>
      <c r="E14" s="80">
        <f>0.2*(L5-L9)</f>
        <v>258.26</v>
      </c>
      <c r="F14" s="80">
        <f>D14*E14</f>
        <v>1033.04</v>
      </c>
      <c r="G14" s="80">
        <f t="shared" si="1"/>
        <v>51.652000000000001</v>
      </c>
      <c r="H14" s="80">
        <f t="shared" si="2"/>
        <v>103.304</v>
      </c>
      <c r="I14" s="74">
        <f>(F14*$F$3)+(G14*$G$3)+(H14*$H$3)</f>
        <v>55703.582879999994</v>
      </c>
    </row>
    <row r="15" spans="1:12" ht="15.75" x14ac:dyDescent="0.2">
      <c r="A15" s="82" t="s">
        <v>40</v>
      </c>
      <c r="B15" s="77">
        <v>2</v>
      </c>
      <c r="C15" s="77">
        <v>1</v>
      </c>
      <c r="D15" s="77">
        <v>2</v>
      </c>
      <c r="E15" s="77">
        <v>0</v>
      </c>
      <c r="F15" s="77">
        <f>D15*E15</f>
        <v>0</v>
      </c>
      <c r="G15" s="77">
        <f t="shared" si="1"/>
        <v>0</v>
      </c>
      <c r="H15" s="77">
        <f t="shared" si="2"/>
        <v>0</v>
      </c>
      <c r="I15" s="92">
        <f>(F15*$F$3)+(G15*$G$3)+(H15*$H$3)</f>
        <v>0</v>
      </c>
    </row>
    <row r="16" spans="1:12" x14ac:dyDescent="0.2">
      <c r="A16" s="82" t="s">
        <v>28</v>
      </c>
      <c r="B16" s="77">
        <v>2</v>
      </c>
      <c r="C16" s="77">
        <v>1</v>
      </c>
      <c r="D16" s="77">
        <v>2</v>
      </c>
      <c r="E16" s="77">
        <v>0</v>
      </c>
      <c r="F16" s="77">
        <f>+D16*E16</f>
        <v>0</v>
      </c>
      <c r="G16" s="77">
        <f t="shared" si="1"/>
        <v>0</v>
      </c>
      <c r="H16" s="77">
        <f t="shared" si="2"/>
        <v>0</v>
      </c>
      <c r="I16" s="92">
        <f t="shared" si="0"/>
        <v>0</v>
      </c>
    </row>
    <row r="17" spans="1:20" ht="15.75" x14ac:dyDescent="0.2">
      <c r="A17" s="82" t="s">
        <v>42</v>
      </c>
      <c r="B17" s="77">
        <v>2</v>
      </c>
      <c r="C17" s="77">
        <v>1</v>
      </c>
      <c r="D17" s="77">
        <v>2</v>
      </c>
      <c r="E17" s="80">
        <f>E14/2</f>
        <v>129.13</v>
      </c>
      <c r="F17" s="80">
        <f>+D17*E17</f>
        <v>258.26</v>
      </c>
      <c r="G17" s="80">
        <f t="shared" si="1"/>
        <v>12.913</v>
      </c>
      <c r="H17" s="80">
        <f t="shared" si="2"/>
        <v>25.826000000000001</v>
      </c>
      <c r="I17" s="74">
        <f t="shared" si="0"/>
        <v>13925.895719999999</v>
      </c>
    </row>
    <row r="18" spans="1:20" x14ac:dyDescent="0.2">
      <c r="A18" s="82"/>
      <c r="B18" s="83"/>
      <c r="C18" s="83"/>
      <c r="D18" s="83"/>
      <c r="E18" s="83"/>
      <c r="F18" s="84"/>
      <c r="G18" s="85"/>
      <c r="H18" s="85"/>
      <c r="I18" s="86"/>
    </row>
    <row r="19" spans="1:20" x14ac:dyDescent="0.2">
      <c r="A19" s="87"/>
      <c r="B19" s="83"/>
      <c r="C19" s="83"/>
      <c r="D19" s="83"/>
      <c r="E19" s="83"/>
      <c r="F19" s="88"/>
      <c r="G19" s="82"/>
      <c r="H19" s="85"/>
      <c r="I19" s="86"/>
    </row>
    <row r="20" spans="1:20" ht="15.75" x14ac:dyDescent="0.2">
      <c r="A20" s="89" t="s">
        <v>114</v>
      </c>
      <c r="B20" s="83"/>
      <c r="C20" s="83"/>
      <c r="D20" s="83"/>
      <c r="E20" s="83"/>
      <c r="F20" s="102">
        <f>ROUND(SUM(F5:H17),-1)</f>
        <v>3920</v>
      </c>
      <c r="G20" s="103"/>
      <c r="H20" s="104"/>
      <c r="I20" s="75">
        <f>ROUND(SUM(I5:I17),-3)</f>
        <v>184000</v>
      </c>
    </row>
    <row r="21" spans="1:20" x14ac:dyDescent="0.2">
      <c r="A21" s="90"/>
      <c r="B21" s="90"/>
      <c r="C21" s="90"/>
      <c r="D21" s="90"/>
      <c r="E21" s="90"/>
      <c r="F21" s="90"/>
      <c r="G21" s="90"/>
      <c r="H21" s="90"/>
      <c r="I21" s="90"/>
    </row>
    <row r="22" spans="1:20" x14ac:dyDescent="0.2">
      <c r="A22" s="91" t="s">
        <v>1</v>
      </c>
      <c r="B22" s="90"/>
      <c r="C22" s="90"/>
      <c r="D22" s="90"/>
      <c r="E22" s="90"/>
      <c r="F22" s="90"/>
      <c r="G22" s="90"/>
      <c r="H22" s="90"/>
      <c r="I22" s="90"/>
    </row>
    <row r="23" spans="1:20" ht="48.75" customHeight="1" x14ac:dyDescent="0.2">
      <c r="A23" s="125" t="s">
        <v>58</v>
      </c>
      <c r="B23" s="125"/>
      <c r="C23" s="125"/>
      <c r="D23" s="125"/>
      <c r="E23" s="125"/>
      <c r="F23" s="125"/>
      <c r="G23" s="125"/>
      <c r="H23" s="125"/>
      <c r="I23" s="125"/>
      <c r="J23" s="126"/>
      <c r="K23" s="126"/>
      <c r="L23" s="126"/>
      <c r="M23" s="126"/>
      <c r="N23" s="126"/>
      <c r="O23" s="126"/>
      <c r="P23" s="126"/>
      <c r="Q23" s="126"/>
      <c r="R23" s="126"/>
      <c r="S23" s="126"/>
      <c r="T23" s="126"/>
    </row>
    <row r="24" spans="1:20" ht="44.25" customHeight="1" x14ac:dyDescent="0.2">
      <c r="A24" s="125" t="s">
        <v>98</v>
      </c>
      <c r="B24" s="127"/>
      <c r="C24" s="127"/>
      <c r="D24" s="127"/>
      <c r="E24" s="127"/>
      <c r="F24" s="127"/>
      <c r="G24" s="127"/>
      <c r="H24" s="127"/>
      <c r="I24" s="127"/>
      <c r="J24" s="68"/>
    </row>
    <row r="25" spans="1:20" ht="16.5" customHeight="1" x14ac:dyDescent="0.2">
      <c r="A25" s="125" t="s">
        <v>97</v>
      </c>
      <c r="B25" s="128"/>
      <c r="C25" s="128"/>
      <c r="D25" s="128"/>
      <c r="E25" s="128"/>
      <c r="F25" s="128"/>
      <c r="G25" s="128"/>
      <c r="H25" s="128"/>
      <c r="I25" s="128"/>
      <c r="J25" s="68"/>
    </row>
    <row r="26" spans="1:20" ht="32.25" customHeight="1" x14ac:dyDescent="0.2">
      <c r="A26" s="125" t="s">
        <v>79</v>
      </c>
      <c r="B26" s="128"/>
      <c r="C26" s="128"/>
      <c r="D26" s="128"/>
      <c r="E26" s="128"/>
      <c r="F26" s="128"/>
      <c r="G26" s="128"/>
      <c r="H26" s="128"/>
      <c r="I26" s="128"/>
    </row>
    <row r="27" spans="1:20" ht="32.25" customHeight="1" x14ac:dyDescent="0.2">
      <c r="A27" s="112" t="s">
        <v>83</v>
      </c>
      <c r="B27" s="112"/>
      <c r="C27" s="112"/>
      <c r="D27" s="112"/>
      <c r="E27" s="112"/>
      <c r="F27" s="112"/>
      <c r="G27" s="112"/>
      <c r="H27" s="112"/>
      <c r="I27" s="112"/>
      <c r="K27" s="71"/>
    </row>
    <row r="28" spans="1:20" ht="40.5" customHeight="1" x14ac:dyDescent="0.2">
      <c r="A28" s="129" t="s">
        <v>92</v>
      </c>
      <c r="B28" s="130"/>
      <c r="C28" s="130"/>
      <c r="D28" s="130"/>
      <c r="E28" s="130"/>
      <c r="F28" s="130"/>
      <c r="G28" s="130"/>
      <c r="H28" s="130"/>
      <c r="I28" s="130"/>
      <c r="J28" s="46"/>
      <c r="K28" s="2" t="s">
        <v>80</v>
      </c>
    </row>
    <row r="29" spans="1:20" ht="69" customHeight="1" x14ac:dyDescent="0.2">
      <c r="A29" s="112" t="s">
        <v>91</v>
      </c>
      <c r="B29" s="113"/>
      <c r="C29" s="113"/>
      <c r="D29" s="113"/>
      <c r="E29" s="113"/>
      <c r="F29" s="113"/>
      <c r="G29" s="113"/>
      <c r="H29" s="113"/>
      <c r="I29" s="113"/>
    </row>
    <row r="30" spans="1:20" ht="15.75" customHeight="1" x14ac:dyDescent="0.2">
      <c r="A30" s="112" t="s">
        <v>30</v>
      </c>
      <c r="B30" s="113"/>
      <c r="C30" s="113"/>
      <c r="D30" s="113"/>
      <c r="E30" s="113"/>
      <c r="F30" s="113"/>
      <c r="G30" s="113"/>
      <c r="H30" s="113"/>
      <c r="I30" s="113"/>
    </row>
    <row r="31" spans="1:20" ht="15.75" customHeight="1" x14ac:dyDescent="0.2">
      <c r="A31" s="112" t="s">
        <v>81</v>
      </c>
      <c r="B31" s="113"/>
      <c r="C31" s="113"/>
      <c r="D31" s="113"/>
      <c r="E31" s="113"/>
      <c r="F31" s="113"/>
      <c r="G31" s="113"/>
      <c r="H31" s="113"/>
      <c r="I31" s="113"/>
    </row>
  </sheetData>
  <mergeCells count="11">
    <mergeCell ref="J23:T23"/>
    <mergeCell ref="A24:I24"/>
    <mergeCell ref="A25:I25"/>
    <mergeCell ref="A26:I26"/>
    <mergeCell ref="A28:I28"/>
    <mergeCell ref="A29:I29"/>
    <mergeCell ref="A27:I27"/>
    <mergeCell ref="A30:I30"/>
    <mergeCell ref="A31:I31"/>
    <mergeCell ref="F20:H20"/>
    <mergeCell ref="A23:I23"/>
  </mergeCells>
  <phoneticPr fontId="0" type="noConversion"/>
  <pageMargins left="0.31" right="0.25" top="0.56000000000000005" bottom="0.99" header="0.31" footer="0.72"/>
  <pageSetup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TABLE 2</vt:lpstr>
      <vt:lpstr>'TABLE 1'!Print_Area</vt:lpstr>
    </vt:vector>
  </TitlesOfParts>
  <Company>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Eastern Research Group</dc:creator>
  <cp:lastModifiedBy>wwrigley</cp:lastModifiedBy>
  <cp:lastPrinted>2010-06-08T18:56:46Z</cp:lastPrinted>
  <dcterms:created xsi:type="dcterms:W3CDTF">2010-05-11T20:27:59Z</dcterms:created>
  <dcterms:modified xsi:type="dcterms:W3CDTF">2018-12-17T16:08:34Z</dcterms:modified>
</cp:coreProperties>
</file>