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S:\Amanda S\ICR Renewals - 041317\2018 Project Work\1176.13 New Residential Wood Heaters NSPS\"/>
    </mc:Choice>
  </mc:AlternateContent>
  <xr:revisionPtr revIDLastSave="0" documentId="13_ncr:1_{5A592C12-20CD-4942-AD4C-2EE7EFF887DD}" xr6:coauthVersionLast="33" xr6:coauthVersionMax="33" xr10:uidLastSave="{00000000-0000-0000-0000-000000000000}"/>
  <bookViews>
    <workbookView xWindow="0" yWindow="0" windowWidth="19200" windowHeight="8280" activeTab="1" xr2:uid="{00000000-000D-0000-FFFF-FFFF00000000}"/>
  </bookViews>
  <sheets>
    <sheet name="inputs" sheetId="4" r:id="rId1"/>
    <sheet name="Table 1" sheetId="1" r:id="rId2"/>
    <sheet name="Table 2" sheetId="3" r:id="rId3"/>
    <sheet name="Capital-Start-up" sheetId="5" r:id="rId4"/>
  </sheets>
  <calcPr calcId="179017"/>
</workbook>
</file>

<file path=xl/calcChain.xml><?xml version="1.0" encoding="utf-8"?>
<calcChain xmlns="http://schemas.openxmlformats.org/spreadsheetml/2006/main">
  <c r="F32" i="1" l="1"/>
  <c r="F33" i="1" s="1"/>
  <c r="H5" i="3"/>
  <c r="I35" i="1"/>
  <c r="I33" i="1"/>
  <c r="I32" i="1"/>
  <c r="I19" i="1"/>
  <c r="I20" i="1"/>
  <c r="F31" i="1" l="1"/>
  <c r="H31" i="1" s="1"/>
  <c r="F29" i="1"/>
  <c r="H29" i="1" s="1"/>
  <c r="G29" i="1" l="1"/>
  <c r="G31" i="1"/>
  <c r="E22" i="4"/>
  <c r="D6" i="5" l="1"/>
  <c r="D8" i="5"/>
  <c r="D5" i="5"/>
  <c r="D4" i="5"/>
  <c r="E4" i="3"/>
  <c r="C6" i="3"/>
  <c r="C5" i="3"/>
  <c r="C4" i="3"/>
  <c r="C3" i="3"/>
  <c r="C27" i="1"/>
  <c r="C25" i="1"/>
  <c r="C10" i="1"/>
  <c r="C7" i="1"/>
  <c r="C5" i="1"/>
  <c r="C6" i="1"/>
  <c r="E19" i="4"/>
  <c r="E18" i="4"/>
  <c r="E8" i="4"/>
  <c r="E17" i="4"/>
  <c r="E14" i="4"/>
  <c r="D11" i="5" l="1"/>
  <c r="D12" i="5" s="1"/>
  <c r="I34" i="1" s="1"/>
  <c r="D19" i="4"/>
  <c r="D18" i="4"/>
  <c r="C14" i="4"/>
  <c r="B17" i="4"/>
  <c r="D14" i="4"/>
  <c r="D17" i="4"/>
  <c r="D6" i="4"/>
  <c r="D8" i="4"/>
  <c r="C11" i="3" l="1"/>
  <c r="C9" i="3"/>
  <c r="C8" i="3" l="1"/>
  <c r="D31" i="1"/>
  <c r="C9" i="1"/>
  <c r="C8" i="1"/>
  <c r="C16" i="1"/>
  <c r="D3" i="3" l="1"/>
  <c r="F3" i="3" s="1"/>
  <c r="F7" i="3" l="1"/>
  <c r="H7" i="3" s="1"/>
  <c r="F12" i="3"/>
  <c r="H12" i="3" s="1"/>
  <c r="D4" i="3"/>
  <c r="D5" i="3"/>
  <c r="F5" i="3" s="1"/>
  <c r="D6" i="3"/>
  <c r="F6" i="3" s="1"/>
  <c r="D7" i="3"/>
  <c r="D8" i="3"/>
  <c r="F8" i="3" s="1"/>
  <c r="D9" i="3"/>
  <c r="F9" i="3" s="1"/>
  <c r="D10" i="3"/>
  <c r="F10" i="3" s="1"/>
  <c r="D11" i="3"/>
  <c r="F11" i="3" s="1"/>
  <c r="D12" i="3"/>
  <c r="F4" i="3" l="1"/>
  <c r="H4" i="3" s="1"/>
  <c r="H9" i="3"/>
  <c r="G9" i="3"/>
  <c r="H8" i="3"/>
  <c r="G8" i="3"/>
  <c r="G6" i="3"/>
  <c r="H6" i="3"/>
  <c r="G5" i="3"/>
  <c r="H3" i="3"/>
  <c r="G3" i="3"/>
  <c r="I3" i="3" s="1"/>
  <c r="G11" i="3"/>
  <c r="H11" i="3"/>
  <c r="G10" i="3"/>
  <c r="H10" i="3"/>
  <c r="G7" i="3"/>
  <c r="G12" i="3"/>
  <c r="G4" i="3" l="1"/>
  <c r="F13" i="3" s="1"/>
  <c r="D27" i="1"/>
  <c r="F27" i="1" s="1"/>
  <c r="G27" i="1" l="1"/>
  <c r="H27" i="1"/>
  <c r="D25" i="1"/>
  <c r="F25" i="1" s="1"/>
  <c r="G25" i="1" s="1"/>
  <c r="D26" i="1"/>
  <c r="F26" i="1" s="1"/>
  <c r="D19" i="1"/>
  <c r="F19" i="1" s="1"/>
  <c r="G19" i="1" s="1"/>
  <c r="D14" i="1"/>
  <c r="F14" i="1" s="1"/>
  <c r="G14" i="1" s="1"/>
  <c r="D11" i="1"/>
  <c r="F11" i="1" s="1"/>
  <c r="D8" i="1"/>
  <c r="F8" i="1" s="1"/>
  <c r="D5" i="1"/>
  <c r="F5" i="1" s="1"/>
  <c r="I27" i="1" l="1"/>
  <c r="H19" i="1"/>
  <c r="H25" i="1"/>
  <c r="H14" i="1"/>
  <c r="I14" i="1" s="1"/>
  <c r="H26" i="1"/>
  <c r="G26" i="1"/>
  <c r="G11" i="1"/>
  <c r="H11" i="1"/>
  <c r="G8" i="1"/>
  <c r="H8" i="1"/>
  <c r="G5" i="1"/>
  <c r="H5" i="1"/>
  <c r="D29" i="1"/>
  <c r="D20" i="1"/>
  <c r="F20" i="1" s="1"/>
  <c r="D16" i="1"/>
  <c r="F16" i="1" s="1"/>
  <c r="H16" i="1" s="1"/>
  <c r="D15" i="1"/>
  <c r="F15" i="1" s="1"/>
  <c r="D10" i="1"/>
  <c r="F10" i="1" s="1"/>
  <c r="D9" i="1"/>
  <c r="F9" i="1" s="1"/>
  <c r="D7" i="1"/>
  <c r="F7" i="1" s="1"/>
  <c r="D6" i="1"/>
  <c r="F6" i="1" s="1"/>
  <c r="G16" i="1" l="1"/>
  <c r="I16" i="1" s="1"/>
  <c r="H20" i="1"/>
  <c r="G20" i="1"/>
  <c r="H15" i="1"/>
  <c r="G15" i="1"/>
  <c r="I5" i="1"/>
  <c r="H6" i="1"/>
  <c r="G6" i="1"/>
  <c r="G9" i="1"/>
  <c r="H9" i="1"/>
  <c r="G10" i="1"/>
  <c r="H10" i="1"/>
  <c r="G7" i="1"/>
  <c r="H7" i="1"/>
  <c r="I10" i="3"/>
  <c r="I11" i="3"/>
  <c r="I12" i="3"/>
  <c r="I4" i="3"/>
  <c r="I5" i="3"/>
  <c r="I6" i="3"/>
  <c r="I7" i="3"/>
  <c r="I8" i="3"/>
  <c r="I9" i="3"/>
  <c r="I31" i="1"/>
  <c r="I29" i="1"/>
  <c r="I26" i="1"/>
  <c r="I25" i="1"/>
  <c r="I8" i="1"/>
  <c r="I11" i="1"/>
  <c r="I15" i="1" l="1"/>
  <c r="I9" i="1"/>
  <c r="I7" i="1"/>
  <c r="F21" i="1"/>
  <c r="L35" i="1" s="1"/>
  <c r="I6" i="1"/>
  <c r="I13" i="3"/>
  <c r="I10" i="1"/>
  <c r="I21" i="1" l="1"/>
</calcChain>
</file>

<file path=xl/sharedStrings.xml><?xml version="1.0" encoding="utf-8"?>
<sst xmlns="http://schemas.openxmlformats.org/spreadsheetml/2006/main" count="196" uniqueCount="180">
  <si>
    <t>Reporting Requirements</t>
  </si>
  <si>
    <t>Manufacturers</t>
  </si>
  <si>
    <t>Test Laboratories</t>
  </si>
  <si>
    <t>.</t>
  </si>
  <si>
    <t>a. Already has ISO accreditation</t>
  </si>
  <si>
    <t>b. Needs to obtain ISO accreditation</t>
  </si>
  <si>
    <t>Third-Party Certifier</t>
  </si>
  <si>
    <t>Subtotal for Reporting Requirements</t>
  </si>
  <si>
    <t>Recordkeeping Requirements</t>
  </si>
  <si>
    <t>Subtotal for Recordkeeping Requirements</t>
  </si>
  <si>
    <r>
      <t xml:space="preserve">1. Certification test notification </t>
    </r>
    <r>
      <rPr>
        <vertAlign val="superscript"/>
        <sz val="10"/>
        <rFont val="Arial"/>
        <family val="2"/>
      </rPr>
      <t>c</t>
    </r>
  </si>
  <si>
    <r>
      <t xml:space="preserve">2. Application for certification </t>
    </r>
    <r>
      <rPr>
        <vertAlign val="superscript"/>
        <sz val="10"/>
        <rFont val="Arial"/>
        <family val="2"/>
      </rPr>
      <t>d</t>
    </r>
  </si>
  <si>
    <r>
      <t xml:space="preserve">3. Biennial reporting </t>
    </r>
    <r>
      <rPr>
        <vertAlign val="superscript"/>
        <sz val="10"/>
        <rFont val="Arial"/>
        <family val="2"/>
      </rPr>
      <t>e</t>
    </r>
  </si>
  <si>
    <r>
      <t xml:space="preserve">4. EPA compliance audit testing </t>
    </r>
    <r>
      <rPr>
        <vertAlign val="superscript"/>
        <sz val="10"/>
        <rFont val="Arial"/>
        <family val="2"/>
      </rPr>
      <t>f</t>
    </r>
  </si>
  <si>
    <r>
      <t>5. QA performance test results</t>
    </r>
    <r>
      <rPr>
        <vertAlign val="superscript"/>
        <sz val="10"/>
        <rFont val="Arial"/>
        <family val="2"/>
      </rPr>
      <t xml:space="preserve"> g</t>
    </r>
  </si>
  <si>
    <r>
      <t xml:space="preserve">6. QA annual audit reports </t>
    </r>
    <r>
      <rPr>
        <vertAlign val="superscript"/>
        <sz val="10"/>
        <rFont val="Arial"/>
        <family val="2"/>
      </rPr>
      <t>h</t>
    </r>
  </si>
  <si>
    <r>
      <t xml:space="preserve">7. Review annual QA audit report </t>
    </r>
    <r>
      <rPr>
        <vertAlign val="superscript"/>
        <sz val="10"/>
        <rFont val="Arial"/>
        <family val="2"/>
      </rPr>
      <t>i</t>
    </r>
  </si>
  <si>
    <r>
      <t xml:space="preserve">1. Application for test lab approval </t>
    </r>
    <r>
      <rPr>
        <vertAlign val="superscript"/>
        <sz val="10"/>
        <rFont val="Arial"/>
        <family val="2"/>
      </rPr>
      <t>j</t>
    </r>
  </si>
  <si>
    <t>(A)
Person-hours per occurrence</t>
  </si>
  <si>
    <r>
      <rPr>
        <vertAlign val="superscript"/>
        <sz val="10"/>
        <rFont val="Arial"/>
        <family val="2"/>
      </rPr>
      <t>a</t>
    </r>
    <r>
      <rPr>
        <sz val="10"/>
        <rFont val="Arial"/>
        <family val="2"/>
      </rPr>
      <t xml:space="preserve"> Management person-hours and clerical person-hours are assumed to be 5 percent and 10 percent of technical person-hours, respectively.</t>
    </r>
  </si>
  <si>
    <r>
      <rPr>
        <vertAlign val="superscript"/>
        <sz val="10"/>
        <rFont val="Arial"/>
        <family val="2"/>
      </rPr>
      <t>b</t>
    </r>
    <r>
      <rPr>
        <sz val="10"/>
        <rFont val="Arial"/>
        <family val="2"/>
      </rPr>
      <t xml:space="preserve"> Costs are based on the following hourly rates: technical at $112.98, management at $149.35 and clerical at $54.81.</t>
    </r>
  </si>
  <si>
    <t>Burden Item</t>
  </si>
  <si>
    <r>
      <t>2. Biennial profiency testing and report development</t>
    </r>
    <r>
      <rPr>
        <vertAlign val="superscript"/>
        <sz val="10"/>
        <rFont val="Arial"/>
        <family val="2"/>
      </rPr>
      <t xml:space="preserve"> k</t>
    </r>
  </si>
  <si>
    <r>
      <rPr>
        <vertAlign val="superscript"/>
        <sz val="10"/>
        <rFont val="Arial"/>
        <family val="2"/>
      </rPr>
      <t>b</t>
    </r>
    <r>
      <rPr>
        <sz val="10"/>
        <rFont val="Arial"/>
        <family val="2"/>
      </rPr>
      <t xml:space="preserve"> Costs are based on the following hourly rates:  technical at $48.08, management at $64.80, and clerical at $26.02.</t>
    </r>
  </si>
  <si>
    <r>
      <rPr>
        <vertAlign val="superscript"/>
        <sz val="10"/>
        <rFont val="Arial"/>
        <family val="2"/>
      </rPr>
      <t>m</t>
    </r>
    <r>
      <rPr>
        <sz val="10"/>
        <rFont val="Arial"/>
        <family val="2"/>
      </rPr>
      <t xml:space="preserve"> Totals have been rounded to three significant values. Figures may not add exactly due to rounding.
</t>
    </r>
  </si>
  <si>
    <r>
      <rPr>
        <sz val="10"/>
        <rFont val="Arial"/>
        <family val="2"/>
      </rPr>
      <t xml:space="preserve">1.  Certification test notification </t>
    </r>
    <r>
      <rPr>
        <vertAlign val="superscript"/>
        <sz val="10"/>
        <rFont val="Arial"/>
        <family val="2"/>
      </rPr>
      <t>c</t>
    </r>
  </si>
  <si>
    <r>
      <rPr>
        <sz val="10"/>
        <rFont val="Arial"/>
        <family val="2"/>
      </rPr>
      <t xml:space="preserve">2.  Certification test </t>
    </r>
    <r>
      <rPr>
        <vertAlign val="superscript"/>
        <sz val="10"/>
        <rFont val="Arial"/>
        <family val="2"/>
      </rPr>
      <t>d</t>
    </r>
  </si>
  <si>
    <r>
      <rPr>
        <sz val="10"/>
        <rFont val="Arial"/>
        <family val="2"/>
      </rPr>
      <t xml:space="preserve">3.  Application for certification of model line </t>
    </r>
    <r>
      <rPr>
        <vertAlign val="superscript"/>
        <sz val="10"/>
        <rFont val="Arial"/>
        <family val="2"/>
      </rPr>
      <t>e</t>
    </r>
  </si>
  <si>
    <r>
      <rPr>
        <sz val="10"/>
        <rFont val="Arial"/>
        <family val="2"/>
      </rPr>
      <t>4.  Biennial reporting for certified models</t>
    </r>
    <r>
      <rPr>
        <vertAlign val="superscript"/>
        <sz val="10"/>
        <rFont val="Arial"/>
        <family val="2"/>
      </rPr>
      <t xml:space="preserve"> f</t>
    </r>
  </si>
  <si>
    <r>
      <rPr>
        <sz val="10"/>
        <rFont val="Arial"/>
        <family val="2"/>
      </rPr>
      <t xml:space="preserve">6.  Review test lab biennial proficiency test reports </t>
    </r>
    <r>
      <rPr>
        <vertAlign val="superscript"/>
        <sz val="10"/>
        <rFont val="Arial"/>
        <family val="2"/>
      </rPr>
      <t>h</t>
    </r>
  </si>
  <si>
    <r>
      <rPr>
        <sz val="10"/>
        <rFont val="Arial"/>
        <family val="2"/>
      </rPr>
      <t xml:space="preserve">8.  Review QA audit report </t>
    </r>
    <r>
      <rPr>
        <vertAlign val="superscript"/>
        <sz val="10"/>
        <rFont val="Arial"/>
        <family val="2"/>
      </rPr>
      <t>j</t>
    </r>
  </si>
  <si>
    <r>
      <rPr>
        <sz val="10"/>
        <rFont val="Arial"/>
        <family val="2"/>
      </rPr>
      <t>9.  EPA Compliance Audit</t>
    </r>
    <r>
      <rPr>
        <vertAlign val="superscript"/>
        <sz val="10"/>
        <rFont val="Arial"/>
        <family val="2"/>
      </rPr>
      <t xml:space="preserve"> k</t>
    </r>
  </si>
  <si>
    <r>
      <rPr>
        <sz val="10"/>
        <rFont val="Arial"/>
        <family val="2"/>
      </rPr>
      <t xml:space="preserve">10.  Review and approval of third-party certifier credentials </t>
    </r>
    <r>
      <rPr>
        <vertAlign val="superscript"/>
        <sz val="10"/>
        <rFont val="Arial"/>
        <family val="2"/>
      </rPr>
      <t>l</t>
    </r>
  </si>
  <si>
    <t>(A)
EPA person-hours per occurrence</t>
  </si>
  <si>
    <t>Burden Activity</t>
  </si>
  <si>
    <t>Technical</t>
  </si>
  <si>
    <t>Managerial</t>
  </si>
  <si>
    <t>Clerical</t>
  </si>
  <si>
    <t xml:space="preserve">Table 1: Annual Respondent Burden and Cost - NSPS for New Residential Wood Heaters (40 CFR Part 60, Subpart AAA) (Renewal) </t>
  </si>
  <si>
    <t xml:space="preserve">Table 2: Average Annual EPA Burden and Cost - NSPS for New Residential Wood Heaters (40 CFR Part 60, Subpart AAA) (Renewal) </t>
  </si>
  <si>
    <r>
      <rPr>
        <sz val="10"/>
        <rFont val="Arial"/>
        <family val="2"/>
      </rPr>
      <t>1. Application for approval as a third-party certifier</t>
    </r>
    <r>
      <rPr>
        <vertAlign val="superscript"/>
        <sz val="10"/>
        <rFont val="Arial"/>
        <family val="2"/>
      </rPr>
      <t xml:space="preserve"> l</t>
    </r>
  </si>
  <si>
    <r>
      <rPr>
        <sz val="10"/>
        <rFont val="Arial"/>
        <family val="2"/>
      </rPr>
      <t xml:space="preserve">1. Test documentation </t>
    </r>
    <r>
      <rPr>
        <vertAlign val="superscript"/>
        <sz val="10"/>
        <rFont val="Arial"/>
        <family val="2"/>
      </rPr>
      <t>m</t>
    </r>
  </si>
  <si>
    <r>
      <rPr>
        <sz val="10"/>
        <rFont val="Arial"/>
        <family val="2"/>
      </rPr>
      <t xml:space="preserve">2. QA parameter inspections </t>
    </r>
    <r>
      <rPr>
        <vertAlign val="superscript"/>
        <sz val="10"/>
        <rFont val="Arial"/>
        <family val="2"/>
      </rPr>
      <t>n</t>
    </r>
  </si>
  <si>
    <r>
      <rPr>
        <sz val="10"/>
        <rFont val="Arial"/>
        <family val="2"/>
      </rPr>
      <t xml:space="preserve">3. Retained (sealed) stoves </t>
    </r>
    <r>
      <rPr>
        <vertAlign val="superscript"/>
        <sz val="10"/>
        <rFont val="Arial"/>
        <family val="2"/>
      </rPr>
      <t>o</t>
    </r>
  </si>
  <si>
    <r>
      <rPr>
        <sz val="10"/>
        <rFont val="Arial"/>
        <family val="2"/>
      </rPr>
      <t xml:space="preserve">1. Certification test, proficiency test, and audit test results </t>
    </r>
    <r>
      <rPr>
        <vertAlign val="superscript"/>
        <sz val="10"/>
        <rFont val="Arial"/>
        <family val="2"/>
      </rPr>
      <t>p</t>
    </r>
  </si>
  <si>
    <r>
      <rPr>
        <sz val="10"/>
        <rFont val="Arial"/>
        <family val="2"/>
      </rPr>
      <t xml:space="preserve">1. Certification test, QA program inspection and audit tests </t>
    </r>
    <r>
      <rPr>
        <vertAlign val="superscript"/>
        <sz val="10"/>
        <rFont val="Arial"/>
        <family val="2"/>
      </rPr>
      <t>q</t>
    </r>
  </si>
  <si>
    <t>(C)
Person-hours per respondent 
(C=AxB)</t>
  </si>
  <si>
    <r>
      <t>TOTAL BURDEN AND COSTS (rounded)</t>
    </r>
    <r>
      <rPr>
        <b/>
        <vertAlign val="superscript"/>
        <sz val="10"/>
        <rFont val="Arial"/>
        <family val="2"/>
      </rPr>
      <t>r</t>
    </r>
  </si>
  <si>
    <r>
      <t>TOTAL CAPITAL AND O&amp;M COST (rounded)</t>
    </r>
    <r>
      <rPr>
        <b/>
        <vertAlign val="superscript"/>
        <sz val="10"/>
        <rFont val="Arial"/>
        <family val="2"/>
      </rPr>
      <t>r</t>
    </r>
  </si>
  <si>
    <r>
      <t>GRAND TOTAL (rounded)</t>
    </r>
    <r>
      <rPr>
        <b/>
        <vertAlign val="superscript"/>
        <sz val="10"/>
        <rFont val="Arial"/>
        <family val="2"/>
      </rPr>
      <t>r</t>
    </r>
  </si>
  <si>
    <r>
      <rPr>
        <vertAlign val="superscript"/>
        <sz val="10"/>
        <color rgb="FF000000"/>
        <rFont val="Arial"/>
        <family val="2"/>
      </rPr>
      <t xml:space="preserve">r </t>
    </r>
    <r>
      <rPr>
        <sz val="10"/>
        <color rgb="FF000000"/>
        <rFont val="Arial"/>
        <family val="2"/>
      </rPr>
      <t>Totals have been rounded to three significant values. Figures may not add exactly due to rounding.</t>
    </r>
  </si>
  <si>
    <r>
      <rPr>
        <vertAlign val="superscript"/>
        <sz val="10"/>
        <rFont val="Arial"/>
        <family val="2"/>
      </rPr>
      <t>j</t>
    </r>
    <r>
      <rPr>
        <sz val="10"/>
        <rFont val="Arial"/>
        <family val="2"/>
      </rPr>
      <t xml:space="preserve"> Assumes 0 occurances for the three-year ICR period.</t>
    </r>
  </si>
  <si>
    <t xml:space="preserve">(D)
Respondents per year
</t>
  </si>
  <si>
    <t>(E) 
Technical hours per year
(E=CxD)</t>
  </si>
  <si>
    <r>
      <t>(F)
Management hours per year</t>
    </r>
    <r>
      <rPr>
        <vertAlign val="superscript"/>
        <sz val="10"/>
        <rFont val="Arial"/>
        <family val="2"/>
      </rPr>
      <t>a</t>
    </r>
    <r>
      <rPr>
        <sz val="10"/>
        <rFont val="Arial"/>
        <family val="2"/>
      </rPr>
      <t xml:space="preserve">
(F=Ex0.05)</t>
    </r>
  </si>
  <si>
    <r>
      <t>(G)
Clerical person-hours per year</t>
    </r>
    <r>
      <rPr>
        <vertAlign val="superscript"/>
        <sz val="10"/>
        <rFont val="Arial"/>
        <family val="2"/>
      </rPr>
      <t>a</t>
    </r>
    <r>
      <rPr>
        <sz val="10"/>
        <rFont val="Arial"/>
        <family val="2"/>
      </rPr>
      <t xml:space="preserve">
(G=Ex0.1)</t>
    </r>
  </si>
  <si>
    <r>
      <t xml:space="preserve">(H)
Total Cost per year,$ </t>
    </r>
    <r>
      <rPr>
        <vertAlign val="superscript"/>
        <sz val="10"/>
        <rFont val="Arial"/>
        <family val="2"/>
      </rPr>
      <t xml:space="preserve">b
</t>
    </r>
  </si>
  <si>
    <t xml:space="preserve">(B)
No. of occurrences per respondent per year </t>
  </si>
  <si>
    <r>
      <rPr>
        <vertAlign val="superscript"/>
        <sz val="10"/>
        <rFont val="Arial"/>
        <family val="2"/>
      </rPr>
      <t>l</t>
    </r>
    <r>
      <rPr>
        <sz val="10"/>
        <rFont val="Arial"/>
        <family val="2"/>
      </rPr>
      <t xml:space="preserve"> Assumes 0 occurances for the three-year ICR period.</t>
    </r>
  </si>
  <si>
    <r>
      <rPr>
        <vertAlign val="superscript"/>
        <sz val="10"/>
        <rFont val="Arial"/>
        <family val="2"/>
      </rPr>
      <t xml:space="preserve">p </t>
    </r>
    <r>
      <rPr>
        <sz val="10"/>
        <rFont val="Arial"/>
        <family val="2"/>
      </rPr>
      <t>We expect the required recordkeeping to be highly automated and have assumed that test laboratories will spend 2 hours per month to maintain records.</t>
    </r>
  </si>
  <si>
    <r>
      <t xml:space="preserve">5.  Review and approval of test lab credentials  </t>
    </r>
    <r>
      <rPr>
        <vertAlign val="superscript"/>
        <sz val="10"/>
        <rFont val="Arial"/>
        <family val="2"/>
      </rPr>
      <t>g</t>
    </r>
  </si>
  <si>
    <r>
      <rPr>
        <vertAlign val="superscript"/>
        <sz val="10"/>
        <rFont val="Arial"/>
        <family val="2"/>
      </rPr>
      <t>g</t>
    </r>
    <r>
      <rPr>
        <sz val="10"/>
        <rFont val="Arial"/>
        <family val="2"/>
      </rPr>
      <t xml:space="preserve"> Assumes 0 occurances for the three-year period.</t>
    </r>
  </si>
  <si>
    <r>
      <rPr>
        <sz val="10"/>
        <rFont val="Arial"/>
        <family val="2"/>
      </rPr>
      <t xml:space="preserve">7.  Review QA performance test results </t>
    </r>
    <r>
      <rPr>
        <vertAlign val="superscript"/>
        <sz val="10"/>
        <rFont val="Arial"/>
        <family val="2"/>
      </rPr>
      <t>i</t>
    </r>
  </si>
  <si>
    <r>
      <rPr>
        <vertAlign val="superscript"/>
        <sz val="10"/>
        <rFont val="Arial"/>
        <family val="2"/>
      </rPr>
      <t xml:space="preserve">l </t>
    </r>
    <r>
      <rPr>
        <sz val="10"/>
        <rFont val="Arial"/>
        <family val="2"/>
      </rPr>
      <t>Assumes 0 occurances for the three-year ICR period.</t>
    </r>
  </si>
  <si>
    <t>technical</t>
  </si>
  <si>
    <t>management</t>
  </si>
  <si>
    <t>clerical</t>
  </si>
  <si>
    <t>Total manufacturers</t>
  </si>
  <si>
    <t>5/1/2018 Data</t>
  </si>
  <si>
    <t>Total models certified</t>
  </si>
  <si>
    <t>-</t>
  </si>
  <si>
    <t xml:space="preserve">Test Laboratories Accredited </t>
  </si>
  <si>
    <t xml:space="preserve">Third-Party Certifiers Accredited </t>
  </si>
  <si>
    <t xml:space="preserve">           Models Certified for Step 2 between 2015-2018</t>
  </si>
  <si>
    <t xml:space="preserve">     Manufacturers w "Deemed Certified" Models thru 2020</t>
  </si>
  <si>
    <t xml:space="preserve">           Models "Deemed Certified" thru 2020</t>
  </si>
  <si>
    <t>Findings:</t>
  </si>
  <si>
    <t>Total models certified and in production (certified - discontinued)</t>
  </si>
  <si>
    <r>
      <t xml:space="preserve">   </t>
    </r>
    <r>
      <rPr>
        <i/>
        <sz val="10"/>
        <color rgb="FF000000"/>
        <rFont val="Times New Roman"/>
        <family val="1"/>
      </rPr>
      <t xml:space="preserve"> </t>
    </r>
    <r>
      <rPr>
        <b/>
        <i/>
        <sz val="10"/>
        <color rgb="FF000000"/>
        <rFont val="Times New Roman"/>
        <family val="1"/>
      </rPr>
      <t>Total Models Meeting Step 1</t>
    </r>
    <r>
      <rPr>
        <sz val="10"/>
        <color rgb="FF000000"/>
        <rFont val="Times New Roman"/>
        <family val="1"/>
      </rPr>
      <t xml:space="preserve"> (Deemed Certified + Certified
 Post-Final):</t>
    </r>
  </si>
  <si>
    <t>Note: One manufacturer carries a single discontinued line and has not submitted new certifications since prior to 2015.</t>
  </si>
  <si>
    <t>Manufacturers w/ Models Certified to Step 1</t>
  </si>
  <si>
    <t>Manufacturers w/ Models Meeting Step 2</t>
  </si>
  <si>
    <t>Model lines/manufacturers certified from 2015-2018 for Step 1:</t>
  </si>
  <si>
    <t>Model lines/manufacturers certified from 2015-2018 for Step 2:</t>
  </si>
  <si>
    <r>
      <t xml:space="preserve">ICR covers years </t>
    </r>
    <r>
      <rPr>
        <b/>
        <sz val="10"/>
        <color rgb="FF000000"/>
        <rFont val="Times New Roman"/>
        <family val="1"/>
      </rPr>
      <t>2019-2021</t>
    </r>
  </si>
  <si>
    <t>Total models discontinued from 2015-2018</t>
  </si>
  <si>
    <t>(includes 35 manufactures)</t>
  </si>
  <si>
    <t xml:space="preserve">2015 ICR </t>
  </si>
  <si>
    <t xml:space="preserve">           Step 1 models that may meet step 2 standards</t>
  </si>
  <si>
    <t>Anticipated # of Manufacturers to Certify to Step 2 prior to 2020</t>
  </si>
  <si>
    <t>Anticipated # of Models Certified to Step 2 prior to 2020</t>
  </si>
  <si>
    <t>(A)</t>
  </si>
  <si>
    <t>(B)</t>
  </si>
  <si>
    <t>(C)</t>
  </si>
  <si>
    <t>(D)</t>
  </si>
  <si>
    <t>Data Collection Device</t>
  </si>
  <si>
    <t>Capital/Start-Up for One Respondent/Unit</t>
  </si>
  <si>
    <t>Number of New Respondents/Models/Units</t>
  </si>
  <si>
    <t>Total Capital/Start-Up Cost</t>
  </si>
  <si>
    <t>(B X C)</t>
  </si>
  <si>
    <r>
      <t xml:space="preserve">Certification Test </t>
    </r>
    <r>
      <rPr>
        <vertAlign val="superscript"/>
        <sz val="11"/>
        <color rgb="FF000000"/>
        <rFont val="Times New Roman"/>
        <family val="1"/>
      </rPr>
      <t>a</t>
    </r>
  </si>
  <si>
    <t>$16,750 per respondent</t>
  </si>
  <si>
    <r>
      <t xml:space="preserve">Cost of Permanent Label </t>
    </r>
    <r>
      <rPr>
        <b/>
        <vertAlign val="superscript"/>
        <sz val="11"/>
        <color rgb="FF000000"/>
        <rFont val="Times New Roman"/>
        <family val="1"/>
      </rPr>
      <t>b</t>
    </r>
  </si>
  <si>
    <t>$400 per model</t>
  </si>
  <si>
    <r>
      <t xml:space="preserve">QA Performance Test </t>
    </r>
    <r>
      <rPr>
        <b/>
        <vertAlign val="superscript"/>
        <sz val="11"/>
        <color rgb="FF000000"/>
        <rFont val="Times New Roman"/>
        <family val="1"/>
      </rPr>
      <t>c</t>
    </r>
  </si>
  <si>
    <r>
      <t>EPA Compliance Audit Test</t>
    </r>
    <r>
      <rPr>
        <vertAlign val="superscript"/>
        <sz val="11"/>
        <color rgb="FF000000"/>
        <rFont val="Times New Roman"/>
        <family val="1"/>
      </rPr>
      <t xml:space="preserve"> d</t>
    </r>
  </si>
  <si>
    <t>$17,815 per respondent</t>
  </si>
  <si>
    <t>1 respondent</t>
  </si>
  <si>
    <r>
      <t>Owners Manual</t>
    </r>
    <r>
      <rPr>
        <vertAlign val="superscript"/>
        <sz val="11"/>
        <color rgb="FF000000"/>
        <rFont val="Times New Roman"/>
        <family val="1"/>
      </rPr>
      <t>e</t>
    </r>
  </si>
  <si>
    <t>$2,250 per model</t>
  </si>
  <si>
    <r>
      <t>ISO Accreditation-Test Laboratories</t>
    </r>
    <r>
      <rPr>
        <vertAlign val="superscript"/>
        <sz val="11"/>
        <color rgb="FF000000"/>
        <rFont val="Times New Roman"/>
        <family val="1"/>
      </rPr>
      <t>f</t>
    </r>
  </si>
  <si>
    <t>$75,000 per respondent</t>
  </si>
  <si>
    <r>
      <t>ISO Accreditation-Third-Party Certifiers</t>
    </r>
    <r>
      <rPr>
        <vertAlign val="superscript"/>
        <sz val="11"/>
        <color rgb="FF000000"/>
        <rFont val="Times New Roman"/>
        <family val="1"/>
      </rPr>
      <t>g</t>
    </r>
  </si>
  <si>
    <t>Totals</t>
  </si>
  <si>
    <t>Annual average</t>
  </si>
  <si>
    <r>
      <t>d</t>
    </r>
    <r>
      <rPr>
        <sz val="10"/>
        <color rgb="FF000000"/>
        <rFont val="Times New Roman"/>
        <family val="1"/>
      </rPr>
      <t xml:space="preserve"> Assumes that there will be EPA compliance audit testing for one model affecting one manufacturer during the period covered by this ICR. Costs for EPA compliance audit testing of one model assumes the cost of one appliance (based on the average cost of two models: 1 adjustable burn rate model ($848 each) and 1 pellet ($1,281 each) stove model)) plus $16,750 for the test (includes EPA testing ($11,000), confirmation safety testing or full safety testing ($5,000), and shipping of prototype(s) ($750) costs).</t>
    </r>
  </si>
  <si>
    <r>
      <t>f</t>
    </r>
    <r>
      <rPr>
        <sz val="10"/>
        <color rgb="FF000000"/>
        <rFont val="Times New Roman"/>
        <family val="1"/>
      </rPr>
      <t xml:space="preserve"> Assumes all test labs are ISO accredited (that are going to choose be accredited), a total of 6 labs. </t>
    </r>
  </si>
  <si>
    <t>0 respondents</t>
  </si>
  <si>
    <r>
      <t>g</t>
    </r>
    <r>
      <rPr>
        <sz val="10"/>
        <color rgb="FF000000"/>
        <rFont val="Times New Roman"/>
        <family val="1"/>
      </rPr>
      <t xml:space="preserve"> Assumes all third-party certifiers are ISO accredited (that are going to choose to be accredited).</t>
    </r>
  </si>
  <si>
    <t>hr/response</t>
  </si>
  <si>
    <t>Queries</t>
  </si>
  <si>
    <t>01 &amp; 06</t>
  </si>
  <si>
    <t>May 2018 and June 2018 tables</t>
  </si>
  <si>
    <t>01c &amp; 06c</t>
  </si>
  <si>
    <t>01b &amp; 06b</t>
  </si>
  <si>
    <t>01e &amp; 06f</t>
  </si>
  <si>
    <t>01b1 &amp; 06d1</t>
  </si>
  <si>
    <t>01b2 &amp; 06d2</t>
  </si>
  <si>
    <t>01d &amp; 06e</t>
  </si>
  <si>
    <t>06g</t>
  </si>
  <si>
    <t>(includes 46 lines that could meet Step 2 standards)</t>
  </si>
  <si>
    <t>2015 Memo Assumptions (2018-2020)</t>
  </si>
  <si>
    <t xml:space="preserve">As of June 2018, there are a total of 88 manufacturers and 568 model lines. Of these, 75 manufacturers have 425 model lines that are deemed certified through 2020. All model lines must be recertified for the 2020 PM standards. </t>
  </si>
  <si>
    <t xml:space="preserve">Of the current model lines that were automatically certified (lines that met the 2015 PM standard at the time of the compliance date of the final rule), there are 35 manufacturers with 118 lines that could potentially be certified to Step 2 standards (meeting the PM standard of &lt;= 2.5). At least 46 lines (owned by an additional 6 manufacturers) certified to Step 1 between 2015-2018 could also be recertified under Step 2 for 2020. However, this does not account for manufacturers who choose to discontinue model lines. Based on industry trends of consolidation and decreasing market size, it is anticipated that the number of manufacturers and market orders are in decline. Only 29 manufacturers have certified 83 new models to step 1 between 2015-2018 (~28 models/year), and only 37 manufacturers have certified 88 new models to step 2 between 2015-2018 (~29 models/year). It is not anticipated that additional models will be certified to Step 1 in 2019, due to the impending 2020 standards. </t>
  </si>
  <si>
    <r>
      <rPr>
        <vertAlign val="superscript"/>
        <sz val="10"/>
        <rFont val="Arial"/>
        <family val="2"/>
      </rPr>
      <t>c</t>
    </r>
    <r>
      <rPr>
        <sz val="10"/>
        <rFont val="Arial"/>
        <family val="2"/>
      </rPr>
      <t xml:space="preserve"> Assumes that 85 models will require new certification to meet 2020 emission standards or will recertify their current compliance certifications over the period of the ICR.. </t>
    </r>
  </si>
  <si>
    <r>
      <rPr>
        <vertAlign val="superscript"/>
        <sz val="10"/>
        <rFont val="Arial"/>
        <family val="2"/>
      </rPr>
      <t>d</t>
    </r>
    <r>
      <rPr>
        <sz val="10"/>
        <rFont val="Arial"/>
        <family val="2"/>
      </rPr>
      <t xml:space="preserve"> Assumes that 85 models will require new certification due to meet 2020 emission standards or will recertify or renew (where a test waiver is obtained) compliant certifications over the period of the ICR. </t>
    </r>
  </si>
  <si>
    <r>
      <rPr>
        <vertAlign val="superscript"/>
        <sz val="10"/>
        <rFont val="Arial"/>
        <family val="2"/>
      </rPr>
      <t>f</t>
    </r>
    <r>
      <rPr>
        <sz val="10"/>
        <rFont val="Arial"/>
        <family val="2"/>
      </rPr>
      <t xml:space="preserve"> Assumes that one of the 33 manufacturers will be required to undergo an EPA compliance audit test for one of their models during the three-year ICR period.</t>
    </r>
  </si>
  <si>
    <r>
      <rPr>
        <vertAlign val="superscript"/>
        <sz val="10"/>
        <rFont val="Arial"/>
        <family val="2"/>
      </rPr>
      <t>k</t>
    </r>
    <r>
      <rPr>
        <sz val="10"/>
        <rFont val="Arial"/>
        <family val="2"/>
      </rPr>
      <t xml:space="preserve"> Assumes that each of the 8 test laboratories will conduct two biennial proficiency tests and prepare two reports during the three-year ICR period.</t>
    </r>
  </si>
  <si>
    <r>
      <rPr>
        <vertAlign val="superscript"/>
        <sz val="10"/>
        <rFont val="Arial"/>
        <family val="2"/>
      </rPr>
      <t>m</t>
    </r>
    <r>
      <rPr>
        <sz val="10"/>
        <rFont val="Arial"/>
        <family val="2"/>
      </rPr>
      <t xml:space="preserve"> Assumes that manufacturers will spend one hour per certification test (for 85 models) to keep the required records.</t>
    </r>
  </si>
  <si>
    <r>
      <rPr>
        <vertAlign val="superscript"/>
        <sz val="10"/>
        <rFont val="Arial"/>
        <family val="2"/>
      </rPr>
      <t>n</t>
    </r>
    <r>
      <rPr>
        <sz val="10"/>
        <rFont val="Arial"/>
        <family val="2"/>
      </rPr>
      <t xml:space="preserve"> Parameter inspections are part of the existing safety inspection program. We have assumed each of the 33 wood stove manufacturers with certified models will spend an additional 2 hours per quarter to document results.</t>
    </r>
  </si>
  <si>
    <r>
      <rPr>
        <vertAlign val="superscript"/>
        <sz val="10"/>
        <rFont val="Arial"/>
        <family val="2"/>
      </rPr>
      <t>o</t>
    </r>
    <r>
      <rPr>
        <sz val="10"/>
        <rFont val="Arial"/>
        <family val="2"/>
      </rPr>
      <t xml:space="preserve"> Assumes that one stove is sealed and retained for each certification test (for 85 models) required of the 33 manufacturers over the three-year ICR period.</t>
    </r>
  </si>
  <si>
    <r>
      <rPr>
        <vertAlign val="superscript"/>
        <sz val="10"/>
        <rFont val="Arial"/>
        <family val="2"/>
      </rPr>
      <t>c</t>
    </r>
    <r>
      <rPr>
        <sz val="10"/>
        <rFont val="Arial"/>
        <family val="2"/>
      </rPr>
      <t xml:space="preserve"> Models certified by testing per manufacturer: Assumes that 85 models will require new certification to meet 2020 emission standards or will recertify their current compliance certifications between the 2018-2020 time period, and that roughly 1/3 of models are recertified each year over the three-year period. </t>
    </r>
  </si>
  <si>
    <r>
      <rPr>
        <vertAlign val="superscript"/>
        <sz val="10"/>
        <rFont val="Arial"/>
        <family val="2"/>
      </rPr>
      <t>d</t>
    </r>
    <r>
      <rPr>
        <sz val="10"/>
        <rFont val="Arial"/>
        <family val="2"/>
      </rPr>
      <t xml:space="preserve"> Assumes that EPA will observe 5 percent of certification tests (85 X .05) conducted during the ICR reporting period, which is rounded to 4 tests per year.</t>
    </r>
  </si>
  <si>
    <r>
      <rPr>
        <vertAlign val="superscript"/>
        <sz val="10"/>
        <rFont val="Arial"/>
        <family val="2"/>
      </rPr>
      <t>e</t>
    </r>
    <r>
      <rPr>
        <sz val="10"/>
        <rFont val="Arial"/>
        <family val="2"/>
      </rPr>
      <t xml:space="preserve"> Assumes that EPA will review and approve certification applications for 85 models which will require new certification due to meet 2020 emission standards or will recertify or renew (where a test waiver is obtained) compliant certifications.</t>
    </r>
  </si>
  <si>
    <r>
      <rPr>
        <vertAlign val="superscript"/>
        <sz val="10"/>
        <rFont val="Arial"/>
        <family val="2"/>
      </rPr>
      <t xml:space="preserve">f </t>
    </r>
    <r>
      <rPr>
        <sz val="10"/>
        <rFont val="Arial"/>
        <family val="2"/>
      </rPr>
      <t xml:space="preserve"> Assumes that the EPA will receive one biennial report for 85 models (33 manufacturers) over the 3-year ICR period.</t>
    </r>
  </si>
  <si>
    <r>
      <rPr>
        <vertAlign val="superscript"/>
        <sz val="10"/>
        <rFont val="Arial"/>
        <family val="2"/>
      </rPr>
      <t>h</t>
    </r>
    <r>
      <rPr>
        <sz val="10"/>
        <rFont val="Arial"/>
        <family val="2"/>
      </rPr>
      <t xml:space="preserve"> Assumes that each of the 8 test laboratories will conduct two biennial proficiency tests and prepare two reports during the three-year ICR period.</t>
    </r>
  </si>
  <si>
    <r>
      <rPr>
        <vertAlign val="superscript"/>
        <sz val="10"/>
        <rFont val="Arial"/>
        <family val="2"/>
      </rPr>
      <t xml:space="preserve">i </t>
    </r>
    <r>
      <rPr>
        <sz val="10"/>
        <rFont val="Arial"/>
        <family val="2"/>
      </rPr>
      <t>Assumes that there will be 33 QA emissions test results submitted under the QA program and reviewed by the EPA during the period covered by this ICR. We assume that each of the 33 manufacturers will be required to test one model and report results to the EPA under their QA program between 2018 and 2020.</t>
    </r>
  </si>
  <si>
    <r>
      <rPr>
        <vertAlign val="superscript"/>
        <sz val="10"/>
        <rFont val="Arial"/>
        <family val="2"/>
      </rPr>
      <t>j</t>
    </r>
    <r>
      <rPr>
        <sz val="10"/>
        <rFont val="Arial"/>
        <family val="2"/>
      </rPr>
      <t xml:space="preserve"> Assumes there will be three QA audits by the third-party certifiers reviewed by the EPA for each of the 33 manufacturers over the three-year ICR period.</t>
    </r>
  </si>
  <si>
    <r>
      <rPr>
        <vertAlign val="superscript"/>
        <sz val="10"/>
        <rFont val="Arial"/>
        <family val="2"/>
      </rPr>
      <t>k</t>
    </r>
    <r>
      <rPr>
        <sz val="10"/>
        <rFont val="Arial"/>
        <family val="2"/>
      </rPr>
      <t xml:space="preserve"> Assumes that one model line for one of the 33 manufacturers will be audited by the EPA during the ICR three-year period.</t>
    </r>
  </si>
  <si>
    <t>85 models</t>
  </si>
  <si>
    <t>33 respondents</t>
  </si>
  <si>
    <r>
      <t>6/21/2018 Data</t>
    </r>
    <r>
      <rPr>
        <vertAlign val="superscript"/>
        <sz val="10"/>
        <rFont val="Times New Roman"/>
        <family val="1"/>
      </rPr>
      <t>1</t>
    </r>
  </si>
  <si>
    <r>
      <t xml:space="preserve">           Models Certified to Step 1 fr May 2015-current </t>
    </r>
    <r>
      <rPr>
        <vertAlign val="superscript"/>
        <sz val="10"/>
        <color rgb="FF000000"/>
        <rFont val="Times New Roman"/>
        <family val="1"/>
      </rPr>
      <t>2</t>
    </r>
  </si>
  <si>
    <r>
      <rPr>
        <vertAlign val="superscript"/>
        <sz val="10"/>
        <color rgb="FF000000"/>
        <rFont val="Times New Roman"/>
        <family val="1"/>
      </rPr>
      <t>1</t>
    </r>
    <r>
      <rPr>
        <sz val="10"/>
        <color rgb="FF000000"/>
        <rFont val="Times New Roman"/>
        <family val="1"/>
      </rPr>
      <t xml:space="preserve"> 2018 Certification Data based on EPA's List of Certified Wood Heaters: https://www.epa.gov/sites/production/files/2017-08/usepa-certified-wood-heater-list.xlsx (June 2018)</t>
    </r>
  </si>
  <si>
    <r>
      <rPr>
        <vertAlign val="superscript"/>
        <sz val="10"/>
        <color rgb="FF000000"/>
        <rFont val="Times New Roman"/>
        <family val="1"/>
      </rPr>
      <t>2</t>
    </r>
    <r>
      <rPr>
        <sz val="10"/>
        <color rgb="FF000000"/>
        <rFont val="Times New Roman"/>
        <family val="1"/>
      </rPr>
      <t xml:space="preserve"> Based on a count of models </t>
    </r>
    <r>
      <rPr>
        <u/>
        <sz val="10"/>
        <color rgb="FF000000"/>
        <rFont val="Times New Roman"/>
        <family val="1"/>
      </rPr>
      <t>not</t>
    </r>
    <r>
      <rPr>
        <sz val="10"/>
        <color rgb="FF000000"/>
        <rFont val="Times New Roman"/>
        <family val="1"/>
      </rPr>
      <t xml:space="preserve"> included on EPA's Historical List of Certified Heaters: https://www.epa.gov/compliance/historical-list-epa-certified-wood-heaters (April 2015)</t>
    </r>
  </si>
  <si>
    <t>Based on current EPA data, there are 8 EPA-approved testing laboratories and 8 EPA-approved third-party certifiers. There are a total of 12 testing laboratories and third-party certifiers due to overlap between approvals.</t>
  </si>
  <si>
    <t xml:space="preserve">     Manufacturers w Models Certified to Step 1 fr May 2015-May 2018</t>
  </si>
  <si>
    <t>Based on the number of manufacturers and models certified following 2015 and industry consultations, and it is assumed that an average of 85 model lines could be recertified by 33 manufacturers over the three-year period of this ICR.</t>
  </si>
  <si>
    <t># of Manufacturers</t>
  </si>
  <si>
    <t># Models</t>
  </si>
  <si>
    <t># Test Labs</t>
  </si>
  <si>
    <t># 3rd Party Certifiers</t>
  </si>
  <si>
    <t xml:space="preserve">Total Respondents </t>
  </si>
  <si>
    <r>
      <t>a</t>
    </r>
    <r>
      <rPr>
        <sz val="10"/>
        <color rgb="FF000000"/>
        <rFont val="Times New Roman"/>
        <family val="1"/>
      </rPr>
      <t xml:space="preserve"> Models certified by testing per manufacturer: We assume that manufacturers will test (at a cost of $16,750 per test (includes EPA testing ($11,000), confirmation safety testing or full safety testing ($5,000), and shipping of prototype(s)($750) costs)) and apply to meet emission standards for 85  models during the three-year ICR period  in order to replace old models that will not meet the Step 2 emission standards.</t>
    </r>
  </si>
  <si>
    <r>
      <t>c</t>
    </r>
    <r>
      <rPr>
        <sz val="10"/>
        <color rgb="FF000000"/>
        <rFont val="Times New Roman"/>
        <family val="1"/>
      </rPr>
      <t xml:space="preserve"> Assumes that there will be 33 QA performance tests (at a cost of $16,750 per test (includes EPA testing ($11,000), confirmation safety testing or full safety testing ($5,000), and shipping of prototype(s)($750) costs)) under the QA program during the three-year period covered by this ICR. We assume that each of the 33 manufacturers will be required to test one model under their QA program between 2019 and 2020.</t>
    </r>
  </si>
  <si>
    <r>
      <t>b</t>
    </r>
    <r>
      <rPr>
        <sz val="10"/>
        <color rgb="FF000000"/>
        <rFont val="Times New Roman"/>
        <family val="1"/>
      </rPr>
      <t xml:space="preserve"> Total costs of permanent labels are estimated to be $400 per model. We estimate that there will be 85 certified models produced by all manufacturers (33 manufacturers) during the period covered by this ICR that would be subject to permanent labeling requirements.</t>
    </r>
  </si>
  <si>
    <r>
      <t xml:space="preserve">e </t>
    </r>
    <r>
      <rPr>
        <sz val="10"/>
        <color rgb="FF000000"/>
        <rFont val="Times New Roman"/>
        <family val="1"/>
      </rPr>
      <t>Assumes an average fixed cost of $2,250 for owner's manual (revised or new, possibly bilingual) per model (85 models) that will need to be developed/revised to include subpart AAA requirements.</t>
    </r>
  </si>
  <si>
    <r>
      <rPr>
        <vertAlign val="superscript"/>
        <sz val="10"/>
        <rFont val="Arial"/>
        <family val="2"/>
      </rPr>
      <t>i</t>
    </r>
    <r>
      <rPr>
        <sz val="10"/>
        <rFont val="Arial"/>
        <family val="2"/>
      </rPr>
      <t xml:space="preserve"> It is assumed that the third-party certifier will audit multiple manufacturer models when they conduct their audits (thereby reducing the time needed to audit manufacturers and their associated models).</t>
    </r>
  </si>
  <si>
    <r>
      <rPr>
        <vertAlign val="superscript"/>
        <sz val="10"/>
        <rFont val="Arial"/>
        <family val="2"/>
      </rPr>
      <t>h</t>
    </r>
    <r>
      <rPr>
        <sz val="10"/>
        <rFont val="Arial"/>
        <family val="2"/>
      </rPr>
      <t xml:space="preserve"> Assumes there will be three QA audits by third-party certifiers for each of the 33 manufacturers over the three-year ICR period and that each of these audit reports will be reviewed by the manufacturer (in all cases) and may require preparing a response to the audit (in cases where deficiencies are identified).</t>
    </r>
  </si>
  <si>
    <r>
      <rPr>
        <vertAlign val="superscript"/>
        <sz val="10"/>
        <rFont val="Arial"/>
        <family val="2"/>
      </rPr>
      <t>q</t>
    </r>
    <r>
      <rPr>
        <sz val="10"/>
        <rFont val="Arial"/>
        <family val="2"/>
      </rPr>
      <t xml:space="preserve"> We expect the required recordkeeping to be highly automated and have assumed that third-party certifiers will spend 2 hours per month to maintain records.</t>
    </r>
  </si>
  <si>
    <r>
      <rPr>
        <vertAlign val="superscript"/>
        <sz val="10"/>
        <rFont val="Arial"/>
        <family val="2"/>
      </rPr>
      <t>g</t>
    </r>
    <r>
      <rPr>
        <sz val="10"/>
        <rFont val="Arial"/>
        <family val="2"/>
      </rPr>
      <t xml:space="preserve"> Assumes that there will be one QA audit performance test per manufacturer (33 manufacturers) under the QA program during the period covered by this ICR. We assume that each of the 33 manufacturers will be required to test one model and report results to the EPA under their QA program.</t>
    </r>
  </si>
  <si>
    <r>
      <rPr>
        <vertAlign val="superscript"/>
        <sz val="10"/>
        <rFont val="Arial"/>
        <family val="2"/>
      </rPr>
      <t>e</t>
    </r>
    <r>
      <rPr>
        <sz val="10"/>
        <rFont val="Arial"/>
        <family val="2"/>
      </rPr>
      <t xml:space="preserve"> For the three-year period of this ICR, we assume 2 biennial reports per manufacturer for each of their models 85 models/33 manufacturers x 2 reports = 5.2 reports), or 1.7 responses per year at 2 hrs per report.</t>
    </r>
  </si>
  <si>
    <t>(D)
Respondents
per year</t>
  </si>
  <si>
    <t>(B)
No. of occurrences per year</t>
  </si>
  <si>
    <t>(C)
EPA person-hours per year
(C=AxB)</t>
  </si>
  <si>
    <t>(E)
Technical person-hours 
per year
(E=CxD)</t>
  </si>
  <si>
    <r>
      <t xml:space="preserve">(F)
Management person-hours </t>
    </r>
    <r>
      <rPr>
        <b/>
        <vertAlign val="superscript"/>
        <sz val="10"/>
        <rFont val="Arial"/>
        <family val="2"/>
      </rPr>
      <t>a</t>
    </r>
    <r>
      <rPr>
        <b/>
        <sz val="10"/>
        <rFont val="Arial"/>
        <family val="2"/>
      </rPr>
      <t xml:space="preserve"> 
per year(F=Ex0.05)</t>
    </r>
  </si>
  <si>
    <r>
      <t xml:space="preserve">(G)
Clerical person-hours </t>
    </r>
    <r>
      <rPr>
        <b/>
        <vertAlign val="superscript"/>
        <sz val="10"/>
        <rFont val="Arial"/>
        <family val="2"/>
      </rPr>
      <t>a</t>
    </r>
    <r>
      <rPr>
        <b/>
        <sz val="10"/>
        <rFont val="Arial"/>
        <family val="2"/>
      </rPr>
      <t xml:space="preserve">
per year
(G=Ex0.1)</t>
    </r>
  </si>
  <si>
    <r>
      <t xml:space="preserve">(H)
Total Cost per year,$ </t>
    </r>
    <r>
      <rPr>
        <b/>
        <vertAlign val="superscript"/>
        <sz val="10"/>
        <rFont val="Arial"/>
        <family val="2"/>
      </rPr>
      <t>b</t>
    </r>
    <r>
      <rPr>
        <b/>
        <sz val="10"/>
        <rFont val="Arial"/>
        <family val="2"/>
      </rPr>
      <t xml:space="preserve">
</t>
    </r>
  </si>
  <si>
    <r>
      <t>TOTAL (rounded)</t>
    </r>
    <r>
      <rPr>
        <b/>
        <vertAlign val="superscript"/>
        <sz val="10"/>
        <rFont val="Arial"/>
        <family val="2"/>
      </rPr>
      <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</si>
</sst>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164" formatCode="###0.00;###0.00"/>
    <numFmt numFmtId="165" formatCode="###0.0;###0.0"/>
    <numFmt numFmtId="166" formatCode="###0;###0"/>
    <numFmt numFmtId="167" formatCode="#,##0.0;#,##0.0"/>
    <numFmt numFmtId="168" formatCode="_(&quot;$&quot;* #,##0_);_(&quot;$&quot;* \(#,##0\);_(&quot;$&quot;* &quot;-&quot;??_);_(@_)"/>
    <numFmt numFmtId="169" formatCode="#,##0;#,##0"/>
    <numFmt numFmtId="170" formatCode="0.0"/>
    <numFmt numFmtId="174" formatCode="&quot;$&quot;#,##0.00"/>
    <numFmt numFmtId="176" formatCode="&quot;$&quot;#,##0"/>
  </numFmts>
  <fonts count="30" x14ac:knownFonts="1">
    <font>
      <sz val="10"/>
      <color rgb="FF000000"/>
      <name val="Times New Roman"/>
      <charset val="204"/>
    </font>
    <font>
      <sz val="10"/>
      <name val="Arial"/>
      <family val="2"/>
    </font>
    <font>
      <vertAlign val="superscript"/>
      <sz val="10"/>
      <name val="Arial"/>
      <family val="2"/>
    </font>
    <font>
      <sz val="10"/>
      <color rgb="FF000000"/>
      <name val="Times New Roman"/>
      <family val="1"/>
    </font>
    <font>
      <sz val="10"/>
      <color rgb="FF000000"/>
      <name val="Arial"/>
      <family val="2"/>
    </font>
    <font>
      <b/>
      <sz val="10"/>
      <name val="Arial"/>
      <family val="2"/>
    </font>
    <font>
      <vertAlign val="superscript"/>
      <sz val="10"/>
      <color rgb="FF000000"/>
      <name val="Arial"/>
      <family val="2"/>
    </font>
    <font>
      <b/>
      <i/>
      <sz val="10"/>
      <name val="Arial"/>
      <family val="2"/>
    </font>
    <font>
      <sz val="10"/>
      <color rgb="FF000000"/>
      <name val="Times New Roman"/>
      <family val="1"/>
    </font>
    <font>
      <b/>
      <vertAlign val="superscript"/>
      <sz val="10"/>
      <name val="Arial"/>
      <family val="2"/>
    </font>
    <font>
      <b/>
      <sz val="10"/>
      <color rgb="FF000000"/>
      <name val="Arial"/>
      <family val="2"/>
    </font>
    <font>
      <i/>
      <sz val="10"/>
      <name val="Arial"/>
      <family val="2"/>
    </font>
    <font>
      <b/>
      <sz val="10"/>
      <color rgb="FF000000"/>
      <name val="Times New Roman"/>
      <family val="1"/>
    </font>
    <font>
      <i/>
      <sz val="10"/>
      <color rgb="FF000000"/>
      <name val="Times New Roman"/>
      <family val="1"/>
    </font>
    <font>
      <b/>
      <i/>
      <sz val="10"/>
      <color rgb="FF000000"/>
      <name val="Times New Roman"/>
      <family val="1"/>
    </font>
    <font>
      <b/>
      <sz val="11"/>
      <color rgb="FF000000"/>
      <name val="Times New Roman"/>
      <family val="1"/>
    </font>
    <font>
      <b/>
      <sz val="11"/>
      <color rgb="FF000000"/>
      <name val="Arial"/>
      <family val="2"/>
    </font>
    <font>
      <sz val="11"/>
      <color rgb="FF000000"/>
      <name val="Times New Roman"/>
      <family val="1"/>
    </font>
    <font>
      <vertAlign val="superscript"/>
      <sz val="11"/>
      <color rgb="FF000000"/>
      <name val="Times New Roman"/>
      <family val="1"/>
    </font>
    <font>
      <b/>
      <vertAlign val="superscript"/>
      <sz val="11"/>
      <color rgb="FF000000"/>
      <name val="Times New Roman"/>
      <family val="1"/>
    </font>
    <font>
      <vertAlign val="superscript"/>
      <sz val="10"/>
      <color rgb="FF000000"/>
      <name val="Times New Roman"/>
      <family val="1"/>
    </font>
    <font>
      <sz val="10"/>
      <color rgb="FFFF0000"/>
      <name val="Times New Roman"/>
      <family val="1"/>
    </font>
    <font>
      <b/>
      <sz val="10"/>
      <color rgb="FFFF0000"/>
      <name val="Times New Roman"/>
      <family val="1"/>
    </font>
    <font>
      <i/>
      <sz val="10"/>
      <color rgb="FFFF0000"/>
      <name val="Times New Roman"/>
      <family val="1"/>
    </font>
    <font>
      <sz val="10"/>
      <name val="Times New Roman"/>
      <family val="1"/>
    </font>
    <font>
      <b/>
      <sz val="10"/>
      <name val="Times New Roman"/>
      <family val="1"/>
    </font>
    <font>
      <i/>
      <sz val="10"/>
      <name val="Times New Roman"/>
      <family val="1"/>
    </font>
    <font>
      <vertAlign val="superscript"/>
      <sz val="10"/>
      <name val="Times New Roman"/>
      <family val="1"/>
    </font>
    <font>
      <u/>
      <sz val="10"/>
      <color rgb="FF000000"/>
      <name val="Times New Roman"/>
      <family val="1"/>
    </font>
    <font>
      <i/>
      <sz val="10"/>
      <color rgb="FF000000"/>
      <name val="Arial"/>
      <family val="2"/>
    </font>
  </fonts>
  <fills count="5">
    <fill>
      <patternFill patternType="none"/>
    </fill>
    <fill>
      <patternFill patternType="gray125"/>
    </fill>
    <fill>
      <patternFill patternType="solid">
        <fgColor rgb="FF818181"/>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style="thin">
        <color rgb="FFD5D5D5"/>
      </left>
      <right style="thin">
        <color rgb="FFD5D5D5"/>
      </right>
      <top style="thin">
        <color rgb="FFD5D5D5"/>
      </top>
      <bottom style="thin">
        <color rgb="FF000000"/>
      </bottom>
      <diagonal/>
    </border>
    <border>
      <left style="thin">
        <color rgb="FFD5D5D5"/>
      </left>
      <right/>
      <top style="thin">
        <color rgb="FFD5D5D5"/>
      </top>
      <bottom style="thin">
        <color rgb="FF000000"/>
      </bottom>
      <diagonal/>
    </border>
    <border>
      <left/>
      <right/>
      <top style="thin">
        <color rgb="FFD5D5D5"/>
      </top>
      <bottom style="thin">
        <color rgb="FF000000"/>
      </bottom>
      <diagonal/>
    </border>
    <border>
      <left/>
      <right style="thin">
        <color rgb="FFD5D5D5"/>
      </right>
      <top style="thin">
        <color rgb="FFD5D5D5"/>
      </top>
      <bottom style="thin">
        <color rgb="FF000000"/>
      </bottom>
      <diagonal/>
    </border>
    <border>
      <left style="thin">
        <color rgb="FF000000"/>
      </left>
      <right style="thin">
        <color rgb="FF000000"/>
      </right>
      <top style="thin">
        <color rgb="FFD5D5D5"/>
      </top>
      <bottom style="thin">
        <color rgb="FFD5D5D5"/>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D5D5D5"/>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D5D5D5"/>
      </left>
      <right/>
      <top style="thin">
        <color rgb="FF000000"/>
      </top>
      <bottom style="thin">
        <color rgb="FFD5D5D5"/>
      </bottom>
      <diagonal/>
    </border>
    <border>
      <left/>
      <right/>
      <top style="thin">
        <color rgb="FF000000"/>
      </top>
      <bottom style="thin">
        <color rgb="FFD5D5D5"/>
      </bottom>
      <diagonal/>
    </border>
    <border>
      <left style="thin">
        <color rgb="FFD5D5D5"/>
      </left>
      <right/>
      <top style="thin">
        <color rgb="FFD5D5D5"/>
      </top>
      <bottom style="thin">
        <color rgb="FFD5D5D5"/>
      </bottom>
      <diagonal/>
    </border>
    <border>
      <left/>
      <right/>
      <top style="thin">
        <color rgb="FFD5D5D5"/>
      </top>
      <bottom style="thin">
        <color rgb="FFD5D5D5"/>
      </bottom>
      <diagonal/>
    </border>
    <border>
      <left/>
      <right/>
      <top style="thin">
        <color rgb="FFD5D5D5"/>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D5D5D5"/>
      </left>
      <right/>
      <top/>
      <bottom style="thin">
        <color rgb="FFD5D5D5"/>
      </bottom>
      <diagonal/>
    </border>
    <border>
      <left/>
      <right/>
      <top/>
      <bottom style="thin">
        <color rgb="FFD5D5D5"/>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D5D5D5"/>
      </right>
      <top style="thin">
        <color rgb="FF000000"/>
      </top>
      <bottom/>
      <diagonal/>
    </border>
    <border>
      <left style="thin">
        <color rgb="FFD5D5D5"/>
      </left>
      <right style="thin">
        <color rgb="FFD5D5D5"/>
      </right>
      <top style="thin">
        <color rgb="FF000000"/>
      </top>
      <bottom/>
      <diagonal/>
    </border>
    <border>
      <left style="thin">
        <color rgb="FFD5D5D5"/>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uble">
        <color indexed="64"/>
      </left>
      <right style="medium">
        <color indexed="64"/>
      </right>
      <top style="double">
        <color indexed="64"/>
      </top>
      <bottom/>
      <diagonal/>
    </border>
    <border>
      <left/>
      <right style="medium">
        <color indexed="64"/>
      </right>
      <top style="double">
        <color indexed="64"/>
      </top>
      <bottom/>
      <diagonal/>
    </border>
    <border>
      <left/>
      <right style="double">
        <color indexed="64"/>
      </right>
      <top style="double">
        <color indexed="64"/>
      </top>
      <bottom/>
      <diagonal/>
    </border>
    <border>
      <left style="double">
        <color indexed="64"/>
      </left>
      <right style="medium">
        <color indexed="64"/>
      </right>
      <top/>
      <bottom/>
      <diagonal/>
    </border>
    <border>
      <left/>
      <right style="medium">
        <color indexed="64"/>
      </right>
      <top/>
      <bottom/>
      <diagonal/>
    </border>
    <border>
      <left/>
      <right style="double">
        <color indexed="64"/>
      </right>
      <top/>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right/>
      <top style="double">
        <color indexed="64"/>
      </top>
      <bottom/>
      <diagonal/>
    </border>
  </borders>
  <cellStyleXfs count="2">
    <xf numFmtId="0" fontId="0" fillId="0" borderId="0"/>
    <xf numFmtId="44" fontId="3" fillId="0" borderId="0" applyFont="0" applyFill="0" applyBorder="0" applyAlignment="0" applyProtection="0"/>
  </cellStyleXfs>
  <cellXfs count="167">
    <xf numFmtId="0" fontId="0" fillId="0" borderId="0" xfId="0" applyFill="1" applyBorder="1" applyAlignment="1">
      <alignment horizontal="left" vertical="top"/>
    </xf>
    <xf numFmtId="0" fontId="1"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165" fontId="4" fillId="0" borderId="6" xfId="0" applyNumberFormat="1" applyFont="1" applyFill="1" applyBorder="1" applyAlignment="1">
      <alignment horizontal="right" vertical="top" wrapText="1"/>
    </xf>
    <xf numFmtId="166" fontId="4" fillId="0" borderId="6" xfId="0" applyNumberFormat="1" applyFont="1" applyFill="1" applyBorder="1" applyAlignment="1">
      <alignment horizontal="right" vertical="top" wrapText="1"/>
    </xf>
    <xf numFmtId="0" fontId="1" fillId="0" borderId="5" xfId="0" applyFont="1" applyFill="1" applyBorder="1" applyAlignment="1">
      <alignment horizontal="center" vertical="top" wrapText="1"/>
    </xf>
    <xf numFmtId="0" fontId="4" fillId="0" borderId="5" xfId="0" applyFont="1" applyFill="1" applyBorder="1" applyAlignment="1">
      <alignment horizontal="center" wrapText="1"/>
    </xf>
    <xf numFmtId="164" fontId="4" fillId="0" borderId="6" xfId="0" applyNumberFormat="1" applyFont="1" applyFill="1" applyBorder="1" applyAlignment="1">
      <alignment horizontal="center" vertical="top" wrapText="1"/>
    </xf>
    <xf numFmtId="165" fontId="4" fillId="0" borderId="6" xfId="0" applyNumberFormat="1" applyFont="1" applyFill="1" applyBorder="1" applyAlignment="1">
      <alignment horizontal="center" vertical="top" wrapText="1"/>
    </xf>
    <xf numFmtId="166" fontId="4" fillId="0" borderId="6" xfId="0" applyNumberFormat="1" applyFont="1" applyFill="1" applyBorder="1" applyAlignment="1">
      <alignment horizontal="center" vertical="top" wrapText="1"/>
    </xf>
    <xf numFmtId="166" fontId="4" fillId="0" borderId="9" xfId="0" applyNumberFormat="1" applyFont="1" applyFill="1" applyBorder="1" applyAlignment="1">
      <alignment horizontal="center" vertical="top" wrapText="1"/>
    </xf>
    <xf numFmtId="168" fontId="4" fillId="0" borderId="6" xfId="1"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6" xfId="0" applyFont="1" applyFill="1" applyBorder="1" applyAlignment="1">
      <alignment horizontal="left" vertical="top" wrapText="1"/>
    </xf>
    <xf numFmtId="44" fontId="0" fillId="0" borderId="0" xfId="1" applyFont="1" applyFill="1" applyBorder="1" applyAlignment="1">
      <alignment horizontal="left" vertical="top"/>
    </xf>
    <xf numFmtId="164" fontId="4" fillId="3" borderId="6" xfId="0" applyNumberFormat="1" applyFont="1" applyFill="1" applyBorder="1" applyAlignment="1">
      <alignment horizontal="center" vertical="top" wrapText="1"/>
    </xf>
    <xf numFmtId="165" fontId="4" fillId="3" borderId="6" xfId="0" applyNumberFormat="1" applyFont="1" applyFill="1" applyBorder="1" applyAlignment="1">
      <alignment horizontal="center" vertical="top" wrapText="1"/>
    </xf>
    <xf numFmtId="166" fontId="4" fillId="3" borderId="6" xfId="0" applyNumberFormat="1" applyFont="1" applyFill="1" applyBorder="1" applyAlignment="1">
      <alignment horizontal="center" vertical="top" wrapText="1"/>
    </xf>
    <xf numFmtId="0" fontId="0" fillId="3" borderId="0" xfId="0" applyFill="1" applyBorder="1" applyAlignment="1">
      <alignment horizontal="left" vertical="top"/>
    </xf>
    <xf numFmtId="0" fontId="7" fillId="0" borderId="7" xfId="0" applyFont="1" applyFill="1" applyBorder="1" applyAlignment="1">
      <alignment horizontal="left" vertical="top" wrapText="1"/>
    </xf>
    <xf numFmtId="0" fontId="1" fillId="0" borderId="7" xfId="0" applyFont="1" applyFill="1" applyBorder="1" applyAlignment="1">
      <alignment horizontal="left" vertical="top" wrapText="1"/>
    </xf>
    <xf numFmtId="0" fontId="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166" fontId="4" fillId="0" borderId="0"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5" fontId="4" fillId="0" borderId="17" xfId="0" applyNumberFormat="1" applyFont="1" applyFill="1" applyBorder="1" applyAlignment="1">
      <alignment horizontal="center" vertical="top" wrapText="1"/>
    </xf>
    <xf numFmtId="166" fontId="4" fillId="0" borderId="17" xfId="0" applyNumberFormat="1" applyFont="1" applyFill="1" applyBorder="1" applyAlignment="1">
      <alignment horizontal="center" vertical="top" wrapText="1"/>
    </xf>
    <xf numFmtId="0" fontId="4" fillId="0" borderId="17" xfId="0" applyFont="1" applyFill="1" applyBorder="1" applyAlignment="1">
      <alignment horizontal="left" vertical="top" wrapText="1"/>
    </xf>
    <xf numFmtId="0" fontId="1" fillId="0" borderId="17" xfId="0" applyFont="1" applyFill="1" applyBorder="1" applyAlignment="1">
      <alignment horizontal="left" vertical="top" wrapText="1"/>
    </xf>
    <xf numFmtId="0" fontId="4" fillId="0" borderId="18" xfId="0" applyFont="1" applyFill="1" applyBorder="1" applyAlignment="1">
      <alignment horizontal="center" vertical="top" wrapText="1"/>
    </xf>
    <xf numFmtId="0" fontId="8" fillId="0" borderId="0" xfId="0" applyFont="1" applyFill="1" applyBorder="1" applyAlignment="1">
      <alignment horizontal="left" vertical="top"/>
    </xf>
    <xf numFmtId="0" fontId="1" fillId="3" borderId="6"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7"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xf numFmtId="0" fontId="7" fillId="0" borderId="25" xfId="0" applyFont="1" applyFill="1" applyBorder="1" applyAlignment="1">
      <alignment horizontal="left" vertical="top" wrapText="1"/>
    </xf>
    <xf numFmtId="0" fontId="7" fillId="0" borderId="32" xfId="0" applyFont="1" applyFill="1" applyBorder="1" applyAlignment="1">
      <alignment horizontal="left" vertical="top" wrapText="1"/>
    </xf>
    <xf numFmtId="0" fontId="4" fillId="0" borderId="33" xfId="0" applyFont="1" applyFill="1" applyBorder="1" applyAlignment="1">
      <alignment horizontal="center" vertical="top" wrapText="1"/>
    </xf>
    <xf numFmtId="0" fontId="4" fillId="0" borderId="23" xfId="0" applyFont="1" applyFill="1" applyBorder="1" applyAlignment="1">
      <alignment horizontal="center" vertical="top" wrapText="1"/>
    </xf>
    <xf numFmtId="167" fontId="4" fillId="0" borderId="23" xfId="0" applyNumberFormat="1" applyFont="1" applyFill="1" applyBorder="1" applyAlignment="1">
      <alignment horizontal="center" vertical="top" wrapText="1"/>
    </xf>
    <xf numFmtId="165" fontId="4" fillId="0" borderId="23" xfId="0" applyNumberFormat="1" applyFont="1" applyFill="1" applyBorder="1" applyAlignment="1">
      <alignment horizontal="center" vertical="top" wrapText="1"/>
    </xf>
    <xf numFmtId="168" fontId="1" fillId="0" borderId="24" xfId="1" applyNumberFormat="1" applyFont="1" applyFill="1" applyBorder="1" applyAlignment="1">
      <alignment horizontal="left" vertical="top" wrapText="1"/>
    </xf>
    <xf numFmtId="0" fontId="5" fillId="0" borderId="31" xfId="0" applyFont="1" applyFill="1" applyBorder="1" applyAlignment="1">
      <alignment horizontal="left" vertical="top" wrapText="1"/>
    </xf>
    <xf numFmtId="0" fontId="4" fillId="2" borderId="3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quotePrefix="1" applyFont="1" applyFill="1" applyBorder="1" applyAlignment="1">
      <alignment horizontal="left" vertical="top"/>
    </xf>
    <xf numFmtId="0" fontId="3" fillId="0" borderId="17" xfId="0" applyFont="1" applyFill="1" applyBorder="1" applyAlignment="1">
      <alignment horizontal="left" vertical="top"/>
    </xf>
    <xf numFmtId="0" fontId="0" fillId="0" borderId="17" xfId="0" applyFill="1" applyBorder="1" applyAlignment="1">
      <alignment horizontal="left" vertical="top"/>
    </xf>
    <xf numFmtId="0" fontId="12" fillId="0" borderId="17" xfId="0" applyFont="1" applyFill="1" applyBorder="1" applyAlignment="1">
      <alignment horizontal="left" vertical="top"/>
    </xf>
    <xf numFmtId="17" fontId="3" fillId="0" borderId="0" xfId="0" applyNumberFormat="1" applyFont="1" applyFill="1" applyBorder="1" applyAlignment="1">
      <alignment horizontal="left" vertical="top"/>
    </xf>
    <xf numFmtId="0" fontId="3" fillId="0" borderId="17" xfId="0" applyFont="1" applyFill="1" applyBorder="1" applyAlignment="1">
      <alignment horizontal="left" vertical="top" wrapText="1"/>
    </xf>
    <xf numFmtId="0" fontId="13" fillId="0" borderId="17" xfId="0" applyFont="1" applyFill="1" applyBorder="1" applyAlignment="1">
      <alignment horizontal="left" vertical="top"/>
    </xf>
    <xf numFmtId="170" fontId="13" fillId="0" borderId="17" xfId="0" applyNumberFormat="1" applyFont="1" applyFill="1" applyBorder="1" applyAlignment="1">
      <alignment horizontal="left" vertical="top"/>
    </xf>
    <xf numFmtId="0" fontId="3" fillId="4" borderId="17" xfId="0" applyFont="1" applyFill="1" applyBorder="1" applyAlignment="1">
      <alignment horizontal="left" vertical="top"/>
    </xf>
    <xf numFmtId="0" fontId="0" fillId="4" borderId="17" xfId="0" applyFill="1" applyBorder="1" applyAlignment="1">
      <alignment horizontal="left" vertical="top"/>
    </xf>
    <xf numFmtId="46" fontId="0" fillId="0" borderId="0" xfId="0" applyNumberFormat="1" applyFill="1" applyBorder="1" applyAlignment="1">
      <alignment horizontal="left" vertical="top"/>
    </xf>
    <xf numFmtId="0" fontId="3" fillId="0" borderId="22" xfId="0" applyFont="1" applyFill="1" applyBorder="1" applyAlignment="1">
      <alignment horizontal="right" vertical="top"/>
    </xf>
    <xf numFmtId="0" fontId="3" fillId="0" borderId="22" xfId="0" applyFont="1" applyFill="1" applyBorder="1" applyAlignment="1">
      <alignment horizontal="left" vertical="top"/>
    </xf>
    <xf numFmtId="170" fontId="13" fillId="0" borderId="18" xfId="0" applyNumberFormat="1" applyFont="1" applyFill="1" applyBorder="1" applyAlignment="1">
      <alignment horizontal="left" vertical="top"/>
    </xf>
    <xf numFmtId="0" fontId="3" fillId="0" borderId="34" xfId="0" applyFont="1" applyFill="1" applyBorder="1" applyAlignment="1">
      <alignment horizontal="left" vertical="top"/>
    </xf>
    <xf numFmtId="170" fontId="13" fillId="0" borderId="35" xfId="0" applyNumberFormat="1" applyFont="1" applyFill="1" applyBorder="1" applyAlignment="1">
      <alignment horizontal="left" vertical="top"/>
    </xf>
    <xf numFmtId="170" fontId="13" fillId="0" borderId="36" xfId="0" applyNumberFormat="1" applyFont="1" applyFill="1" applyBorder="1" applyAlignment="1">
      <alignment horizontal="left" vertical="top"/>
    </xf>
    <xf numFmtId="170" fontId="13" fillId="0" borderId="37" xfId="0" applyNumberFormat="1" applyFont="1" applyFill="1" applyBorder="1" applyAlignment="1">
      <alignment horizontal="left" vertical="top"/>
    </xf>
    <xf numFmtId="170" fontId="13" fillId="0" borderId="38" xfId="0" applyNumberFormat="1" applyFont="1" applyFill="1" applyBorder="1" applyAlignment="1">
      <alignment horizontal="left" vertical="top"/>
    </xf>
    <xf numFmtId="0" fontId="15" fillId="0" borderId="3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6" fillId="0" borderId="42"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6" xfId="0" applyFont="1" applyFill="1" applyBorder="1" applyAlignment="1">
      <alignment horizontal="center" vertical="center" wrapText="1"/>
    </xf>
    <xf numFmtId="6" fontId="17" fillId="0" borderId="47" xfId="0" applyNumberFormat="1" applyFont="1" applyFill="1" applyBorder="1" applyAlignment="1">
      <alignment horizontal="center" vertical="center" wrapText="1"/>
    </xf>
    <xf numFmtId="0" fontId="17" fillId="0" borderId="48" xfId="0" applyFont="1" applyFill="1" applyBorder="1" applyAlignment="1">
      <alignment horizontal="left" vertical="center" wrapText="1"/>
    </xf>
    <xf numFmtId="0" fontId="17" fillId="0" borderId="49" xfId="0" applyFont="1" applyFill="1" applyBorder="1" applyAlignment="1">
      <alignment horizontal="center" vertical="center" wrapText="1"/>
    </xf>
    <xf numFmtId="6" fontId="17" fillId="0" borderId="50" xfId="0" applyNumberFormat="1" applyFont="1" applyFill="1" applyBorder="1" applyAlignment="1">
      <alignment horizontal="center" vertical="center" wrapText="1"/>
    </xf>
    <xf numFmtId="0" fontId="15" fillId="0" borderId="48" xfId="0" applyFont="1" applyFill="1" applyBorder="1" applyAlignment="1">
      <alignment horizontal="left" vertical="center" wrapText="1"/>
    </xf>
    <xf numFmtId="0" fontId="15" fillId="0" borderId="51" xfId="0" applyFont="1" applyFill="1" applyBorder="1" applyAlignment="1">
      <alignment horizontal="left" vertical="center" wrapText="1"/>
    </xf>
    <xf numFmtId="0" fontId="17" fillId="0" borderId="52" xfId="0" applyFont="1" applyFill="1" applyBorder="1" applyAlignment="1">
      <alignment horizontal="center" vertical="center" wrapText="1"/>
    </xf>
    <xf numFmtId="6" fontId="17" fillId="0" borderId="53" xfId="0" applyNumberFormat="1" applyFont="1" applyFill="1" applyBorder="1" applyAlignment="1">
      <alignment horizontal="center" vertical="center" wrapText="1"/>
    </xf>
    <xf numFmtId="1" fontId="0" fillId="0" borderId="0" xfId="0" applyNumberFormat="1" applyFill="1" applyBorder="1" applyAlignment="1">
      <alignment horizontal="left" vertical="top"/>
    </xf>
    <xf numFmtId="17" fontId="21" fillId="0" borderId="0" xfId="0" applyNumberFormat="1" applyFont="1" applyFill="1" applyBorder="1" applyAlignment="1">
      <alignment horizontal="left" vertical="top"/>
    </xf>
    <xf numFmtId="0" fontId="21" fillId="0" borderId="0" xfId="0" applyNumberFormat="1" applyFont="1" applyFill="1" applyBorder="1" applyAlignment="1">
      <alignment horizontal="left" vertical="top"/>
    </xf>
    <xf numFmtId="0" fontId="21" fillId="0" borderId="0" xfId="0" applyFont="1" applyFill="1" applyBorder="1" applyAlignment="1">
      <alignment horizontal="left" vertical="top"/>
    </xf>
    <xf numFmtId="0" fontId="22" fillId="0" borderId="0" xfId="0" applyFont="1" applyFill="1" applyBorder="1" applyAlignment="1">
      <alignment horizontal="left" vertical="top"/>
    </xf>
    <xf numFmtId="0" fontId="21" fillId="4" borderId="0" xfId="0" applyFont="1" applyFill="1" applyBorder="1" applyAlignment="1">
      <alignment horizontal="left" vertical="top"/>
    </xf>
    <xf numFmtId="170" fontId="23" fillId="0" borderId="0" xfId="0" applyNumberFormat="1" applyFont="1" applyFill="1" applyBorder="1" applyAlignment="1">
      <alignment horizontal="left" vertical="top"/>
    </xf>
    <xf numFmtId="1" fontId="22" fillId="0" borderId="0" xfId="0" applyNumberFormat="1" applyFont="1" applyFill="1" applyBorder="1" applyAlignment="1">
      <alignment horizontal="left" vertical="top"/>
    </xf>
    <xf numFmtId="1" fontId="12" fillId="0" borderId="23" xfId="0" applyNumberFormat="1" applyFont="1" applyFill="1" applyBorder="1" applyAlignment="1">
      <alignment horizontal="left" vertical="top"/>
    </xf>
    <xf numFmtId="0" fontId="12" fillId="0" borderId="23" xfId="0" applyFont="1" applyFill="1" applyBorder="1" applyAlignment="1">
      <alignment horizontal="left" vertical="top"/>
    </xf>
    <xf numFmtId="0" fontId="0" fillId="0" borderId="22" xfId="0" applyNumberFormat="1" applyFill="1" applyBorder="1" applyAlignment="1">
      <alignment horizontal="left" vertical="top"/>
    </xf>
    <xf numFmtId="0" fontId="12" fillId="0" borderId="22" xfId="0" applyFont="1" applyFill="1" applyBorder="1" applyAlignment="1">
      <alignment horizontal="left" vertical="top"/>
    </xf>
    <xf numFmtId="0" fontId="0" fillId="0" borderId="22" xfId="0" applyFill="1" applyBorder="1" applyAlignment="1">
      <alignment horizontal="left" vertical="top"/>
    </xf>
    <xf numFmtId="0" fontId="0" fillId="4" borderId="22" xfId="0" applyFill="1" applyBorder="1" applyAlignment="1">
      <alignment horizontal="left" vertical="top"/>
    </xf>
    <xf numFmtId="0" fontId="12" fillId="4" borderId="22" xfId="0" applyFont="1" applyFill="1" applyBorder="1" applyAlignment="1">
      <alignment horizontal="left" vertical="top"/>
    </xf>
    <xf numFmtId="170" fontId="13" fillId="0" borderId="22" xfId="0" applyNumberFormat="1" applyFont="1" applyFill="1" applyBorder="1" applyAlignment="1">
      <alignment horizontal="left" vertical="top"/>
    </xf>
    <xf numFmtId="0" fontId="24" fillId="0" borderId="17" xfId="0" applyNumberFormat="1" applyFont="1" applyFill="1" applyBorder="1" applyAlignment="1">
      <alignment horizontal="left" vertical="top"/>
    </xf>
    <xf numFmtId="0" fontId="25" fillId="0" borderId="17" xfId="0" applyFont="1" applyFill="1" applyBorder="1" applyAlignment="1">
      <alignment horizontal="left" vertical="top"/>
    </xf>
    <xf numFmtId="0" fontId="24" fillId="0" borderId="17" xfId="0" applyFont="1" applyFill="1" applyBorder="1" applyAlignment="1">
      <alignment horizontal="left" vertical="top"/>
    </xf>
    <xf numFmtId="0" fontId="24" fillId="4" borderId="17" xfId="0" applyFont="1" applyFill="1" applyBorder="1" applyAlignment="1">
      <alignment horizontal="left" vertical="top"/>
    </xf>
    <xf numFmtId="0" fontId="25" fillId="4" borderId="17" xfId="0" applyFont="1" applyFill="1" applyBorder="1" applyAlignment="1">
      <alignment horizontal="left" vertical="top"/>
    </xf>
    <xf numFmtId="170" fontId="26" fillId="0" borderId="17" xfId="0" applyNumberFormat="1" applyFont="1" applyFill="1" applyBorder="1" applyAlignment="1">
      <alignment horizontal="left" vertical="top"/>
    </xf>
    <xf numFmtId="1" fontId="25" fillId="0" borderId="17" xfId="0" applyNumberFormat="1" applyFont="1" applyFill="1" applyBorder="1" applyAlignment="1">
      <alignment horizontal="left" vertical="top"/>
    </xf>
    <xf numFmtId="0" fontId="3" fillId="0" borderId="0" xfId="0" applyFont="1" applyFill="1" applyBorder="1" applyAlignment="1">
      <alignment horizontal="center" vertical="top" wrapText="1"/>
    </xf>
    <xf numFmtId="17" fontId="0" fillId="0" borderId="0" xfId="0" applyNumberFormat="1" applyFill="1" applyBorder="1" applyAlignment="1">
      <alignment horizontal="center" vertical="top" wrapText="1"/>
    </xf>
    <xf numFmtId="17" fontId="24" fillId="0" borderId="17" xfId="0" applyNumberFormat="1" applyFont="1" applyFill="1" applyBorder="1" applyAlignment="1">
      <alignment horizontal="center" vertical="top" wrapText="1"/>
    </xf>
    <xf numFmtId="0" fontId="5" fillId="0" borderId="5" xfId="0" applyFont="1" applyFill="1" applyBorder="1" applyAlignment="1">
      <alignment horizontal="center" vertical="top" wrapText="1"/>
    </xf>
    <xf numFmtId="0" fontId="10"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1" fillId="0" borderId="16"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1" fillId="2" borderId="8"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24"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0" borderId="15" xfId="0" applyFont="1" applyFill="1" applyBorder="1" applyAlignment="1">
      <alignment horizontal="left" vertical="top" wrapText="1"/>
    </xf>
    <xf numFmtId="0" fontId="1"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3" fontId="10" fillId="0" borderId="22" xfId="0" applyNumberFormat="1" applyFont="1" applyFill="1" applyBorder="1" applyAlignment="1">
      <alignment horizontal="center" vertical="top" wrapText="1"/>
    </xf>
    <xf numFmtId="3" fontId="10" fillId="0" borderId="23" xfId="0" applyNumberFormat="1" applyFont="1" applyFill="1" applyBorder="1" applyAlignment="1">
      <alignment horizontal="center" vertical="top" wrapText="1"/>
    </xf>
    <xf numFmtId="3" fontId="10" fillId="0" borderId="24" xfId="0" applyNumberFormat="1" applyFont="1" applyFill="1" applyBorder="1" applyAlignment="1">
      <alignment horizontal="center" vertical="top" wrapText="1"/>
    </xf>
    <xf numFmtId="0" fontId="1" fillId="3" borderId="14" xfId="0" applyFont="1" applyFill="1" applyBorder="1" applyAlignment="1">
      <alignment horizontal="left" vertical="top" wrapText="1"/>
    </xf>
    <xf numFmtId="0" fontId="4" fillId="3" borderId="15"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8" fillId="0" borderId="15" xfId="0" applyFont="1" applyFill="1" applyBorder="1" applyAlignment="1">
      <alignment horizontal="left" vertical="top" wrapText="1"/>
    </xf>
    <xf numFmtId="0" fontId="1" fillId="0" borderId="12" xfId="0" applyFont="1" applyFill="1" applyBorder="1" applyAlignment="1">
      <alignment horizontal="left" vertical="top" wrapText="1"/>
    </xf>
    <xf numFmtId="0" fontId="8" fillId="0" borderId="13" xfId="0" applyFont="1" applyFill="1" applyBorder="1" applyAlignment="1">
      <alignment horizontal="left" vertical="top" wrapText="1"/>
    </xf>
    <xf numFmtId="0" fontId="1" fillId="3" borderId="15" xfId="0" applyFont="1" applyFill="1" applyBorder="1" applyAlignment="1">
      <alignment horizontal="left" vertical="top" wrapText="1"/>
    </xf>
    <xf numFmtId="169" fontId="4" fillId="0" borderId="7" xfId="0" applyNumberFormat="1" applyFont="1" applyFill="1" applyBorder="1" applyAlignment="1">
      <alignment horizontal="center" vertical="top" wrapText="1"/>
    </xf>
    <xf numFmtId="169" fontId="4" fillId="0" borderId="8" xfId="0" applyNumberFormat="1" applyFont="1" applyFill="1" applyBorder="1" applyAlignment="1">
      <alignment horizontal="center" vertical="top" wrapText="1"/>
    </xf>
    <xf numFmtId="169" fontId="4" fillId="0" borderId="21" xfId="0" applyNumberFormat="1" applyFont="1" applyFill="1" applyBorder="1" applyAlignment="1">
      <alignment horizontal="center" vertical="top" wrapText="1"/>
    </xf>
    <xf numFmtId="0" fontId="20" fillId="0" borderId="0" xfId="0" applyFont="1" applyFill="1" applyBorder="1" applyAlignment="1">
      <alignment vertical="center" wrapText="1"/>
    </xf>
    <xf numFmtId="0" fontId="20" fillId="0" borderId="54" xfId="0" applyFont="1" applyFill="1" applyBorder="1" applyAlignment="1">
      <alignment horizontal="left" vertical="center" wrapText="1"/>
    </xf>
    <xf numFmtId="0" fontId="20" fillId="0" borderId="0" xfId="0" applyFont="1" applyFill="1" applyBorder="1" applyAlignment="1">
      <alignment horizontal="left" vertical="center" wrapText="1"/>
    </xf>
    <xf numFmtId="44" fontId="4" fillId="0" borderId="6" xfId="0" applyNumberFormat="1" applyFont="1" applyFill="1" applyBorder="1" applyAlignment="1">
      <alignment horizontal="left" vertical="top" wrapText="1"/>
    </xf>
    <xf numFmtId="174" fontId="1" fillId="0" borderId="6" xfId="1" applyNumberFormat="1" applyFont="1" applyFill="1" applyBorder="1" applyAlignment="1">
      <alignment horizontal="right" vertical="top" wrapText="1"/>
    </xf>
    <xf numFmtId="176" fontId="1" fillId="0" borderId="6" xfId="1" applyNumberFormat="1" applyFont="1" applyFill="1" applyBorder="1" applyAlignment="1">
      <alignment horizontal="right" vertical="top" wrapText="1"/>
    </xf>
    <xf numFmtId="174" fontId="1" fillId="3" borderId="6" xfId="1" applyNumberFormat="1" applyFont="1" applyFill="1" applyBorder="1" applyAlignment="1">
      <alignment horizontal="right" vertical="top" wrapText="1"/>
    </xf>
    <xf numFmtId="174" fontId="1" fillId="0" borderId="17" xfId="1" applyNumberFormat="1" applyFont="1" applyFill="1" applyBorder="1" applyAlignment="1">
      <alignment horizontal="right" vertical="top" wrapText="1"/>
    </xf>
    <xf numFmtId="176" fontId="5" fillId="0" borderId="18" xfId="1" applyNumberFormat="1" applyFont="1" applyFill="1" applyBorder="1" applyAlignment="1">
      <alignment horizontal="right" vertical="top" wrapText="1"/>
    </xf>
    <xf numFmtId="176" fontId="10" fillId="0" borderId="17" xfId="0" applyNumberFormat="1" applyFont="1" applyFill="1" applyBorder="1" applyAlignment="1">
      <alignment horizontal="right" vertical="top" wrapText="1"/>
    </xf>
    <xf numFmtId="0" fontId="29" fillId="0" borderId="26" xfId="0" applyFont="1" applyFill="1" applyBorder="1" applyAlignment="1">
      <alignment horizontal="center" vertical="top" wrapText="1"/>
    </xf>
    <xf numFmtId="0" fontId="29" fillId="0" borderId="27" xfId="0" applyFont="1" applyFill="1" applyBorder="1" applyAlignment="1">
      <alignment horizontal="center" vertical="top" wrapText="1"/>
    </xf>
    <xf numFmtId="0" fontId="29" fillId="0" borderId="28" xfId="0" applyFont="1" applyFill="1" applyBorder="1" applyAlignment="1">
      <alignment horizontal="center" vertical="top" wrapText="1"/>
    </xf>
    <xf numFmtId="3" fontId="29" fillId="0" borderId="10" xfId="0" applyNumberFormat="1" applyFont="1" applyFill="1" applyBorder="1" applyAlignment="1">
      <alignment horizontal="center" vertical="top" wrapText="1"/>
    </xf>
    <xf numFmtId="3" fontId="29" fillId="0" borderId="11" xfId="0" applyNumberFormat="1" applyFont="1" applyFill="1" applyBorder="1" applyAlignment="1">
      <alignment horizontal="center" vertical="top" wrapText="1"/>
    </xf>
    <xf numFmtId="3" fontId="29" fillId="0" borderId="29" xfId="0" applyNumberFormat="1" applyFont="1" applyFill="1" applyBorder="1" applyAlignment="1">
      <alignment horizontal="center" vertical="top" wrapText="1"/>
    </xf>
    <xf numFmtId="176" fontId="11" fillId="0" borderId="25" xfId="1" applyNumberFormat="1" applyFont="1" applyFill="1" applyBorder="1" applyAlignment="1">
      <alignment horizontal="right" vertical="top" wrapText="1"/>
    </xf>
    <xf numFmtId="0" fontId="29" fillId="0" borderId="17" xfId="0" applyFont="1" applyFill="1" applyBorder="1" applyAlignment="1">
      <alignment horizontal="center" vertical="top" wrapText="1"/>
    </xf>
    <xf numFmtId="3" fontId="29" fillId="0" borderId="22" xfId="0" applyNumberFormat="1" applyFont="1" applyFill="1" applyBorder="1" applyAlignment="1">
      <alignment horizontal="center" vertical="top" wrapText="1"/>
    </xf>
    <xf numFmtId="3" fontId="29" fillId="0" borderId="23" xfId="0" applyNumberFormat="1" applyFont="1" applyFill="1" applyBorder="1" applyAlignment="1">
      <alignment horizontal="center" vertical="top" wrapText="1"/>
    </xf>
    <xf numFmtId="3" fontId="29" fillId="0" borderId="24" xfId="0" applyNumberFormat="1" applyFont="1" applyFill="1" applyBorder="1" applyAlignment="1">
      <alignment horizontal="center" vertical="top" wrapText="1"/>
    </xf>
    <xf numFmtId="176" fontId="11" fillId="0" borderId="17" xfId="1" applyNumberFormat="1" applyFont="1" applyFill="1" applyBorder="1" applyAlignment="1">
      <alignment horizontal="righ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0248-378F-481E-B734-EDFF6F57A5C3}">
  <dimension ref="A1:N42"/>
  <sheetViews>
    <sheetView workbookViewId="0">
      <selection activeCell="D2" sqref="D2"/>
    </sheetView>
  </sheetViews>
  <sheetFormatPr defaultRowHeight="12.75" x14ac:dyDescent="0.2"/>
  <cols>
    <col min="1" max="1" width="60.6640625" customWidth="1"/>
    <col min="2" max="2" width="9.83203125" customWidth="1"/>
    <col min="3" max="3" width="20.33203125" customWidth="1"/>
    <col min="4" max="4" width="11.33203125" customWidth="1"/>
    <col min="5" max="5" width="17.1640625" customWidth="1"/>
    <col min="6" max="6" width="0.1640625" hidden="1" customWidth="1"/>
  </cols>
  <sheetData>
    <row r="1" spans="1:13" x14ac:dyDescent="0.2">
      <c r="A1" s="46" t="s">
        <v>84</v>
      </c>
    </row>
    <row r="2" spans="1:13" ht="38.25" x14ac:dyDescent="0.2">
      <c r="A2" s="46"/>
      <c r="B2" s="107" t="s">
        <v>87</v>
      </c>
      <c r="C2" s="107" t="s">
        <v>131</v>
      </c>
      <c r="D2" s="108" t="s">
        <v>68</v>
      </c>
      <c r="E2" s="109" t="s">
        <v>151</v>
      </c>
      <c r="F2" s="85" t="s">
        <v>120</v>
      </c>
      <c r="G2" s="51"/>
    </row>
    <row r="3" spans="1:13" x14ac:dyDescent="0.2">
      <c r="A3" s="48" t="s">
        <v>67</v>
      </c>
      <c r="B3" s="48">
        <v>66</v>
      </c>
      <c r="C3" s="48">
        <v>66</v>
      </c>
      <c r="D3" s="94">
        <v>83</v>
      </c>
      <c r="E3" s="100">
        <v>88</v>
      </c>
      <c r="F3" s="86" t="s">
        <v>121</v>
      </c>
      <c r="G3" s="51" t="s">
        <v>79</v>
      </c>
    </row>
    <row r="4" spans="1:13" x14ac:dyDescent="0.2">
      <c r="A4" s="48" t="s">
        <v>69</v>
      </c>
      <c r="B4" s="48">
        <v>126</v>
      </c>
      <c r="C4" s="48">
        <v>270</v>
      </c>
      <c r="D4" s="94">
        <v>546</v>
      </c>
      <c r="E4" s="100">
        <v>568</v>
      </c>
      <c r="F4" s="86" t="s">
        <v>122</v>
      </c>
      <c r="G4" s="51"/>
    </row>
    <row r="5" spans="1:13" x14ac:dyDescent="0.2">
      <c r="A5" s="48" t="s">
        <v>85</v>
      </c>
      <c r="B5" s="48"/>
      <c r="C5" s="48"/>
      <c r="D5" s="94">
        <v>48</v>
      </c>
      <c r="E5" s="100">
        <v>55</v>
      </c>
      <c r="F5" s="86" t="s">
        <v>123</v>
      </c>
      <c r="G5" s="51"/>
    </row>
    <row r="6" spans="1:13" x14ac:dyDescent="0.2">
      <c r="A6" s="48" t="s">
        <v>77</v>
      </c>
      <c r="B6" s="48"/>
      <c r="C6" s="48"/>
      <c r="D6" s="94">
        <f>D4-D5</f>
        <v>498</v>
      </c>
      <c r="E6" s="100">
        <v>513</v>
      </c>
      <c r="F6" s="86" t="s">
        <v>124</v>
      </c>
    </row>
    <row r="7" spans="1:13" x14ac:dyDescent="0.2">
      <c r="A7" s="50" t="s">
        <v>80</v>
      </c>
      <c r="B7" s="50">
        <v>66</v>
      </c>
      <c r="C7" s="50">
        <v>66</v>
      </c>
      <c r="D7" s="95">
        <v>70</v>
      </c>
      <c r="E7" s="101">
        <v>75</v>
      </c>
      <c r="F7" s="87" t="s">
        <v>125</v>
      </c>
      <c r="H7" s="46"/>
    </row>
    <row r="8" spans="1:13" ht="27" customHeight="1" x14ac:dyDescent="0.2">
      <c r="A8" s="52" t="s">
        <v>78</v>
      </c>
      <c r="B8" s="48" t="s">
        <v>70</v>
      </c>
      <c r="C8" s="48" t="s">
        <v>70</v>
      </c>
      <c r="D8" s="95">
        <f>D10+D13</f>
        <v>418</v>
      </c>
      <c r="E8" s="101">
        <f>E10+E13</f>
        <v>425</v>
      </c>
      <c r="F8" s="88"/>
      <c r="I8" s="46"/>
      <c r="J8" s="47"/>
      <c r="K8" s="46"/>
      <c r="M8" s="46"/>
    </row>
    <row r="9" spans="1:13" x14ac:dyDescent="0.2">
      <c r="A9" s="48" t="s">
        <v>74</v>
      </c>
      <c r="B9" s="49">
        <v>66</v>
      </c>
      <c r="C9" s="49">
        <v>66</v>
      </c>
      <c r="D9" s="96">
        <v>64</v>
      </c>
      <c r="E9" s="102">
        <v>66</v>
      </c>
      <c r="F9" s="87" t="s">
        <v>127</v>
      </c>
      <c r="H9" s="46"/>
    </row>
    <row r="10" spans="1:13" x14ac:dyDescent="0.2">
      <c r="A10" s="55" t="s">
        <v>75</v>
      </c>
      <c r="B10" s="56">
        <v>144</v>
      </c>
      <c r="C10" s="56">
        <v>270</v>
      </c>
      <c r="D10" s="97">
        <v>347</v>
      </c>
      <c r="E10" s="103">
        <v>342</v>
      </c>
      <c r="F10" s="89" t="s">
        <v>126</v>
      </c>
      <c r="H10" s="46"/>
    </row>
    <row r="11" spans="1:13" x14ac:dyDescent="0.2">
      <c r="A11" s="48" t="s">
        <v>88</v>
      </c>
      <c r="B11" s="49"/>
      <c r="C11" s="49"/>
      <c r="D11" s="96">
        <v>118</v>
      </c>
      <c r="E11" s="102">
        <v>118</v>
      </c>
      <c r="F11" s="87" t="s">
        <v>128</v>
      </c>
      <c r="G11" s="46" t="s">
        <v>86</v>
      </c>
      <c r="H11" s="46"/>
    </row>
    <row r="12" spans="1:13" x14ac:dyDescent="0.2">
      <c r="A12" s="48" t="s">
        <v>156</v>
      </c>
      <c r="B12" s="49" t="s">
        <v>70</v>
      </c>
      <c r="C12" s="49"/>
      <c r="D12" s="95">
        <v>24</v>
      </c>
      <c r="E12" s="101">
        <v>29</v>
      </c>
      <c r="F12" s="89" t="s">
        <v>126</v>
      </c>
      <c r="H12" s="46"/>
    </row>
    <row r="13" spans="1:13" ht="15.75" x14ac:dyDescent="0.2">
      <c r="A13" s="55" t="s">
        <v>152</v>
      </c>
      <c r="B13" s="56">
        <v>126</v>
      </c>
      <c r="C13" s="56"/>
      <c r="D13" s="98">
        <v>71</v>
      </c>
      <c r="E13" s="104">
        <v>83</v>
      </c>
      <c r="F13" s="89" t="s">
        <v>126</v>
      </c>
      <c r="G13" s="46" t="s">
        <v>130</v>
      </c>
      <c r="I13" s="46"/>
      <c r="J13" s="47"/>
      <c r="K13" s="46"/>
      <c r="M13" s="46"/>
    </row>
    <row r="14" spans="1:13" ht="18.75" customHeight="1" x14ac:dyDescent="0.2">
      <c r="A14" s="53" t="s">
        <v>82</v>
      </c>
      <c r="B14" s="53">
        <v>4.0999999999999996</v>
      </c>
      <c r="C14" s="54">
        <f>C10/C9</f>
        <v>4.0909090909090908</v>
      </c>
      <c r="D14" s="99">
        <f>D13/D12</f>
        <v>2.9583333333333335</v>
      </c>
      <c r="E14" s="105">
        <f>E13/E12</f>
        <v>2.8620689655172415</v>
      </c>
      <c r="F14" s="90"/>
      <c r="I14" s="46"/>
      <c r="J14" s="47"/>
      <c r="K14" s="46"/>
      <c r="M14" s="46"/>
    </row>
    <row r="15" spans="1:13" x14ac:dyDescent="0.2">
      <c r="A15" s="50" t="s">
        <v>81</v>
      </c>
      <c r="B15" s="50">
        <v>66</v>
      </c>
      <c r="C15" s="50"/>
      <c r="D15" s="95">
        <v>36</v>
      </c>
      <c r="E15" s="101">
        <v>37</v>
      </c>
      <c r="F15" s="87" t="s">
        <v>129</v>
      </c>
      <c r="G15" s="46"/>
      <c r="I15" s="46"/>
      <c r="M15" s="46"/>
    </row>
    <row r="16" spans="1:13" x14ac:dyDescent="0.2">
      <c r="A16" s="48" t="s">
        <v>73</v>
      </c>
      <c r="B16" s="49">
        <v>270</v>
      </c>
      <c r="C16" s="49"/>
      <c r="D16" s="95">
        <v>80</v>
      </c>
      <c r="E16" s="101">
        <v>88</v>
      </c>
      <c r="F16" s="87" t="s">
        <v>129</v>
      </c>
      <c r="G16" s="46"/>
      <c r="I16" s="46"/>
    </row>
    <row r="17" spans="1:14" x14ac:dyDescent="0.2">
      <c r="A17" s="53" t="s">
        <v>83</v>
      </c>
      <c r="B17" s="60">
        <f>B16/B15</f>
        <v>4.0909090909090908</v>
      </c>
      <c r="C17" s="60"/>
      <c r="D17" s="99">
        <f>D16/D15</f>
        <v>2.2222222222222223</v>
      </c>
      <c r="E17" s="105">
        <f>E16/E15</f>
        <v>2.3783783783783785</v>
      </c>
      <c r="F17" s="90"/>
      <c r="G17" s="46"/>
      <c r="I17" s="46"/>
    </row>
    <row r="18" spans="1:14" x14ac:dyDescent="0.2">
      <c r="A18" s="58" t="s">
        <v>89</v>
      </c>
      <c r="B18" s="62"/>
      <c r="C18" s="63"/>
      <c r="D18" s="92">
        <f>AVERAGE(D12,D15)</f>
        <v>30</v>
      </c>
      <c r="E18" s="106">
        <f>AVERAGE(E12,E15)</f>
        <v>33</v>
      </c>
      <c r="F18" s="91"/>
      <c r="G18" s="46" t="s">
        <v>158</v>
      </c>
      <c r="I18" s="46"/>
    </row>
    <row r="19" spans="1:14" x14ac:dyDescent="0.2">
      <c r="A19" s="58" t="s">
        <v>90</v>
      </c>
      <c r="B19" s="64"/>
      <c r="C19" s="65"/>
      <c r="D19" s="92">
        <f>ROUNDDOWN(AVERAGE(D13,D16),0)</f>
        <v>75</v>
      </c>
      <c r="E19" s="106">
        <f>ROUNDDOWN(AVERAGE(E13,E16),0)</f>
        <v>85</v>
      </c>
      <c r="F19" s="91"/>
      <c r="G19" s="46" t="s">
        <v>159</v>
      </c>
      <c r="I19" s="46"/>
    </row>
    <row r="20" spans="1:14" x14ac:dyDescent="0.2">
      <c r="A20" s="59" t="s">
        <v>71</v>
      </c>
      <c r="B20" s="49">
        <v>6</v>
      </c>
      <c r="C20" s="49"/>
      <c r="D20" s="93">
        <v>6</v>
      </c>
      <c r="E20" s="101">
        <v>8</v>
      </c>
      <c r="F20" s="88"/>
      <c r="G20" s="46" t="s">
        <v>160</v>
      </c>
      <c r="I20" s="46"/>
    </row>
    <row r="21" spans="1:14" x14ac:dyDescent="0.2">
      <c r="A21" s="48" t="s">
        <v>72</v>
      </c>
      <c r="B21" s="61">
        <v>6</v>
      </c>
      <c r="C21" s="61"/>
      <c r="D21" s="95">
        <v>7</v>
      </c>
      <c r="E21" s="101">
        <v>8</v>
      </c>
      <c r="F21" s="88"/>
      <c r="G21" s="46" t="s">
        <v>161</v>
      </c>
    </row>
    <row r="22" spans="1:14" x14ac:dyDescent="0.2">
      <c r="E22" s="84">
        <f>SUM(E18,E20:E21)</f>
        <v>49</v>
      </c>
      <c r="G22" s="46" t="s">
        <v>162</v>
      </c>
    </row>
    <row r="23" spans="1:14" ht="15.75" x14ac:dyDescent="0.2">
      <c r="A23" s="46" t="s">
        <v>153</v>
      </c>
    </row>
    <row r="24" spans="1:14" ht="15.75" x14ac:dyDescent="0.2">
      <c r="A24" s="46" t="s">
        <v>154</v>
      </c>
      <c r="J24" s="46"/>
    </row>
    <row r="26" spans="1:14" x14ac:dyDescent="0.2">
      <c r="A26" t="s">
        <v>76</v>
      </c>
    </row>
    <row r="27" spans="1:14" ht="30.75" customHeight="1" x14ac:dyDescent="0.2">
      <c r="A27" s="112" t="s">
        <v>132</v>
      </c>
      <c r="B27" s="112"/>
      <c r="C27" s="112"/>
      <c r="D27" s="112"/>
      <c r="E27" s="112"/>
      <c r="F27" s="112"/>
      <c r="G27" s="112"/>
      <c r="H27" s="112"/>
      <c r="I27" s="112"/>
      <c r="J27" s="112"/>
      <c r="K27" s="112"/>
      <c r="L27" s="112"/>
      <c r="M27" s="112"/>
      <c r="N27" s="112"/>
    </row>
    <row r="28" spans="1:14" ht="71.25" customHeight="1" x14ac:dyDescent="0.2">
      <c r="A28" s="112" t="s">
        <v>133</v>
      </c>
      <c r="B28" s="112"/>
      <c r="C28" s="112"/>
      <c r="D28" s="112"/>
      <c r="E28" s="112"/>
      <c r="F28" s="112"/>
      <c r="G28" s="112"/>
      <c r="H28" s="112"/>
      <c r="I28" s="112"/>
      <c r="J28" s="112"/>
      <c r="K28" s="112"/>
      <c r="L28" s="112"/>
      <c r="M28" s="112"/>
      <c r="N28" s="112"/>
    </row>
    <row r="29" spans="1:14" ht="29.45" customHeight="1" x14ac:dyDescent="0.2">
      <c r="A29" s="112" t="s">
        <v>157</v>
      </c>
      <c r="B29" s="112"/>
      <c r="C29" s="112"/>
      <c r="D29" s="112"/>
      <c r="E29" s="112"/>
      <c r="F29" s="112"/>
      <c r="G29" s="112"/>
      <c r="H29" s="112"/>
      <c r="I29" s="112"/>
      <c r="J29" s="112"/>
      <c r="K29" s="112"/>
      <c r="L29" s="112"/>
      <c r="M29" s="112"/>
      <c r="N29" s="112"/>
    </row>
    <row r="30" spans="1:14" x14ac:dyDescent="0.2">
      <c r="A30" s="112" t="s">
        <v>155</v>
      </c>
      <c r="B30" s="112"/>
      <c r="C30" s="112"/>
      <c r="D30" s="112"/>
      <c r="E30" s="112"/>
      <c r="F30" s="112"/>
      <c r="G30" s="112"/>
      <c r="H30" s="112"/>
      <c r="I30" s="112"/>
      <c r="J30" s="112"/>
      <c r="K30" s="112"/>
      <c r="L30" s="112"/>
      <c r="M30" s="112"/>
      <c r="N30" s="112"/>
    </row>
    <row r="31" spans="1:14" x14ac:dyDescent="0.2">
      <c r="B31" s="46"/>
      <c r="C31" s="46"/>
    </row>
    <row r="32" spans="1:14" x14ac:dyDescent="0.2">
      <c r="B32" s="46"/>
    </row>
    <row r="33" spans="2:6" x14ac:dyDescent="0.2">
      <c r="B33" s="46"/>
    </row>
    <row r="34" spans="2:6" x14ac:dyDescent="0.2">
      <c r="B34" s="46"/>
    </row>
    <row r="35" spans="2:6" x14ac:dyDescent="0.2">
      <c r="D35" s="46"/>
      <c r="E35" s="46"/>
    </row>
    <row r="38" spans="2:6" x14ac:dyDescent="0.2">
      <c r="C38" s="46"/>
    </row>
    <row r="39" spans="2:6" x14ac:dyDescent="0.2">
      <c r="C39" s="46"/>
      <c r="D39" s="57"/>
    </row>
    <row r="40" spans="2:6" x14ac:dyDescent="0.2">
      <c r="C40" s="46"/>
    </row>
    <row r="42" spans="2:6" x14ac:dyDescent="0.2">
      <c r="C42" s="46"/>
      <c r="D42" s="46"/>
      <c r="F42" s="46"/>
    </row>
  </sheetData>
  <mergeCells count="4">
    <mergeCell ref="A27:N27"/>
    <mergeCell ref="A28:N28"/>
    <mergeCell ref="A29:N29"/>
    <mergeCell ref="A30:N3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tabSelected="1" workbookViewId="0">
      <selection activeCell="A11" sqref="A11"/>
    </sheetView>
  </sheetViews>
  <sheetFormatPr defaultRowHeight="12.75" x14ac:dyDescent="0.2"/>
  <cols>
    <col min="1" max="1" width="47.5" customWidth="1"/>
    <col min="2" max="2" width="12.1640625" customWidth="1"/>
    <col min="3" max="3" width="14.1640625" customWidth="1"/>
    <col min="4" max="4" width="14.6640625" customWidth="1"/>
    <col min="5" max="5" width="14.5" customWidth="1"/>
    <col min="6" max="6" width="10.5" customWidth="1"/>
    <col min="7" max="7" width="12.5" customWidth="1"/>
    <col min="8" max="8" width="14" customWidth="1"/>
    <col min="9" max="9" width="14.33203125" customWidth="1"/>
    <col min="10" max="10" width="5.6640625" customWidth="1"/>
    <col min="12" max="12" width="11.6640625" customWidth="1"/>
  </cols>
  <sheetData>
    <row r="1" spans="1:12" x14ac:dyDescent="0.2">
      <c r="A1" s="114" t="s">
        <v>38</v>
      </c>
      <c r="B1" s="115"/>
      <c r="C1" s="115"/>
      <c r="D1" s="115"/>
      <c r="E1" s="115"/>
      <c r="F1" s="115"/>
      <c r="G1" s="115"/>
      <c r="H1" s="115"/>
      <c r="I1" s="116"/>
    </row>
    <row r="2" spans="1:12" ht="78" x14ac:dyDescent="0.2">
      <c r="A2" s="7" t="s">
        <v>21</v>
      </c>
      <c r="B2" s="6" t="s">
        <v>18</v>
      </c>
      <c r="C2" s="6" t="s">
        <v>57</v>
      </c>
      <c r="D2" s="6" t="s">
        <v>46</v>
      </c>
      <c r="E2" s="6" t="s">
        <v>52</v>
      </c>
      <c r="F2" s="6" t="s">
        <v>53</v>
      </c>
      <c r="G2" s="6" t="s">
        <v>54</v>
      </c>
      <c r="H2" s="6" t="s">
        <v>55</v>
      </c>
      <c r="I2" s="6" t="s">
        <v>56</v>
      </c>
    </row>
    <row r="3" spans="1:12" x14ac:dyDescent="0.2">
      <c r="A3" s="3" t="s">
        <v>0</v>
      </c>
      <c r="B3" s="2"/>
      <c r="C3" s="2"/>
      <c r="D3" s="2"/>
      <c r="E3" s="2"/>
      <c r="F3" s="2"/>
      <c r="G3" s="2"/>
      <c r="H3" s="2"/>
      <c r="I3" s="2"/>
      <c r="K3">
        <v>112.98</v>
      </c>
      <c r="L3" t="s">
        <v>35</v>
      </c>
    </row>
    <row r="4" spans="1:12" x14ac:dyDescent="0.2">
      <c r="A4" s="35" t="s">
        <v>1</v>
      </c>
      <c r="B4" s="117"/>
      <c r="C4" s="118"/>
      <c r="D4" s="118"/>
      <c r="E4" s="118"/>
      <c r="F4" s="118"/>
      <c r="G4" s="118"/>
      <c r="H4" s="118"/>
      <c r="I4" s="118"/>
      <c r="K4">
        <v>149.35</v>
      </c>
      <c r="L4" t="s">
        <v>36</v>
      </c>
    </row>
    <row r="5" spans="1:12" ht="14.25" x14ac:dyDescent="0.2">
      <c r="A5" s="1" t="s">
        <v>10</v>
      </c>
      <c r="B5" s="8">
        <v>2</v>
      </c>
      <c r="C5" s="9">
        <f>85/33/3</f>
        <v>0.85858585858585856</v>
      </c>
      <c r="D5" s="9">
        <f>B5*C5</f>
        <v>1.7171717171717171</v>
      </c>
      <c r="E5" s="10">
        <v>33</v>
      </c>
      <c r="F5" s="9">
        <f>D5*E5</f>
        <v>56.666666666666664</v>
      </c>
      <c r="G5" s="9">
        <f>F5*0.05</f>
        <v>2.8333333333333335</v>
      </c>
      <c r="H5" s="9">
        <f>F5*0.1</f>
        <v>5.666666666666667</v>
      </c>
      <c r="I5" s="149">
        <f>+(F5*$K$3)+(G5*$K$4)+(H5*$K$5)</f>
        <v>7135.9483333333337</v>
      </c>
      <c r="K5">
        <v>54.81</v>
      </c>
      <c r="L5" t="s">
        <v>37</v>
      </c>
    </row>
    <row r="6" spans="1:12" ht="14.25" x14ac:dyDescent="0.2">
      <c r="A6" s="1" t="s">
        <v>11</v>
      </c>
      <c r="B6" s="8">
        <v>8</v>
      </c>
      <c r="C6" s="9">
        <f>85/33/3</f>
        <v>0.85858585858585856</v>
      </c>
      <c r="D6" s="9">
        <f t="shared" ref="D6:D10" si="0">B6*C6</f>
        <v>6.8686868686868685</v>
      </c>
      <c r="E6" s="10">
        <v>33</v>
      </c>
      <c r="F6" s="9">
        <f t="shared" ref="F6:F11" si="1">D6*E6</f>
        <v>226.66666666666666</v>
      </c>
      <c r="G6" s="9">
        <f t="shared" ref="G6:G11" si="2">F6*0.05</f>
        <v>11.333333333333334</v>
      </c>
      <c r="H6" s="9">
        <f t="shared" ref="H6:H11" si="3">F6*0.1</f>
        <v>22.666666666666668</v>
      </c>
      <c r="I6" s="149">
        <f t="shared" ref="I6:I11" si="4">+(F6*$K$3)+(G6*$K$4)+(H6*$K$5)</f>
        <v>28543.793333333335</v>
      </c>
    </row>
    <row r="7" spans="1:12" ht="14.25" x14ac:dyDescent="0.2">
      <c r="A7" s="1" t="s">
        <v>12</v>
      </c>
      <c r="B7" s="8">
        <v>2</v>
      </c>
      <c r="C7" s="9">
        <f>85/33*2/3</f>
        <v>1.7171717171717171</v>
      </c>
      <c r="D7" s="9">
        <f t="shared" si="0"/>
        <v>3.4343434343434343</v>
      </c>
      <c r="E7" s="10">
        <v>33</v>
      </c>
      <c r="F7" s="9">
        <f t="shared" si="1"/>
        <v>113.33333333333333</v>
      </c>
      <c r="G7" s="9">
        <f t="shared" si="2"/>
        <v>5.666666666666667</v>
      </c>
      <c r="H7" s="9">
        <f t="shared" si="3"/>
        <v>11.333333333333334</v>
      </c>
      <c r="I7" s="149">
        <f t="shared" si="4"/>
        <v>14271.896666666667</v>
      </c>
    </row>
    <row r="8" spans="1:12" ht="14.25" x14ac:dyDescent="0.2">
      <c r="A8" s="1" t="s">
        <v>13</v>
      </c>
      <c r="B8" s="8">
        <v>8</v>
      </c>
      <c r="C8" s="9">
        <f>1/3</f>
        <v>0.33333333333333331</v>
      </c>
      <c r="D8" s="9">
        <f>B8*C8</f>
        <v>2.6666666666666665</v>
      </c>
      <c r="E8" s="10">
        <v>1</v>
      </c>
      <c r="F8" s="9">
        <f t="shared" si="1"/>
        <v>2.6666666666666665</v>
      </c>
      <c r="G8" s="9">
        <f t="shared" si="2"/>
        <v>0.13333333333333333</v>
      </c>
      <c r="H8" s="9">
        <f t="shared" si="3"/>
        <v>0.26666666666666666</v>
      </c>
      <c r="I8" s="149">
        <f t="shared" si="4"/>
        <v>335.80933333333331</v>
      </c>
    </row>
    <row r="9" spans="1:12" ht="14.25" x14ac:dyDescent="0.2">
      <c r="A9" s="1" t="s">
        <v>14</v>
      </c>
      <c r="B9" s="8">
        <v>2</v>
      </c>
      <c r="C9" s="9">
        <f>1/3</f>
        <v>0.33333333333333331</v>
      </c>
      <c r="D9" s="9">
        <f t="shared" si="0"/>
        <v>0.66666666666666663</v>
      </c>
      <c r="E9" s="10">
        <v>33</v>
      </c>
      <c r="F9" s="9">
        <f t="shared" si="1"/>
        <v>22</v>
      </c>
      <c r="G9" s="9">
        <f t="shared" si="2"/>
        <v>1.1000000000000001</v>
      </c>
      <c r="H9" s="9">
        <f t="shared" si="3"/>
        <v>2.2000000000000002</v>
      </c>
      <c r="I9" s="149">
        <f t="shared" si="4"/>
        <v>2770.4269999999997</v>
      </c>
    </row>
    <row r="10" spans="1:12" ht="14.25" x14ac:dyDescent="0.2">
      <c r="A10" s="1" t="s">
        <v>15</v>
      </c>
      <c r="B10" s="8">
        <v>20</v>
      </c>
      <c r="C10" s="9">
        <f>85*(3/8)/3</f>
        <v>10.625</v>
      </c>
      <c r="D10" s="9">
        <f t="shared" si="0"/>
        <v>212.5</v>
      </c>
      <c r="E10" s="10">
        <v>8</v>
      </c>
      <c r="F10" s="9">
        <f t="shared" si="1"/>
        <v>1700</v>
      </c>
      <c r="G10" s="9">
        <f t="shared" si="2"/>
        <v>85</v>
      </c>
      <c r="H10" s="9">
        <f t="shared" si="3"/>
        <v>170</v>
      </c>
      <c r="I10" s="149">
        <f t="shared" si="4"/>
        <v>214078.45</v>
      </c>
    </row>
    <row r="11" spans="1:12" ht="14.25" x14ac:dyDescent="0.2">
      <c r="A11" s="1" t="s">
        <v>16</v>
      </c>
      <c r="B11" s="8">
        <v>4</v>
      </c>
      <c r="C11" s="9">
        <v>1</v>
      </c>
      <c r="D11" s="9">
        <f>B11*C11</f>
        <v>4</v>
      </c>
      <c r="E11" s="11">
        <v>33</v>
      </c>
      <c r="F11" s="9">
        <f t="shared" si="1"/>
        <v>132</v>
      </c>
      <c r="G11" s="9">
        <f t="shared" si="2"/>
        <v>6.6000000000000005</v>
      </c>
      <c r="H11" s="9">
        <f t="shared" si="3"/>
        <v>13.200000000000001</v>
      </c>
      <c r="I11" s="149">
        <f t="shared" si="4"/>
        <v>16622.561999999998</v>
      </c>
    </row>
    <row r="12" spans="1:12" x14ac:dyDescent="0.2">
      <c r="A12" s="36" t="s">
        <v>2</v>
      </c>
      <c r="B12" s="119" t="s">
        <v>3</v>
      </c>
      <c r="C12" s="119"/>
      <c r="D12" s="119"/>
      <c r="E12" s="119"/>
      <c r="F12" s="119"/>
      <c r="G12" s="119"/>
      <c r="H12" s="119"/>
      <c r="I12" s="119"/>
    </row>
    <row r="13" spans="1:12" ht="14.25" x14ac:dyDescent="0.2">
      <c r="A13" s="1" t="s">
        <v>17</v>
      </c>
      <c r="B13" s="2"/>
      <c r="C13" s="2"/>
      <c r="D13" s="2"/>
      <c r="E13" s="2"/>
      <c r="F13" s="2"/>
      <c r="G13" s="2"/>
      <c r="H13" s="2"/>
      <c r="I13" s="12"/>
    </row>
    <row r="14" spans="1:12" x14ac:dyDescent="0.2">
      <c r="A14" s="1" t="s">
        <v>4</v>
      </c>
      <c r="B14" s="8">
        <v>20</v>
      </c>
      <c r="C14" s="9">
        <v>0</v>
      </c>
      <c r="D14" s="9">
        <f>B14*C14</f>
        <v>0</v>
      </c>
      <c r="E14" s="10">
        <v>8</v>
      </c>
      <c r="F14" s="9">
        <f>D14*E14</f>
        <v>0</v>
      </c>
      <c r="G14" s="9">
        <f>F14*0.05</f>
        <v>0</v>
      </c>
      <c r="H14" s="9">
        <f>F14*0.1</f>
        <v>0</v>
      </c>
      <c r="I14" s="150">
        <f>+(F14*$K$3)+(G14*$K$4)+(H14*$K$5)</f>
        <v>0</v>
      </c>
    </row>
    <row r="15" spans="1:12" x14ac:dyDescent="0.2">
      <c r="A15" s="1" t="s">
        <v>5</v>
      </c>
      <c r="B15" s="8">
        <v>80</v>
      </c>
      <c r="C15" s="9">
        <v>0</v>
      </c>
      <c r="D15" s="9">
        <f>B15*C15</f>
        <v>0</v>
      </c>
      <c r="E15" s="10">
        <v>0</v>
      </c>
      <c r="F15" s="9">
        <f t="shared" ref="F15" si="5">D15*E15</f>
        <v>0</v>
      </c>
      <c r="G15" s="9">
        <f t="shared" ref="G15:G16" si="6">F15*0.05</f>
        <v>0</v>
      </c>
      <c r="H15" s="9">
        <f t="shared" ref="H15:H16" si="7">F15*0.1</f>
        <v>0</v>
      </c>
      <c r="I15" s="150">
        <f t="shared" ref="I15:I16" si="8">+(F15*$K$3)+(G15*$K$4)+(H15*$K$5)</f>
        <v>0</v>
      </c>
    </row>
    <row r="16" spans="1:12" ht="27" x14ac:dyDescent="0.2">
      <c r="A16" s="1" t="s">
        <v>22</v>
      </c>
      <c r="B16" s="8">
        <v>150</v>
      </c>
      <c r="C16" s="9">
        <f>2/3</f>
        <v>0.66666666666666663</v>
      </c>
      <c r="D16" s="9">
        <f>B16*C16</f>
        <v>100</v>
      </c>
      <c r="E16" s="10">
        <v>8</v>
      </c>
      <c r="F16" s="9">
        <f>D16*E16</f>
        <v>800</v>
      </c>
      <c r="G16" s="9">
        <f t="shared" si="6"/>
        <v>40</v>
      </c>
      <c r="H16" s="9">
        <f t="shared" si="7"/>
        <v>80</v>
      </c>
      <c r="I16" s="149">
        <f t="shared" si="8"/>
        <v>100742.8</v>
      </c>
    </row>
    <row r="17" spans="1:9" x14ac:dyDescent="0.2">
      <c r="A17" s="35" t="s">
        <v>6</v>
      </c>
      <c r="B17" s="117"/>
      <c r="C17" s="118"/>
      <c r="D17" s="118"/>
      <c r="E17" s="118"/>
      <c r="F17" s="118"/>
      <c r="G17" s="118"/>
      <c r="H17" s="118"/>
      <c r="I17" s="118"/>
    </row>
    <row r="18" spans="1:9" ht="27" x14ac:dyDescent="0.2">
      <c r="A18" s="1" t="s">
        <v>40</v>
      </c>
      <c r="B18" s="2"/>
      <c r="C18" s="2"/>
      <c r="D18" s="2"/>
      <c r="E18" s="2"/>
      <c r="F18" s="2"/>
      <c r="G18" s="2"/>
      <c r="H18" s="2"/>
      <c r="I18" s="148"/>
    </row>
    <row r="19" spans="1:9" x14ac:dyDescent="0.2">
      <c r="A19" s="1" t="s">
        <v>4</v>
      </c>
      <c r="B19" s="8">
        <v>20</v>
      </c>
      <c r="C19" s="9">
        <v>0</v>
      </c>
      <c r="D19" s="9">
        <f>B19*C19</f>
        <v>0</v>
      </c>
      <c r="E19" s="10">
        <v>8</v>
      </c>
      <c r="F19" s="9">
        <f>D19*E19</f>
        <v>0</v>
      </c>
      <c r="G19" s="9">
        <f>F19*0.05</f>
        <v>0</v>
      </c>
      <c r="H19" s="9">
        <f>F19*0.1</f>
        <v>0</v>
      </c>
      <c r="I19" s="150">
        <f>+(F19*$K$3)+(G19*$K$4)+(H19*$K$5)</f>
        <v>0</v>
      </c>
    </row>
    <row r="20" spans="1:9" x14ac:dyDescent="0.2">
      <c r="A20" s="1" t="s">
        <v>5</v>
      </c>
      <c r="B20" s="8">
        <v>80</v>
      </c>
      <c r="C20" s="9">
        <v>0</v>
      </c>
      <c r="D20" s="9">
        <f>B20*C20</f>
        <v>0</v>
      </c>
      <c r="E20" s="10">
        <v>0</v>
      </c>
      <c r="F20" s="9">
        <f>D20*E20</f>
        <v>0</v>
      </c>
      <c r="G20" s="9">
        <f>F20*0.05</f>
        <v>0</v>
      </c>
      <c r="H20" s="9">
        <f>F20*0.1</f>
        <v>0</v>
      </c>
      <c r="I20" s="150">
        <f t="shared" ref="I19:I20" si="9">+(F20*$K$3)+(G20*$K$4)+(H20*$K$5)</f>
        <v>0</v>
      </c>
    </row>
    <row r="21" spans="1:9" x14ac:dyDescent="0.2">
      <c r="A21" s="37" t="s">
        <v>7</v>
      </c>
      <c r="B21" s="155"/>
      <c r="C21" s="156"/>
      <c r="D21" s="156"/>
      <c r="E21" s="157"/>
      <c r="F21" s="158">
        <f>SUM(F5:H20)</f>
        <v>3511.333333333333</v>
      </c>
      <c r="G21" s="159"/>
      <c r="H21" s="160"/>
      <c r="I21" s="161">
        <f>SUM(I5:I11,I14:I16,I19:I20)</f>
        <v>384501.68666666665</v>
      </c>
    </row>
    <row r="22" spans="1:9" x14ac:dyDescent="0.2">
      <c r="A22" s="38"/>
      <c r="B22" s="39"/>
      <c r="C22" s="40"/>
      <c r="D22" s="40"/>
      <c r="E22" s="40"/>
      <c r="F22" s="41"/>
      <c r="G22" s="42"/>
      <c r="H22" s="42"/>
      <c r="I22" s="43"/>
    </row>
    <row r="23" spans="1:9" x14ac:dyDescent="0.2">
      <c r="A23" s="44" t="s">
        <v>8</v>
      </c>
      <c r="B23" s="120"/>
      <c r="C23" s="121"/>
      <c r="D23" s="121"/>
      <c r="E23" s="121"/>
      <c r="F23" s="121"/>
      <c r="G23" s="121"/>
      <c r="H23" s="121"/>
      <c r="I23" s="122"/>
    </row>
    <row r="24" spans="1:9" x14ac:dyDescent="0.2">
      <c r="A24" s="35" t="s">
        <v>1</v>
      </c>
      <c r="B24" s="45"/>
      <c r="C24" s="45"/>
      <c r="D24" s="45"/>
      <c r="E24" s="45"/>
      <c r="F24" s="45"/>
      <c r="G24" s="45"/>
      <c r="H24" s="45"/>
      <c r="I24" s="45"/>
    </row>
    <row r="25" spans="1:9" ht="14.25" x14ac:dyDescent="0.2">
      <c r="A25" s="1" t="s">
        <v>41</v>
      </c>
      <c r="B25" s="8">
        <v>1</v>
      </c>
      <c r="C25" s="9">
        <f>85/33/3</f>
        <v>0.85858585858585856</v>
      </c>
      <c r="D25" s="9">
        <f>B25*C25</f>
        <v>0.85858585858585856</v>
      </c>
      <c r="E25" s="10">
        <v>33</v>
      </c>
      <c r="F25" s="9">
        <f>D25*E25</f>
        <v>28.333333333333332</v>
      </c>
      <c r="G25" s="9">
        <f>F25*0.05</f>
        <v>1.4166666666666667</v>
      </c>
      <c r="H25" s="9">
        <f>F25*0.1</f>
        <v>2.8333333333333335</v>
      </c>
      <c r="I25" s="149">
        <f t="shared" ref="I25:I31" si="10">+(F25*$K$3)+(G25*$K$4)+(H25*$K$5)</f>
        <v>3567.9741666666669</v>
      </c>
    </row>
    <row r="26" spans="1:9" ht="14.25" x14ac:dyDescent="0.2">
      <c r="A26" s="1" t="s">
        <v>42</v>
      </c>
      <c r="B26" s="8">
        <v>2</v>
      </c>
      <c r="C26" s="9">
        <v>4</v>
      </c>
      <c r="D26" s="9">
        <f t="shared" ref="D26" si="11">B26*C26</f>
        <v>8</v>
      </c>
      <c r="E26" s="10">
        <v>33</v>
      </c>
      <c r="F26" s="9">
        <f t="shared" ref="F26" si="12">D26*E26</f>
        <v>264</v>
      </c>
      <c r="G26" s="9">
        <f t="shared" ref="G26" si="13">F26*0.05</f>
        <v>13.200000000000001</v>
      </c>
      <c r="H26" s="9">
        <f t="shared" ref="H26" si="14">F26*0.1</f>
        <v>26.400000000000002</v>
      </c>
      <c r="I26" s="149">
        <f t="shared" si="10"/>
        <v>33245.123999999996</v>
      </c>
    </row>
    <row r="27" spans="1:9" ht="14.25" x14ac:dyDescent="0.2">
      <c r="A27" s="1" t="s">
        <v>43</v>
      </c>
      <c r="B27" s="8">
        <v>1</v>
      </c>
      <c r="C27" s="9">
        <f>85/33/3</f>
        <v>0.85858585858585856</v>
      </c>
      <c r="D27" s="9">
        <f>B27*C27</f>
        <v>0.85858585858585856</v>
      </c>
      <c r="E27" s="10">
        <v>33</v>
      </c>
      <c r="F27" s="9">
        <f>D27*E27</f>
        <v>28.333333333333332</v>
      </c>
      <c r="G27" s="9">
        <f>F27*0.05</f>
        <v>1.4166666666666667</v>
      </c>
      <c r="H27" s="9">
        <f>F27*0.1</f>
        <v>2.8333333333333335</v>
      </c>
      <c r="I27" s="149">
        <f>+(F27*$K$3)+(G27*$K$4)+(H27*$K$5)</f>
        <v>3567.9741666666669</v>
      </c>
    </row>
    <row r="28" spans="1:9" x14ac:dyDescent="0.2">
      <c r="A28" s="3" t="s">
        <v>2</v>
      </c>
      <c r="B28" s="117"/>
      <c r="C28" s="118"/>
      <c r="D28" s="118"/>
      <c r="E28" s="118"/>
      <c r="F28" s="118"/>
      <c r="G28" s="118"/>
      <c r="H28" s="118"/>
      <c r="I28" s="118"/>
    </row>
    <row r="29" spans="1:9" s="19" customFormat="1" ht="27" x14ac:dyDescent="0.2">
      <c r="A29" s="32" t="s">
        <v>44</v>
      </c>
      <c r="B29" s="16">
        <v>2</v>
      </c>
      <c r="C29" s="17">
        <v>12</v>
      </c>
      <c r="D29" s="17">
        <f>B29*C29</f>
        <v>24</v>
      </c>
      <c r="E29" s="18">
        <v>8</v>
      </c>
      <c r="F29" s="9">
        <f>D29*E29</f>
        <v>192</v>
      </c>
      <c r="G29" s="9">
        <f>F29*0.05</f>
        <v>9.6000000000000014</v>
      </c>
      <c r="H29" s="9">
        <f>F29*0.1</f>
        <v>19.200000000000003</v>
      </c>
      <c r="I29" s="151">
        <f t="shared" si="10"/>
        <v>24178.271999999997</v>
      </c>
    </row>
    <row r="30" spans="1:9" x14ac:dyDescent="0.2">
      <c r="A30" s="35" t="s">
        <v>6</v>
      </c>
      <c r="B30" s="125"/>
      <c r="C30" s="126"/>
      <c r="D30" s="126"/>
      <c r="E30" s="126"/>
      <c r="F30" s="126"/>
      <c r="G30" s="126"/>
      <c r="H30" s="126"/>
      <c r="I30" s="126"/>
    </row>
    <row r="31" spans="1:9" ht="27" x14ac:dyDescent="0.2">
      <c r="A31" s="21" t="s">
        <v>45</v>
      </c>
      <c r="B31" s="25">
        <v>2</v>
      </c>
      <c r="C31" s="26">
        <v>12</v>
      </c>
      <c r="D31" s="17">
        <f>B31*C31</f>
        <v>24</v>
      </c>
      <c r="E31" s="27">
        <v>8</v>
      </c>
      <c r="F31" s="9">
        <f>D31*E31</f>
        <v>192</v>
      </c>
      <c r="G31" s="9">
        <f>F31*0.05</f>
        <v>9.6000000000000014</v>
      </c>
      <c r="H31" s="9">
        <f>F31*0.1</f>
        <v>19.200000000000003</v>
      </c>
      <c r="I31" s="152">
        <f t="shared" si="10"/>
        <v>24178.271999999997</v>
      </c>
    </row>
    <row r="32" spans="1:9" x14ac:dyDescent="0.2">
      <c r="A32" s="20" t="s">
        <v>9</v>
      </c>
      <c r="B32" s="162"/>
      <c r="C32" s="162"/>
      <c r="D32" s="162"/>
      <c r="E32" s="162"/>
      <c r="F32" s="163">
        <f>ROUND(SUM(F25:H31),0)</f>
        <v>810</v>
      </c>
      <c r="G32" s="164"/>
      <c r="H32" s="165"/>
      <c r="I32" s="166">
        <f>ROUND(SUM(I25:I27,I29,I31),0)</f>
        <v>88738</v>
      </c>
    </row>
    <row r="33" spans="1:13" ht="14.25" x14ac:dyDescent="0.2">
      <c r="A33" s="33" t="s">
        <v>47</v>
      </c>
      <c r="B33" s="30"/>
      <c r="C33" s="30"/>
      <c r="D33" s="30"/>
      <c r="E33" s="30"/>
      <c r="F33" s="130">
        <f>ROUND(SUM(F21,F32),-1)</f>
        <v>4320</v>
      </c>
      <c r="G33" s="131"/>
      <c r="H33" s="132"/>
      <c r="I33" s="153">
        <f>ROUND(+I21+I32,-3)</f>
        <v>473000</v>
      </c>
    </row>
    <row r="34" spans="1:13" ht="27" x14ac:dyDescent="0.2">
      <c r="A34" s="34" t="s">
        <v>48</v>
      </c>
      <c r="B34" s="28"/>
      <c r="C34" s="28"/>
      <c r="D34" s="28"/>
      <c r="E34" s="28"/>
      <c r="F34" s="28"/>
      <c r="G34" s="28"/>
      <c r="H34" s="29"/>
      <c r="I34" s="154">
        <f>'Capital-Start-up'!D12</f>
        <v>740000</v>
      </c>
    </row>
    <row r="35" spans="1:13" ht="14.25" x14ac:dyDescent="0.2">
      <c r="A35" s="34" t="s">
        <v>49</v>
      </c>
      <c r="B35" s="28"/>
      <c r="C35" s="28"/>
      <c r="D35" s="28"/>
      <c r="E35" s="28"/>
      <c r="F35" s="28"/>
      <c r="G35" s="28"/>
      <c r="H35" s="29"/>
      <c r="I35" s="154">
        <f>ROUND(SUM(I33:I34),-4)</f>
        <v>1210000</v>
      </c>
      <c r="L35" s="84">
        <f>F33/249</f>
        <v>17.349397590361445</v>
      </c>
      <c r="M35" t="s">
        <v>119</v>
      </c>
    </row>
    <row r="36" spans="1:13" x14ac:dyDescent="0.2">
      <c r="A36" s="23"/>
      <c r="B36" s="22"/>
      <c r="C36" s="22"/>
      <c r="D36" s="22"/>
      <c r="E36" s="22"/>
      <c r="F36" s="22"/>
      <c r="G36" s="22"/>
      <c r="H36" s="23"/>
      <c r="I36" s="24"/>
    </row>
    <row r="37" spans="1:13" ht="14.25" customHeight="1" x14ac:dyDescent="0.2">
      <c r="A37" s="128" t="s">
        <v>19</v>
      </c>
      <c r="B37" s="129"/>
      <c r="C37" s="129"/>
      <c r="D37" s="129"/>
      <c r="E37" s="129"/>
      <c r="F37" s="129"/>
      <c r="G37" s="129"/>
      <c r="H37" s="129"/>
      <c r="I37" s="129"/>
    </row>
    <row r="38" spans="1:13" ht="15.75" customHeight="1" x14ac:dyDescent="0.2">
      <c r="A38" s="123" t="s">
        <v>20</v>
      </c>
      <c r="B38" s="127"/>
      <c r="C38" s="127"/>
      <c r="D38" s="127"/>
      <c r="E38" s="127"/>
      <c r="F38" s="127"/>
      <c r="G38" s="127"/>
      <c r="H38" s="127"/>
      <c r="I38" s="127"/>
    </row>
    <row r="39" spans="1:13" ht="30" customHeight="1" x14ac:dyDescent="0.2">
      <c r="A39" s="123" t="s">
        <v>134</v>
      </c>
      <c r="B39" s="127"/>
      <c r="C39" s="127"/>
      <c r="D39" s="127"/>
      <c r="E39" s="127"/>
      <c r="F39" s="127"/>
      <c r="G39" s="127"/>
      <c r="H39" s="127"/>
      <c r="I39" s="127"/>
    </row>
    <row r="40" spans="1:13" ht="27" customHeight="1" x14ac:dyDescent="0.2">
      <c r="A40" s="123" t="s">
        <v>135</v>
      </c>
      <c r="B40" s="124"/>
      <c r="C40" s="124"/>
      <c r="D40" s="124"/>
      <c r="E40" s="124"/>
      <c r="F40" s="124"/>
      <c r="G40" s="124"/>
      <c r="H40" s="124"/>
      <c r="I40" s="124"/>
    </row>
    <row r="41" spans="1:13" ht="28.5" customHeight="1" x14ac:dyDescent="0.2">
      <c r="A41" s="133" t="s">
        <v>171</v>
      </c>
      <c r="B41" s="134"/>
      <c r="C41" s="134"/>
      <c r="D41" s="134"/>
      <c r="E41" s="134"/>
      <c r="F41" s="134"/>
      <c r="G41" s="134"/>
      <c r="H41" s="134"/>
      <c r="I41" s="134"/>
    </row>
    <row r="42" spans="1:13" ht="19.5" customHeight="1" x14ac:dyDescent="0.2">
      <c r="A42" s="123" t="s">
        <v>136</v>
      </c>
      <c r="B42" s="127"/>
      <c r="C42" s="127"/>
      <c r="D42" s="127"/>
      <c r="E42" s="127"/>
      <c r="F42" s="127"/>
      <c r="G42" s="127"/>
      <c r="H42" s="127"/>
      <c r="I42" s="127"/>
    </row>
    <row r="43" spans="1:13" ht="29.25" customHeight="1" x14ac:dyDescent="0.2">
      <c r="A43" s="133" t="s">
        <v>170</v>
      </c>
      <c r="B43" s="134"/>
      <c r="C43" s="134"/>
      <c r="D43" s="134"/>
      <c r="E43" s="134"/>
      <c r="F43" s="134"/>
      <c r="G43" s="134"/>
      <c r="H43" s="134"/>
      <c r="I43" s="134"/>
    </row>
    <row r="44" spans="1:13" ht="31.5" customHeight="1" x14ac:dyDescent="0.2">
      <c r="A44" s="123" t="s">
        <v>168</v>
      </c>
      <c r="B44" s="127"/>
      <c r="C44" s="127"/>
      <c r="D44" s="127"/>
      <c r="E44" s="127"/>
      <c r="F44" s="127"/>
      <c r="G44" s="127"/>
      <c r="H44" s="127"/>
      <c r="I44" s="127"/>
    </row>
    <row r="45" spans="1:13" ht="31.5" customHeight="1" x14ac:dyDescent="0.2">
      <c r="A45" s="124" t="s">
        <v>167</v>
      </c>
      <c r="B45" s="124"/>
      <c r="C45" s="124"/>
      <c r="D45" s="124"/>
      <c r="E45" s="124"/>
      <c r="F45" s="124"/>
      <c r="G45" s="124"/>
      <c r="H45" s="124"/>
      <c r="I45" s="124"/>
    </row>
    <row r="46" spans="1:13" x14ac:dyDescent="0.2">
      <c r="A46" s="113" t="s">
        <v>51</v>
      </c>
      <c r="B46" s="113"/>
      <c r="C46" s="113"/>
      <c r="D46" s="113"/>
      <c r="E46" s="113"/>
      <c r="F46" s="113"/>
      <c r="G46" s="113"/>
      <c r="H46" s="113"/>
      <c r="I46" s="113"/>
    </row>
    <row r="47" spans="1:13" x14ac:dyDescent="0.2">
      <c r="A47" s="113" t="s">
        <v>137</v>
      </c>
      <c r="B47" s="113"/>
      <c r="C47" s="113"/>
      <c r="D47" s="113"/>
      <c r="E47" s="113"/>
      <c r="F47" s="113"/>
      <c r="G47" s="113"/>
      <c r="H47" s="113"/>
      <c r="I47" s="113"/>
    </row>
    <row r="48" spans="1:13" x14ac:dyDescent="0.2">
      <c r="A48" s="113" t="s">
        <v>58</v>
      </c>
      <c r="B48" s="113"/>
      <c r="C48" s="113"/>
      <c r="D48" s="113"/>
      <c r="E48" s="113"/>
      <c r="F48" s="113"/>
      <c r="G48" s="113"/>
      <c r="H48" s="113"/>
      <c r="I48" s="113"/>
    </row>
    <row r="49" spans="1:9" x14ac:dyDescent="0.2">
      <c r="A49" s="113" t="s">
        <v>138</v>
      </c>
      <c r="B49" s="113"/>
      <c r="C49" s="113"/>
      <c r="D49" s="113"/>
      <c r="E49" s="113"/>
      <c r="F49" s="113"/>
      <c r="G49" s="113"/>
      <c r="H49" s="113"/>
      <c r="I49" s="113"/>
    </row>
    <row r="50" spans="1:9" ht="32.25" customHeight="1" x14ac:dyDescent="0.2">
      <c r="A50" s="113" t="s">
        <v>139</v>
      </c>
      <c r="B50" s="113"/>
      <c r="C50" s="113"/>
      <c r="D50" s="113"/>
      <c r="E50" s="113"/>
      <c r="F50" s="113"/>
      <c r="G50" s="113"/>
      <c r="H50" s="113"/>
      <c r="I50" s="113"/>
    </row>
    <row r="51" spans="1:9" ht="18" customHeight="1" x14ac:dyDescent="0.2">
      <c r="A51" s="113" t="s">
        <v>140</v>
      </c>
      <c r="B51" s="113"/>
      <c r="C51" s="113"/>
      <c r="D51" s="113"/>
      <c r="E51" s="113"/>
      <c r="F51" s="113"/>
      <c r="G51" s="113"/>
      <c r="H51" s="113"/>
      <c r="I51" s="113"/>
    </row>
    <row r="52" spans="1:9" ht="19.5" customHeight="1" x14ac:dyDescent="0.2">
      <c r="A52" s="113" t="s">
        <v>59</v>
      </c>
      <c r="B52" s="113"/>
      <c r="C52" s="113"/>
      <c r="D52" s="113"/>
      <c r="E52" s="113"/>
      <c r="F52" s="113"/>
      <c r="G52" s="113"/>
      <c r="H52" s="113"/>
      <c r="I52" s="113"/>
    </row>
    <row r="53" spans="1:9" ht="18.75" customHeight="1" x14ac:dyDescent="0.2">
      <c r="A53" s="113" t="s">
        <v>169</v>
      </c>
      <c r="B53" s="113"/>
      <c r="C53" s="113"/>
      <c r="D53" s="113"/>
      <c r="E53" s="113"/>
      <c r="F53" s="113"/>
      <c r="G53" s="113"/>
      <c r="H53" s="113"/>
      <c r="I53" s="113"/>
    </row>
    <row r="54" spans="1:9" ht="17.100000000000001" customHeight="1" x14ac:dyDescent="0.2">
      <c r="A54" s="113" t="s">
        <v>50</v>
      </c>
      <c r="B54" s="113"/>
      <c r="C54" s="113"/>
      <c r="D54" s="113"/>
      <c r="E54" s="113"/>
      <c r="F54" s="113"/>
      <c r="G54" s="113"/>
      <c r="H54" s="113"/>
      <c r="I54" s="113"/>
    </row>
    <row r="55" spans="1:9" x14ac:dyDescent="0.2">
      <c r="A55" s="31"/>
    </row>
  </sheetData>
  <mergeCells count="28">
    <mergeCell ref="A45:I45"/>
    <mergeCell ref="A41:I41"/>
    <mergeCell ref="A42:I42"/>
    <mergeCell ref="A43:I43"/>
    <mergeCell ref="A44:I44"/>
    <mergeCell ref="A40:I40"/>
    <mergeCell ref="B28:I28"/>
    <mergeCell ref="B30:I30"/>
    <mergeCell ref="A39:I39"/>
    <mergeCell ref="A37:I37"/>
    <mergeCell ref="A38:I38"/>
    <mergeCell ref="F32:H32"/>
    <mergeCell ref="F33:H33"/>
    <mergeCell ref="A1:I1"/>
    <mergeCell ref="B4:I4"/>
    <mergeCell ref="B12:I12"/>
    <mergeCell ref="B17:I17"/>
    <mergeCell ref="B23:I23"/>
    <mergeCell ref="F21:H21"/>
    <mergeCell ref="A51:I51"/>
    <mergeCell ref="A52:I52"/>
    <mergeCell ref="A53:I53"/>
    <mergeCell ref="A54:I54"/>
    <mergeCell ref="A46:I46"/>
    <mergeCell ref="A47:I47"/>
    <mergeCell ref="A48:I48"/>
    <mergeCell ref="A49:I49"/>
    <mergeCell ref="A50:I5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40F7-0BD5-40BB-A7AB-DD5E82CA25C5}">
  <dimension ref="A1:L26"/>
  <sheetViews>
    <sheetView topLeftCell="A16" zoomScale="96" zoomScaleNormal="96" workbookViewId="0">
      <selection activeCell="M21" sqref="M21:M22"/>
    </sheetView>
  </sheetViews>
  <sheetFormatPr defaultRowHeight="12.75" x14ac:dyDescent="0.2"/>
  <cols>
    <col min="1" max="1" width="44.1640625" customWidth="1"/>
    <col min="2" max="2" width="11.5" customWidth="1"/>
    <col min="3" max="4" width="13.1640625" customWidth="1"/>
    <col min="5" max="5" width="16.1640625" customWidth="1"/>
    <col min="6" max="6" width="13.33203125" customWidth="1"/>
    <col min="7" max="7" width="15.1640625" customWidth="1"/>
    <col min="8" max="8" width="14.83203125" customWidth="1"/>
    <col min="9" max="9" width="12.6640625" customWidth="1"/>
    <col min="10" max="10" width="14" customWidth="1"/>
    <col min="11" max="11" width="8.33203125" customWidth="1"/>
    <col min="12" max="12" width="14" customWidth="1"/>
  </cols>
  <sheetData>
    <row r="1" spans="1:12" x14ac:dyDescent="0.2">
      <c r="A1" s="135" t="s">
        <v>39</v>
      </c>
      <c r="B1" s="136"/>
      <c r="C1" s="136"/>
      <c r="D1" s="136"/>
      <c r="E1" s="137"/>
      <c r="F1" s="13"/>
      <c r="G1" s="13"/>
      <c r="H1" s="13"/>
      <c r="I1" s="13"/>
    </row>
    <row r="2" spans="1:12" ht="90.75" x14ac:dyDescent="0.2">
      <c r="A2" s="111" t="s">
        <v>34</v>
      </c>
      <c r="B2" s="110" t="s">
        <v>33</v>
      </c>
      <c r="C2" s="110" t="s">
        <v>173</v>
      </c>
      <c r="D2" s="110" t="s">
        <v>174</v>
      </c>
      <c r="E2" s="110" t="s">
        <v>172</v>
      </c>
      <c r="F2" s="110" t="s">
        <v>175</v>
      </c>
      <c r="G2" s="110" t="s">
        <v>176</v>
      </c>
      <c r="H2" s="110" t="s">
        <v>177</v>
      </c>
      <c r="I2" s="110" t="s">
        <v>178</v>
      </c>
    </row>
    <row r="3" spans="1:12" ht="14.25" x14ac:dyDescent="0.2">
      <c r="A3" s="1" t="s">
        <v>25</v>
      </c>
      <c r="B3" s="4">
        <v>0.5</v>
      </c>
      <c r="C3" s="4">
        <f>85/33/3</f>
        <v>0.85858585858585856</v>
      </c>
      <c r="D3" s="4">
        <f>B3*C3</f>
        <v>0.42929292929292928</v>
      </c>
      <c r="E3" s="5">
        <v>33</v>
      </c>
      <c r="F3" s="4">
        <f>D3*E3</f>
        <v>14.166666666666666</v>
      </c>
      <c r="G3" s="4">
        <f>F3*0.05</f>
        <v>0.70833333333333337</v>
      </c>
      <c r="H3" s="4">
        <f>F3*0.1</f>
        <v>1.4166666666666667</v>
      </c>
      <c r="I3" s="149">
        <f>+(F3*$K$3)+(G3*$K$4)+(H3*$K$5)</f>
        <v>763.89499999999998</v>
      </c>
      <c r="K3" s="15">
        <v>48.08</v>
      </c>
      <c r="L3" s="46" t="s">
        <v>64</v>
      </c>
    </row>
    <row r="4" spans="1:12" ht="14.25" x14ac:dyDescent="0.2">
      <c r="A4" s="1" t="s">
        <v>26</v>
      </c>
      <c r="B4" s="4">
        <v>20</v>
      </c>
      <c r="C4" s="4">
        <f>85/33/3</f>
        <v>0.85858585858585856</v>
      </c>
      <c r="D4" s="4">
        <f>B4*C4</f>
        <v>17.171717171717169</v>
      </c>
      <c r="E4" s="5">
        <f>85*0.05</f>
        <v>4.25</v>
      </c>
      <c r="F4" s="4">
        <f>D4*E4</f>
        <v>72.979797979797965</v>
      </c>
      <c r="G4" s="4">
        <f t="shared" ref="G4:G12" si="0">F4*0.05</f>
        <v>3.6489898989898983</v>
      </c>
      <c r="H4" s="4">
        <f t="shared" ref="H4:H12" si="1">F4*0.1</f>
        <v>7.2979797979797967</v>
      </c>
      <c r="I4" s="149">
        <f t="shared" ref="I4:I12" si="2">+(F4*$K$3)+(G4*$K$4)+(H4*$K$5)</f>
        <v>3935.2166666666658</v>
      </c>
      <c r="K4" s="15">
        <v>64.8</v>
      </c>
      <c r="L4" s="46" t="s">
        <v>65</v>
      </c>
    </row>
    <row r="5" spans="1:12" ht="27" x14ac:dyDescent="0.2">
      <c r="A5" s="1" t="s">
        <v>27</v>
      </c>
      <c r="B5" s="4">
        <v>8</v>
      </c>
      <c r="C5" s="4">
        <f>85/33/3</f>
        <v>0.85858585858585856</v>
      </c>
      <c r="D5" s="4">
        <f t="shared" ref="D5:D12" si="3">B5*C5</f>
        <v>6.8686868686868685</v>
      </c>
      <c r="E5" s="5">
        <v>33</v>
      </c>
      <c r="F5" s="4">
        <f t="shared" ref="F5:F12" si="4">D5*E5</f>
        <v>226.66666666666666</v>
      </c>
      <c r="G5" s="4">
        <f t="shared" si="0"/>
        <v>11.333333333333334</v>
      </c>
      <c r="H5" s="4">
        <f t="shared" si="1"/>
        <v>22.666666666666668</v>
      </c>
      <c r="I5" s="149">
        <f t="shared" si="2"/>
        <v>12222.32</v>
      </c>
      <c r="K5" s="15">
        <v>26.02</v>
      </c>
      <c r="L5" s="46" t="s">
        <v>66</v>
      </c>
    </row>
    <row r="6" spans="1:12" ht="14.25" x14ac:dyDescent="0.2">
      <c r="A6" s="1" t="s">
        <v>28</v>
      </c>
      <c r="B6" s="4">
        <v>1</v>
      </c>
      <c r="C6" s="4">
        <f>85/33/3</f>
        <v>0.85858585858585856</v>
      </c>
      <c r="D6" s="4">
        <f t="shared" si="3"/>
        <v>0.85858585858585856</v>
      </c>
      <c r="E6" s="5">
        <v>33</v>
      </c>
      <c r="F6" s="4">
        <f t="shared" si="4"/>
        <v>28.333333333333332</v>
      </c>
      <c r="G6" s="4">
        <f t="shared" si="0"/>
        <v>1.4166666666666667</v>
      </c>
      <c r="H6" s="4">
        <f t="shared" si="1"/>
        <v>2.8333333333333335</v>
      </c>
      <c r="I6" s="149">
        <f t="shared" si="2"/>
        <v>1527.79</v>
      </c>
    </row>
    <row r="7" spans="1:12" ht="27" x14ac:dyDescent="0.2">
      <c r="A7" s="1" t="s">
        <v>60</v>
      </c>
      <c r="B7" s="4">
        <v>4</v>
      </c>
      <c r="C7" s="4">
        <v>1</v>
      </c>
      <c r="D7" s="4">
        <f t="shared" si="3"/>
        <v>4</v>
      </c>
      <c r="E7" s="5">
        <v>0</v>
      </c>
      <c r="F7" s="4">
        <f t="shared" si="4"/>
        <v>0</v>
      </c>
      <c r="G7" s="4">
        <f t="shared" si="0"/>
        <v>0</v>
      </c>
      <c r="H7" s="4">
        <f t="shared" si="1"/>
        <v>0</v>
      </c>
      <c r="I7" s="150">
        <f t="shared" si="2"/>
        <v>0</v>
      </c>
    </row>
    <row r="8" spans="1:12" ht="27" x14ac:dyDescent="0.2">
      <c r="A8" s="1" t="s">
        <v>29</v>
      </c>
      <c r="B8" s="4">
        <v>10</v>
      </c>
      <c r="C8" s="4">
        <f>2/3</f>
        <v>0.66666666666666663</v>
      </c>
      <c r="D8" s="4">
        <f t="shared" si="3"/>
        <v>6.6666666666666661</v>
      </c>
      <c r="E8" s="5">
        <v>8</v>
      </c>
      <c r="F8" s="4">
        <f t="shared" si="4"/>
        <v>53.333333333333329</v>
      </c>
      <c r="G8" s="4">
        <f t="shared" si="0"/>
        <v>2.6666666666666665</v>
      </c>
      <c r="H8" s="4">
        <f t="shared" si="1"/>
        <v>5.333333333333333</v>
      </c>
      <c r="I8" s="149">
        <f t="shared" si="2"/>
        <v>2875.84</v>
      </c>
    </row>
    <row r="9" spans="1:12" ht="14.25" x14ac:dyDescent="0.2">
      <c r="A9" s="1" t="s">
        <v>62</v>
      </c>
      <c r="B9" s="4">
        <v>2</v>
      </c>
      <c r="C9" s="4">
        <f>1/3</f>
        <v>0.33333333333333331</v>
      </c>
      <c r="D9" s="4">
        <f t="shared" si="3"/>
        <v>0.66666666666666663</v>
      </c>
      <c r="E9" s="5">
        <v>33</v>
      </c>
      <c r="F9" s="4">
        <f t="shared" si="4"/>
        <v>22</v>
      </c>
      <c r="G9" s="4">
        <f t="shared" si="0"/>
        <v>1.1000000000000001</v>
      </c>
      <c r="H9" s="4">
        <f t="shared" si="1"/>
        <v>2.2000000000000002</v>
      </c>
      <c r="I9" s="149">
        <f t="shared" si="2"/>
        <v>1186.2839999999999</v>
      </c>
    </row>
    <row r="10" spans="1:12" ht="14.25" x14ac:dyDescent="0.2">
      <c r="A10" s="1" t="s">
        <v>30</v>
      </c>
      <c r="B10" s="4">
        <v>2</v>
      </c>
      <c r="C10" s="4">
        <v>1</v>
      </c>
      <c r="D10" s="4">
        <f t="shared" si="3"/>
        <v>2</v>
      </c>
      <c r="E10" s="5">
        <v>8</v>
      </c>
      <c r="F10" s="4">
        <f t="shared" si="4"/>
        <v>16</v>
      </c>
      <c r="G10" s="4">
        <f t="shared" si="0"/>
        <v>0.8</v>
      </c>
      <c r="H10" s="4">
        <f t="shared" si="1"/>
        <v>1.6</v>
      </c>
      <c r="I10" s="149">
        <f t="shared" si="2"/>
        <v>862.75199999999995</v>
      </c>
    </row>
    <row r="11" spans="1:12" ht="14.25" x14ac:dyDescent="0.2">
      <c r="A11" s="1" t="s">
        <v>31</v>
      </c>
      <c r="B11" s="4">
        <v>40</v>
      </c>
      <c r="C11" s="4">
        <f>1/3</f>
        <v>0.33333333333333331</v>
      </c>
      <c r="D11" s="4">
        <f t="shared" si="3"/>
        <v>13.333333333333332</v>
      </c>
      <c r="E11" s="5">
        <v>1</v>
      </c>
      <c r="F11" s="4">
        <f t="shared" si="4"/>
        <v>13.333333333333332</v>
      </c>
      <c r="G11" s="4">
        <f t="shared" si="0"/>
        <v>0.66666666666666663</v>
      </c>
      <c r="H11" s="4">
        <f t="shared" si="1"/>
        <v>1.3333333333333333</v>
      </c>
      <c r="I11" s="149">
        <f t="shared" si="2"/>
        <v>718.96</v>
      </c>
    </row>
    <row r="12" spans="1:12" ht="27" x14ac:dyDescent="0.2">
      <c r="A12" s="1" t="s">
        <v>32</v>
      </c>
      <c r="B12" s="4">
        <v>8</v>
      </c>
      <c r="C12" s="4">
        <v>1</v>
      </c>
      <c r="D12" s="4">
        <f t="shared" si="3"/>
        <v>8</v>
      </c>
      <c r="E12" s="5">
        <v>0</v>
      </c>
      <c r="F12" s="4">
        <f t="shared" si="4"/>
        <v>0</v>
      </c>
      <c r="G12" s="4">
        <f t="shared" si="0"/>
        <v>0</v>
      </c>
      <c r="H12" s="4">
        <f t="shared" si="1"/>
        <v>0</v>
      </c>
      <c r="I12" s="150">
        <f t="shared" si="2"/>
        <v>0</v>
      </c>
    </row>
    <row r="13" spans="1:12" ht="14.25" x14ac:dyDescent="0.2">
      <c r="A13" s="3" t="s">
        <v>179</v>
      </c>
      <c r="B13" s="14"/>
      <c r="C13" s="14"/>
      <c r="D13" s="14"/>
      <c r="E13" s="14"/>
      <c r="F13" s="142">
        <f>SUM(F3:H12)</f>
        <v>513.83510101010097</v>
      </c>
      <c r="G13" s="143"/>
      <c r="H13" s="144"/>
      <c r="I13" s="150">
        <f>ROUND(SUM(I3:I12),-2)</f>
        <v>24100</v>
      </c>
    </row>
    <row r="14" spans="1:12" ht="16.5" customHeight="1" x14ac:dyDescent="0.2">
      <c r="A14" s="139" t="s">
        <v>19</v>
      </c>
      <c r="B14" s="140"/>
      <c r="C14" s="140"/>
      <c r="D14" s="140"/>
      <c r="E14" s="140"/>
      <c r="F14" s="140"/>
      <c r="G14" s="140"/>
      <c r="H14" s="140"/>
      <c r="I14" s="140"/>
    </row>
    <row r="15" spans="1:12" ht="18" customHeight="1" x14ac:dyDescent="0.2">
      <c r="A15" s="123" t="s">
        <v>23</v>
      </c>
      <c r="B15" s="138"/>
      <c r="C15" s="138"/>
      <c r="D15" s="138"/>
      <c r="E15" s="138"/>
      <c r="F15" s="138"/>
      <c r="G15" s="138"/>
      <c r="H15" s="138"/>
      <c r="I15" s="138"/>
    </row>
    <row r="16" spans="1:12" ht="53.25" customHeight="1" x14ac:dyDescent="0.2">
      <c r="A16" s="123" t="s">
        <v>141</v>
      </c>
      <c r="B16" s="138"/>
      <c r="C16" s="138"/>
      <c r="D16" s="138"/>
      <c r="E16" s="138"/>
      <c r="F16" s="138"/>
      <c r="G16" s="138"/>
      <c r="H16" s="138"/>
      <c r="I16" s="138"/>
    </row>
    <row r="17" spans="1:9" ht="25.5" customHeight="1" x14ac:dyDescent="0.2">
      <c r="A17" s="123" t="s">
        <v>142</v>
      </c>
      <c r="B17" s="138"/>
      <c r="C17" s="138"/>
      <c r="D17" s="138"/>
      <c r="E17" s="138"/>
      <c r="F17" s="138"/>
      <c r="G17" s="138"/>
      <c r="H17" s="138"/>
      <c r="I17" s="138"/>
    </row>
    <row r="18" spans="1:9" ht="28.5" customHeight="1" x14ac:dyDescent="0.2">
      <c r="A18" s="123" t="s">
        <v>143</v>
      </c>
      <c r="B18" s="124"/>
      <c r="C18" s="124"/>
      <c r="D18" s="124"/>
      <c r="E18" s="124"/>
      <c r="F18" s="124"/>
      <c r="G18" s="124"/>
      <c r="H18" s="124"/>
      <c r="I18" s="124"/>
    </row>
    <row r="19" spans="1:9" ht="14.25" customHeight="1" x14ac:dyDescent="0.2">
      <c r="A19" s="123" t="s">
        <v>144</v>
      </c>
      <c r="B19" s="124"/>
      <c r="C19" s="124"/>
      <c r="D19" s="124"/>
      <c r="E19" s="124"/>
      <c r="F19" s="124"/>
      <c r="G19" s="124"/>
      <c r="H19" s="124"/>
      <c r="I19" s="124"/>
    </row>
    <row r="20" spans="1:9" ht="25.5" customHeight="1" x14ac:dyDescent="0.2">
      <c r="A20" s="123" t="s">
        <v>61</v>
      </c>
      <c r="B20" s="124"/>
      <c r="C20" s="124"/>
      <c r="D20" s="124"/>
      <c r="E20" s="124"/>
      <c r="F20" s="124"/>
      <c r="G20" s="124"/>
      <c r="H20" s="124"/>
      <c r="I20" s="124"/>
    </row>
    <row r="21" spans="1:9" ht="18.95" customHeight="1" x14ac:dyDescent="0.2">
      <c r="A21" s="133" t="s">
        <v>145</v>
      </c>
      <c r="B21" s="141"/>
      <c r="C21" s="141"/>
      <c r="D21" s="141"/>
      <c r="E21" s="141"/>
      <c r="F21" s="141"/>
      <c r="G21" s="141"/>
      <c r="H21" s="141"/>
      <c r="I21" s="141"/>
    </row>
    <row r="22" spans="1:9" ht="38.25" customHeight="1" x14ac:dyDescent="0.2">
      <c r="A22" s="123" t="s">
        <v>146</v>
      </c>
      <c r="B22" s="138"/>
      <c r="C22" s="138"/>
      <c r="D22" s="138"/>
      <c r="E22" s="138"/>
      <c r="F22" s="138"/>
      <c r="G22" s="138"/>
      <c r="H22" s="138"/>
      <c r="I22" s="138"/>
    </row>
    <row r="23" spans="1:9" ht="31.5" customHeight="1" x14ac:dyDescent="0.2">
      <c r="A23" s="123" t="s">
        <v>147</v>
      </c>
      <c r="B23" s="138"/>
      <c r="C23" s="138"/>
      <c r="D23" s="138"/>
      <c r="E23" s="138"/>
      <c r="F23" s="138"/>
      <c r="G23" s="138"/>
      <c r="H23" s="138"/>
      <c r="I23" s="138"/>
    </row>
    <row r="24" spans="1:9" ht="21.6" customHeight="1" x14ac:dyDescent="0.2">
      <c r="A24" s="123" t="s">
        <v>148</v>
      </c>
      <c r="B24" s="124"/>
      <c r="C24" s="124"/>
      <c r="D24" s="124"/>
      <c r="E24" s="124"/>
      <c r="F24" s="124"/>
      <c r="G24" s="124"/>
      <c r="H24" s="124"/>
      <c r="I24" s="124"/>
    </row>
    <row r="25" spans="1:9" ht="17.45" customHeight="1" x14ac:dyDescent="0.2">
      <c r="A25" s="123" t="s">
        <v>63</v>
      </c>
      <c r="B25" s="138"/>
      <c r="C25" s="138"/>
      <c r="D25" s="138"/>
      <c r="E25" s="138"/>
      <c r="F25" s="138"/>
      <c r="G25" s="138"/>
      <c r="H25" s="138"/>
      <c r="I25" s="138"/>
    </row>
    <row r="26" spans="1:9" ht="17.100000000000001" customHeight="1" x14ac:dyDescent="0.2">
      <c r="A26" s="113" t="s">
        <v>24</v>
      </c>
      <c r="B26" s="113"/>
      <c r="C26" s="113"/>
      <c r="D26" s="113"/>
      <c r="E26" s="113"/>
      <c r="F26" s="113"/>
      <c r="G26" s="113"/>
      <c r="H26" s="113"/>
      <c r="I26" s="113"/>
    </row>
  </sheetData>
  <mergeCells count="15">
    <mergeCell ref="A1:E1"/>
    <mergeCell ref="A16:I16"/>
    <mergeCell ref="A17:I17"/>
    <mergeCell ref="A25:I25"/>
    <mergeCell ref="A26:I26"/>
    <mergeCell ref="A14:I14"/>
    <mergeCell ref="A15:I15"/>
    <mergeCell ref="A18:I18"/>
    <mergeCell ref="A19:I19"/>
    <mergeCell ref="A20:I20"/>
    <mergeCell ref="A21:I21"/>
    <mergeCell ref="A24:I24"/>
    <mergeCell ref="A22:I22"/>
    <mergeCell ref="A23:I23"/>
    <mergeCell ref="F13:H1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DD682-FCDD-4E69-BFA3-D2419ABA0435}">
  <dimension ref="A1:D20"/>
  <sheetViews>
    <sheetView workbookViewId="0">
      <selection activeCell="D12" sqref="D12"/>
    </sheetView>
  </sheetViews>
  <sheetFormatPr defaultRowHeight="12.75" x14ac:dyDescent="0.2"/>
  <cols>
    <col min="1" max="1" width="24.6640625" customWidth="1"/>
    <col min="2" max="2" width="22.1640625" customWidth="1"/>
    <col min="3" max="3" width="24.1640625" customWidth="1"/>
    <col min="4" max="4" width="35" customWidth="1"/>
  </cols>
  <sheetData>
    <row r="1" spans="1:4" ht="15" thickTop="1" x14ac:dyDescent="0.2">
      <c r="A1" s="66" t="s">
        <v>91</v>
      </c>
      <c r="B1" s="67" t="s">
        <v>92</v>
      </c>
      <c r="C1" s="67" t="s">
        <v>93</v>
      </c>
      <c r="D1" s="68" t="s">
        <v>94</v>
      </c>
    </row>
    <row r="2" spans="1:4" ht="42.75" x14ac:dyDescent="0.2">
      <c r="A2" s="69" t="s">
        <v>95</v>
      </c>
      <c r="B2" s="70" t="s">
        <v>96</v>
      </c>
      <c r="C2" s="70" t="s">
        <v>97</v>
      </c>
      <c r="D2" s="71" t="s">
        <v>98</v>
      </c>
    </row>
    <row r="3" spans="1:4" ht="15.75" thickBot="1" x14ac:dyDescent="0.25">
      <c r="A3" s="72"/>
      <c r="B3" s="73"/>
      <c r="C3" s="73"/>
      <c r="D3" s="71" t="s">
        <v>99</v>
      </c>
    </row>
    <row r="4" spans="1:4" ht="30.75" thickBot="1" x14ac:dyDescent="0.25">
      <c r="A4" s="74" t="s">
        <v>100</v>
      </c>
      <c r="B4" s="75" t="s">
        <v>101</v>
      </c>
      <c r="C4" s="75" t="s">
        <v>149</v>
      </c>
      <c r="D4" s="76">
        <f>16750*85</f>
        <v>1423750</v>
      </c>
    </row>
    <row r="5" spans="1:4" ht="33" thickBot="1" x14ac:dyDescent="0.25">
      <c r="A5" s="77" t="s">
        <v>102</v>
      </c>
      <c r="B5" s="78" t="s">
        <v>103</v>
      </c>
      <c r="C5" s="75" t="s">
        <v>149</v>
      </c>
      <c r="D5" s="79">
        <f>400*85</f>
        <v>34000</v>
      </c>
    </row>
    <row r="6" spans="1:4" ht="32.25" thickBot="1" x14ac:dyDescent="0.25">
      <c r="A6" s="77" t="s">
        <v>104</v>
      </c>
      <c r="B6" s="78" t="s">
        <v>101</v>
      </c>
      <c r="C6" s="78" t="s">
        <v>150</v>
      </c>
      <c r="D6" s="79">
        <f>16750*33</f>
        <v>552750</v>
      </c>
    </row>
    <row r="7" spans="1:4" ht="33.75" thickBot="1" x14ac:dyDescent="0.25">
      <c r="A7" s="77" t="s">
        <v>105</v>
      </c>
      <c r="B7" s="78" t="s">
        <v>106</v>
      </c>
      <c r="C7" s="78" t="s">
        <v>107</v>
      </c>
      <c r="D7" s="79">
        <v>17815</v>
      </c>
    </row>
    <row r="8" spans="1:4" ht="18.75" thickBot="1" x14ac:dyDescent="0.25">
      <c r="A8" s="77" t="s">
        <v>108</v>
      </c>
      <c r="B8" s="78" t="s">
        <v>109</v>
      </c>
      <c r="C8" s="75" t="s">
        <v>149</v>
      </c>
      <c r="D8" s="79">
        <f>2250*85</f>
        <v>191250</v>
      </c>
    </row>
    <row r="9" spans="1:4" ht="33.75" thickBot="1" x14ac:dyDescent="0.25">
      <c r="A9" s="77" t="s">
        <v>110</v>
      </c>
      <c r="B9" s="78" t="s">
        <v>111</v>
      </c>
      <c r="C9" s="78" t="s">
        <v>117</v>
      </c>
      <c r="D9" s="79">
        <v>0</v>
      </c>
    </row>
    <row r="10" spans="1:4" ht="33.75" thickBot="1" x14ac:dyDescent="0.25">
      <c r="A10" s="77" t="s">
        <v>112</v>
      </c>
      <c r="B10" s="78" t="s">
        <v>111</v>
      </c>
      <c r="C10" s="78" t="s">
        <v>117</v>
      </c>
      <c r="D10" s="79">
        <v>0</v>
      </c>
    </row>
    <row r="11" spans="1:4" ht="15.75" thickBot="1" x14ac:dyDescent="0.25">
      <c r="A11" s="80" t="s">
        <v>113</v>
      </c>
      <c r="B11" s="78"/>
      <c r="C11" s="78"/>
      <c r="D11" s="79">
        <f>ROUND(SUM(D4:D10),-4)</f>
        <v>2220000</v>
      </c>
    </row>
    <row r="12" spans="1:4" ht="15.75" thickBot="1" x14ac:dyDescent="0.25">
      <c r="A12" s="81" t="s">
        <v>114</v>
      </c>
      <c r="B12" s="82"/>
      <c r="C12" s="82"/>
      <c r="D12" s="83">
        <f>ROUND(D11/3,-3)</f>
        <v>740000</v>
      </c>
    </row>
    <row r="13" spans="1:4" ht="61.5" customHeight="1" thickTop="1" x14ac:dyDescent="0.2">
      <c r="A13" s="146" t="s">
        <v>163</v>
      </c>
      <c r="B13" s="146"/>
      <c r="C13" s="146"/>
      <c r="D13" s="146"/>
    </row>
    <row r="14" spans="1:4" ht="53.25" customHeight="1" x14ac:dyDescent="0.2">
      <c r="A14" s="147" t="s">
        <v>165</v>
      </c>
      <c r="B14" s="147"/>
      <c r="C14" s="147"/>
      <c r="D14" s="147"/>
    </row>
    <row r="15" spans="1:4" ht="56.25" customHeight="1" x14ac:dyDescent="0.2">
      <c r="A15" s="147" t="s">
        <v>164</v>
      </c>
      <c r="B15" s="147"/>
      <c r="C15" s="147"/>
      <c r="D15" s="147"/>
    </row>
    <row r="16" spans="1:4" ht="65.25" customHeight="1" x14ac:dyDescent="0.2">
      <c r="A16" s="147" t="s">
        <v>115</v>
      </c>
      <c r="B16" s="147"/>
      <c r="C16" s="147"/>
      <c r="D16" s="147"/>
    </row>
    <row r="17" spans="1:4" ht="45" customHeight="1" x14ac:dyDescent="0.2">
      <c r="A17" s="145" t="s">
        <v>166</v>
      </c>
      <c r="B17" s="145"/>
      <c r="C17" s="145"/>
      <c r="D17" s="145"/>
    </row>
    <row r="18" spans="1:4" ht="30.75" customHeight="1" x14ac:dyDescent="0.2">
      <c r="A18" s="145" t="s">
        <v>116</v>
      </c>
      <c r="B18" s="145"/>
      <c r="C18" s="145"/>
      <c r="D18" s="145"/>
    </row>
    <row r="19" spans="1:4" ht="16.5" customHeight="1" x14ac:dyDescent="0.2">
      <c r="A19" s="145" t="s">
        <v>118</v>
      </c>
      <c r="B19" s="145"/>
      <c r="C19" s="145"/>
      <c r="D19" s="145"/>
    </row>
    <row r="20" spans="1:4" ht="12.75" customHeight="1" x14ac:dyDescent="0.2">
      <c r="A20" s="145"/>
      <c r="B20" s="145"/>
      <c r="C20" s="145"/>
      <c r="D20" s="145"/>
    </row>
  </sheetData>
  <mergeCells count="8">
    <mergeCell ref="A19:D19"/>
    <mergeCell ref="A20:D20"/>
    <mergeCell ref="A13:D13"/>
    <mergeCell ref="A14:D14"/>
    <mergeCell ref="A15:D15"/>
    <mergeCell ref="A16:D16"/>
    <mergeCell ref="A17:D17"/>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inputs</vt:lpstr>
      <vt:lpstr>Table 1</vt:lpstr>
      <vt:lpstr>Table 2</vt:lpstr>
      <vt:lpstr>Capital-Start-up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SUPPORTING STATEMENT</dc:title>
  <dc:creator>Marvin Branscome</dc:creator>
  <cp:lastModifiedBy>ERG/Tracy Curtis</cp:lastModifiedBy>
  <dcterms:created xsi:type="dcterms:W3CDTF">2018-05-18T14:40:24Z</dcterms:created>
  <dcterms:modified xsi:type="dcterms:W3CDTF">2018-06-27T21:09:55Z</dcterms:modified>
</cp:coreProperties>
</file>