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79220EC3-5923-496A-87E8-BB2DA87DA1E3}" xr6:coauthVersionLast="31" xr6:coauthVersionMax="31" xr10:uidLastSave="{00000000-0000-0000-0000-000000000000}"/>
  <bookViews>
    <workbookView xWindow="0" yWindow="0" windowWidth="19200" windowHeight="8190" xr2:uid="{00000000-000D-0000-FFFF-FFFF00000000}"/>
  </bookViews>
  <sheets>
    <sheet name="Industry" sheetId="1" r:id="rId1"/>
    <sheet name="Agency" sheetId="2" r:id="rId2"/>
    <sheet name="Public v. Private" sheetId="3" r:id="rId3"/>
  </sheets>
  <calcPr calcId="179017"/>
</workbook>
</file>

<file path=xl/calcChain.xml><?xml version="1.0" encoding="utf-8"?>
<calcChain xmlns="http://schemas.openxmlformats.org/spreadsheetml/2006/main">
  <c r="B7" i="3" l="1"/>
  <c r="B6" i="3"/>
  <c r="M7" i="3" l="1"/>
  <c r="L7" i="3"/>
  <c r="N6" i="3"/>
  <c r="N5" i="3"/>
  <c r="N7" i="3" s="1"/>
  <c r="O5" i="3" s="1"/>
  <c r="O6" i="3" l="1"/>
  <c r="B8" i="3" l="1"/>
  <c r="E4" i="2" l="1"/>
  <c r="E6" i="2" l="1"/>
  <c r="E8" i="2" l="1"/>
  <c r="D6" i="2"/>
  <c r="D4" i="2"/>
  <c r="F4" i="2" s="1"/>
  <c r="G4" i="2" l="1"/>
  <c r="Q49" i="1"/>
  <c r="H4" i="2" l="1"/>
  <c r="I4" i="2" s="1"/>
  <c r="D16" i="2"/>
  <c r="J6" i="1" l="1"/>
  <c r="D6" i="1"/>
  <c r="F6" i="1" s="1"/>
  <c r="H6" i="1" s="1"/>
  <c r="E28" i="1"/>
  <c r="E17" i="2" s="1"/>
  <c r="E27" i="1"/>
  <c r="E16" i="2" s="1"/>
  <c r="D27" i="2"/>
  <c r="F27" i="2" s="1"/>
  <c r="J25" i="1"/>
  <c r="D25" i="1"/>
  <c r="F25" i="1" s="1"/>
  <c r="H25" i="1" s="1"/>
  <c r="T49" i="1"/>
  <c r="T48" i="1"/>
  <c r="Q48" i="1"/>
  <c r="Q50" i="1" s="1"/>
  <c r="D29" i="2"/>
  <c r="F29" i="2" s="1"/>
  <c r="D20" i="2"/>
  <c r="F20" i="2" s="1"/>
  <c r="D28" i="2"/>
  <c r="F28" i="2" s="1"/>
  <c r="D19" i="2"/>
  <c r="F19" i="2" s="1"/>
  <c r="D18" i="2"/>
  <c r="F18" i="2" s="1"/>
  <c r="D26" i="2"/>
  <c r="F26" i="2" s="1"/>
  <c r="D17" i="2"/>
  <c r="D25" i="2"/>
  <c r="F25" i="2" s="1"/>
  <c r="D24" i="2"/>
  <c r="F24" i="2" s="1"/>
  <c r="D23" i="2"/>
  <c r="F23" i="2" s="1"/>
  <c r="D22" i="2"/>
  <c r="F22" i="2" s="1"/>
  <c r="D14" i="2"/>
  <c r="F14" i="2" s="1"/>
  <c r="D13" i="2"/>
  <c r="F13" i="2" s="1"/>
  <c r="D12" i="2"/>
  <c r="F12" i="2" s="1"/>
  <c r="D11" i="2"/>
  <c r="F11" i="2" s="1"/>
  <c r="D10" i="2"/>
  <c r="F10" i="2" s="1"/>
  <c r="D8" i="2"/>
  <c r="D7" i="2"/>
  <c r="F7" i="2" s="1"/>
  <c r="D5" i="2"/>
  <c r="F5" i="2" s="1"/>
  <c r="D3" i="2"/>
  <c r="F3" i="2" s="1"/>
  <c r="T50" i="1" l="1"/>
  <c r="G6" i="1"/>
  <c r="K6" i="1" s="1"/>
  <c r="U50" i="1"/>
  <c r="K57" i="1" s="1"/>
  <c r="F17" i="2"/>
  <c r="H17" i="2" s="1"/>
  <c r="F16" i="2"/>
  <c r="F8" i="2"/>
  <c r="G25" i="1"/>
  <c r="K25" i="1" s="1"/>
  <c r="G27" i="2"/>
  <c r="H27" i="2"/>
  <c r="H10" i="2"/>
  <c r="G10" i="2"/>
  <c r="H14" i="2"/>
  <c r="G14" i="2"/>
  <c r="G25" i="2"/>
  <c r="H25" i="2"/>
  <c r="H29" i="2"/>
  <c r="G29" i="2"/>
  <c r="G20" i="2"/>
  <c r="H20" i="2"/>
  <c r="G11" i="2"/>
  <c r="G28" i="2"/>
  <c r="H28" i="2"/>
  <c r="G7" i="2"/>
  <c r="H7" i="2"/>
  <c r="G19" i="2"/>
  <c r="G12" i="2"/>
  <c r="G24" i="2"/>
  <c r="H24" i="2"/>
  <c r="G23" i="2"/>
  <c r="H23" i="2"/>
  <c r="G5" i="2"/>
  <c r="H5" i="2"/>
  <c r="G22" i="2"/>
  <c r="G18" i="2"/>
  <c r="H18" i="2"/>
  <c r="G3" i="2"/>
  <c r="H3" i="2"/>
  <c r="H26" i="2"/>
  <c r="G26" i="2"/>
  <c r="G13" i="2"/>
  <c r="H13" i="2"/>
  <c r="H19" i="2"/>
  <c r="H22" i="2"/>
  <c r="H11" i="2"/>
  <c r="H12" i="2"/>
  <c r="G7" i="3" l="1"/>
  <c r="G6" i="3"/>
  <c r="G8" i="3" s="1"/>
  <c r="I13" i="2"/>
  <c r="H8" i="2"/>
  <c r="F6" i="2"/>
  <c r="G17" i="2"/>
  <c r="I17" i="2" s="1"/>
  <c r="G8" i="2"/>
  <c r="H16" i="2"/>
  <c r="G16" i="2"/>
  <c r="I27" i="2"/>
  <c r="I28" i="2"/>
  <c r="I14" i="2"/>
  <c r="I5" i="2"/>
  <c r="I18" i="2"/>
  <c r="I22" i="2"/>
  <c r="I11" i="2"/>
  <c r="I25" i="2"/>
  <c r="I7" i="2"/>
  <c r="I23" i="2"/>
  <c r="I10" i="2"/>
  <c r="I26" i="2"/>
  <c r="I29" i="2"/>
  <c r="I3" i="2"/>
  <c r="I24" i="2"/>
  <c r="I19" i="2"/>
  <c r="I20" i="2"/>
  <c r="I12" i="2"/>
  <c r="I8" i="2" l="1"/>
  <c r="G6" i="2"/>
  <c r="H6" i="2"/>
  <c r="I16" i="2"/>
  <c r="J8" i="1"/>
  <c r="J51" i="1"/>
  <c r="J50" i="1"/>
  <c r="J49" i="1"/>
  <c r="J48" i="1"/>
  <c r="J47" i="1"/>
  <c r="J46" i="1"/>
  <c r="J45" i="1"/>
  <c r="J36" i="1"/>
  <c r="J35" i="1"/>
  <c r="J34" i="1"/>
  <c r="J33" i="1"/>
  <c r="J32" i="1"/>
  <c r="J31" i="1"/>
  <c r="J30" i="1"/>
  <c r="J29" i="1"/>
  <c r="J28" i="1"/>
  <c r="J27" i="1"/>
  <c r="J26" i="1"/>
  <c r="J24" i="1"/>
  <c r="J23" i="1"/>
  <c r="J22" i="1"/>
  <c r="J21" i="1"/>
  <c r="J20" i="1"/>
  <c r="J19" i="1"/>
  <c r="J15" i="1"/>
  <c r="J14" i="1"/>
  <c r="J13" i="1"/>
  <c r="J12" i="1"/>
  <c r="J11" i="1"/>
  <c r="J10" i="1"/>
  <c r="J9" i="1"/>
  <c r="D51" i="1"/>
  <c r="F51" i="1" s="1"/>
  <c r="D50" i="1"/>
  <c r="F50" i="1" s="1"/>
  <c r="D49" i="1"/>
  <c r="F49" i="1" s="1"/>
  <c r="G49" i="1" s="1"/>
  <c r="D48" i="1"/>
  <c r="F48" i="1" s="1"/>
  <c r="G48" i="1" s="1"/>
  <c r="D47" i="1"/>
  <c r="F47" i="1" s="1"/>
  <c r="G47" i="1" s="1"/>
  <c r="D46" i="1"/>
  <c r="F46" i="1" s="1"/>
  <c r="D45" i="1"/>
  <c r="F45" i="1" s="1"/>
  <c r="D36" i="1"/>
  <c r="F36" i="1" s="1"/>
  <c r="D35" i="1"/>
  <c r="F35" i="1" s="1"/>
  <c r="D34" i="1"/>
  <c r="F34" i="1" s="1"/>
  <c r="D33" i="1"/>
  <c r="F33" i="1" s="1"/>
  <c r="D32" i="1"/>
  <c r="F32" i="1" s="1"/>
  <c r="D31" i="1"/>
  <c r="F31" i="1" s="1"/>
  <c r="D30" i="1"/>
  <c r="F30" i="1" s="1"/>
  <c r="D29" i="1"/>
  <c r="F29" i="1" s="1"/>
  <c r="G29" i="1" s="1"/>
  <c r="D28" i="1"/>
  <c r="F28" i="1" s="1"/>
  <c r="D27" i="1"/>
  <c r="F27" i="1" s="1"/>
  <c r="D26" i="1"/>
  <c r="F26" i="1" s="1"/>
  <c r="D24" i="1"/>
  <c r="F24" i="1" s="1"/>
  <c r="D23" i="1"/>
  <c r="F23" i="1" s="1"/>
  <c r="D22" i="1"/>
  <c r="F22" i="1" s="1"/>
  <c r="D21" i="1"/>
  <c r="F21" i="1" s="1"/>
  <c r="D20" i="1"/>
  <c r="F20" i="1" s="1"/>
  <c r="G20" i="1" s="1"/>
  <c r="D19" i="1"/>
  <c r="F19" i="1" s="1"/>
  <c r="D15" i="1"/>
  <c r="F15" i="1" s="1"/>
  <c r="D14" i="1"/>
  <c r="F14" i="1" s="1"/>
  <c r="D13" i="1"/>
  <c r="F13" i="1" s="1"/>
  <c r="D12" i="1"/>
  <c r="F12" i="1" s="1"/>
  <c r="D11" i="1"/>
  <c r="F11" i="1" s="1"/>
  <c r="D10" i="1"/>
  <c r="F10" i="1" s="1"/>
  <c r="D9" i="1"/>
  <c r="F9" i="1" s="1"/>
  <c r="D8" i="1"/>
  <c r="F8" i="1" s="1"/>
  <c r="I6" i="2" l="1"/>
  <c r="I30" i="2" s="1"/>
  <c r="J54" i="1"/>
  <c r="F30" i="2"/>
  <c r="H51" i="1"/>
  <c r="G51" i="1"/>
  <c r="H22" i="1"/>
  <c r="G22" i="1"/>
  <c r="H45" i="1"/>
  <c r="G45" i="1"/>
  <c r="G8" i="1"/>
  <c r="H8" i="1"/>
  <c r="G27" i="1"/>
  <c r="H27" i="1"/>
  <c r="J37" i="1"/>
  <c r="G10" i="1"/>
  <c r="H10" i="1"/>
  <c r="G30" i="1"/>
  <c r="H30" i="1"/>
  <c r="G46" i="1"/>
  <c r="H46" i="1"/>
  <c r="G28" i="1"/>
  <c r="H28" i="1"/>
  <c r="G15" i="1"/>
  <c r="H15" i="1"/>
  <c r="G35" i="1"/>
  <c r="H35" i="1"/>
  <c r="G11" i="1"/>
  <c r="H11" i="1"/>
  <c r="G14" i="1"/>
  <c r="H14" i="1"/>
  <c r="H26" i="1"/>
  <c r="G26" i="1"/>
  <c r="H34" i="1"/>
  <c r="G34" i="1"/>
  <c r="H50" i="1"/>
  <c r="G50" i="1"/>
  <c r="H13" i="1"/>
  <c r="G13" i="1"/>
  <c r="G24" i="1"/>
  <c r="H24" i="1"/>
  <c r="G33" i="1"/>
  <c r="H33" i="1"/>
  <c r="G23" i="1"/>
  <c r="H23" i="1"/>
  <c r="G32" i="1"/>
  <c r="H32" i="1"/>
  <c r="H9" i="1"/>
  <c r="H12" i="1"/>
  <c r="H21" i="1"/>
  <c r="H31" i="1"/>
  <c r="H49" i="1"/>
  <c r="K49" i="1" s="1"/>
  <c r="G9" i="1"/>
  <c r="G12" i="1"/>
  <c r="G21" i="1"/>
  <c r="G31" i="1"/>
  <c r="H19" i="1"/>
  <c r="H36" i="1"/>
  <c r="H47" i="1"/>
  <c r="K47" i="1" s="1"/>
  <c r="G19" i="1"/>
  <c r="G36" i="1"/>
  <c r="H48" i="1"/>
  <c r="K48" i="1" s="1"/>
  <c r="H29" i="1"/>
  <c r="K29" i="1" s="1"/>
  <c r="H20" i="1"/>
  <c r="K20" i="1" s="1"/>
  <c r="F37" i="1" l="1"/>
  <c r="F38" i="1" s="1"/>
  <c r="K22" i="1"/>
  <c r="K33" i="1"/>
  <c r="K35" i="1"/>
  <c r="K23" i="1"/>
  <c r="K50" i="1"/>
  <c r="K11" i="1"/>
  <c r="K46" i="1"/>
  <c r="K51" i="1"/>
  <c r="K30" i="1"/>
  <c r="K28" i="1"/>
  <c r="K27" i="1"/>
  <c r="K8" i="1"/>
  <c r="K36" i="1"/>
  <c r="K9" i="1"/>
  <c r="K45" i="1"/>
  <c r="K12" i="1"/>
  <c r="K32" i="1"/>
  <c r="K13" i="1"/>
  <c r="K14" i="1"/>
  <c r="K10" i="1"/>
  <c r="K24" i="1"/>
  <c r="K15" i="1"/>
  <c r="K21" i="1"/>
  <c r="K26" i="1"/>
  <c r="F54" i="1"/>
  <c r="F55" i="1" s="1"/>
  <c r="K31" i="1"/>
  <c r="K34" i="1"/>
  <c r="K19" i="1"/>
  <c r="D6" i="3" l="1"/>
  <c r="D7" i="3"/>
  <c r="C7" i="3"/>
  <c r="C6" i="3"/>
  <c r="C8" i="3" s="1"/>
  <c r="K55" i="1"/>
  <c r="F56" i="1"/>
  <c r="H59" i="1" s="1"/>
  <c r="K37" i="1"/>
  <c r="K56" i="1" s="1"/>
  <c r="E7" i="3" l="1"/>
  <c r="K58" i="1"/>
  <c r="F7" i="3"/>
  <c r="F6" i="3"/>
  <c r="F8" i="3" s="1"/>
  <c r="E6" i="3"/>
  <c r="E8" i="3" s="1"/>
  <c r="D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E4" authorId="0" shapeId="0" xr:uid="{339644F0-3D68-4401-8065-E3786D53F43B}">
      <text>
        <r>
          <rPr>
            <b/>
            <sz val="9"/>
            <color indexed="81"/>
            <rFont val="Tahoma"/>
            <charset val="1"/>
          </rPr>
          <t>Tracy Curtis:</t>
        </r>
        <r>
          <rPr>
            <sz val="9"/>
            <color indexed="81"/>
            <rFont val="Tahoma"/>
            <charset val="1"/>
          </rPr>
          <t xml:space="preserve">
References cell E8 in the industry tab</t>
        </r>
      </text>
    </comment>
  </commentList>
</comments>
</file>

<file path=xl/sharedStrings.xml><?xml version="1.0" encoding="utf-8"?>
<sst xmlns="http://schemas.openxmlformats.org/spreadsheetml/2006/main" count="180" uniqueCount="166">
  <si>
    <t>Burden item</t>
  </si>
  <si>
    <t>1. Applications</t>
  </si>
  <si>
    <t>N/A</t>
  </si>
  <si>
    <t xml:space="preserve">  </t>
  </si>
  <si>
    <t>2. Survey and Studies</t>
  </si>
  <si>
    <t>3. Reporting requirements</t>
  </si>
  <si>
    <t xml:space="preserve">  B.  Required activities</t>
  </si>
  <si>
    <t xml:space="preserve">  C.  Create Information</t>
  </si>
  <si>
    <t>See 3B</t>
  </si>
  <si>
    <t xml:space="preserve">  D.  Gather information </t>
  </si>
  <si>
    <t xml:space="preserve">  E.  Write report  </t>
  </si>
  <si>
    <t xml:space="preserve">     Appendix F reports for Ea</t>
  </si>
  <si>
    <t>4.  Recordkeeping  requirements</t>
  </si>
  <si>
    <t>See 3A</t>
  </si>
  <si>
    <t xml:space="preserve">    B.  Plan activities</t>
  </si>
  <si>
    <t>See 4E</t>
  </si>
  <si>
    <t xml:space="preserve">    C.  Implement activities</t>
  </si>
  <si>
    <t xml:space="preserve">D.  Develop record system </t>
  </si>
  <si>
    <t>E.  Time to enter information</t>
  </si>
  <si>
    <t xml:space="preserve">    F.  Train personnel</t>
  </si>
  <si>
    <t xml:space="preserve">    G.  Audits</t>
  </si>
  <si>
    <t>Activity</t>
  </si>
  <si>
    <t>Initial performance tests for Ea</t>
  </si>
  <si>
    <t>Review report of initial performance test for Ea</t>
  </si>
  <si>
    <t>Repeat performance test for Ea</t>
  </si>
  <si>
    <t>Report review for Ea</t>
  </si>
  <si>
    <t xml:space="preserve">    Notification of construction</t>
  </si>
  <si>
    <t xml:space="preserve">    Notification of actual startup</t>
  </si>
  <si>
    <t xml:space="preserve">    Notification of initial test                      </t>
  </si>
  <si>
    <t xml:space="preserve">    Notification of CMS demonstration</t>
  </si>
  <si>
    <t>Review of CEMS demonstration for Ea</t>
  </si>
  <si>
    <r>
      <t xml:space="preserve">Report review for Eb </t>
    </r>
    <r>
      <rPr>
        <vertAlign val="superscript"/>
        <sz val="9"/>
        <color theme="1"/>
        <rFont val="Times New Roman"/>
        <family val="1"/>
      </rPr>
      <t>d</t>
    </r>
  </si>
  <si>
    <t>Review excess emission reports for Ea</t>
  </si>
  <si>
    <r>
      <t xml:space="preserve">    No excess emission report </t>
    </r>
    <r>
      <rPr>
        <vertAlign val="superscript"/>
        <sz val="10"/>
        <color theme="1"/>
        <rFont val="Times New Roman"/>
        <family val="1"/>
      </rPr>
      <t>e</t>
    </r>
  </si>
  <si>
    <r>
      <t xml:space="preserve">    Excess emission report </t>
    </r>
    <r>
      <rPr>
        <vertAlign val="superscript"/>
        <sz val="10"/>
        <color theme="1"/>
        <rFont val="Times New Roman"/>
        <family val="1"/>
      </rPr>
      <t>f</t>
    </r>
  </si>
  <si>
    <t>Subtotal for Reporting Requirements</t>
  </si>
  <si>
    <t>Subtotal for Recordkeeping Requirements</t>
  </si>
  <si>
    <t>(E) Technical person- hours per year (E=CxD)</t>
  </si>
  <si>
    <t>(F) Management person hours per year (Ex0.05)</t>
  </si>
  <si>
    <t>(G) Clerical person hours per year (Ex0.1)</t>
  </si>
  <si>
    <t xml:space="preserve">      Appendix F audit for Ea (in-situ)</t>
  </si>
  <si>
    <t xml:space="preserve">      Appendix F audit for Ea (extractive)</t>
  </si>
  <si>
    <t xml:space="preserve">      Notification of  construction/reconstruction for Ea       </t>
  </si>
  <si>
    <t xml:space="preserve">      Notification of actual startup – Ea</t>
  </si>
  <si>
    <t xml:space="preserve">     Annual compliance reports for Ea</t>
  </si>
  <si>
    <t xml:space="preserve">     Report of daily weight of MSW and fuel for Ea</t>
  </si>
  <si>
    <t xml:space="preserve">     Annual compliance report for Eb</t>
  </si>
  <si>
    <t>(A) EPA person-hours per occurrence</t>
  </si>
  <si>
    <t>(B) No. of occurrences per plant per year</t>
  </si>
  <si>
    <t>(C) EPA person hours per plant per year (AxB)</t>
  </si>
  <si>
    <t>(E) Technical person-hours per year (CxD)</t>
  </si>
  <si>
    <t>(F) Management person-hours per year (Ex0.05)</t>
  </si>
  <si>
    <t>(G) Clerical person-hours per year (Ex0.1)</t>
  </si>
  <si>
    <t>Capital/Startup vs. O&amp;M Costs</t>
  </si>
  <si>
    <t>CEMs for subpart Ea</t>
  </si>
  <si>
    <t>CEMs for subpart Eb</t>
  </si>
  <si>
    <t>Total</t>
  </si>
  <si>
    <t>A</t>
  </si>
  <si>
    <t>B</t>
  </si>
  <si>
    <t>C</t>
  </si>
  <si>
    <t>D</t>
  </si>
  <si>
    <t>E</t>
  </si>
  <si>
    <t>F</t>
  </si>
  <si>
    <t>G</t>
  </si>
  <si>
    <t>hr/resp</t>
  </si>
  <si>
    <t xml:space="preserve">      Notification of initial performance test – Ea </t>
  </si>
  <si>
    <t xml:space="preserve">      Notification of CMS demonstration – Ea       </t>
  </si>
  <si>
    <r>
      <t>(J) 
Total Cost per year</t>
    </r>
    <r>
      <rPr>
        <b/>
        <vertAlign val="superscript"/>
        <sz val="10"/>
        <color theme="1"/>
        <rFont val="Times New Roman"/>
        <family val="1"/>
      </rPr>
      <t xml:space="preserve"> b</t>
    </r>
  </si>
  <si>
    <t>(H) 
Emission Test Person- Hours per Occurrence</t>
  </si>
  <si>
    <t>(A) 
Hours per Occurrence</t>
  </si>
  <si>
    <t>(B) 
No. of occurrences per respondent per year</t>
  </si>
  <si>
    <t>(C) 
Person hours per respondent per year (C=AxB)</t>
  </si>
  <si>
    <t>A.  Familiarization with Regulatory Requirements</t>
  </si>
  <si>
    <t xml:space="preserve">  A.  Familiarization with Regulatory Requirements</t>
  </si>
  <si>
    <t>Assumptions:</t>
  </si>
  <si>
    <r>
      <t xml:space="preserve">i </t>
    </r>
    <r>
      <rPr>
        <sz val="9"/>
        <color theme="1"/>
        <rFont val="Times New Roman"/>
        <family val="1"/>
      </rPr>
      <t xml:space="preserve"> We have assumed that it will take an emission testing contractor 826 hours to complete an annual compliance test for Eb.</t>
    </r>
  </si>
  <si>
    <t xml:space="preserve"> Record amount of sorbent for Hg control for Eb </t>
  </si>
  <si>
    <t>Affected Sector</t>
  </si>
  <si>
    <t>Number of Responses</t>
  </si>
  <si>
    <t>Labor Hours</t>
  </si>
  <si>
    <t>Labor Cost</t>
  </si>
  <si>
    <t>Capital and O&amp;M Cost</t>
  </si>
  <si>
    <t>Reporting</t>
  </si>
  <si>
    <t>Recordkeeping</t>
  </si>
  <si>
    <t>Private</t>
  </si>
  <si>
    <t>Public (State/Local/Tribal)</t>
  </si>
  <si>
    <t>Table 1b: Annual Respondent Burden and Cost Breakdown by Affected Sector– NSPS for Municipal Solid Waste Combustors (40  CFR Part 60, Subparts Ea and Eb) (Renewal)</t>
  </si>
  <si>
    <t>Private-Owned</t>
  </si>
  <si>
    <t xml:space="preserve">Public-Owned </t>
  </si>
  <si>
    <t>Ea</t>
  </si>
  <si>
    <t>Eb</t>
  </si>
  <si>
    <t>Percent by Sector</t>
  </si>
  <si>
    <t># of facilities</t>
  </si>
  <si>
    <t>*Assumes 57% of respondents are public sector owned by state or local entities and privately operated. The remaining facilities are owned and operated by the private sector.  There are no Federally-owned facilities.</t>
  </si>
  <si>
    <t>No. response</t>
  </si>
  <si>
    <r>
      <t>b</t>
    </r>
    <r>
      <rPr>
        <sz val="9"/>
        <color theme="1"/>
        <rFont val="Times New Roman"/>
        <family val="1"/>
      </rPr>
      <t xml:space="preserve"> This ICR uses the following labor rates:  $64.80 per hour for Managerial (GS-13, Step 1, $30.05 + 60%); $48.08 per hour for Technical labor (GS-12, Step 3, $16.26 + 60%), and </t>
    </r>
  </si>
  <si>
    <t>$26.02 per hour for Clerical (GS-6, Step 3, $16.26 + 60%). The rates have been increased by 60 percent to account for the benefit packages available to government employees.</t>
  </si>
  <si>
    <r>
      <t xml:space="preserve">(D) Plants per year </t>
    </r>
    <r>
      <rPr>
        <b/>
        <vertAlign val="superscript"/>
        <sz val="10"/>
        <color theme="1"/>
        <rFont val="Times New Roman"/>
        <family val="1"/>
      </rPr>
      <t>a</t>
    </r>
    <r>
      <rPr>
        <b/>
        <sz val="10"/>
        <color theme="1"/>
        <rFont val="Times New Roman"/>
        <family val="1"/>
      </rPr>
      <t xml:space="preserve">  </t>
    </r>
  </si>
  <si>
    <r>
      <t xml:space="preserve">(H) Cost, $ </t>
    </r>
    <r>
      <rPr>
        <b/>
        <vertAlign val="superscript"/>
        <sz val="10"/>
        <color theme="1"/>
        <rFont val="Times New Roman"/>
        <family val="1"/>
      </rPr>
      <t>b</t>
    </r>
  </si>
  <si>
    <r>
      <t>(D) Respondents per year</t>
    </r>
    <r>
      <rPr>
        <b/>
        <vertAlign val="superscript"/>
        <sz val="12"/>
        <color theme="1"/>
        <rFont val="Times New Roman"/>
        <family val="1"/>
      </rPr>
      <t>a</t>
    </r>
  </si>
  <si>
    <r>
      <t xml:space="preserve">      Demonstration/CEMS for Eb</t>
    </r>
    <r>
      <rPr>
        <vertAlign val="superscript"/>
        <sz val="8"/>
        <color theme="1"/>
        <rFont val="Times New Roman"/>
        <family val="1"/>
      </rPr>
      <t>c, d</t>
    </r>
  </si>
  <si>
    <r>
      <t xml:space="preserve">     Initial compliance report for Eb</t>
    </r>
    <r>
      <rPr>
        <vertAlign val="superscript"/>
        <sz val="8"/>
        <color theme="1"/>
        <rFont val="Times New Roman"/>
        <family val="1"/>
      </rPr>
      <t>c,d</t>
    </r>
  </si>
  <si>
    <r>
      <t xml:space="preserve">      Notification of CMS demonstration – Eb</t>
    </r>
    <r>
      <rPr>
        <vertAlign val="superscript"/>
        <sz val="8"/>
        <color theme="1"/>
        <rFont val="Times New Roman"/>
        <family val="1"/>
      </rPr>
      <t xml:space="preserve">c,d  </t>
    </r>
    <r>
      <rPr>
        <sz val="8"/>
        <color theme="1"/>
        <rFont val="Times New Roman"/>
        <family val="1"/>
      </rPr>
      <t xml:space="preserve">     </t>
    </r>
  </si>
  <si>
    <r>
      <t xml:space="preserve">      Notification of initial performance test – Eb</t>
    </r>
    <r>
      <rPr>
        <vertAlign val="superscript"/>
        <sz val="8"/>
        <color theme="1"/>
        <rFont val="Times New Roman"/>
        <family val="1"/>
      </rPr>
      <t>c, d</t>
    </r>
  </si>
  <si>
    <r>
      <t xml:space="preserve">      Notification of construction/reconstruction – Eb</t>
    </r>
    <r>
      <rPr>
        <vertAlign val="superscript"/>
        <sz val="8"/>
        <color theme="1"/>
        <rFont val="Times New Roman"/>
        <family val="1"/>
      </rPr>
      <t>c, d</t>
    </r>
  </si>
  <si>
    <r>
      <t xml:space="preserve">     Initial site selection analysis/report for Eb</t>
    </r>
    <r>
      <rPr>
        <vertAlign val="superscript"/>
        <sz val="8"/>
        <color theme="1"/>
        <rFont val="Times New Roman"/>
        <family val="1"/>
      </rPr>
      <t>c, d</t>
    </r>
  </si>
  <si>
    <r>
      <t xml:space="preserve">     Public meeting and comment response for Eb</t>
    </r>
    <r>
      <rPr>
        <vertAlign val="superscript"/>
        <sz val="8"/>
        <color theme="1"/>
        <rFont val="Times New Roman"/>
        <family val="1"/>
      </rPr>
      <t>c,d</t>
    </r>
  </si>
  <si>
    <r>
      <rPr>
        <vertAlign val="superscript"/>
        <sz val="10"/>
        <color theme="1"/>
        <rFont val="Times New Roman"/>
        <family val="1"/>
      </rPr>
      <t>a</t>
    </r>
    <r>
      <rPr>
        <sz val="10"/>
        <color theme="1"/>
        <rFont val="Times New Roman"/>
        <family val="1"/>
      </rPr>
      <t xml:space="preserve">  On average, EPA estimates 23 existing sources will be subject to the NESHAP, including 13 sources subject to Ea, and 5 sources subject to Eb.  EPA estimates one plant (respondent) to startup in 2019 which will become subject to Subpart Eb.  </t>
    </r>
  </si>
  <si>
    <r>
      <rPr>
        <vertAlign val="superscript"/>
        <sz val="10"/>
        <color theme="1"/>
        <rFont val="Times New Roman"/>
        <family val="1"/>
      </rPr>
      <t xml:space="preserve">c </t>
    </r>
    <r>
      <rPr>
        <sz val="10"/>
        <color theme="1"/>
        <rFont val="Times New Roman"/>
        <family val="1"/>
      </rPr>
      <t xml:space="preserve"> Applies to new or reconstructed sources only.</t>
    </r>
  </si>
  <si>
    <r>
      <rPr>
        <vertAlign val="superscript"/>
        <sz val="10"/>
        <color theme="1"/>
        <rFont val="Times New Roman"/>
        <family val="1"/>
      </rPr>
      <t>d</t>
    </r>
    <r>
      <rPr>
        <sz val="10"/>
        <color theme="1"/>
        <rFont val="Times New Roman"/>
        <family val="1"/>
      </rPr>
      <t xml:space="preserve">  EPA assumes one existing facility will implement process changes over the next 3 years. </t>
    </r>
  </si>
  <si>
    <t>(I) 
Emission Testing Contractor Person-Hours per Year (HxD)</t>
  </si>
  <si>
    <r>
      <rPr>
        <vertAlign val="superscript"/>
        <sz val="10"/>
        <color theme="1"/>
        <rFont val="Times New Roman"/>
        <family val="1"/>
      </rPr>
      <t>b</t>
    </r>
    <r>
      <rPr>
        <sz val="10"/>
        <color theme="1"/>
        <rFont val="Times New Roman"/>
        <family val="1"/>
      </rPr>
      <t xml:space="preserve">  This ICR uses the following labor rates: $112.98 (technical), $149.35 (managerial), and $54.81 (clerical).  These rates are from the United States Department of Labor, Bureau of Labor Statistics, June 2017, “Table 2. Civilian workers, by occupational and industry group.”  The rates are from column 1, “Total compensation.”  They have been increased by 110 percent to account for the benefit packages available to those employed by private industry. We have estimated that the contractors’ rate for emission testing would be $80.00 per hour.</t>
    </r>
  </si>
  <si>
    <r>
      <t xml:space="preserve">e </t>
    </r>
    <r>
      <rPr>
        <sz val="9"/>
        <color theme="1"/>
        <rFont val="Times New Roman"/>
        <family val="1"/>
      </rPr>
      <t xml:space="preserve"> We have assumed that it will take an emission testing contractor 1,053 hours to perform both initial performance test and repeat performance tests for subpart Eb.</t>
    </r>
  </si>
  <si>
    <r>
      <rPr>
        <vertAlign val="superscript"/>
        <sz val="10"/>
        <color theme="1"/>
        <rFont val="Times New Roman"/>
        <family val="1"/>
      </rPr>
      <t xml:space="preserve">f </t>
    </r>
    <r>
      <rPr>
        <sz val="10"/>
        <color theme="1"/>
        <rFont val="Times New Roman"/>
        <family val="1"/>
      </rPr>
      <t xml:space="preserve"> We have assumed that 20 percent of the respondents will have to repeat a performance test or CEMS demonstration for Eb.</t>
    </r>
  </si>
  <si>
    <r>
      <t xml:space="preserve">      Repeat CEM demonstration Eb </t>
    </r>
    <r>
      <rPr>
        <vertAlign val="superscript"/>
        <sz val="8"/>
        <color theme="1"/>
        <rFont val="Times New Roman"/>
        <family val="1"/>
      </rPr>
      <t>f</t>
    </r>
  </si>
  <si>
    <r>
      <rPr>
        <vertAlign val="superscript"/>
        <sz val="10"/>
        <color theme="1"/>
        <rFont val="Times New Roman"/>
        <family val="1"/>
      </rPr>
      <t>g</t>
    </r>
    <r>
      <rPr>
        <sz val="10"/>
        <color theme="1"/>
        <rFont val="Times New Roman"/>
        <family val="1"/>
      </rPr>
      <t xml:space="preserve">  We have assumed that all of the 18 respondents for subpart Ea will have to complete an annual compliance test.</t>
    </r>
  </si>
  <si>
    <r>
      <t xml:space="preserve">     Annual opacity report of no excess emission for Ea </t>
    </r>
    <r>
      <rPr>
        <vertAlign val="superscript"/>
        <sz val="8"/>
        <color theme="1"/>
        <rFont val="Times New Roman"/>
        <family val="1"/>
      </rPr>
      <t>j</t>
    </r>
  </si>
  <si>
    <r>
      <t xml:space="preserve">     Annual opacity report for excess emission for Ea </t>
    </r>
    <r>
      <rPr>
        <vertAlign val="superscript"/>
        <sz val="8"/>
        <color theme="1"/>
        <rFont val="Times New Roman"/>
        <family val="1"/>
      </rPr>
      <t>j</t>
    </r>
  </si>
  <si>
    <r>
      <t xml:space="preserve">      Annual compliance test for Ea</t>
    </r>
    <r>
      <rPr>
        <vertAlign val="superscript"/>
        <sz val="8"/>
        <color theme="1"/>
        <rFont val="Times New Roman"/>
        <family val="1"/>
      </rPr>
      <t xml:space="preserve"> g, i</t>
    </r>
  </si>
  <si>
    <r>
      <t xml:space="preserve">      Initial performance test for Eb </t>
    </r>
    <r>
      <rPr>
        <vertAlign val="superscript"/>
        <sz val="8"/>
        <color theme="1"/>
        <rFont val="Times New Roman"/>
        <family val="1"/>
      </rPr>
      <t>c, d, e</t>
    </r>
  </si>
  <si>
    <r>
      <t xml:space="preserve">      Repeat performance test for Eb </t>
    </r>
    <r>
      <rPr>
        <vertAlign val="superscript"/>
        <sz val="8"/>
        <color theme="1"/>
        <rFont val="Times New Roman"/>
        <family val="1"/>
      </rPr>
      <t>e, f</t>
    </r>
  </si>
  <si>
    <r>
      <t xml:space="preserve">      Annual compliance test for Eb </t>
    </r>
    <r>
      <rPr>
        <vertAlign val="superscript"/>
        <sz val="8"/>
        <color theme="1"/>
        <rFont val="Times New Roman"/>
        <family val="1"/>
      </rPr>
      <t>e, h</t>
    </r>
  </si>
  <si>
    <r>
      <rPr>
        <vertAlign val="superscript"/>
        <sz val="10"/>
        <color theme="1"/>
        <rFont val="Times New Roman"/>
        <family val="1"/>
      </rPr>
      <t xml:space="preserve">h </t>
    </r>
    <r>
      <rPr>
        <sz val="10"/>
        <color theme="1"/>
        <rFont val="Times New Roman"/>
        <family val="1"/>
      </rPr>
      <t xml:space="preserve"> We have assumed that all 5 respondents for subpart Eb will have to complete an annual compliance test.</t>
    </r>
  </si>
  <si>
    <r>
      <rPr>
        <vertAlign val="superscript"/>
        <sz val="10"/>
        <color theme="1"/>
        <rFont val="Times New Roman"/>
        <family val="1"/>
      </rPr>
      <t xml:space="preserve">j </t>
    </r>
    <r>
      <rPr>
        <sz val="10"/>
        <color theme="1"/>
        <rFont val="Times New Roman"/>
        <family val="1"/>
      </rPr>
      <t xml:space="preserve"> We have assumed that 80 percent of respondents will file an opacity report of no excess emission for Ea and will submit periodic reports on a semiannual basis, and 20 percent of respondents will file an opacity report of excess emission for Ea and submit periodic reports on a quarterly basis.</t>
    </r>
  </si>
  <si>
    <r>
      <t xml:space="preserve">     Semiannual excess emission report Eb </t>
    </r>
    <r>
      <rPr>
        <vertAlign val="superscript"/>
        <sz val="8"/>
        <color theme="1"/>
        <rFont val="Times New Roman"/>
        <family val="1"/>
      </rPr>
      <t>k</t>
    </r>
  </si>
  <si>
    <r>
      <t xml:space="preserve">     Appendix F reports for Eb </t>
    </r>
    <r>
      <rPr>
        <vertAlign val="superscript"/>
        <sz val="8"/>
        <color theme="1"/>
        <rFont val="Times New Roman"/>
        <family val="1"/>
      </rPr>
      <t>l</t>
    </r>
  </si>
  <si>
    <r>
      <t xml:space="preserve">k  </t>
    </r>
    <r>
      <rPr>
        <sz val="9"/>
        <color theme="1"/>
        <rFont val="Times New Roman"/>
        <family val="1"/>
      </rPr>
      <t>We have assumed that 5 of the respondents will be required to write semiannual excess emission report for Eb two times per year.</t>
    </r>
  </si>
  <si>
    <r>
      <t>l</t>
    </r>
    <r>
      <rPr>
        <sz val="9"/>
        <color theme="1"/>
        <rFont val="Times New Roman"/>
        <family val="1"/>
      </rPr>
      <t xml:space="preserve"> We have assumed that 5 of the respondents will write the appendix F reports four times per year.</t>
    </r>
  </si>
  <si>
    <r>
      <t xml:space="preserve"> Records of SSM for Ea </t>
    </r>
    <r>
      <rPr>
        <vertAlign val="superscript"/>
        <sz val="8"/>
        <color theme="1"/>
        <rFont val="Times New Roman"/>
        <family val="1"/>
      </rPr>
      <t>m</t>
    </r>
  </si>
  <si>
    <r>
      <t xml:space="preserve"> Record emission measurements Ea </t>
    </r>
    <r>
      <rPr>
        <vertAlign val="superscript"/>
        <sz val="8"/>
        <color theme="1"/>
        <rFont val="Times New Roman"/>
        <family val="1"/>
      </rPr>
      <t>m</t>
    </r>
  </si>
  <si>
    <r>
      <t xml:space="preserve"> Record of employee review of operation for Ea </t>
    </r>
    <r>
      <rPr>
        <vertAlign val="superscript"/>
        <sz val="8"/>
        <color theme="1"/>
        <rFont val="Times New Roman"/>
        <family val="1"/>
      </rPr>
      <t>n</t>
    </r>
  </si>
  <si>
    <r>
      <t xml:space="preserve"> Record of emission rates, and computation tests for Eb </t>
    </r>
    <r>
      <rPr>
        <vertAlign val="superscript"/>
        <sz val="8"/>
        <color theme="1"/>
        <rFont val="Times New Roman"/>
        <family val="1"/>
      </rPr>
      <t>o</t>
    </r>
  </si>
  <si>
    <r>
      <rPr>
        <vertAlign val="superscript"/>
        <sz val="10"/>
        <color theme="1"/>
        <rFont val="Times New Roman"/>
        <family val="1"/>
      </rPr>
      <t>m</t>
    </r>
    <r>
      <rPr>
        <sz val="10"/>
        <color theme="1"/>
        <rFont val="Times New Roman"/>
        <family val="1"/>
      </rPr>
      <t xml:space="preserve">  We have assumed that all 18 respondents for subpart Ea will each take 104 hours to complete task.</t>
    </r>
  </si>
  <si>
    <r>
      <rPr>
        <vertAlign val="superscript"/>
        <sz val="10"/>
        <color theme="1"/>
        <rFont val="Times New Roman"/>
        <family val="1"/>
      </rPr>
      <t xml:space="preserve">n </t>
    </r>
    <r>
      <rPr>
        <sz val="10"/>
        <color theme="1"/>
        <rFont val="Times New Roman"/>
        <family val="1"/>
      </rPr>
      <t>We have assumed that all 18 respondents for subpart Ea and all 5 respondents for subpart Eb will each take 4 hours two times per year to record employee review of operations.</t>
    </r>
  </si>
  <si>
    <r>
      <t>o</t>
    </r>
    <r>
      <rPr>
        <vertAlign val="superscript"/>
        <sz val="9"/>
        <color theme="1"/>
        <rFont val="Times New Roman"/>
        <family val="1"/>
      </rPr>
      <t xml:space="preserve"> </t>
    </r>
    <r>
      <rPr>
        <sz val="9"/>
        <color theme="1"/>
        <rFont val="Times New Roman"/>
        <family val="1"/>
      </rPr>
      <t xml:space="preserve"> We have assumed that each of the 5 respondents subject to Eb will take 1.5 hours 94 times per year to enter information.</t>
    </r>
  </si>
  <si>
    <r>
      <t xml:space="preserve"> Record of SSM for Eb </t>
    </r>
    <r>
      <rPr>
        <vertAlign val="superscript"/>
        <sz val="8"/>
        <color theme="1"/>
        <rFont val="Times New Roman"/>
        <family val="1"/>
      </rPr>
      <t>o</t>
    </r>
  </si>
  <si>
    <r>
      <t xml:space="preserve"> Record of employee review of operation for Eb </t>
    </r>
    <r>
      <rPr>
        <vertAlign val="superscript"/>
        <sz val="8"/>
        <color theme="1"/>
        <rFont val="Times New Roman"/>
        <family val="1"/>
      </rPr>
      <t>n</t>
    </r>
  </si>
  <si>
    <r>
      <rPr>
        <vertAlign val="superscript"/>
        <sz val="10"/>
        <color theme="1"/>
        <rFont val="Times New Roman"/>
        <family val="1"/>
      </rPr>
      <t>p</t>
    </r>
    <r>
      <rPr>
        <sz val="10"/>
        <color theme="1"/>
        <rFont val="Times New Roman"/>
        <family val="1"/>
      </rPr>
      <t xml:space="preserve"> Totals have been rounded to 3 significant figures. Figures may not add exactly due to rounding.</t>
    </r>
  </si>
  <si>
    <r>
      <t>TOTAL LABOR BURDEN AND COST (rounded)</t>
    </r>
    <r>
      <rPr>
        <b/>
        <vertAlign val="superscript"/>
        <sz val="9"/>
        <color theme="1"/>
        <rFont val="Times New Roman"/>
        <family val="1"/>
      </rPr>
      <t>p</t>
    </r>
  </si>
  <si>
    <r>
      <t>TOTAL CAPITAL AND O&amp;M COST (rounded)</t>
    </r>
    <r>
      <rPr>
        <b/>
        <vertAlign val="superscript"/>
        <sz val="9"/>
        <color theme="1"/>
        <rFont val="Times New Roman"/>
        <family val="1"/>
      </rPr>
      <t>p</t>
    </r>
  </si>
  <si>
    <r>
      <t>GRAND TOTAL (rounded)</t>
    </r>
    <r>
      <rPr>
        <b/>
        <vertAlign val="superscript"/>
        <sz val="9"/>
        <color theme="1"/>
        <rFont val="Times New Roman"/>
        <family val="1"/>
      </rPr>
      <t>p</t>
    </r>
  </si>
  <si>
    <r>
      <rPr>
        <vertAlign val="superscript"/>
        <sz val="10"/>
        <color theme="1"/>
        <rFont val="Times New Roman"/>
        <family val="1"/>
      </rPr>
      <t xml:space="preserve">c </t>
    </r>
    <r>
      <rPr>
        <sz val="9"/>
        <color theme="1"/>
        <rFont val="Times New Roman"/>
        <family val="1"/>
      </rPr>
      <t xml:space="preserve"> Applies to new or reconstructed sources only.</t>
    </r>
  </si>
  <si>
    <r>
      <t>Initial performance tests for Eb</t>
    </r>
    <r>
      <rPr>
        <vertAlign val="superscript"/>
        <sz val="9"/>
        <color theme="1"/>
        <rFont val="Times New Roman"/>
        <family val="1"/>
      </rPr>
      <t>c</t>
    </r>
  </si>
  <si>
    <r>
      <t>Review report of initial performance test for Eb</t>
    </r>
    <r>
      <rPr>
        <vertAlign val="superscript"/>
        <sz val="9"/>
        <color theme="1"/>
        <rFont val="Times New Roman"/>
        <family val="1"/>
      </rPr>
      <t>c</t>
    </r>
  </si>
  <si>
    <r>
      <t xml:space="preserve">d </t>
    </r>
    <r>
      <rPr>
        <sz val="9"/>
        <color theme="1"/>
        <rFont val="Times New Roman"/>
        <family val="1"/>
      </rPr>
      <t xml:space="preserve"> We have assumed that 20 percent of the respondents will repeat performance test for Eb.</t>
    </r>
  </si>
  <si>
    <r>
      <t>Repeat performance test for Eb</t>
    </r>
    <r>
      <rPr>
        <vertAlign val="superscript"/>
        <sz val="9"/>
        <color theme="1"/>
        <rFont val="Times New Roman"/>
        <family val="1"/>
      </rPr>
      <t>d</t>
    </r>
  </si>
  <si>
    <t xml:space="preserve">Review annual compliance tests for Ea </t>
  </si>
  <si>
    <r>
      <t xml:space="preserve">e </t>
    </r>
    <r>
      <rPr>
        <sz val="9"/>
        <color theme="1"/>
        <rFont val="Times New Roman"/>
        <family val="1"/>
      </rPr>
      <t xml:space="preserve"> We have assumed that 80 percent of respondents will file an opacity report of no excess emission for Ea.</t>
    </r>
  </si>
  <si>
    <r>
      <t xml:space="preserve">f </t>
    </r>
    <r>
      <rPr>
        <sz val="9"/>
        <color theme="1"/>
        <rFont val="Times New Roman"/>
        <family val="1"/>
      </rPr>
      <t xml:space="preserve"> We have assumed that 20 percent of respondents will file an opacity report of excess emission for Ea.</t>
    </r>
  </si>
  <si>
    <r>
      <t xml:space="preserve">Review quarterly appendix F reports for Ea </t>
    </r>
    <r>
      <rPr>
        <vertAlign val="superscript"/>
        <sz val="10"/>
        <color theme="1"/>
        <rFont val="Times New Roman"/>
        <family val="1"/>
      </rPr>
      <t>g</t>
    </r>
  </si>
  <si>
    <r>
      <t>g</t>
    </r>
    <r>
      <rPr>
        <sz val="9"/>
        <color theme="1"/>
        <rFont val="Times New Roman"/>
        <family val="1"/>
      </rPr>
      <t xml:space="preserve">  We have assumed that 18 of the respondents will write the appendix F reports four times per year for Ea.</t>
    </r>
  </si>
  <si>
    <t xml:space="preserve">Review quarterly compliance report for Ea </t>
  </si>
  <si>
    <r>
      <t xml:space="preserve">h </t>
    </r>
    <r>
      <rPr>
        <sz val="9"/>
        <color theme="1"/>
        <rFont val="Times New Roman"/>
        <family val="1"/>
      </rPr>
      <t xml:space="preserve"> We have assumed that 5 of the respondents will be required to write semiannual excess emission report for Eb two times per year.</t>
    </r>
  </si>
  <si>
    <r>
      <t xml:space="preserve">Review semiannual excess emission reports for Eb </t>
    </r>
    <r>
      <rPr>
        <vertAlign val="superscript"/>
        <sz val="10"/>
        <color theme="1"/>
        <rFont val="Times New Roman"/>
        <family val="1"/>
      </rPr>
      <t>h</t>
    </r>
  </si>
  <si>
    <r>
      <t xml:space="preserve">Review of quarterly Appendix F reports for Eb </t>
    </r>
    <r>
      <rPr>
        <vertAlign val="superscript"/>
        <sz val="9"/>
        <color theme="1"/>
        <rFont val="Times New Roman"/>
        <family val="1"/>
      </rPr>
      <t>i</t>
    </r>
  </si>
  <si>
    <r>
      <t>i</t>
    </r>
    <r>
      <rPr>
        <sz val="9"/>
        <color theme="1"/>
        <rFont val="Times New Roman"/>
        <family val="1"/>
      </rPr>
      <t xml:space="preserve">  We have assumed that 5 of the respondents will write the appendix F reports four times per year.</t>
    </r>
  </si>
  <si>
    <t xml:space="preserve">Review annual compliance reports for Eb </t>
  </si>
  <si>
    <r>
      <t xml:space="preserve">Review siting requirements study for Eb </t>
    </r>
    <r>
      <rPr>
        <vertAlign val="superscript"/>
        <sz val="9"/>
        <color theme="1"/>
        <rFont val="Times New Roman"/>
        <family val="1"/>
      </rPr>
      <t>c</t>
    </r>
  </si>
  <si>
    <r>
      <t xml:space="preserve">    Notification of construction </t>
    </r>
    <r>
      <rPr>
        <vertAlign val="superscript"/>
        <sz val="9"/>
        <color theme="1"/>
        <rFont val="Times New Roman"/>
        <family val="1"/>
      </rPr>
      <t>c</t>
    </r>
  </si>
  <si>
    <r>
      <t xml:space="preserve">    Notification of initial performance test </t>
    </r>
    <r>
      <rPr>
        <vertAlign val="superscript"/>
        <sz val="9"/>
        <color theme="1"/>
        <rFont val="Times New Roman"/>
        <family val="1"/>
      </rPr>
      <t>c</t>
    </r>
  </si>
  <si>
    <r>
      <t xml:space="preserve">    Notification of CEMS demonstration </t>
    </r>
    <r>
      <rPr>
        <vertAlign val="superscript"/>
        <sz val="9"/>
        <color theme="1"/>
        <rFont val="Times New Roman"/>
        <family val="1"/>
      </rPr>
      <t>c</t>
    </r>
  </si>
  <si>
    <r>
      <t xml:space="preserve">Review CEMS demonstration for Eb </t>
    </r>
    <r>
      <rPr>
        <vertAlign val="superscript"/>
        <sz val="9"/>
        <color theme="1"/>
        <rFont val="Times New Roman"/>
        <family val="1"/>
      </rPr>
      <t>c</t>
    </r>
  </si>
  <si>
    <r>
      <t xml:space="preserve">a </t>
    </r>
    <r>
      <rPr>
        <sz val="9"/>
        <color theme="1"/>
        <rFont val="Times New Roman"/>
        <family val="1"/>
      </rPr>
      <t xml:space="preserve"> </t>
    </r>
    <r>
      <rPr>
        <sz val="9"/>
        <color rgb="FF000000"/>
        <rFont val="Times New Roman"/>
        <family val="1"/>
      </rPr>
      <t>On average, EPA estimates 23 existing sources will be subject to the NESHAP, including 13 sources subject to Ea, and 5 sources subject to Eb.  EPA estimates one plant</t>
    </r>
  </si>
  <si>
    <t xml:space="preserve"> (respondent) to startup in 2019 which will become subject to Subpart Eb.  </t>
  </si>
  <si>
    <r>
      <t xml:space="preserve">j </t>
    </r>
    <r>
      <rPr>
        <sz val="9"/>
        <color theme="1"/>
        <rFont val="Times New Roman"/>
        <family val="1"/>
      </rPr>
      <t>Totals have been rounded to 3 significant figures. Figures may not add exactly due to rounding.</t>
    </r>
  </si>
  <si>
    <r>
      <t>TOTAL ANNUAL BURDEN AND COST (rounded)</t>
    </r>
    <r>
      <rPr>
        <b/>
        <vertAlign val="superscript"/>
        <sz val="9"/>
        <color theme="1"/>
        <rFont val="Times New Roman"/>
        <family val="1"/>
      </rPr>
      <t>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</si>
</sst>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quot;$&quot;#,##0.00"/>
    <numFmt numFmtId="165" formatCode="&quot;$&quot;#,##0"/>
    <numFmt numFmtId="166" formatCode="_(* #,##0_);_(* \(#,##0\);_(* &quot;-&quot;??_);_(@_)"/>
  </numFmts>
  <fonts count="24" x14ac:knownFonts="1">
    <font>
      <sz val="11"/>
      <color theme="1"/>
      <name val="Calibri"/>
      <family val="2"/>
      <scheme val="minor"/>
    </font>
    <font>
      <sz val="8"/>
      <color theme="1"/>
      <name val="Times New Roman"/>
      <family val="1"/>
    </font>
    <font>
      <vertAlign val="superscript"/>
      <sz val="8"/>
      <color theme="1"/>
      <name val="Times New Roman"/>
      <family val="1"/>
    </font>
    <font>
      <sz val="9"/>
      <color theme="1"/>
      <name val="Times New Roman"/>
      <family val="1"/>
    </font>
    <font>
      <b/>
      <sz val="8"/>
      <color theme="1"/>
      <name val="Times New Roman"/>
      <family val="1"/>
    </font>
    <font>
      <b/>
      <sz val="9"/>
      <color theme="1"/>
      <name val="Times New Roman"/>
      <family val="1"/>
    </font>
    <font>
      <vertAlign val="superscript"/>
      <sz val="10"/>
      <color theme="1"/>
      <name val="Times New Roman"/>
      <family val="1"/>
    </font>
    <font>
      <vertAlign val="superscript"/>
      <sz val="9"/>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sz val="10"/>
      <color rgb="FF000000"/>
      <name val="Times New Roman"/>
      <family val="1"/>
    </font>
    <font>
      <sz val="11"/>
      <color rgb="FFFF0000"/>
      <name val="Calibri"/>
      <family val="2"/>
      <scheme val="minor"/>
    </font>
    <font>
      <sz val="9"/>
      <color rgb="FF000000"/>
      <name val="Times New Roman"/>
      <family val="1"/>
    </font>
    <font>
      <b/>
      <vertAlign val="superscript"/>
      <sz val="9"/>
      <color theme="1"/>
      <name val="Times New Roman"/>
      <family val="1"/>
    </font>
    <font>
      <sz val="9"/>
      <color indexed="81"/>
      <name val="Tahoma"/>
      <charset val="1"/>
    </font>
    <font>
      <b/>
      <sz val="9"/>
      <color indexed="81"/>
      <name val="Tahoma"/>
      <charset val="1"/>
    </font>
    <font>
      <sz val="11"/>
      <color theme="1"/>
      <name val="Calibri"/>
      <family val="2"/>
      <scheme val="minor"/>
    </font>
    <font>
      <b/>
      <sz val="11"/>
      <color theme="1"/>
      <name val="Calibri"/>
      <family val="2"/>
      <scheme val="minor"/>
    </font>
    <font>
      <b/>
      <sz val="11"/>
      <name val="Times New Roman"/>
      <family val="1"/>
    </font>
    <font>
      <sz val="11"/>
      <name val="Times New Roman"/>
      <family val="1"/>
    </font>
    <font>
      <b/>
      <i/>
      <sz val="11"/>
      <name val="Times New Roman"/>
      <family val="1"/>
    </font>
    <font>
      <sz val="9"/>
      <color theme="1"/>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110">
    <xf numFmtId="0" fontId="0" fillId="0" borderId="0" xfId="0"/>
    <xf numFmtId="0" fontId="0" fillId="0" borderId="0" xfId="0" applyAlignment="1"/>
    <xf numFmtId="0" fontId="1" fillId="0" borderId="1" xfId="0" applyFont="1" applyBorder="1" applyAlignment="1"/>
    <xf numFmtId="0" fontId="1" fillId="0" borderId="1" xfId="0" applyFont="1" applyBorder="1" applyAlignment="1">
      <alignment horizontal="center"/>
    </xf>
    <xf numFmtId="0" fontId="1" fillId="0" borderId="1" xfId="0" applyFont="1" applyBorder="1" applyAlignment="1">
      <alignment horizontal="center" vertical="top"/>
    </xf>
    <xf numFmtId="0" fontId="1" fillId="0" borderId="1" xfId="0" applyFont="1" applyBorder="1" applyAlignment="1">
      <alignment vertical="top"/>
    </xf>
    <xf numFmtId="8" fontId="1" fillId="0" borderId="1" xfId="0" applyNumberFormat="1" applyFont="1" applyBorder="1" applyAlignment="1">
      <alignment horizontal="right"/>
    </xf>
    <xf numFmtId="0" fontId="1" fillId="0" borderId="1" xfId="0" applyFont="1" applyBorder="1" applyAlignment="1">
      <alignment horizontal="right"/>
    </xf>
    <xf numFmtId="3" fontId="1" fillId="0" borderId="1" xfId="0" applyNumberFormat="1"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left"/>
    </xf>
    <xf numFmtId="165" fontId="1" fillId="0" borderId="1" xfId="0" applyNumberFormat="1" applyFont="1" applyBorder="1" applyAlignment="1">
      <alignment horizontal="right"/>
    </xf>
    <xf numFmtId="0" fontId="5" fillId="0" borderId="1" xfId="0" applyFont="1" applyBorder="1" applyAlignment="1"/>
    <xf numFmtId="8" fontId="0" fillId="0" borderId="0" xfId="0" applyNumberFormat="1"/>
    <xf numFmtId="0" fontId="3" fillId="0" borderId="1" xfId="0" applyFont="1" applyBorder="1" applyAlignment="1"/>
    <xf numFmtId="0" fontId="8" fillId="0" borderId="1" xfId="0" applyFont="1" applyBorder="1" applyAlignment="1">
      <alignment horizontal="center" vertical="center"/>
    </xf>
    <xf numFmtId="0" fontId="8" fillId="0" borderId="1" xfId="0" applyNumberFormat="1" applyFont="1" applyBorder="1" applyAlignment="1">
      <alignment horizontal="center" vertical="center" wrapText="1"/>
    </xf>
    <xf numFmtId="0" fontId="0" fillId="2" borderId="0" xfId="0" applyFill="1" applyAlignment="1"/>
    <xf numFmtId="0" fontId="0" fillId="2" borderId="0" xfId="0" applyFill="1"/>
    <xf numFmtId="0" fontId="8" fillId="0" borderId="1" xfId="0" applyFont="1" applyBorder="1" applyAlignment="1">
      <alignment horizontal="center" vertical="top" wrapText="1"/>
    </xf>
    <xf numFmtId="0" fontId="0" fillId="0" borderId="0" xfId="0" applyAlignment="1">
      <alignment wrapText="1"/>
    </xf>
    <xf numFmtId="0" fontId="8" fillId="0" borderId="1" xfId="0" applyFont="1" applyBorder="1" applyAlignment="1">
      <alignment horizontal="center" vertical="center" wrapText="1"/>
    </xf>
    <xf numFmtId="0" fontId="3" fillId="0" borderId="1" xfId="0" applyFont="1" applyBorder="1" applyAlignment="1">
      <alignment horizontal="center"/>
    </xf>
    <xf numFmtId="6" fontId="3" fillId="0" borderId="1" xfId="0" applyNumberFormat="1" applyFont="1" applyBorder="1" applyAlignment="1"/>
    <xf numFmtId="0" fontId="3" fillId="0" borderId="1" xfId="0" applyFont="1" applyBorder="1" applyAlignment="1">
      <alignment horizontal="center" vertical="top"/>
    </xf>
    <xf numFmtId="164" fontId="3" fillId="0" borderId="1" xfId="0" applyNumberFormat="1" applyFont="1" applyBorder="1" applyAlignment="1"/>
    <xf numFmtId="6" fontId="0" fillId="0" borderId="0" xfId="0" applyNumberFormat="1"/>
    <xf numFmtId="165" fontId="0" fillId="0" borderId="0" xfId="0" applyNumberFormat="1" applyFill="1"/>
    <xf numFmtId="0" fontId="0" fillId="0" borderId="1" xfId="0" applyBorder="1"/>
    <xf numFmtId="1" fontId="0" fillId="0" borderId="0" xfId="0" applyNumberFormat="1" applyAlignment="1"/>
    <xf numFmtId="0" fontId="1" fillId="0" borderId="1" xfId="0" applyFont="1" applyFill="1" applyBorder="1" applyAlignment="1">
      <alignment horizontal="center" vertical="center"/>
    </xf>
    <xf numFmtId="0" fontId="13" fillId="0" borderId="0" xfId="0" applyFont="1"/>
    <xf numFmtId="0" fontId="3" fillId="0" borderId="1" xfId="0" applyFont="1" applyFill="1" applyBorder="1" applyAlignment="1"/>
    <xf numFmtId="0" fontId="3" fillId="0" borderId="1" xfId="0" applyFont="1" applyFill="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xf numFmtId="0" fontId="1" fillId="0" borderId="1" xfId="0" applyFont="1" applyFill="1" applyBorder="1" applyAlignment="1">
      <alignment horizontal="left" vertical="center"/>
    </xf>
    <xf numFmtId="2" fontId="1" fillId="0" borderId="1" xfId="0" applyNumberFormat="1" applyFont="1" applyBorder="1" applyAlignment="1">
      <alignment horizontal="center"/>
    </xf>
    <xf numFmtId="3" fontId="1" fillId="0" borderId="1" xfId="0" applyNumberFormat="1" applyFont="1" applyBorder="1" applyAlignment="1">
      <alignment horizontal="center" vertical="center"/>
    </xf>
    <xf numFmtId="0" fontId="0" fillId="0" borderId="1" xfId="0" applyBorder="1" applyAlignment="1"/>
    <xf numFmtId="164" fontId="3" fillId="0" borderId="1" xfId="0" applyNumberFormat="1" applyFont="1" applyFill="1" applyBorder="1" applyAlignment="1"/>
    <xf numFmtId="2" fontId="3" fillId="0" borderId="1" xfId="0" applyNumberFormat="1" applyFont="1" applyBorder="1" applyAlignment="1">
      <alignment horizontal="center"/>
    </xf>
    <xf numFmtId="6" fontId="5" fillId="0" borderId="1" xfId="0" applyNumberFormat="1" applyFont="1" applyBorder="1" applyAlignment="1"/>
    <xf numFmtId="4" fontId="0" fillId="0" borderId="1" xfId="0" applyNumberFormat="1" applyBorder="1" applyAlignment="1"/>
    <xf numFmtId="6" fontId="4" fillId="0" borderId="1" xfId="0" applyNumberFormat="1" applyFont="1" applyBorder="1" applyAlignment="1">
      <alignment horizontal="right"/>
    </xf>
    <xf numFmtId="8" fontId="3" fillId="0" borderId="1" xfId="0" applyNumberFormat="1" applyFont="1" applyBorder="1" applyAlignment="1"/>
    <xf numFmtId="0" fontId="19" fillId="0" borderId="0" xfId="0" applyFont="1"/>
    <xf numFmtId="0" fontId="20" fillId="3" borderId="12" xfId="0" applyFont="1" applyFill="1" applyBorder="1" applyAlignment="1">
      <alignment horizontal="center" vertical="center"/>
    </xf>
    <xf numFmtId="0" fontId="21" fillId="0" borderId="11" xfId="0" applyFont="1" applyBorder="1" applyAlignment="1">
      <alignment vertical="center"/>
    </xf>
    <xf numFmtId="0" fontId="22" fillId="0" borderId="11" xfId="0" applyFont="1" applyBorder="1" applyAlignment="1">
      <alignment vertical="center"/>
    </xf>
    <xf numFmtId="1" fontId="22" fillId="0" borderId="12" xfId="0" applyNumberFormat="1" applyFont="1" applyBorder="1" applyAlignment="1">
      <alignment horizontal="right" vertical="center"/>
    </xf>
    <xf numFmtId="166" fontId="22" fillId="0" borderId="12" xfId="1" applyNumberFormat="1" applyFont="1" applyBorder="1" applyAlignment="1">
      <alignment horizontal="right" vertical="center"/>
    </xf>
    <xf numFmtId="166" fontId="21" fillId="0" borderId="12" xfId="1" applyNumberFormat="1" applyFont="1" applyBorder="1" applyAlignment="1">
      <alignment horizontal="right" vertical="center"/>
    </xf>
    <xf numFmtId="0" fontId="0" fillId="0" borderId="0" xfId="0" applyFill="1"/>
    <xf numFmtId="166" fontId="21" fillId="0" borderId="12" xfId="1" applyNumberFormat="1" applyFont="1" applyFill="1" applyBorder="1" applyAlignment="1">
      <alignment horizontal="right" vertical="center"/>
    </xf>
    <xf numFmtId="6" fontId="21" fillId="0" borderId="12" xfId="0" applyNumberFormat="1" applyFont="1" applyFill="1" applyBorder="1" applyAlignment="1">
      <alignment horizontal="right" vertical="center"/>
    </xf>
    <xf numFmtId="9" fontId="0" fillId="0" borderId="1" xfId="2" applyFont="1" applyBorder="1"/>
    <xf numFmtId="0" fontId="1" fillId="0" borderId="0" xfId="0" applyFont="1" applyFill="1" applyBorder="1" applyAlignment="1">
      <alignment horizontal="left" vertical="top"/>
    </xf>
    <xf numFmtId="0" fontId="11" fillId="0" borderId="1" xfId="0" applyFont="1" applyFill="1" applyBorder="1" applyAlignment="1">
      <alignment horizontal="center" vertical="top" wrapText="1"/>
    </xf>
    <xf numFmtId="6" fontId="11" fillId="0" borderId="1" xfId="0" applyNumberFormat="1" applyFont="1" applyFill="1" applyBorder="1" applyAlignment="1">
      <alignment wrapText="1"/>
    </xf>
    <xf numFmtId="0" fontId="11" fillId="0" borderId="1" xfId="0" applyFont="1" applyFill="1" applyBorder="1" applyAlignment="1">
      <alignment wrapText="1"/>
    </xf>
    <xf numFmtId="0" fontId="11" fillId="0" borderId="1" xfId="0" applyFont="1" applyFill="1" applyBorder="1" applyAlignment="1">
      <alignment vertical="top" wrapText="1"/>
    </xf>
    <xf numFmtId="0" fontId="12" fillId="0" borderId="1" xfId="0" applyFont="1" applyFill="1" applyBorder="1" applyAlignment="1">
      <alignment wrapText="1"/>
    </xf>
    <xf numFmtId="1" fontId="21" fillId="0" borderId="12" xfId="0" applyNumberFormat="1" applyFont="1" applyFill="1" applyBorder="1" applyAlignment="1">
      <alignment horizontal="right" vertical="center"/>
    </xf>
    <xf numFmtId="0" fontId="11" fillId="0" borderId="0" xfId="0" applyFont="1" applyFill="1" applyAlignment="1">
      <alignment vertical="center"/>
    </xf>
    <xf numFmtId="0" fontId="11" fillId="0" borderId="0" xfId="0" applyFont="1" applyFill="1" applyAlignment="1">
      <alignment vertical="center" wrapText="1"/>
    </xf>
    <xf numFmtId="0" fontId="11" fillId="0" borderId="0" xfId="0" applyFont="1" applyFill="1"/>
    <xf numFmtId="0" fontId="11" fillId="0" borderId="0" xfId="0" applyFont="1" applyFill="1"/>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0" xfId="0" applyFont="1" applyFill="1" applyAlignment="1">
      <alignment vertical="center"/>
    </xf>
    <xf numFmtId="0" fontId="11" fillId="0" borderId="0" xfId="0" applyFont="1" applyFill="1" applyAlignment="1"/>
    <xf numFmtId="0" fontId="23" fillId="0" borderId="0" xfId="0" applyFont="1" applyAlignment="1"/>
    <xf numFmtId="165" fontId="4" fillId="0" borderId="1" xfId="0" applyNumberFormat="1"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3" fontId="1" fillId="0" borderId="1" xfId="0" applyNumberFormat="1" applyFont="1" applyBorder="1" applyAlignment="1">
      <alignment horizontal="center" vertical="center"/>
    </xf>
    <xf numFmtId="3" fontId="1" fillId="0" borderId="1" xfId="0" applyNumberFormat="1" applyFont="1" applyBorder="1" applyAlignment="1">
      <alignment horizontal="center" vertical="top"/>
    </xf>
    <xf numFmtId="3" fontId="4" fillId="0" borderId="1" xfId="0" applyNumberFormat="1" applyFont="1" applyBorder="1" applyAlignment="1">
      <alignment horizontal="center"/>
    </xf>
    <xf numFmtId="3" fontId="4" fillId="0" borderId="4" xfId="0" applyNumberFormat="1" applyFont="1" applyBorder="1" applyAlignment="1">
      <alignment horizontal="center" vertical="top"/>
    </xf>
    <xf numFmtId="3" fontId="4" fillId="0" borderId="5" xfId="0" applyNumberFormat="1" applyFont="1" applyBorder="1" applyAlignment="1">
      <alignment horizontal="center" vertical="top"/>
    </xf>
    <xf numFmtId="3" fontId="4" fillId="0" borderId="6" xfId="0" applyNumberFormat="1" applyFont="1" applyBorder="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3" fontId="4" fillId="0" borderId="4" xfId="0" applyNumberFormat="1" applyFont="1" applyBorder="1" applyAlignment="1">
      <alignment horizontal="center" vertical="center"/>
    </xf>
    <xf numFmtId="3" fontId="4" fillId="0" borderId="5" xfId="0" applyNumberFormat="1" applyFont="1" applyBorder="1" applyAlignment="1">
      <alignment horizontal="center" vertical="center"/>
    </xf>
    <xf numFmtId="3" fontId="4" fillId="0" borderId="6" xfId="0" applyNumberFormat="1" applyFont="1" applyBorder="1" applyAlignment="1">
      <alignment horizontal="center" vertical="center"/>
    </xf>
    <xf numFmtId="0" fontId="11" fillId="0" borderId="0" xfId="0" applyFont="1" applyFill="1" applyAlignment="1">
      <alignment vertical="center" wrapText="1"/>
    </xf>
    <xf numFmtId="0" fontId="11" fillId="0" borderId="0" xfId="0" applyFont="1" applyFill="1" applyAlignment="1">
      <alignment horizontal="left" vertical="center"/>
    </xf>
    <xf numFmtId="3" fontId="4" fillId="0" borderId="4" xfId="0" applyNumberFormat="1" applyFont="1" applyBorder="1" applyAlignment="1">
      <alignment horizontal="center"/>
    </xf>
    <xf numFmtId="3" fontId="4" fillId="0" borderId="5" xfId="0" applyNumberFormat="1" applyFont="1" applyBorder="1" applyAlignment="1">
      <alignment horizontal="center"/>
    </xf>
    <xf numFmtId="3" fontId="4" fillId="0" borderId="6" xfId="0" applyNumberFormat="1"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1" fillId="0" borderId="0" xfId="0" applyFont="1" applyFill="1" applyAlignment="1">
      <alignment horizontal="left" vertical="center" wrapText="1"/>
    </xf>
    <xf numFmtId="0" fontId="11" fillId="0" borderId="0" xfId="0" applyFont="1" applyFill="1" applyAlignment="1">
      <alignment vertical="center"/>
    </xf>
    <xf numFmtId="3" fontId="5" fillId="0" borderId="1" xfId="0" applyNumberFormat="1" applyFont="1" applyBorder="1" applyAlignment="1">
      <alignment horizontal="center"/>
    </xf>
    <xf numFmtId="0" fontId="3" fillId="0" borderId="0" xfId="0" applyFont="1" applyBorder="1"/>
    <xf numFmtId="0" fontId="0" fillId="0" borderId="13" xfId="0" applyBorder="1" applyAlignment="1">
      <alignment horizontal="left" wrapText="1"/>
    </xf>
    <xf numFmtId="0" fontId="0" fillId="0" borderId="14" xfId="0" applyBorder="1" applyAlignment="1">
      <alignment horizontal="left" wrapText="1"/>
    </xf>
    <xf numFmtId="0" fontId="0" fillId="0" borderId="0" xfId="0" applyAlignment="1">
      <alignment horizontal="left" wrapText="1"/>
    </xf>
    <xf numFmtId="0" fontId="20" fillId="3" borderId="7"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7"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8"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10"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7"/>
  <sheetViews>
    <sheetView tabSelected="1" zoomScale="115" zoomScaleNormal="115" workbookViewId="0">
      <selection activeCell="A2" sqref="A2"/>
    </sheetView>
  </sheetViews>
  <sheetFormatPr defaultRowHeight="15" x14ac:dyDescent="0.25"/>
  <cols>
    <col min="1" max="1" width="37" style="1" bestFit="1" customWidth="1"/>
    <col min="2" max="3" width="10.5703125" style="1" customWidth="1"/>
    <col min="4" max="4" width="9.140625" style="1"/>
    <col min="5" max="5" width="11.5703125" style="1" customWidth="1"/>
    <col min="6" max="6" width="9.140625" style="1"/>
    <col min="7" max="7" width="9.7109375" style="1" customWidth="1"/>
    <col min="8" max="8" width="9.140625" style="1"/>
    <col min="9" max="9" width="11" style="1" customWidth="1"/>
    <col min="10" max="10" width="12.28515625" style="1" customWidth="1"/>
    <col min="11" max="11" width="14.42578125" style="1" customWidth="1"/>
    <col min="14" max="14" width="10.85546875" bestFit="1" customWidth="1"/>
  </cols>
  <sheetData>
    <row r="1" spans="1:13" x14ac:dyDescent="0.25">
      <c r="F1" s="17">
        <v>112.98</v>
      </c>
      <c r="G1" s="17">
        <v>149.35</v>
      </c>
      <c r="H1" s="17">
        <v>54.81</v>
      </c>
      <c r="J1" s="1">
        <v>80</v>
      </c>
      <c r="M1" s="53"/>
    </row>
    <row r="2" spans="1:13" ht="89.25" x14ac:dyDescent="0.25">
      <c r="A2" s="15" t="s">
        <v>0</v>
      </c>
      <c r="B2" s="16" t="s">
        <v>69</v>
      </c>
      <c r="C2" s="16" t="s">
        <v>70</v>
      </c>
      <c r="D2" s="16" t="s">
        <v>71</v>
      </c>
      <c r="E2" s="16" t="s">
        <v>99</v>
      </c>
      <c r="F2" s="16" t="s">
        <v>37</v>
      </c>
      <c r="G2" s="16" t="s">
        <v>38</v>
      </c>
      <c r="H2" s="16" t="s">
        <v>39</v>
      </c>
      <c r="I2" s="19" t="s">
        <v>68</v>
      </c>
      <c r="J2" s="19" t="s">
        <v>110</v>
      </c>
      <c r="K2" s="16" t="s">
        <v>67</v>
      </c>
      <c r="M2" s="57"/>
    </row>
    <row r="3" spans="1:13" x14ac:dyDescent="0.25">
      <c r="A3" s="2" t="s">
        <v>1</v>
      </c>
      <c r="B3" s="3" t="s">
        <v>2</v>
      </c>
      <c r="C3" s="3"/>
      <c r="D3" s="4"/>
      <c r="E3" s="3"/>
      <c r="F3" s="3"/>
      <c r="G3" s="4"/>
      <c r="H3" s="3"/>
      <c r="I3" s="4"/>
      <c r="J3" s="4"/>
      <c r="K3" s="7" t="s">
        <v>3</v>
      </c>
      <c r="M3" s="53"/>
    </row>
    <row r="4" spans="1:13" x14ac:dyDescent="0.25">
      <c r="A4" s="2" t="s">
        <v>4</v>
      </c>
      <c r="B4" s="3" t="s">
        <v>2</v>
      </c>
      <c r="C4" s="3"/>
      <c r="D4" s="4"/>
      <c r="E4" s="3"/>
      <c r="F4" s="3"/>
      <c r="G4" s="4"/>
      <c r="H4" s="3"/>
      <c r="I4" s="4"/>
      <c r="J4" s="4"/>
      <c r="K4" s="7" t="s">
        <v>3</v>
      </c>
      <c r="M4" s="53"/>
    </row>
    <row r="5" spans="1:13" x14ac:dyDescent="0.25">
      <c r="A5" s="2" t="s">
        <v>5</v>
      </c>
      <c r="B5" s="3"/>
      <c r="C5" s="3"/>
      <c r="D5" s="4"/>
      <c r="E5" s="3"/>
      <c r="F5" s="3"/>
      <c r="G5" s="4"/>
      <c r="H5" s="3"/>
      <c r="I5" s="4"/>
      <c r="J5" s="4"/>
      <c r="K5" s="7" t="s">
        <v>3</v>
      </c>
      <c r="M5" s="53"/>
    </row>
    <row r="6" spans="1:13" x14ac:dyDescent="0.25">
      <c r="A6" s="2" t="s">
        <v>73</v>
      </c>
      <c r="B6" s="3">
        <v>1</v>
      </c>
      <c r="C6" s="3">
        <v>1</v>
      </c>
      <c r="D6" s="3">
        <f>B6*C6</f>
        <v>1</v>
      </c>
      <c r="E6" s="34">
        <v>23</v>
      </c>
      <c r="F6" s="3">
        <f>D6*E6</f>
        <v>23</v>
      </c>
      <c r="G6" s="3">
        <f>F6*0.05</f>
        <v>1.1500000000000001</v>
      </c>
      <c r="H6" s="3">
        <f>F6*0.1</f>
        <v>2.3000000000000003</v>
      </c>
      <c r="I6" s="3">
        <v>1</v>
      </c>
      <c r="J6" s="3">
        <f>I6*E6</f>
        <v>23</v>
      </c>
      <c r="K6" s="6">
        <f>F6*F$1+G6*G$1+H6*H$1+J6*J$1</f>
        <v>4736.3554999999997</v>
      </c>
      <c r="L6" s="31"/>
      <c r="M6" s="53"/>
    </row>
    <row r="7" spans="1:13" x14ac:dyDescent="0.25">
      <c r="A7" s="2" t="s">
        <v>6</v>
      </c>
      <c r="B7" s="3"/>
      <c r="C7" s="3"/>
      <c r="D7" s="4"/>
      <c r="E7" s="3"/>
      <c r="F7" s="3"/>
      <c r="G7" s="4"/>
      <c r="H7" s="3"/>
      <c r="I7" s="4"/>
      <c r="J7" s="4"/>
      <c r="K7" s="7"/>
      <c r="M7" s="53"/>
    </row>
    <row r="8" spans="1:13" x14ac:dyDescent="0.25">
      <c r="A8" s="2" t="s">
        <v>119</v>
      </c>
      <c r="B8" s="3">
        <v>24</v>
      </c>
      <c r="C8" s="3">
        <v>1</v>
      </c>
      <c r="D8" s="3">
        <f t="shared" ref="D8:D15" si="0">B8*C8</f>
        <v>24</v>
      </c>
      <c r="E8" s="3">
        <v>0.33</v>
      </c>
      <c r="F8" s="3">
        <f>D8*E8</f>
        <v>7.92</v>
      </c>
      <c r="G8" s="37">
        <f t="shared" ref="G8:G15" si="1">F8*0.05</f>
        <v>0.39600000000000002</v>
      </c>
      <c r="H8" s="37">
        <f t="shared" ref="H8:H15" si="2">F8*0.1</f>
        <v>0.79200000000000004</v>
      </c>
      <c r="I8" s="8">
        <v>1053</v>
      </c>
      <c r="J8" s="8">
        <f>I8*E8</f>
        <v>347.49</v>
      </c>
      <c r="K8" s="6">
        <f t="shared" ref="K8:K15" si="3">F8*F$1+G8*G$1+H8*H$1+J8*J$1</f>
        <v>28796.55372</v>
      </c>
    </row>
    <row r="9" spans="1:13" x14ac:dyDescent="0.25">
      <c r="A9" s="2" t="s">
        <v>120</v>
      </c>
      <c r="B9" s="3">
        <v>24</v>
      </c>
      <c r="C9" s="3">
        <v>1</v>
      </c>
      <c r="D9" s="3">
        <f t="shared" si="0"/>
        <v>24</v>
      </c>
      <c r="E9" s="3">
        <v>7.0000000000000007E-2</v>
      </c>
      <c r="F9" s="3">
        <f t="shared" ref="F9:F15" si="4">D9*E9</f>
        <v>1.6800000000000002</v>
      </c>
      <c r="G9" s="37">
        <f t="shared" si="1"/>
        <v>8.4000000000000019E-2</v>
      </c>
      <c r="H9" s="37">
        <f t="shared" si="2"/>
        <v>0.16800000000000004</v>
      </c>
      <c r="I9" s="8">
        <v>1053</v>
      </c>
      <c r="J9" s="3">
        <f>I9*E9</f>
        <v>73.710000000000008</v>
      </c>
      <c r="K9" s="6">
        <f t="shared" si="3"/>
        <v>6108.3598800000009</v>
      </c>
    </row>
    <row r="10" spans="1:13" x14ac:dyDescent="0.25">
      <c r="A10" s="2" t="s">
        <v>100</v>
      </c>
      <c r="B10" s="3">
        <v>24</v>
      </c>
      <c r="C10" s="3">
        <v>1</v>
      </c>
      <c r="D10" s="3">
        <f t="shared" si="0"/>
        <v>24</v>
      </c>
      <c r="E10" s="3">
        <v>0.33</v>
      </c>
      <c r="F10" s="3">
        <f t="shared" si="4"/>
        <v>7.92</v>
      </c>
      <c r="G10" s="37">
        <f t="shared" si="1"/>
        <v>0.39600000000000002</v>
      </c>
      <c r="H10" s="37">
        <f t="shared" si="2"/>
        <v>0.79200000000000004</v>
      </c>
      <c r="I10" s="3">
        <v>470</v>
      </c>
      <c r="J10" s="3">
        <f>I10*E10</f>
        <v>155.1</v>
      </c>
      <c r="K10" s="6">
        <f t="shared" si="3"/>
        <v>13405.353719999999</v>
      </c>
    </row>
    <row r="11" spans="1:13" x14ac:dyDescent="0.25">
      <c r="A11" s="2" t="s">
        <v>114</v>
      </c>
      <c r="B11" s="3">
        <v>24</v>
      </c>
      <c r="C11" s="3">
        <v>1</v>
      </c>
      <c r="D11" s="3">
        <f t="shared" si="0"/>
        <v>24</v>
      </c>
      <c r="E11" s="3">
        <v>7.0000000000000007E-2</v>
      </c>
      <c r="F11" s="3">
        <f t="shared" si="4"/>
        <v>1.6800000000000002</v>
      </c>
      <c r="G11" s="37">
        <f t="shared" si="1"/>
        <v>8.4000000000000019E-2</v>
      </c>
      <c r="H11" s="37">
        <f t="shared" si="2"/>
        <v>0.16800000000000004</v>
      </c>
      <c r="I11" s="3">
        <v>470</v>
      </c>
      <c r="J11" s="3">
        <f t="shared" ref="J11:J15" si="5">I11*E11</f>
        <v>32.900000000000006</v>
      </c>
      <c r="K11" s="6">
        <f t="shared" si="3"/>
        <v>2843.5598800000007</v>
      </c>
    </row>
    <row r="12" spans="1:13" x14ac:dyDescent="0.25">
      <c r="A12" s="2" t="s">
        <v>118</v>
      </c>
      <c r="B12" s="3">
        <v>24</v>
      </c>
      <c r="C12" s="3">
        <v>1</v>
      </c>
      <c r="D12" s="3">
        <f t="shared" si="0"/>
        <v>24</v>
      </c>
      <c r="E12" s="3">
        <v>18</v>
      </c>
      <c r="F12" s="3">
        <f t="shared" si="4"/>
        <v>432</v>
      </c>
      <c r="G12" s="3">
        <f t="shared" si="1"/>
        <v>21.6</v>
      </c>
      <c r="H12" s="3">
        <f t="shared" si="2"/>
        <v>43.2</v>
      </c>
      <c r="I12" s="3">
        <v>826</v>
      </c>
      <c r="J12" s="8">
        <f t="shared" si="5"/>
        <v>14868</v>
      </c>
      <c r="K12" s="6">
        <f t="shared" si="3"/>
        <v>1243841.112</v>
      </c>
    </row>
    <row r="13" spans="1:13" x14ac:dyDescent="0.25">
      <c r="A13" s="2" t="s">
        <v>121</v>
      </c>
      <c r="B13" s="3">
        <v>24</v>
      </c>
      <c r="C13" s="3">
        <v>1</v>
      </c>
      <c r="D13" s="3">
        <f t="shared" si="0"/>
        <v>24</v>
      </c>
      <c r="E13" s="3">
        <v>5</v>
      </c>
      <c r="F13" s="3">
        <f t="shared" si="4"/>
        <v>120</v>
      </c>
      <c r="G13" s="3">
        <f t="shared" si="1"/>
        <v>6</v>
      </c>
      <c r="H13" s="3">
        <f t="shared" si="2"/>
        <v>12</v>
      </c>
      <c r="I13" s="8">
        <v>1053</v>
      </c>
      <c r="J13" s="8">
        <f t="shared" si="5"/>
        <v>5265</v>
      </c>
      <c r="K13" s="6">
        <f t="shared" si="3"/>
        <v>436311.42</v>
      </c>
    </row>
    <row r="14" spans="1:13" x14ac:dyDescent="0.25">
      <c r="A14" s="2" t="s">
        <v>40</v>
      </c>
      <c r="B14" s="3">
        <v>125</v>
      </c>
      <c r="C14" s="3">
        <v>8</v>
      </c>
      <c r="D14" s="8">
        <f t="shared" si="0"/>
        <v>1000</v>
      </c>
      <c r="E14" s="3">
        <v>0</v>
      </c>
      <c r="F14" s="3">
        <f t="shared" si="4"/>
        <v>0</v>
      </c>
      <c r="G14" s="3">
        <f t="shared" si="1"/>
        <v>0</v>
      </c>
      <c r="H14" s="3">
        <f t="shared" si="2"/>
        <v>0</v>
      </c>
      <c r="I14" s="3">
        <v>0</v>
      </c>
      <c r="J14" s="3">
        <f t="shared" si="5"/>
        <v>0</v>
      </c>
      <c r="K14" s="11">
        <f t="shared" si="3"/>
        <v>0</v>
      </c>
    </row>
    <row r="15" spans="1:13" x14ac:dyDescent="0.25">
      <c r="A15" s="2" t="s">
        <v>41</v>
      </c>
      <c r="B15" s="3">
        <v>36</v>
      </c>
      <c r="C15" s="3">
        <v>8</v>
      </c>
      <c r="D15" s="3">
        <f t="shared" si="0"/>
        <v>288</v>
      </c>
      <c r="E15" s="3">
        <v>0</v>
      </c>
      <c r="F15" s="3">
        <f t="shared" si="4"/>
        <v>0</v>
      </c>
      <c r="G15" s="3">
        <f t="shared" si="1"/>
        <v>0</v>
      </c>
      <c r="H15" s="3">
        <f t="shared" si="2"/>
        <v>0</v>
      </c>
      <c r="I15" s="3">
        <v>0</v>
      </c>
      <c r="J15" s="3">
        <f t="shared" si="5"/>
        <v>0</v>
      </c>
      <c r="K15" s="11">
        <f t="shared" si="3"/>
        <v>0</v>
      </c>
    </row>
    <row r="16" spans="1:13" x14ac:dyDescent="0.25">
      <c r="A16" s="2" t="s">
        <v>7</v>
      </c>
      <c r="B16" s="3" t="s">
        <v>8</v>
      </c>
      <c r="C16" s="3"/>
      <c r="D16" s="4"/>
      <c r="E16" s="3"/>
      <c r="F16" s="3"/>
      <c r="G16" s="4"/>
      <c r="H16" s="3"/>
      <c r="I16" s="4"/>
      <c r="J16" s="4"/>
      <c r="K16" s="11"/>
    </row>
    <row r="17" spans="1:12" ht="24" customHeight="1" x14ac:dyDescent="0.25">
      <c r="A17" s="2" t="s">
        <v>9</v>
      </c>
      <c r="B17" s="3" t="s">
        <v>8</v>
      </c>
      <c r="C17" s="3"/>
      <c r="D17" s="4"/>
      <c r="E17" s="3"/>
      <c r="F17" s="3"/>
      <c r="G17" s="4"/>
      <c r="H17" s="3"/>
      <c r="I17" s="4"/>
      <c r="J17" s="4"/>
      <c r="K17" s="11"/>
    </row>
    <row r="18" spans="1:12" x14ac:dyDescent="0.25">
      <c r="A18" s="2" t="s">
        <v>10</v>
      </c>
      <c r="B18" s="3"/>
      <c r="C18" s="3"/>
      <c r="D18" s="4"/>
      <c r="E18" s="3"/>
      <c r="F18" s="3"/>
      <c r="G18" s="4"/>
      <c r="H18" s="3"/>
      <c r="I18" s="4"/>
      <c r="J18" s="4"/>
      <c r="K18" s="11"/>
    </row>
    <row r="19" spans="1:12" x14ac:dyDescent="0.25">
      <c r="A19" s="2" t="s">
        <v>42</v>
      </c>
      <c r="B19" s="3">
        <v>2</v>
      </c>
      <c r="C19" s="3">
        <v>1</v>
      </c>
      <c r="D19" s="3">
        <f t="shared" ref="D19:D36" si="6">B19*C19</f>
        <v>2</v>
      </c>
      <c r="E19" s="3">
        <v>0</v>
      </c>
      <c r="F19" s="3">
        <f t="shared" ref="F19:F36" si="7">D19*E19</f>
        <v>0</v>
      </c>
      <c r="G19" s="3">
        <f t="shared" ref="G19:G36" si="8">F19*0.05</f>
        <v>0</v>
      </c>
      <c r="H19" s="3">
        <f t="shared" ref="H19:H36" si="9">F19*0.1</f>
        <v>0</v>
      </c>
      <c r="I19" s="3">
        <v>0</v>
      </c>
      <c r="J19" s="3">
        <f t="shared" ref="J19:J36" si="10">I19*E19</f>
        <v>0</v>
      </c>
      <c r="K19" s="11">
        <f t="shared" ref="K19:K36" si="11">F19*F$1+G19*G$1+H19*H$1+J19*J$1</f>
        <v>0</v>
      </c>
    </row>
    <row r="20" spans="1:12" x14ac:dyDescent="0.25">
      <c r="A20" s="2" t="s">
        <v>43</v>
      </c>
      <c r="B20" s="3">
        <v>2</v>
      </c>
      <c r="C20" s="3">
        <v>1</v>
      </c>
      <c r="D20" s="3">
        <f t="shared" si="6"/>
        <v>2</v>
      </c>
      <c r="E20" s="3">
        <v>0</v>
      </c>
      <c r="F20" s="3">
        <f t="shared" si="7"/>
        <v>0</v>
      </c>
      <c r="G20" s="3">
        <f t="shared" si="8"/>
        <v>0</v>
      </c>
      <c r="H20" s="3">
        <f t="shared" si="9"/>
        <v>0</v>
      </c>
      <c r="I20" s="3">
        <v>0</v>
      </c>
      <c r="J20" s="3">
        <f t="shared" si="10"/>
        <v>0</v>
      </c>
      <c r="K20" s="11">
        <f t="shared" si="11"/>
        <v>0</v>
      </c>
    </row>
    <row r="21" spans="1:12" x14ac:dyDescent="0.25">
      <c r="A21" s="2" t="s">
        <v>65</v>
      </c>
      <c r="B21" s="3">
        <v>2</v>
      </c>
      <c r="C21" s="3">
        <v>1</v>
      </c>
      <c r="D21" s="3">
        <f t="shared" si="6"/>
        <v>2</v>
      </c>
      <c r="E21" s="3">
        <v>0</v>
      </c>
      <c r="F21" s="3">
        <f t="shared" si="7"/>
        <v>0</v>
      </c>
      <c r="G21" s="3">
        <f t="shared" si="8"/>
        <v>0</v>
      </c>
      <c r="H21" s="3">
        <f t="shared" si="9"/>
        <v>0</v>
      </c>
      <c r="I21" s="3">
        <v>0</v>
      </c>
      <c r="J21" s="3">
        <f t="shared" si="10"/>
        <v>0</v>
      </c>
      <c r="K21" s="11">
        <f t="shared" si="11"/>
        <v>0</v>
      </c>
    </row>
    <row r="22" spans="1:12" x14ac:dyDescent="0.25">
      <c r="A22" s="2" t="s">
        <v>66</v>
      </c>
      <c r="B22" s="3">
        <v>2</v>
      </c>
      <c r="C22" s="3">
        <v>1</v>
      </c>
      <c r="D22" s="3">
        <f t="shared" si="6"/>
        <v>2</v>
      </c>
      <c r="E22" s="3">
        <v>0</v>
      </c>
      <c r="F22" s="3">
        <f t="shared" si="7"/>
        <v>0</v>
      </c>
      <c r="G22" s="3">
        <f t="shared" si="8"/>
        <v>0</v>
      </c>
      <c r="H22" s="3">
        <f t="shared" si="9"/>
        <v>0</v>
      </c>
      <c r="I22" s="3">
        <v>0</v>
      </c>
      <c r="J22" s="3">
        <f t="shared" si="10"/>
        <v>0</v>
      </c>
      <c r="K22" s="11">
        <f t="shared" si="11"/>
        <v>0</v>
      </c>
    </row>
    <row r="23" spans="1:12" x14ac:dyDescent="0.25">
      <c r="A23" s="35" t="s">
        <v>104</v>
      </c>
      <c r="B23" s="34">
        <v>2</v>
      </c>
      <c r="C23" s="34">
        <v>1</v>
      </c>
      <c r="D23" s="34">
        <f t="shared" si="6"/>
        <v>2</v>
      </c>
      <c r="E23" s="34">
        <v>0.33</v>
      </c>
      <c r="F23" s="3">
        <f t="shared" si="7"/>
        <v>0.66</v>
      </c>
      <c r="G23" s="37">
        <f t="shared" si="8"/>
        <v>3.3000000000000002E-2</v>
      </c>
      <c r="H23" s="37">
        <f t="shared" si="9"/>
        <v>6.6000000000000003E-2</v>
      </c>
      <c r="I23" s="3">
        <v>0</v>
      </c>
      <c r="J23" s="3">
        <f t="shared" si="10"/>
        <v>0</v>
      </c>
      <c r="K23" s="6">
        <f t="shared" si="11"/>
        <v>83.112809999999996</v>
      </c>
    </row>
    <row r="24" spans="1:12" x14ac:dyDescent="0.25">
      <c r="A24" s="35" t="s">
        <v>103</v>
      </c>
      <c r="B24" s="34">
        <v>2</v>
      </c>
      <c r="C24" s="34">
        <v>1</v>
      </c>
      <c r="D24" s="34">
        <f t="shared" si="6"/>
        <v>2</v>
      </c>
      <c r="E24" s="34">
        <v>0.33</v>
      </c>
      <c r="F24" s="3">
        <f t="shared" si="7"/>
        <v>0.66</v>
      </c>
      <c r="G24" s="37">
        <f t="shared" si="8"/>
        <v>3.3000000000000002E-2</v>
      </c>
      <c r="H24" s="37">
        <f t="shared" si="9"/>
        <v>6.6000000000000003E-2</v>
      </c>
      <c r="I24" s="3">
        <v>0</v>
      </c>
      <c r="J24" s="3">
        <f t="shared" si="10"/>
        <v>0</v>
      </c>
      <c r="K24" s="6">
        <f t="shared" si="11"/>
        <v>83.112809999999996</v>
      </c>
    </row>
    <row r="25" spans="1:12" x14ac:dyDescent="0.25">
      <c r="A25" s="35" t="s">
        <v>102</v>
      </c>
      <c r="B25" s="34">
        <v>2</v>
      </c>
      <c r="C25" s="34">
        <v>1</v>
      </c>
      <c r="D25" s="34">
        <f t="shared" si="6"/>
        <v>2</v>
      </c>
      <c r="E25" s="34">
        <v>0.33</v>
      </c>
      <c r="F25" s="3">
        <f t="shared" si="7"/>
        <v>0.66</v>
      </c>
      <c r="G25" s="37">
        <f t="shared" si="8"/>
        <v>3.3000000000000002E-2</v>
      </c>
      <c r="H25" s="37">
        <f t="shared" si="9"/>
        <v>6.6000000000000003E-2</v>
      </c>
      <c r="I25" s="3">
        <v>0</v>
      </c>
      <c r="J25" s="3">
        <f t="shared" si="10"/>
        <v>0</v>
      </c>
      <c r="K25" s="6">
        <f t="shared" si="11"/>
        <v>83.112809999999996</v>
      </c>
      <c r="L25" s="31"/>
    </row>
    <row r="26" spans="1:12" x14ac:dyDescent="0.25">
      <c r="A26" s="35" t="s">
        <v>44</v>
      </c>
      <c r="B26" s="34">
        <v>16</v>
      </c>
      <c r="C26" s="34">
        <v>1</v>
      </c>
      <c r="D26" s="34">
        <f t="shared" si="6"/>
        <v>16</v>
      </c>
      <c r="E26" s="34">
        <v>18</v>
      </c>
      <c r="F26" s="3">
        <f t="shared" si="7"/>
        <v>288</v>
      </c>
      <c r="G26" s="3">
        <f t="shared" si="8"/>
        <v>14.4</v>
      </c>
      <c r="H26" s="3">
        <f t="shared" si="9"/>
        <v>28.8</v>
      </c>
      <c r="I26" s="3">
        <v>0</v>
      </c>
      <c r="J26" s="3">
        <f t="shared" si="10"/>
        <v>0</v>
      </c>
      <c r="K26" s="6">
        <f t="shared" si="11"/>
        <v>36267.408000000003</v>
      </c>
    </row>
    <row r="27" spans="1:12" x14ac:dyDescent="0.25">
      <c r="A27" s="36" t="s">
        <v>116</v>
      </c>
      <c r="B27" s="30">
        <v>8</v>
      </c>
      <c r="C27" s="30">
        <v>1</v>
      </c>
      <c r="D27" s="34">
        <f t="shared" si="6"/>
        <v>8</v>
      </c>
      <c r="E27" s="30">
        <f>0.8*E26</f>
        <v>14.4</v>
      </c>
      <c r="F27" s="3">
        <f t="shared" si="7"/>
        <v>115.2</v>
      </c>
      <c r="G27" s="3">
        <f t="shared" si="8"/>
        <v>5.7600000000000007</v>
      </c>
      <c r="H27" s="3">
        <f t="shared" si="9"/>
        <v>11.520000000000001</v>
      </c>
      <c r="I27" s="9">
        <v>0</v>
      </c>
      <c r="J27" s="3">
        <f t="shared" si="10"/>
        <v>0</v>
      </c>
      <c r="K27" s="6">
        <f t="shared" si="11"/>
        <v>14506.9632</v>
      </c>
    </row>
    <row r="28" spans="1:12" x14ac:dyDescent="0.25">
      <c r="A28" s="36" t="s">
        <v>117</v>
      </c>
      <c r="B28" s="30">
        <v>16</v>
      </c>
      <c r="C28" s="30">
        <v>1</v>
      </c>
      <c r="D28" s="34">
        <f t="shared" si="6"/>
        <v>16</v>
      </c>
      <c r="E28" s="30">
        <f>0.2*E26</f>
        <v>3.6</v>
      </c>
      <c r="F28" s="3">
        <f t="shared" si="7"/>
        <v>57.6</v>
      </c>
      <c r="G28" s="3">
        <f t="shared" si="8"/>
        <v>2.8800000000000003</v>
      </c>
      <c r="H28" s="3">
        <f t="shared" si="9"/>
        <v>5.7600000000000007</v>
      </c>
      <c r="I28" s="9">
        <v>0</v>
      </c>
      <c r="J28" s="3">
        <f t="shared" si="10"/>
        <v>0</v>
      </c>
      <c r="K28" s="6">
        <f t="shared" si="11"/>
        <v>7253.4816000000001</v>
      </c>
    </row>
    <row r="29" spans="1:12" x14ac:dyDescent="0.25">
      <c r="A29" s="36" t="s">
        <v>45</v>
      </c>
      <c r="B29" s="30">
        <v>34</v>
      </c>
      <c r="C29" s="30">
        <v>4</v>
      </c>
      <c r="D29" s="34">
        <f t="shared" si="6"/>
        <v>136</v>
      </c>
      <c r="E29" s="30">
        <v>18</v>
      </c>
      <c r="F29" s="3">
        <f t="shared" si="7"/>
        <v>2448</v>
      </c>
      <c r="G29" s="3">
        <f t="shared" si="8"/>
        <v>122.4</v>
      </c>
      <c r="H29" s="3">
        <f t="shared" si="9"/>
        <v>244.8</v>
      </c>
      <c r="I29" s="9">
        <v>0</v>
      </c>
      <c r="J29" s="3">
        <f t="shared" si="10"/>
        <v>0</v>
      </c>
      <c r="K29" s="6">
        <f t="shared" si="11"/>
        <v>308272.96800000005</v>
      </c>
    </row>
    <row r="30" spans="1:12" x14ac:dyDescent="0.25">
      <c r="A30" s="36" t="s">
        <v>11</v>
      </c>
      <c r="B30" s="30">
        <v>11</v>
      </c>
      <c r="C30" s="30">
        <v>4</v>
      </c>
      <c r="D30" s="34">
        <f t="shared" si="6"/>
        <v>44</v>
      </c>
      <c r="E30" s="30">
        <v>18</v>
      </c>
      <c r="F30" s="3">
        <f t="shared" si="7"/>
        <v>792</v>
      </c>
      <c r="G30" s="3">
        <f t="shared" si="8"/>
        <v>39.6</v>
      </c>
      <c r="H30" s="3">
        <f t="shared" si="9"/>
        <v>79.2</v>
      </c>
      <c r="I30" s="9">
        <v>0</v>
      </c>
      <c r="J30" s="3">
        <f t="shared" si="10"/>
        <v>0</v>
      </c>
      <c r="K30" s="6">
        <f t="shared" si="11"/>
        <v>99735.372000000003</v>
      </c>
    </row>
    <row r="31" spans="1:12" x14ac:dyDescent="0.25">
      <c r="A31" s="36" t="s">
        <v>101</v>
      </c>
      <c r="B31" s="30">
        <v>40</v>
      </c>
      <c r="C31" s="30">
        <v>1</v>
      </c>
      <c r="D31" s="34">
        <f t="shared" si="6"/>
        <v>40</v>
      </c>
      <c r="E31" s="30">
        <v>0.33</v>
      </c>
      <c r="F31" s="3">
        <f t="shared" si="7"/>
        <v>13.200000000000001</v>
      </c>
      <c r="G31" s="3">
        <f t="shared" si="8"/>
        <v>0.66000000000000014</v>
      </c>
      <c r="H31" s="3">
        <f t="shared" si="9"/>
        <v>1.3200000000000003</v>
      </c>
      <c r="I31" s="9">
        <v>0</v>
      </c>
      <c r="J31" s="3">
        <f t="shared" si="10"/>
        <v>0</v>
      </c>
      <c r="K31" s="6">
        <f t="shared" si="11"/>
        <v>1662.2562000000003</v>
      </c>
      <c r="L31" s="31"/>
    </row>
    <row r="32" spans="1:12" ht="15" customHeight="1" x14ac:dyDescent="0.25">
      <c r="A32" s="36" t="s">
        <v>46</v>
      </c>
      <c r="B32" s="30">
        <v>40</v>
      </c>
      <c r="C32" s="30">
        <v>1</v>
      </c>
      <c r="D32" s="34">
        <f t="shared" si="6"/>
        <v>40</v>
      </c>
      <c r="E32" s="30">
        <v>5</v>
      </c>
      <c r="F32" s="3">
        <f t="shared" si="7"/>
        <v>200</v>
      </c>
      <c r="G32" s="3">
        <f t="shared" si="8"/>
        <v>10</v>
      </c>
      <c r="H32" s="3">
        <f t="shared" si="9"/>
        <v>20</v>
      </c>
      <c r="I32" s="9">
        <v>0</v>
      </c>
      <c r="J32" s="3">
        <f t="shared" si="10"/>
        <v>0</v>
      </c>
      <c r="K32" s="6">
        <f t="shared" si="11"/>
        <v>25185.7</v>
      </c>
    </row>
    <row r="33" spans="1:20" x14ac:dyDescent="0.25">
      <c r="A33" s="36" t="s">
        <v>124</v>
      </c>
      <c r="B33" s="30">
        <v>17</v>
      </c>
      <c r="C33" s="30">
        <v>2</v>
      </c>
      <c r="D33" s="34">
        <f t="shared" si="6"/>
        <v>34</v>
      </c>
      <c r="E33" s="30">
        <v>5</v>
      </c>
      <c r="F33" s="3">
        <f t="shared" si="7"/>
        <v>170</v>
      </c>
      <c r="G33" s="3">
        <f t="shared" si="8"/>
        <v>8.5</v>
      </c>
      <c r="H33" s="3">
        <f t="shared" si="9"/>
        <v>17</v>
      </c>
      <c r="I33" s="9">
        <v>0</v>
      </c>
      <c r="J33" s="3">
        <f t="shared" si="10"/>
        <v>0</v>
      </c>
      <c r="K33" s="6">
        <f t="shared" si="11"/>
        <v>21407.845000000001</v>
      </c>
    </row>
    <row r="34" spans="1:20" x14ac:dyDescent="0.25">
      <c r="A34" s="36" t="s">
        <v>125</v>
      </c>
      <c r="B34" s="30">
        <v>11</v>
      </c>
      <c r="C34" s="30">
        <v>4</v>
      </c>
      <c r="D34" s="34">
        <f t="shared" si="6"/>
        <v>44</v>
      </c>
      <c r="E34" s="30">
        <v>5</v>
      </c>
      <c r="F34" s="3">
        <f t="shared" si="7"/>
        <v>220</v>
      </c>
      <c r="G34" s="3">
        <f t="shared" si="8"/>
        <v>11</v>
      </c>
      <c r="H34" s="3">
        <f t="shared" si="9"/>
        <v>22</v>
      </c>
      <c r="I34" s="9">
        <v>0</v>
      </c>
      <c r="J34" s="3">
        <f t="shared" si="10"/>
        <v>0</v>
      </c>
      <c r="K34" s="6">
        <f t="shared" si="11"/>
        <v>27704.27</v>
      </c>
    </row>
    <row r="35" spans="1:20" x14ac:dyDescent="0.25">
      <c r="A35" s="36" t="s">
        <v>105</v>
      </c>
      <c r="B35" s="30">
        <v>270</v>
      </c>
      <c r="C35" s="30">
        <v>1</v>
      </c>
      <c r="D35" s="34">
        <f t="shared" si="6"/>
        <v>270</v>
      </c>
      <c r="E35" s="30">
        <v>0.33</v>
      </c>
      <c r="F35" s="8">
        <f t="shared" si="7"/>
        <v>89.100000000000009</v>
      </c>
      <c r="G35" s="3">
        <f t="shared" si="8"/>
        <v>4.455000000000001</v>
      </c>
      <c r="H35" s="3">
        <f t="shared" si="9"/>
        <v>8.9100000000000019</v>
      </c>
      <c r="I35" s="9">
        <v>0</v>
      </c>
      <c r="J35" s="3">
        <f t="shared" si="10"/>
        <v>0</v>
      </c>
      <c r="K35" s="6">
        <f t="shared" si="11"/>
        <v>11220.229350000001</v>
      </c>
      <c r="L35" s="31"/>
    </row>
    <row r="36" spans="1:20" x14ac:dyDescent="0.25">
      <c r="A36" s="36" t="s">
        <v>106</v>
      </c>
      <c r="B36" s="30">
        <v>140</v>
      </c>
      <c r="C36" s="30">
        <v>1</v>
      </c>
      <c r="D36" s="34">
        <f t="shared" si="6"/>
        <v>140</v>
      </c>
      <c r="E36" s="30">
        <v>0.33</v>
      </c>
      <c r="F36" s="3">
        <f t="shared" si="7"/>
        <v>46.2</v>
      </c>
      <c r="G36" s="3">
        <f t="shared" si="8"/>
        <v>2.31</v>
      </c>
      <c r="H36" s="3">
        <f t="shared" si="9"/>
        <v>4.62</v>
      </c>
      <c r="I36" s="9">
        <v>0</v>
      </c>
      <c r="J36" s="3">
        <f t="shared" si="10"/>
        <v>0</v>
      </c>
      <c r="K36" s="6">
        <f t="shared" si="11"/>
        <v>5817.8967000000002</v>
      </c>
      <c r="L36" s="31"/>
    </row>
    <row r="37" spans="1:20" x14ac:dyDescent="0.25">
      <c r="A37" s="83" t="s">
        <v>35</v>
      </c>
      <c r="B37" s="9"/>
      <c r="C37" s="9"/>
      <c r="D37" s="9"/>
      <c r="E37" s="9"/>
      <c r="F37" s="77">
        <f>SUM(F3:H36)</f>
        <v>5790.8020000000006</v>
      </c>
      <c r="G37" s="77"/>
      <c r="H37" s="77"/>
      <c r="I37" s="9"/>
      <c r="J37" s="38">
        <f>SUM(J3:J36)</f>
        <v>20765.2</v>
      </c>
      <c r="K37" s="74">
        <f>SUM(K3:K36)</f>
        <v>2295326.4431800009</v>
      </c>
    </row>
    <row r="38" spans="1:20" x14ac:dyDescent="0.25">
      <c r="A38" s="84"/>
      <c r="B38" s="9"/>
      <c r="C38" s="9"/>
      <c r="D38" s="9"/>
      <c r="E38" s="9"/>
      <c r="F38" s="85">
        <f>F37+J37</f>
        <v>26556.002</v>
      </c>
      <c r="G38" s="86"/>
      <c r="H38" s="86"/>
      <c r="I38" s="86"/>
      <c r="J38" s="87"/>
      <c r="K38" s="74"/>
    </row>
    <row r="39" spans="1:20" x14ac:dyDescent="0.25">
      <c r="A39" s="2" t="s">
        <v>12</v>
      </c>
      <c r="B39" s="3"/>
      <c r="C39" s="3"/>
      <c r="D39" s="4"/>
      <c r="E39" s="3"/>
      <c r="F39" s="3"/>
      <c r="G39" s="4"/>
      <c r="H39" s="3"/>
      <c r="I39" s="5"/>
      <c r="J39" s="5"/>
      <c r="K39" s="7"/>
    </row>
    <row r="40" spans="1:20" x14ac:dyDescent="0.25">
      <c r="A40" s="10" t="s">
        <v>72</v>
      </c>
      <c r="B40" s="3" t="s">
        <v>13</v>
      </c>
      <c r="C40" s="3"/>
      <c r="D40" s="4"/>
      <c r="E40" s="3"/>
      <c r="F40" s="3"/>
      <c r="G40" s="4"/>
      <c r="H40" s="3"/>
      <c r="I40" s="5"/>
      <c r="J40" s="5"/>
      <c r="K40" s="7"/>
    </row>
    <row r="41" spans="1:20" x14ac:dyDescent="0.25">
      <c r="A41" s="2" t="s">
        <v>14</v>
      </c>
      <c r="B41" s="3" t="s">
        <v>15</v>
      </c>
      <c r="C41" s="3"/>
      <c r="D41" s="4"/>
      <c r="E41" s="3"/>
      <c r="F41" s="3"/>
      <c r="G41" s="4"/>
      <c r="H41" s="3"/>
      <c r="I41" s="5"/>
      <c r="J41" s="5"/>
      <c r="K41" s="7" t="s">
        <v>3</v>
      </c>
    </row>
    <row r="42" spans="1:20" x14ac:dyDescent="0.25">
      <c r="A42" s="2" t="s">
        <v>16</v>
      </c>
      <c r="B42" s="3" t="s">
        <v>15</v>
      </c>
      <c r="C42" s="3"/>
      <c r="D42" s="4"/>
      <c r="E42" s="3"/>
      <c r="F42" s="3"/>
      <c r="G42" s="4"/>
      <c r="H42" s="3"/>
      <c r="I42" s="5"/>
      <c r="J42" s="5"/>
      <c r="K42" s="7" t="s">
        <v>3</v>
      </c>
    </row>
    <row r="43" spans="1:20" x14ac:dyDescent="0.25">
      <c r="A43" s="10" t="s">
        <v>17</v>
      </c>
      <c r="B43" s="3" t="s">
        <v>15</v>
      </c>
      <c r="C43" s="3"/>
      <c r="D43" s="4"/>
      <c r="E43" s="3"/>
      <c r="F43" s="3"/>
      <c r="G43" s="4"/>
      <c r="H43" s="3"/>
      <c r="I43" s="5"/>
      <c r="J43" s="5"/>
      <c r="K43" s="7" t="s">
        <v>3</v>
      </c>
    </row>
    <row r="44" spans="1:20" x14ac:dyDescent="0.25">
      <c r="A44" s="10" t="s">
        <v>18</v>
      </c>
      <c r="B44" s="9"/>
      <c r="C44" s="9"/>
      <c r="D44" s="9"/>
      <c r="E44" s="9"/>
      <c r="F44" s="9"/>
      <c r="G44" s="9"/>
      <c r="H44" s="9"/>
      <c r="I44" s="9"/>
      <c r="J44" s="9"/>
      <c r="K44" s="7"/>
    </row>
    <row r="45" spans="1:20" x14ac:dyDescent="0.25">
      <c r="A45" s="10" t="s">
        <v>128</v>
      </c>
      <c r="B45" s="9">
        <v>1.5</v>
      </c>
      <c r="C45" s="9">
        <v>104</v>
      </c>
      <c r="D45" s="3">
        <f t="shared" ref="D45:D51" si="12">B45*C45</f>
        <v>156</v>
      </c>
      <c r="E45" s="9">
        <v>18</v>
      </c>
      <c r="F45" s="8">
        <f t="shared" ref="F45:F51" si="13">D45*E45</f>
        <v>2808</v>
      </c>
      <c r="G45" s="3">
        <f t="shared" ref="G45:G51" si="14">F45*0.05</f>
        <v>140.4</v>
      </c>
      <c r="H45" s="3">
        <f t="shared" ref="H45:H51" si="15">F45*0.1</f>
        <v>280.8</v>
      </c>
      <c r="I45" s="9">
        <v>0</v>
      </c>
      <c r="J45" s="3">
        <f t="shared" ref="J45:J51" si="16">I45*E45</f>
        <v>0</v>
      </c>
      <c r="K45" s="6">
        <f t="shared" ref="K45:K51" si="17">F45*F$1+G45*G$1+H45*H$1+J45*J$1</f>
        <v>353607.228</v>
      </c>
    </row>
    <row r="46" spans="1:20" x14ac:dyDescent="0.25">
      <c r="A46" s="10" t="s">
        <v>129</v>
      </c>
      <c r="B46" s="9">
        <v>1.5</v>
      </c>
      <c r="C46" s="9">
        <v>104</v>
      </c>
      <c r="D46" s="3">
        <f t="shared" si="12"/>
        <v>156</v>
      </c>
      <c r="E46" s="9">
        <v>18</v>
      </c>
      <c r="F46" s="8">
        <f t="shared" si="13"/>
        <v>2808</v>
      </c>
      <c r="G46" s="3">
        <f t="shared" si="14"/>
        <v>140.4</v>
      </c>
      <c r="H46" s="3">
        <f t="shared" si="15"/>
        <v>280.8</v>
      </c>
      <c r="I46" s="9">
        <v>0</v>
      </c>
      <c r="J46" s="3">
        <f t="shared" si="16"/>
        <v>0</v>
      </c>
      <c r="K46" s="6">
        <f t="shared" si="17"/>
        <v>353607.228</v>
      </c>
      <c r="N46" t="s">
        <v>53</v>
      </c>
    </row>
    <row r="47" spans="1:20" x14ac:dyDescent="0.25">
      <c r="A47" s="10" t="s">
        <v>130</v>
      </c>
      <c r="B47" s="9">
        <v>4</v>
      </c>
      <c r="C47" s="9">
        <v>2</v>
      </c>
      <c r="D47" s="3">
        <f t="shared" si="12"/>
        <v>8</v>
      </c>
      <c r="E47" s="9">
        <v>18</v>
      </c>
      <c r="F47" s="3">
        <f t="shared" si="13"/>
        <v>144</v>
      </c>
      <c r="G47" s="3">
        <f t="shared" si="14"/>
        <v>7.2</v>
      </c>
      <c r="H47" s="3">
        <f t="shared" si="15"/>
        <v>14.4</v>
      </c>
      <c r="I47" s="9">
        <v>0</v>
      </c>
      <c r="J47" s="3">
        <f t="shared" si="16"/>
        <v>0</v>
      </c>
      <c r="K47" s="6">
        <f t="shared" si="17"/>
        <v>18133.704000000002</v>
      </c>
      <c r="N47" s="28" t="s">
        <v>57</v>
      </c>
      <c r="O47" s="28" t="s">
        <v>58</v>
      </c>
      <c r="P47" s="28" t="s">
        <v>59</v>
      </c>
      <c r="Q47" s="28" t="s">
        <v>60</v>
      </c>
      <c r="R47" s="28" t="s">
        <v>61</v>
      </c>
      <c r="S47" s="28" t="s">
        <v>62</v>
      </c>
      <c r="T47" s="28" t="s">
        <v>63</v>
      </c>
    </row>
    <row r="48" spans="1:20" ht="25.5" x14ac:dyDescent="0.25">
      <c r="A48" s="10" t="s">
        <v>131</v>
      </c>
      <c r="B48" s="9">
        <v>1.5</v>
      </c>
      <c r="C48" s="9">
        <v>94</v>
      </c>
      <c r="D48" s="3">
        <f t="shared" si="12"/>
        <v>141</v>
      </c>
      <c r="E48" s="9">
        <v>5</v>
      </c>
      <c r="F48" s="3">
        <f t="shared" si="13"/>
        <v>705</v>
      </c>
      <c r="G48" s="3">
        <f t="shared" si="14"/>
        <v>35.25</v>
      </c>
      <c r="H48" s="3">
        <f t="shared" si="15"/>
        <v>70.5</v>
      </c>
      <c r="I48" s="9">
        <v>0</v>
      </c>
      <c r="J48" s="3">
        <f t="shared" si="16"/>
        <v>0</v>
      </c>
      <c r="K48" s="6">
        <f t="shared" si="17"/>
        <v>88779.592499999999</v>
      </c>
      <c r="N48" s="58" t="s">
        <v>54</v>
      </c>
      <c r="O48" s="59">
        <v>60000</v>
      </c>
      <c r="P48" s="60">
        <v>0</v>
      </c>
      <c r="Q48" s="59">
        <f>O48*P48</f>
        <v>0</v>
      </c>
      <c r="R48" s="59">
        <v>8972</v>
      </c>
      <c r="S48" s="60">
        <v>18</v>
      </c>
      <c r="T48" s="59">
        <f>R48*S48</f>
        <v>161496</v>
      </c>
    </row>
    <row r="49" spans="1:21" ht="25.5" x14ac:dyDescent="0.25">
      <c r="A49" s="10" t="s">
        <v>135</v>
      </c>
      <c r="B49" s="9">
        <v>1.5</v>
      </c>
      <c r="C49" s="9">
        <v>94</v>
      </c>
      <c r="D49" s="3">
        <f t="shared" si="12"/>
        <v>141</v>
      </c>
      <c r="E49" s="9">
        <v>5</v>
      </c>
      <c r="F49" s="3">
        <f t="shared" si="13"/>
        <v>705</v>
      </c>
      <c r="G49" s="3">
        <f t="shared" si="14"/>
        <v>35.25</v>
      </c>
      <c r="H49" s="3">
        <f t="shared" si="15"/>
        <v>70.5</v>
      </c>
      <c r="I49" s="9">
        <v>0</v>
      </c>
      <c r="J49" s="3">
        <f t="shared" si="16"/>
        <v>0</v>
      </c>
      <c r="K49" s="6">
        <f t="shared" si="17"/>
        <v>88779.592499999999</v>
      </c>
      <c r="N49" s="61" t="s">
        <v>55</v>
      </c>
      <c r="O49" s="59">
        <v>60000</v>
      </c>
      <c r="P49" s="60">
        <v>0.33</v>
      </c>
      <c r="Q49" s="59">
        <f>ROUND(O49*P49,-3)</f>
        <v>20000</v>
      </c>
      <c r="R49" s="59">
        <v>8972</v>
      </c>
      <c r="S49" s="60">
        <v>5</v>
      </c>
      <c r="T49" s="59">
        <f>R49*S49</f>
        <v>44860</v>
      </c>
    </row>
    <row r="50" spans="1:21" x14ac:dyDescent="0.25">
      <c r="A50" s="10" t="s">
        <v>136</v>
      </c>
      <c r="B50" s="9">
        <v>4</v>
      </c>
      <c r="C50" s="9">
        <v>2</v>
      </c>
      <c r="D50" s="3">
        <f t="shared" si="12"/>
        <v>8</v>
      </c>
      <c r="E50" s="9">
        <v>5</v>
      </c>
      <c r="F50" s="3">
        <f t="shared" si="13"/>
        <v>40</v>
      </c>
      <c r="G50" s="3">
        <f t="shared" si="14"/>
        <v>2</v>
      </c>
      <c r="H50" s="3">
        <f t="shared" si="15"/>
        <v>4</v>
      </c>
      <c r="I50" s="9">
        <v>0</v>
      </c>
      <c r="J50" s="3">
        <f t="shared" si="16"/>
        <v>0</v>
      </c>
      <c r="K50" s="6">
        <f t="shared" si="17"/>
        <v>5037.1399999999994</v>
      </c>
      <c r="N50" s="61" t="s">
        <v>56</v>
      </c>
      <c r="O50" s="62"/>
      <c r="P50" s="62"/>
      <c r="Q50" s="59">
        <f>SUM(Q48:Q49)</f>
        <v>20000</v>
      </c>
      <c r="R50" s="62"/>
      <c r="S50" s="62"/>
      <c r="T50" s="59">
        <f>ROUND(SUM(T48:T49),-3)</f>
        <v>206000</v>
      </c>
      <c r="U50" s="27">
        <f>SUM(O50:T50)</f>
        <v>226000</v>
      </c>
    </row>
    <row r="51" spans="1:21" x14ac:dyDescent="0.25">
      <c r="A51" s="10" t="s">
        <v>76</v>
      </c>
      <c r="B51" s="9">
        <v>0.1</v>
      </c>
      <c r="C51" s="9">
        <v>94</v>
      </c>
      <c r="D51" s="3">
        <f t="shared" si="12"/>
        <v>9.4</v>
      </c>
      <c r="E51" s="9">
        <v>5</v>
      </c>
      <c r="F51" s="3">
        <f t="shared" si="13"/>
        <v>47</v>
      </c>
      <c r="G51" s="3">
        <f t="shared" si="14"/>
        <v>2.35</v>
      </c>
      <c r="H51" s="3">
        <f t="shared" si="15"/>
        <v>4.7</v>
      </c>
      <c r="I51" s="9">
        <v>0</v>
      </c>
      <c r="J51" s="3">
        <f t="shared" si="16"/>
        <v>0</v>
      </c>
      <c r="K51" s="6">
        <f t="shared" si="17"/>
        <v>5918.6395000000002</v>
      </c>
    </row>
    <row r="52" spans="1:21" x14ac:dyDescent="0.25">
      <c r="A52" s="2" t="s">
        <v>19</v>
      </c>
      <c r="B52" s="9" t="s">
        <v>15</v>
      </c>
      <c r="C52" s="9"/>
      <c r="D52" s="9"/>
      <c r="E52" s="9"/>
      <c r="F52" s="9"/>
      <c r="G52" s="9"/>
      <c r="H52" s="9"/>
      <c r="I52" s="9"/>
      <c r="J52" s="9"/>
      <c r="K52" s="7"/>
    </row>
    <row r="53" spans="1:21" x14ac:dyDescent="0.25">
      <c r="A53" s="2" t="s">
        <v>20</v>
      </c>
      <c r="B53" s="9" t="s">
        <v>15</v>
      </c>
      <c r="C53" s="9"/>
      <c r="D53" s="9"/>
      <c r="E53" s="9"/>
      <c r="F53" s="9"/>
      <c r="G53" s="9"/>
      <c r="H53" s="9"/>
      <c r="I53" s="9"/>
      <c r="J53" s="9"/>
      <c r="K53" s="7"/>
    </row>
    <row r="54" spans="1:21" x14ac:dyDescent="0.25">
      <c r="A54" s="75" t="s">
        <v>36</v>
      </c>
      <c r="B54" s="3"/>
      <c r="C54" s="3"/>
      <c r="D54" s="4"/>
      <c r="E54" s="3"/>
      <c r="F54" s="78">
        <f>SUM(F39:H53)</f>
        <v>8345.5500000000011</v>
      </c>
      <c r="G54" s="78"/>
      <c r="H54" s="78"/>
      <c r="I54" s="5"/>
      <c r="J54" s="5">
        <f>SUM(J39:J53)</f>
        <v>0</v>
      </c>
      <c r="K54" s="43"/>
      <c r="N54" s="26"/>
    </row>
    <row r="55" spans="1:21" x14ac:dyDescent="0.25">
      <c r="A55" s="76"/>
      <c r="B55" s="3"/>
      <c r="C55" s="3"/>
      <c r="D55" s="4"/>
      <c r="E55" s="3"/>
      <c r="F55" s="80">
        <f>ROUND(F54+J54,-1)</f>
        <v>8350</v>
      </c>
      <c r="G55" s="81"/>
      <c r="H55" s="81"/>
      <c r="I55" s="81"/>
      <c r="J55" s="82"/>
      <c r="K55" s="44">
        <f>ROUND(SUM(K39:K53),-3)</f>
        <v>914000</v>
      </c>
      <c r="N55" s="26"/>
    </row>
    <row r="56" spans="1:21" x14ac:dyDescent="0.25">
      <c r="A56" s="12" t="s">
        <v>138</v>
      </c>
      <c r="B56" s="3"/>
      <c r="C56" s="3"/>
      <c r="D56" s="4"/>
      <c r="E56" s="3"/>
      <c r="F56" s="79">
        <f>ROUND(F54+F37+J37+J54,-2)</f>
        <v>34900</v>
      </c>
      <c r="G56" s="79"/>
      <c r="H56" s="79"/>
      <c r="I56" s="79"/>
      <c r="J56" s="79"/>
      <c r="K56" s="44">
        <f>ROUND(K55+K37,-4)</f>
        <v>3210000</v>
      </c>
      <c r="M56" s="13"/>
    </row>
    <row r="57" spans="1:21" x14ac:dyDescent="0.25">
      <c r="A57" s="12" t="s">
        <v>139</v>
      </c>
      <c r="B57" s="3"/>
      <c r="C57" s="3"/>
      <c r="D57" s="4"/>
      <c r="E57" s="3"/>
      <c r="F57" s="90"/>
      <c r="G57" s="91"/>
      <c r="H57" s="91"/>
      <c r="I57" s="91"/>
      <c r="J57" s="92"/>
      <c r="K57" s="44">
        <f>U50</f>
        <v>226000</v>
      </c>
      <c r="M57" s="13"/>
    </row>
    <row r="58" spans="1:21" x14ac:dyDescent="0.25">
      <c r="A58" s="12" t="s">
        <v>140</v>
      </c>
      <c r="B58" s="39"/>
      <c r="C58" s="39"/>
      <c r="D58" s="39"/>
      <c r="E58" s="39"/>
      <c r="F58" s="93"/>
      <c r="G58" s="94"/>
      <c r="H58" s="94"/>
      <c r="I58" s="94"/>
      <c r="J58" s="95"/>
      <c r="K58" s="44">
        <f>ROUND(SUM(K56:K57),-4)</f>
        <v>3440000</v>
      </c>
    </row>
    <row r="59" spans="1:21" x14ac:dyDescent="0.25">
      <c r="G59" s="73" t="s">
        <v>64</v>
      </c>
      <c r="H59" s="29">
        <f>F56/H60</f>
        <v>166.98564593301435</v>
      </c>
    </row>
    <row r="60" spans="1:21" x14ac:dyDescent="0.25">
      <c r="G60" s="73" t="s">
        <v>94</v>
      </c>
      <c r="H60" s="1">
        <v>209</v>
      </c>
    </row>
    <row r="62" spans="1:21" ht="32.25" customHeight="1" x14ac:dyDescent="0.25">
      <c r="A62" s="88" t="s">
        <v>107</v>
      </c>
      <c r="B62" s="88"/>
      <c r="C62" s="88"/>
      <c r="D62" s="88"/>
      <c r="E62" s="88"/>
      <c r="F62" s="88"/>
      <c r="G62" s="88"/>
      <c r="H62" s="88"/>
      <c r="I62" s="88"/>
      <c r="J62" s="88"/>
      <c r="K62" s="88"/>
    </row>
    <row r="63" spans="1:21" ht="38.25" customHeight="1" x14ac:dyDescent="0.25">
      <c r="A63" s="88" t="s">
        <v>111</v>
      </c>
      <c r="B63" s="88"/>
      <c r="C63" s="88"/>
      <c r="D63" s="88"/>
      <c r="E63" s="88"/>
      <c r="F63" s="88"/>
      <c r="G63" s="88"/>
      <c r="H63" s="88"/>
      <c r="I63" s="88"/>
      <c r="J63" s="88"/>
      <c r="K63" s="88"/>
    </row>
    <row r="64" spans="1:21" x14ac:dyDescent="0.25">
      <c r="A64" s="88" t="s">
        <v>108</v>
      </c>
      <c r="B64" s="88"/>
      <c r="C64" s="88"/>
      <c r="D64" s="88"/>
      <c r="E64" s="88"/>
      <c r="F64" s="88"/>
      <c r="G64" s="88"/>
      <c r="H64" s="88"/>
      <c r="I64" s="88"/>
      <c r="J64" s="88"/>
      <c r="K64" s="88"/>
    </row>
    <row r="65" spans="1:11" ht="15.75" x14ac:dyDescent="0.25">
      <c r="A65" s="89" t="s">
        <v>109</v>
      </c>
      <c r="B65" s="89"/>
      <c r="C65" s="89"/>
      <c r="D65" s="89"/>
      <c r="E65" s="89"/>
      <c r="F65" s="89"/>
      <c r="G65" s="89"/>
      <c r="H65" s="89"/>
      <c r="I65" s="89"/>
      <c r="J65" s="89"/>
      <c r="K65" s="89"/>
    </row>
    <row r="66" spans="1:11" x14ac:dyDescent="0.25">
      <c r="A66" s="70" t="s">
        <v>112</v>
      </c>
      <c r="B66"/>
      <c r="C66"/>
      <c r="D66"/>
      <c r="E66"/>
      <c r="F66"/>
      <c r="G66"/>
      <c r="H66"/>
      <c r="I66"/>
      <c r="J66"/>
      <c r="K66"/>
    </row>
    <row r="67" spans="1:11" ht="15.75" x14ac:dyDescent="0.25">
      <c r="A67" s="64" t="s">
        <v>113</v>
      </c>
      <c r="B67" s="67"/>
      <c r="C67" s="67"/>
      <c r="D67" s="67"/>
      <c r="E67" s="67"/>
      <c r="F67" s="72"/>
      <c r="G67" s="72"/>
      <c r="H67" s="72"/>
      <c r="I67" s="72"/>
      <c r="J67" s="72"/>
      <c r="K67" s="72"/>
    </row>
    <row r="68" spans="1:11" ht="15" customHeight="1" x14ac:dyDescent="0.25">
      <c r="A68" s="88" t="s">
        <v>115</v>
      </c>
      <c r="B68" s="88"/>
      <c r="C68" s="88"/>
      <c r="D68" s="88"/>
      <c r="E68" s="88"/>
      <c r="F68" s="88"/>
      <c r="G68" s="88"/>
      <c r="H68" s="88"/>
      <c r="I68" s="88"/>
      <c r="J68" s="88"/>
      <c r="K68" s="88"/>
    </row>
    <row r="69" spans="1:11" ht="15" customHeight="1" x14ac:dyDescent="0.25">
      <c r="A69" s="96" t="s">
        <v>122</v>
      </c>
      <c r="B69" s="96"/>
      <c r="C69" s="96"/>
      <c r="D69" s="96"/>
      <c r="E69" s="96"/>
      <c r="F69" s="96"/>
      <c r="G69" s="96"/>
      <c r="H69" s="96"/>
      <c r="I69" s="96"/>
      <c r="J69" s="96"/>
      <c r="K69" s="96"/>
    </row>
    <row r="70" spans="1:11" x14ac:dyDescent="0.25">
      <c r="A70" s="70" t="s">
        <v>75</v>
      </c>
      <c r="B70"/>
      <c r="C70"/>
      <c r="D70"/>
      <c r="E70"/>
      <c r="F70"/>
      <c r="G70"/>
      <c r="H70"/>
      <c r="I70"/>
      <c r="J70"/>
      <c r="K70"/>
    </row>
    <row r="71" spans="1:11" ht="30" customHeight="1" x14ac:dyDescent="0.25">
      <c r="A71" s="88" t="s">
        <v>123</v>
      </c>
      <c r="B71" s="88"/>
      <c r="C71" s="88"/>
      <c r="D71" s="88"/>
      <c r="E71" s="88"/>
      <c r="F71" s="88"/>
      <c r="G71" s="88"/>
      <c r="H71" s="88"/>
      <c r="I71" s="88"/>
      <c r="J71" s="88"/>
      <c r="K71" s="88"/>
    </row>
    <row r="72" spans="1:11" ht="18" customHeight="1" x14ac:dyDescent="0.25">
      <c r="A72" s="70" t="s">
        <v>126</v>
      </c>
      <c r="B72" s="65"/>
      <c r="C72" s="65"/>
      <c r="D72" s="65"/>
      <c r="E72" s="65"/>
      <c r="F72" s="65"/>
      <c r="G72" s="65"/>
      <c r="H72" s="65"/>
      <c r="I72" s="65"/>
      <c r="J72" s="65"/>
      <c r="K72" s="65"/>
    </row>
    <row r="73" spans="1:11" ht="17.25" customHeight="1" x14ac:dyDescent="0.25">
      <c r="A73" s="70" t="s">
        <v>127</v>
      </c>
      <c r="B73" s="65"/>
      <c r="C73" s="65"/>
      <c r="D73" s="65"/>
      <c r="E73" s="65"/>
      <c r="F73" s="65"/>
      <c r="G73" s="65"/>
      <c r="H73" s="65"/>
      <c r="I73" s="65"/>
      <c r="J73" s="65"/>
      <c r="K73" s="65"/>
    </row>
    <row r="74" spans="1:11" x14ac:dyDescent="0.25">
      <c r="A74" s="88" t="s">
        <v>132</v>
      </c>
      <c r="B74" s="88"/>
      <c r="C74" s="88"/>
      <c r="D74" s="88"/>
      <c r="E74" s="88"/>
      <c r="F74" s="88"/>
      <c r="G74" s="88"/>
      <c r="H74" s="88"/>
      <c r="I74" s="88"/>
      <c r="J74" s="88"/>
      <c r="K74" s="88"/>
    </row>
    <row r="75" spans="1:11" ht="15.75" x14ac:dyDescent="0.25">
      <c r="A75" s="64" t="s">
        <v>133</v>
      </c>
      <c r="B75" s="65"/>
      <c r="C75" s="65"/>
      <c r="D75" s="65"/>
      <c r="E75" s="65"/>
      <c r="F75" s="65"/>
      <c r="G75" s="65"/>
      <c r="H75" s="65"/>
      <c r="I75" s="65"/>
      <c r="J75" s="65"/>
      <c r="K75" s="65"/>
    </row>
    <row r="76" spans="1:11" ht="15.75" x14ac:dyDescent="0.25">
      <c r="A76" s="69" t="s">
        <v>134</v>
      </c>
      <c r="B76" s="65"/>
      <c r="C76" s="65"/>
      <c r="D76" s="65"/>
      <c r="E76" s="65"/>
      <c r="F76" s="65"/>
      <c r="G76" s="65"/>
      <c r="H76" s="65"/>
      <c r="I76" s="65"/>
      <c r="J76" s="65"/>
      <c r="K76" s="65"/>
    </row>
    <row r="77" spans="1:11" ht="15.75" x14ac:dyDescent="0.25">
      <c r="A77" s="97" t="s">
        <v>137</v>
      </c>
      <c r="B77" s="97"/>
      <c r="C77" s="97"/>
      <c r="D77" s="97"/>
      <c r="E77" s="97"/>
      <c r="F77" s="97"/>
      <c r="G77" s="66"/>
      <c r="H77" s="66"/>
      <c r="I77" s="66"/>
      <c r="J77" s="66"/>
      <c r="K77" s="66"/>
    </row>
  </sheetData>
  <mergeCells count="19">
    <mergeCell ref="A68:K68"/>
    <mergeCell ref="A69:K69"/>
    <mergeCell ref="A77:F77"/>
    <mergeCell ref="A71:K71"/>
    <mergeCell ref="A74:K74"/>
    <mergeCell ref="A62:K62"/>
    <mergeCell ref="A63:K63"/>
    <mergeCell ref="A64:K64"/>
    <mergeCell ref="A65:K65"/>
    <mergeCell ref="F57:J57"/>
    <mergeCell ref="F58:J58"/>
    <mergeCell ref="K37:K38"/>
    <mergeCell ref="A54:A55"/>
    <mergeCell ref="F37:H37"/>
    <mergeCell ref="F54:H54"/>
    <mergeCell ref="F56:J56"/>
    <mergeCell ref="F55:J55"/>
    <mergeCell ref="A37:A38"/>
    <mergeCell ref="F38:J3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zoomScale="110" zoomScaleNormal="110" workbookViewId="0"/>
  </sheetViews>
  <sheetFormatPr defaultRowHeight="15" x14ac:dyDescent="0.25"/>
  <cols>
    <col min="1" max="1" width="37.42578125" bestFit="1" customWidth="1"/>
    <col min="2" max="2" width="10.140625" customWidth="1"/>
    <col min="9" max="9" width="11.85546875" customWidth="1"/>
  </cols>
  <sheetData>
    <row r="1" spans="1:9" x14ac:dyDescent="0.25">
      <c r="F1" s="18">
        <v>48.08</v>
      </c>
      <c r="G1" s="18">
        <v>64.8</v>
      </c>
      <c r="H1" s="18">
        <v>26.02</v>
      </c>
    </row>
    <row r="2" spans="1:9" ht="76.5" x14ac:dyDescent="0.25">
      <c r="A2" s="21" t="s">
        <v>21</v>
      </c>
      <c r="B2" s="21" t="s">
        <v>47</v>
      </c>
      <c r="C2" s="21" t="s">
        <v>48</v>
      </c>
      <c r="D2" s="21" t="s">
        <v>49</v>
      </c>
      <c r="E2" s="21" t="s">
        <v>97</v>
      </c>
      <c r="F2" s="21" t="s">
        <v>50</v>
      </c>
      <c r="G2" s="21" t="s">
        <v>51</v>
      </c>
      <c r="H2" s="21" t="s">
        <v>52</v>
      </c>
      <c r="I2" s="21" t="s">
        <v>98</v>
      </c>
    </row>
    <row r="3" spans="1:9" s="20" customFormat="1" x14ac:dyDescent="0.25">
      <c r="A3" s="14" t="s">
        <v>22</v>
      </c>
      <c r="B3" s="22">
        <v>180</v>
      </c>
      <c r="C3" s="22">
        <v>1</v>
      </c>
      <c r="D3" s="22">
        <f t="shared" ref="D3:D8" si="0">B3*C3</f>
        <v>180</v>
      </c>
      <c r="E3" s="22">
        <v>0</v>
      </c>
      <c r="F3" s="22">
        <f>D3*E3</f>
        <v>0</v>
      </c>
      <c r="G3" s="22">
        <f>F3*0.05</f>
        <v>0</v>
      </c>
      <c r="H3" s="22">
        <f>F3*0.1</f>
        <v>0</v>
      </c>
      <c r="I3" s="23">
        <f>F3*F$1+G3*G$1+H3*H$1</f>
        <v>0</v>
      </c>
    </row>
    <row r="4" spans="1:9" s="20" customFormat="1" x14ac:dyDescent="0.25">
      <c r="A4" s="32" t="s">
        <v>142</v>
      </c>
      <c r="B4" s="33">
        <v>180</v>
      </c>
      <c r="C4" s="33">
        <v>1</v>
      </c>
      <c r="D4" s="33">
        <f t="shared" si="0"/>
        <v>180</v>
      </c>
      <c r="E4" s="33">
        <f>Industry!E8</f>
        <v>0.33</v>
      </c>
      <c r="F4" s="22">
        <f>D4*E4</f>
        <v>59.400000000000006</v>
      </c>
      <c r="G4" s="22">
        <f>F4*0.05</f>
        <v>2.9700000000000006</v>
      </c>
      <c r="H4" s="22">
        <f>F4*0.1</f>
        <v>5.9400000000000013</v>
      </c>
      <c r="I4" s="45">
        <f>F4*F$1+G4*G$1+H4*H$1</f>
        <v>3202.9668000000001</v>
      </c>
    </row>
    <row r="5" spans="1:9" s="20" customFormat="1" x14ac:dyDescent="0.25">
      <c r="A5" s="32" t="s">
        <v>23</v>
      </c>
      <c r="B5" s="33">
        <v>24</v>
      </c>
      <c r="C5" s="33">
        <v>1</v>
      </c>
      <c r="D5" s="33">
        <f t="shared" si="0"/>
        <v>24</v>
      </c>
      <c r="E5" s="33">
        <v>0</v>
      </c>
      <c r="F5" s="22">
        <f>D5*E5</f>
        <v>0</v>
      </c>
      <c r="G5" s="22">
        <f>F5*0.05</f>
        <v>0</v>
      </c>
      <c r="H5" s="22">
        <f>F5*0.1</f>
        <v>0</v>
      </c>
      <c r="I5" s="23">
        <f t="shared" ref="I5:I8" si="1">F5*F$1+G5*G$1+H5*H$1</f>
        <v>0</v>
      </c>
    </row>
    <row r="6" spans="1:9" s="20" customFormat="1" x14ac:dyDescent="0.25">
      <c r="A6" s="32" t="s">
        <v>143</v>
      </c>
      <c r="B6" s="33">
        <v>24</v>
      </c>
      <c r="C6" s="33">
        <v>1</v>
      </c>
      <c r="D6" s="33">
        <f t="shared" si="0"/>
        <v>24</v>
      </c>
      <c r="E6" s="33">
        <f>E4</f>
        <v>0.33</v>
      </c>
      <c r="F6" s="22">
        <f>D6*E6</f>
        <v>7.92</v>
      </c>
      <c r="G6" s="22">
        <f>F6*0.05</f>
        <v>0.39600000000000002</v>
      </c>
      <c r="H6" s="22">
        <f>F6*0.1</f>
        <v>0.79200000000000004</v>
      </c>
      <c r="I6" s="45">
        <f t="shared" ref="I6" si="2">F6*F$1+G6*G$1+H6*H$1</f>
        <v>427.06223999999997</v>
      </c>
    </row>
    <row r="7" spans="1:9" s="20" customFormat="1" x14ac:dyDescent="0.25">
      <c r="A7" s="14" t="s">
        <v>24</v>
      </c>
      <c r="B7" s="22">
        <v>12</v>
      </c>
      <c r="C7" s="22">
        <v>1</v>
      </c>
      <c r="D7" s="22">
        <f t="shared" si="0"/>
        <v>12</v>
      </c>
      <c r="E7" s="22">
        <v>0</v>
      </c>
      <c r="F7" s="22">
        <f t="shared" ref="F7:F8" si="3">D7*E7</f>
        <v>0</v>
      </c>
      <c r="G7" s="22">
        <f t="shared" ref="G7:G8" si="4">F7*0.05</f>
        <v>0</v>
      </c>
      <c r="H7" s="22">
        <f t="shared" ref="H7:H8" si="5">F7*0.1</f>
        <v>0</v>
      </c>
      <c r="I7" s="23">
        <f t="shared" si="1"/>
        <v>0</v>
      </c>
    </row>
    <row r="8" spans="1:9" s="20" customFormat="1" x14ac:dyDescent="0.25">
      <c r="A8" s="14" t="s">
        <v>145</v>
      </c>
      <c r="B8" s="22">
        <v>12</v>
      </c>
      <c r="C8" s="22">
        <v>1</v>
      </c>
      <c r="D8" s="22">
        <f t="shared" si="0"/>
        <v>12</v>
      </c>
      <c r="E8" s="22">
        <f>Industry!E11</f>
        <v>7.0000000000000007E-2</v>
      </c>
      <c r="F8" s="22">
        <f t="shared" si="3"/>
        <v>0.84000000000000008</v>
      </c>
      <c r="G8" s="41">
        <f t="shared" si="4"/>
        <v>4.200000000000001E-2</v>
      </c>
      <c r="H8" s="41">
        <f t="shared" si="5"/>
        <v>8.4000000000000019E-2</v>
      </c>
      <c r="I8" s="25">
        <f t="shared" si="1"/>
        <v>45.29448</v>
      </c>
    </row>
    <row r="9" spans="1:9" x14ac:dyDescent="0.25">
      <c r="A9" s="14" t="s">
        <v>25</v>
      </c>
      <c r="B9" s="22"/>
      <c r="C9" s="22"/>
      <c r="D9" s="22"/>
      <c r="E9" s="22"/>
      <c r="F9" s="22"/>
      <c r="G9" s="24"/>
      <c r="H9" s="24"/>
      <c r="I9" s="14"/>
    </row>
    <row r="10" spans="1:9" x14ac:dyDescent="0.25">
      <c r="A10" s="14" t="s">
        <v>26</v>
      </c>
      <c r="B10" s="22">
        <v>2</v>
      </c>
      <c r="C10" s="22">
        <v>1</v>
      </c>
      <c r="D10" s="22">
        <f>B10*C10</f>
        <v>2</v>
      </c>
      <c r="E10" s="22">
        <v>0</v>
      </c>
      <c r="F10" s="22">
        <f t="shared" ref="F10:F14" si="6">D10*E10</f>
        <v>0</v>
      </c>
      <c r="G10" s="22">
        <f t="shared" ref="G10:G14" si="7">F10*0.05</f>
        <v>0</v>
      </c>
      <c r="H10" s="22">
        <f t="shared" ref="H10:H14" si="8">F10*0.1</f>
        <v>0</v>
      </c>
      <c r="I10" s="23">
        <f t="shared" ref="I10:I14" si="9">F10*F$1+G10*G$1+H10*H$1</f>
        <v>0</v>
      </c>
    </row>
    <row r="11" spans="1:9" x14ac:dyDescent="0.25">
      <c r="A11" s="14" t="s">
        <v>27</v>
      </c>
      <c r="B11" s="22">
        <v>2</v>
      </c>
      <c r="C11" s="22">
        <v>1</v>
      </c>
      <c r="D11" s="22">
        <f>B11*C11</f>
        <v>2</v>
      </c>
      <c r="E11" s="22">
        <v>0</v>
      </c>
      <c r="F11" s="22">
        <f t="shared" si="6"/>
        <v>0</v>
      </c>
      <c r="G11" s="22">
        <f t="shared" si="7"/>
        <v>0</v>
      </c>
      <c r="H11" s="22">
        <f t="shared" si="8"/>
        <v>0</v>
      </c>
      <c r="I11" s="23">
        <f t="shared" si="9"/>
        <v>0</v>
      </c>
    </row>
    <row r="12" spans="1:9" x14ac:dyDescent="0.25">
      <c r="A12" s="14" t="s">
        <v>28</v>
      </c>
      <c r="B12" s="22">
        <v>2</v>
      </c>
      <c r="C12" s="22">
        <v>1</v>
      </c>
      <c r="D12" s="22">
        <f>B12*C12</f>
        <v>2</v>
      </c>
      <c r="E12" s="22">
        <v>0</v>
      </c>
      <c r="F12" s="22">
        <f t="shared" si="6"/>
        <v>0</v>
      </c>
      <c r="G12" s="22">
        <f t="shared" si="7"/>
        <v>0</v>
      </c>
      <c r="H12" s="22">
        <f t="shared" si="8"/>
        <v>0</v>
      </c>
      <c r="I12" s="23">
        <f t="shared" si="9"/>
        <v>0</v>
      </c>
    </row>
    <row r="13" spans="1:9" x14ac:dyDescent="0.25">
      <c r="A13" s="14" t="s">
        <v>29</v>
      </c>
      <c r="B13" s="22">
        <v>12</v>
      </c>
      <c r="C13" s="22">
        <v>1</v>
      </c>
      <c r="D13" s="22">
        <f>B13*C13</f>
        <v>12</v>
      </c>
      <c r="E13" s="22">
        <v>0</v>
      </c>
      <c r="F13" s="22">
        <f t="shared" si="6"/>
        <v>0</v>
      </c>
      <c r="G13" s="22">
        <f t="shared" si="7"/>
        <v>0</v>
      </c>
      <c r="H13" s="22">
        <f t="shared" si="8"/>
        <v>0</v>
      </c>
      <c r="I13" s="23">
        <f t="shared" si="9"/>
        <v>0</v>
      </c>
    </row>
    <row r="14" spans="1:9" x14ac:dyDescent="0.25">
      <c r="A14" s="14" t="s">
        <v>30</v>
      </c>
      <c r="B14" s="22">
        <v>96</v>
      </c>
      <c r="C14" s="22">
        <v>1</v>
      </c>
      <c r="D14" s="22">
        <f>B14*C14</f>
        <v>96</v>
      </c>
      <c r="E14" s="22">
        <v>0</v>
      </c>
      <c r="F14" s="22">
        <f t="shared" si="6"/>
        <v>0</v>
      </c>
      <c r="G14" s="22">
        <f t="shared" si="7"/>
        <v>0</v>
      </c>
      <c r="H14" s="22">
        <f t="shared" si="8"/>
        <v>0</v>
      </c>
      <c r="I14" s="23">
        <f t="shared" si="9"/>
        <v>0</v>
      </c>
    </row>
    <row r="15" spans="1:9" x14ac:dyDescent="0.25">
      <c r="A15" s="14" t="s">
        <v>32</v>
      </c>
      <c r="B15" s="22"/>
      <c r="C15" s="22"/>
      <c r="D15" s="22"/>
      <c r="E15" s="22"/>
      <c r="F15" s="22"/>
      <c r="G15" s="24"/>
      <c r="H15" s="24"/>
      <c r="I15" s="25"/>
    </row>
    <row r="16" spans="1:9" ht="16.5" x14ac:dyDescent="0.25">
      <c r="A16" s="14" t="s">
        <v>33</v>
      </c>
      <c r="B16" s="22">
        <v>8</v>
      </c>
      <c r="C16" s="22">
        <v>1</v>
      </c>
      <c r="D16" s="22">
        <f>B16*C16</f>
        <v>8</v>
      </c>
      <c r="E16" s="22">
        <f>Industry!E27</f>
        <v>14.4</v>
      </c>
      <c r="F16" s="22">
        <f>D16*E16</f>
        <v>115.2</v>
      </c>
      <c r="G16" s="22">
        <f>F16*0.05</f>
        <v>5.7600000000000007</v>
      </c>
      <c r="H16" s="22">
        <f>F16*0.1</f>
        <v>11.520000000000001</v>
      </c>
      <c r="I16" s="25">
        <f>F16*F$1+G16*G$1+H16*H$1</f>
        <v>6211.8144000000002</v>
      </c>
    </row>
    <row r="17" spans="1:9" ht="16.5" x14ac:dyDescent="0.25">
      <c r="A17" s="14" t="s">
        <v>34</v>
      </c>
      <c r="B17" s="22">
        <v>2</v>
      </c>
      <c r="C17" s="22">
        <v>1</v>
      </c>
      <c r="D17" s="22">
        <f>B17*C17</f>
        <v>2</v>
      </c>
      <c r="E17" s="22">
        <f>Industry!E28</f>
        <v>3.6</v>
      </c>
      <c r="F17" s="22">
        <f>D17*E17</f>
        <v>7.2</v>
      </c>
      <c r="G17" s="22">
        <f>F17*0.05</f>
        <v>0.36000000000000004</v>
      </c>
      <c r="H17" s="22">
        <f>F17*0.1</f>
        <v>0.72000000000000008</v>
      </c>
      <c r="I17" s="40">
        <f>F17*F$1+G17*G$1+H17*H$1</f>
        <v>388.23840000000001</v>
      </c>
    </row>
    <row r="18" spans="1:9" ht="16.5" x14ac:dyDescent="0.25">
      <c r="A18" s="14" t="s">
        <v>149</v>
      </c>
      <c r="B18" s="22">
        <v>0.5</v>
      </c>
      <c r="C18" s="22">
        <v>4</v>
      </c>
      <c r="D18" s="22">
        <f>B18*C18</f>
        <v>2</v>
      </c>
      <c r="E18" s="22">
        <v>18</v>
      </c>
      <c r="F18" s="22">
        <f>D18*E18</f>
        <v>36</v>
      </c>
      <c r="G18" s="22">
        <f>F18*0.05</f>
        <v>1.8</v>
      </c>
      <c r="H18" s="22">
        <f>F18*0.1</f>
        <v>3.6</v>
      </c>
      <c r="I18" s="40">
        <f>F18*F$1+G18*G$1+H18*H$1</f>
        <v>1941.192</v>
      </c>
    </row>
    <row r="19" spans="1:9" x14ac:dyDescent="0.25">
      <c r="A19" s="14" t="s">
        <v>151</v>
      </c>
      <c r="B19" s="22">
        <v>8</v>
      </c>
      <c r="C19" s="22">
        <v>4</v>
      </c>
      <c r="D19" s="22">
        <f>B19*C19</f>
        <v>32</v>
      </c>
      <c r="E19" s="22">
        <v>18</v>
      </c>
      <c r="F19" s="22">
        <f>D19*E19</f>
        <v>576</v>
      </c>
      <c r="G19" s="22">
        <f>F19*0.05</f>
        <v>28.8</v>
      </c>
      <c r="H19" s="22">
        <f>F19*0.1</f>
        <v>57.6</v>
      </c>
      <c r="I19" s="40">
        <f>F19*F$1+G19*G$1+H19*H$1</f>
        <v>31059.072</v>
      </c>
    </row>
    <row r="20" spans="1:9" x14ac:dyDescent="0.25">
      <c r="A20" s="14" t="s">
        <v>146</v>
      </c>
      <c r="B20" s="22">
        <v>18</v>
      </c>
      <c r="C20" s="22">
        <v>1</v>
      </c>
      <c r="D20" s="22">
        <f>B20*C20</f>
        <v>18</v>
      </c>
      <c r="E20" s="22">
        <v>18</v>
      </c>
      <c r="F20" s="22">
        <f>D20*E20</f>
        <v>324</v>
      </c>
      <c r="G20" s="22">
        <f>F20*0.05</f>
        <v>16.2</v>
      </c>
      <c r="H20" s="22">
        <f>F20*0.1</f>
        <v>32.4</v>
      </c>
      <c r="I20" s="40">
        <f>F20*F$1+G20*G$1+H20*H$1</f>
        <v>17470.727999999999</v>
      </c>
    </row>
    <row r="21" spans="1:9" x14ac:dyDescent="0.25">
      <c r="A21" s="14" t="s">
        <v>31</v>
      </c>
      <c r="B21" s="22"/>
      <c r="C21" s="22"/>
      <c r="D21" s="22"/>
      <c r="E21" s="22"/>
      <c r="F21" s="22"/>
      <c r="G21" s="24"/>
      <c r="H21" s="24"/>
      <c r="I21" s="32"/>
    </row>
    <row r="22" spans="1:9" x14ac:dyDescent="0.25">
      <c r="A22" s="14" t="s">
        <v>158</v>
      </c>
      <c r="B22" s="22">
        <v>2</v>
      </c>
      <c r="C22" s="22">
        <v>1</v>
      </c>
      <c r="D22" s="22">
        <f>B22*C22</f>
        <v>2</v>
      </c>
      <c r="E22" s="22">
        <v>0.33</v>
      </c>
      <c r="F22" s="22">
        <f t="shared" ref="F22:F25" si="10">D22*E22</f>
        <v>0.66</v>
      </c>
      <c r="G22" s="41">
        <f t="shared" ref="G22:G25" si="11">F22*0.05</f>
        <v>3.3000000000000002E-2</v>
      </c>
      <c r="H22" s="41">
        <f t="shared" ref="H22:H25" si="12">F22*0.1</f>
        <v>6.6000000000000003E-2</v>
      </c>
      <c r="I22" s="40">
        <f t="shared" ref="I22:I25" si="13">F22*F$1+G22*G$1+H22*H$1</f>
        <v>35.588520000000003</v>
      </c>
    </row>
    <row r="23" spans="1:9" x14ac:dyDescent="0.25">
      <c r="A23" s="14" t="s">
        <v>159</v>
      </c>
      <c r="B23" s="22">
        <v>8</v>
      </c>
      <c r="C23" s="22">
        <v>1</v>
      </c>
      <c r="D23" s="22">
        <f>B23*C23</f>
        <v>8</v>
      </c>
      <c r="E23" s="22">
        <v>0.33</v>
      </c>
      <c r="F23" s="22">
        <f t="shared" si="10"/>
        <v>2.64</v>
      </c>
      <c r="G23" s="41">
        <f t="shared" si="11"/>
        <v>0.13200000000000001</v>
      </c>
      <c r="H23" s="41">
        <f t="shared" si="12"/>
        <v>0.26400000000000001</v>
      </c>
      <c r="I23" s="40">
        <f t="shared" si="13"/>
        <v>142.35408000000001</v>
      </c>
    </row>
    <row r="24" spans="1:9" x14ac:dyDescent="0.25">
      <c r="A24" s="32" t="s">
        <v>160</v>
      </c>
      <c r="B24" s="22">
        <v>5</v>
      </c>
      <c r="C24" s="22">
        <v>1</v>
      </c>
      <c r="D24" s="22">
        <f>B24*C24</f>
        <v>5</v>
      </c>
      <c r="E24" s="22">
        <v>0.33</v>
      </c>
      <c r="F24" s="22">
        <f t="shared" si="10"/>
        <v>1.6500000000000001</v>
      </c>
      <c r="G24" s="41">
        <f t="shared" si="11"/>
        <v>8.2500000000000018E-2</v>
      </c>
      <c r="H24" s="41">
        <f t="shared" si="12"/>
        <v>0.16500000000000004</v>
      </c>
      <c r="I24" s="40">
        <f>F24*F$1+G24*G$1+H24*H$1</f>
        <v>88.971300000000014</v>
      </c>
    </row>
    <row r="25" spans="1:9" x14ac:dyDescent="0.25">
      <c r="A25" s="14" t="s">
        <v>161</v>
      </c>
      <c r="B25" s="22">
        <v>40</v>
      </c>
      <c r="C25" s="22">
        <v>1</v>
      </c>
      <c r="D25" s="22">
        <f>B25*C25</f>
        <v>40</v>
      </c>
      <c r="E25" s="22">
        <v>0.33</v>
      </c>
      <c r="F25" s="22">
        <f t="shared" si="10"/>
        <v>13.200000000000001</v>
      </c>
      <c r="G25" s="22">
        <f t="shared" si="11"/>
        <v>0.66000000000000014</v>
      </c>
      <c r="H25" s="22">
        <f t="shared" si="12"/>
        <v>1.3200000000000003</v>
      </c>
      <c r="I25" s="40">
        <f t="shared" si="13"/>
        <v>711.77040000000011</v>
      </c>
    </row>
    <row r="26" spans="1:9" ht="16.5" x14ac:dyDescent="0.25">
      <c r="A26" s="14" t="s">
        <v>153</v>
      </c>
      <c r="B26" s="22">
        <v>12</v>
      </c>
      <c r="C26" s="22">
        <v>2</v>
      </c>
      <c r="D26" s="22">
        <f t="shared" ref="D26:D29" si="14">B26*C26</f>
        <v>24</v>
      </c>
      <c r="E26" s="22">
        <v>5</v>
      </c>
      <c r="F26" s="22">
        <f t="shared" ref="F26:F29" si="15">D26*E26</f>
        <v>120</v>
      </c>
      <c r="G26" s="22">
        <f t="shared" ref="G26:G29" si="16">F26*0.05</f>
        <v>6</v>
      </c>
      <c r="H26" s="22">
        <f t="shared" ref="H26:H29" si="17">F26*0.1</f>
        <v>12</v>
      </c>
      <c r="I26" s="40">
        <f t="shared" ref="I26:I29" si="18">F26*F$1+G26*G$1+H26*H$1</f>
        <v>6470.6399999999994</v>
      </c>
    </row>
    <row r="27" spans="1:9" x14ac:dyDescent="0.25">
      <c r="A27" s="32" t="s">
        <v>154</v>
      </c>
      <c r="B27" s="22">
        <v>5</v>
      </c>
      <c r="C27" s="33">
        <v>4</v>
      </c>
      <c r="D27" s="22">
        <f t="shared" si="14"/>
        <v>20</v>
      </c>
      <c r="E27" s="33">
        <v>5</v>
      </c>
      <c r="F27" s="22">
        <f t="shared" si="15"/>
        <v>100</v>
      </c>
      <c r="G27" s="22">
        <f t="shared" si="16"/>
        <v>5</v>
      </c>
      <c r="H27" s="22">
        <f t="shared" si="17"/>
        <v>10</v>
      </c>
      <c r="I27" s="40">
        <f t="shared" si="18"/>
        <v>5392.2</v>
      </c>
    </row>
    <row r="28" spans="1:9" x14ac:dyDescent="0.25">
      <c r="A28" s="14" t="s">
        <v>156</v>
      </c>
      <c r="B28" s="22">
        <v>5</v>
      </c>
      <c r="C28" s="22">
        <v>1</v>
      </c>
      <c r="D28" s="22">
        <f t="shared" si="14"/>
        <v>5</v>
      </c>
      <c r="E28" s="22">
        <v>5</v>
      </c>
      <c r="F28" s="22">
        <f t="shared" si="15"/>
        <v>25</v>
      </c>
      <c r="G28" s="22">
        <f t="shared" si="16"/>
        <v>1.25</v>
      </c>
      <c r="H28" s="22">
        <f t="shared" si="17"/>
        <v>2.5</v>
      </c>
      <c r="I28" s="25">
        <f t="shared" si="18"/>
        <v>1348.05</v>
      </c>
    </row>
    <row r="29" spans="1:9" x14ac:dyDescent="0.25">
      <c r="A29" s="14" t="s">
        <v>157</v>
      </c>
      <c r="B29" s="22">
        <v>24</v>
      </c>
      <c r="C29" s="22">
        <v>1</v>
      </c>
      <c r="D29" s="22">
        <f t="shared" si="14"/>
        <v>24</v>
      </c>
      <c r="E29" s="33">
        <v>0.33</v>
      </c>
      <c r="F29" s="22">
        <f t="shared" si="15"/>
        <v>7.92</v>
      </c>
      <c r="G29" s="41">
        <f t="shared" si="16"/>
        <v>0.39600000000000002</v>
      </c>
      <c r="H29" s="41">
        <f t="shared" si="17"/>
        <v>0.79200000000000004</v>
      </c>
      <c r="I29" s="25">
        <f t="shared" si="18"/>
        <v>427.06223999999997</v>
      </c>
    </row>
    <row r="30" spans="1:9" x14ac:dyDescent="0.25">
      <c r="A30" s="12" t="s">
        <v>165</v>
      </c>
      <c r="B30" s="22"/>
      <c r="C30" s="22"/>
      <c r="D30" s="22"/>
      <c r="E30" s="22"/>
      <c r="F30" s="98">
        <f>ROUND(SUM(F3:H29),-1)</f>
        <v>1610</v>
      </c>
      <c r="G30" s="98"/>
      <c r="H30" s="98"/>
      <c r="I30" s="42">
        <f>ROUND(SUM(I3:I29),-2)</f>
        <v>75400</v>
      </c>
    </row>
    <row r="31" spans="1:9" x14ac:dyDescent="0.25">
      <c r="A31" s="99"/>
      <c r="B31" s="99"/>
      <c r="C31" s="99"/>
      <c r="D31" s="99"/>
      <c r="E31" s="99"/>
      <c r="F31" s="99"/>
      <c r="G31" s="99"/>
      <c r="H31" s="99"/>
      <c r="I31" s="99"/>
    </row>
    <row r="32" spans="1:9" x14ac:dyDescent="0.25">
      <c r="A32" s="68" t="s">
        <v>74</v>
      </c>
    </row>
    <row r="33" spans="1:11" ht="15.75" x14ac:dyDescent="0.25">
      <c r="A33" s="69" t="s">
        <v>162</v>
      </c>
    </row>
    <row r="34" spans="1:11" x14ac:dyDescent="0.25">
      <c r="A34" s="71" t="s">
        <v>163</v>
      </c>
    </row>
    <row r="35" spans="1:11" x14ac:dyDescent="0.25">
      <c r="A35" s="70" t="s">
        <v>95</v>
      </c>
    </row>
    <row r="36" spans="1:11" x14ac:dyDescent="0.25">
      <c r="A36" s="71" t="s">
        <v>96</v>
      </c>
    </row>
    <row r="37" spans="1:11" x14ac:dyDescent="0.25">
      <c r="A37" s="88" t="s">
        <v>141</v>
      </c>
      <c r="B37" s="88"/>
      <c r="C37" s="88"/>
      <c r="D37" s="88"/>
      <c r="E37" s="88"/>
      <c r="F37" s="88"/>
      <c r="G37" s="88"/>
      <c r="H37" s="88"/>
      <c r="I37" s="88"/>
      <c r="J37" s="88"/>
      <c r="K37" s="88"/>
    </row>
    <row r="38" spans="1:11" ht="15.75" x14ac:dyDescent="0.25">
      <c r="A38" s="69" t="s">
        <v>144</v>
      </c>
    </row>
    <row r="39" spans="1:11" x14ac:dyDescent="0.25">
      <c r="A39" s="70" t="s">
        <v>147</v>
      </c>
    </row>
    <row r="40" spans="1:11" x14ac:dyDescent="0.25">
      <c r="A40" s="70" t="s">
        <v>148</v>
      </c>
    </row>
    <row r="41" spans="1:11" x14ac:dyDescent="0.25">
      <c r="A41" s="70" t="s">
        <v>150</v>
      </c>
    </row>
    <row r="42" spans="1:11" x14ac:dyDescent="0.25">
      <c r="A42" s="70" t="s">
        <v>152</v>
      </c>
    </row>
    <row r="43" spans="1:11" x14ac:dyDescent="0.25">
      <c r="A43" s="70" t="s">
        <v>155</v>
      </c>
    </row>
    <row r="44" spans="1:11" ht="15.75" x14ac:dyDescent="0.25">
      <c r="A44" s="69" t="s">
        <v>164</v>
      </c>
    </row>
  </sheetData>
  <mergeCells count="3">
    <mergeCell ref="F30:H30"/>
    <mergeCell ref="A31:I31"/>
    <mergeCell ref="A37:K3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3B09-9387-48E6-8FE3-16329FE4D62F}">
  <dimension ref="A3:O12"/>
  <sheetViews>
    <sheetView workbookViewId="0">
      <selection activeCell="K13" sqref="K13"/>
    </sheetView>
  </sheetViews>
  <sheetFormatPr defaultRowHeight="15" x14ac:dyDescent="0.25"/>
  <cols>
    <col min="1" max="1" width="23.42578125" customWidth="1"/>
    <col min="2" max="2" width="12.28515625" customWidth="1"/>
    <col min="3" max="3" width="12.140625" bestFit="1" customWidth="1"/>
    <col min="4" max="4" width="15.7109375" bestFit="1" customWidth="1"/>
    <col min="5" max="5" width="11.28515625" customWidth="1"/>
    <col min="6" max="6" width="15.140625" bestFit="1" customWidth="1"/>
    <col min="7" max="7" width="13.42578125" bestFit="1" customWidth="1"/>
    <col min="11" max="11" width="18.7109375" customWidth="1"/>
    <col min="12" max="12" width="4.85546875" customWidth="1"/>
    <col min="13" max="13" width="4.28515625" customWidth="1"/>
    <col min="14" max="14" width="5.42578125" customWidth="1"/>
    <col min="15" max="15" width="16.85546875" customWidth="1"/>
    <col min="16" max="16" width="18.5703125" customWidth="1"/>
  </cols>
  <sheetData>
    <row r="3" spans="1:15" ht="36" customHeight="1" thickBot="1" x14ac:dyDescent="0.3">
      <c r="A3" s="100" t="s">
        <v>86</v>
      </c>
      <c r="B3" s="100"/>
      <c r="C3" s="100"/>
      <c r="D3" s="100"/>
      <c r="E3" s="100"/>
      <c r="F3" s="100"/>
      <c r="G3" s="100"/>
      <c r="L3" t="s">
        <v>92</v>
      </c>
    </row>
    <row r="4" spans="1:15" ht="41.25" customHeight="1" thickBot="1" x14ac:dyDescent="0.3">
      <c r="A4" s="103" t="s">
        <v>77</v>
      </c>
      <c r="B4" s="105" t="s">
        <v>78</v>
      </c>
      <c r="C4" s="107" t="s">
        <v>79</v>
      </c>
      <c r="D4" s="108"/>
      <c r="E4" s="109"/>
      <c r="F4" s="103" t="s">
        <v>80</v>
      </c>
      <c r="G4" s="105" t="s">
        <v>81</v>
      </c>
      <c r="I4" s="46"/>
      <c r="K4" s="28"/>
      <c r="L4" s="28" t="s">
        <v>89</v>
      </c>
      <c r="M4" s="28" t="s">
        <v>90</v>
      </c>
      <c r="N4" s="28" t="s">
        <v>56</v>
      </c>
      <c r="O4" s="28" t="s">
        <v>91</v>
      </c>
    </row>
    <row r="5" spans="1:15" ht="15.75" thickBot="1" x14ac:dyDescent="0.3">
      <c r="A5" s="104"/>
      <c r="B5" s="106"/>
      <c r="C5" s="47" t="s">
        <v>82</v>
      </c>
      <c r="D5" s="47" t="s">
        <v>83</v>
      </c>
      <c r="E5" s="47" t="s">
        <v>56</v>
      </c>
      <c r="F5" s="104"/>
      <c r="G5" s="106"/>
      <c r="K5" s="28" t="s">
        <v>88</v>
      </c>
      <c r="L5" s="28">
        <v>8</v>
      </c>
      <c r="M5" s="28">
        <v>5</v>
      </c>
      <c r="N5" s="28">
        <f>L5+M5</f>
        <v>13</v>
      </c>
      <c r="O5" s="56">
        <f>N5/N7</f>
        <v>0.56521739130434778</v>
      </c>
    </row>
    <row r="6" spans="1:15" ht="15.75" thickBot="1" x14ac:dyDescent="0.3">
      <c r="A6" s="48" t="s">
        <v>84</v>
      </c>
      <c r="B6" s="63">
        <f>Industry!H60*0.43</f>
        <v>89.87</v>
      </c>
      <c r="C6" s="52">
        <f>Industry!F38*0.43</f>
        <v>11419.08086</v>
      </c>
      <c r="D6" s="52">
        <f>Industry!F55*0.43</f>
        <v>3590.5</v>
      </c>
      <c r="E6" s="54">
        <f>ROUND(+D6+C6,-2)</f>
        <v>15000</v>
      </c>
      <c r="F6" s="55">
        <f>Industry!K56*0.43</f>
        <v>1380300</v>
      </c>
      <c r="G6" s="55">
        <f>Industry!K57*0.43</f>
        <v>97180</v>
      </c>
      <c r="K6" s="28" t="s">
        <v>87</v>
      </c>
      <c r="L6" s="28">
        <v>10</v>
      </c>
      <c r="M6" s="28">
        <v>0</v>
      </c>
      <c r="N6" s="28">
        <f>L6+M6</f>
        <v>10</v>
      </c>
      <c r="O6" s="56">
        <f>N6/N7</f>
        <v>0.43478260869565216</v>
      </c>
    </row>
    <row r="7" spans="1:15" ht="15.75" thickBot="1" x14ac:dyDescent="0.3">
      <c r="A7" s="48" t="s">
        <v>85</v>
      </c>
      <c r="B7" s="63">
        <f>Industry!H60*0.57</f>
        <v>119.13</v>
      </c>
      <c r="C7" s="52">
        <f>Industry!F38*0.57</f>
        <v>15136.921139999999</v>
      </c>
      <c r="D7" s="52">
        <f>Industry!F55*0.57</f>
        <v>4759.5</v>
      </c>
      <c r="E7" s="54">
        <f>ROUND(+D7+C7, -2)</f>
        <v>19900</v>
      </c>
      <c r="F7" s="55">
        <f>Industry!K56*0.57</f>
        <v>1829699.9999999998</v>
      </c>
      <c r="G7" s="55">
        <f>Industry!K57*0.57</f>
        <v>128819.99999999999</v>
      </c>
      <c r="K7" s="28"/>
      <c r="L7" s="28">
        <f>SUM(L5:L6)</f>
        <v>18</v>
      </c>
      <c r="M7" s="28">
        <f>SUM(M5:M6)</f>
        <v>5</v>
      </c>
      <c r="N7" s="28">
        <f>SUM(N5:N6)</f>
        <v>23</v>
      </c>
      <c r="O7" s="56"/>
    </row>
    <row r="8" spans="1:15" ht="15.75" thickBot="1" x14ac:dyDescent="0.3">
      <c r="A8" s="49" t="s">
        <v>56</v>
      </c>
      <c r="B8" s="50">
        <f>+B6+B7</f>
        <v>209</v>
      </c>
      <c r="C8" s="51">
        <f>SUM(C6:C7)</f>
        <v>26556.002</v>
      </c>
      <c r="D8" s="51">
        <f>SUM(D6:D7)</f>
        <v>8350</v>
      </c>
      <c r="E8" s="51">
        <f>SUM(E6:E7)</f>
        <v>34900</v>
      </c>
      <c r="F8" s="51">
        <f>SUM(F6:F7)</f>
        <v>3210000</v>
      </c>
      <c r="G8" s="51">
        <f>SUM(G6:G7)</f>
        <v>226000</v>
      </c>
    </row>
    <row r="9" spans="1:15" x14ac:dyDescent="0.25">
      <c r="A9" s="101" t="s">
        <v>93</v>
      </c>
      <c r="B9" s="101"/>
      <c r="C9" s="101"/>
      <c r="D9" s="101"/>
      <c r="E9" s="101"/>
      <c r="F9" s="101"/>
      <c r="G9" s="101"/>
    </row>
    <row r="10" spans="1:15" x14ac:dyDescent="0.25">
      <c r="A10" s="102"/>
      <c r="B10" s="102"/>
      <c r="C10" s="102"/>
      <c r="D10" s="102"/>
      <c r="E10" s="102"/>
      <c r="F10" s="102"/>
      <c r="G10" s="102"/>
      <c r="H10" s="53"/>
      <c r="I10" s="53"/>
    </row>
    <row r="11" spans="1:15" x14ac:dyDescent="0.25">
      <c r="E11" s="53"/>
      <c r="F11" s="53"/>
      <c r="G11" s="53"/>
      <c r="H11" s="53"/>
      <c r="I11" s="53"/>
    </row>
    <row r="12" spans="1:15" x14ac:dyDescent="0.25">
      <c r="E12" s="53"/>
      <c r="F12" s="53"/>
      <c r="G12" s="53"/>
      <c r="H12" s="53"/>
      <c r="I12" s="53"/>
    </row>
  </sheetData>
  <mergeCells count="7">
    <mergeCell ref="A3:G3"/>
    <mergeCell ref="A9:G10"/>
    <mergeCell ref="A4:A5"/>
    <mergeCell ref="B4:B5"/>
    <mergeCell ref="C4:E4"/>
    <mergeCell ref="F4:F5"/>
    <mergeCell ref="G4:G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Industry</vt:lpstr>
      <vt:lpstr>Agency</vt:lpstr>
      <vt:lpstr>Public v. Private</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2014-08-12T19:29:50Z</dcterms:created>
  <dcterms:modified xsi:type="dcterms:W3CDTF">2018-11-27T16:22:07Z</dcterms:modified>
</cp:coreProperties>
</file>