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ED3D29B3-76E4-4FDB-BCC5-E2EA0C4CEFC5}" xr6:coauthVersionLast="31" xr6:coauthVersionMax="31" xr10:uidLastSave="{00000000-0000-0000-0000-000000000000}"/>
  <bookViews>
    <workbookView xWindow="0" yWindow="0" windowWidth="19020" windowHeight="2370" tabRatio="660" xr2:uid="{00000000-000D-0000-FFFF-FFFF00000000}"/>
  </bookViews>
  <sheets>
    <sheet name="Table 1.1" sheetId="1" r:id="rId1"/>
    <sheet name="Table 1.2" sheetId="2" r:id="rId2"/>
    <sheet name="Table 1.3" sheetId="3" r:id="rId3"/>
    <sheet name="Table 1.4" sheetId="4" r:id="rId4"/>
    <sheet name="Table 1.5" sheetId="5" r:id="rId5"/>
    <sheet name="Table 1.6 Total" sheetId="7" r:id="rId6"/>
    <sheet name="Table 2" sheetId="6" r:id="rId7"/>
    <sheet name="Summary Table" sheetId="10" r:id="rId8"/>
    <sheet name="Tot Ann Resp" sheetId="8" state="hidden" r:id="rId9"/>
    <sheet name="O&amp;M (Bulk Terminals Only)" sheetId="11" r:id="rId10"/>
  </sheets>
  <calcPr calcId="179017"/>
</workbook>
</file>

<file path=xl/calcChain.xml><?xml version="1.0" encoding="utf-8"?>
<calcChain xmlns="http://schemas.openxmlformats.org/spreadsheetml/2006/main">
  <c r="H8" i="10" l="1"/>
  <c r="C8" i="10"/>
  <c r="D8" i="10"/>
  <c r="E8" i="10"/>
  <c r="F8" i="10"/>
  <c r="G8" i="10"/>
  <c r="H9" i="11" l="1"/>
  <c r="G5" i="10" l="1"/>
  <c r="I16" i="1"/>
  <c r="F7" i="10"/>
  <c r="F6" i="10"/>
  <c r="E7" i="10"/>
  <c r="E6" i="10"/>
  <c r="D7" i="10"/>
  <c r="D6" i="10"/>
  <c r="F5" i="10"/>
  <c r="E5" i="10"/>
  <c r="D5" i="10"/>
  <c r="D4" i="7"/>
  <c r="F11" i="5"/>
  <c r="F16" i="4"/>
  <c r="F13" i="4"/>
  <c r="F12" i="4"/>
  <c r="F13" i="3"/>
  <c r="F12" i="3"/>
  <c r="F11" i="3"/>
  <c r="F14" i="2"/>
  <c r="F13" i="2"/>
  <c r="F12" i="2"/>
  <c r="F13" i="1"/>
  <c r="E4" i="7"/>
  <c r="C4" i="7"/>
  <c r="I11" i="5"/>
  <c r="I14" i="4"/>
  <c r="F14" i="4"/>
  <c r="I13" i="4"/>
  <c r="E6" i="4"/>
  <c r="E5" i="4"/>
  <c r="I12" i="3"/>
  <c r="F15" i="3"/>
  <c r="I13" i="3"/>
  <c r="I14" i="2"/>
  <c r="I13" i="2"/>
  <c r="F6" i="2"/>
  <c r="E6" i="6" l="1"/>
  <c r="E4" i="6"/>
  <c r="D6" i="6"/>
  <c r="D5" i="6"/>
  <c r="D4" i="6"/>
  <c r="F6" i="6" l="1"/>
  <c r="H6" i="6" s="1"/>
  <c r="F4" i="6"/>
  <c r="H4" i="6" l="1"/>
  <c r="G6" i="6"/>
  <c r="I6" i="6" s="1"/>
  <c r="G4" i="6"/>
  <c r="I4" i="6" l="1"/>
  <c r="B6" i="8" l="1"/>
  <c r="E6" i="8" s="1"/>
  <c r="B5" i="8"/>
  <c r="E5" i="8" s="1"/>
  <c r="B7" i="8"/>
  <c r="E7" i="8" s="1"/>
  <c r="B4" i="8"/>
  <c r="B9" i="8" s="1"/>
  <c r="E9" i="8" s="1"/>
  <c r="E11" i="4"/>
  <c r="E10" i="3"/>
  <c r="D10" i="5"/>
  <c r="F10" i="5" s="1"/>
  <c r="D9" i="5"/>
  <c r="F9" i="5" s="1"/>
  <c r="D8" i="5"/>
  <c r="F8" i="5" s="1"/>
  <c r="D7" i="5"/>
  <c r="F7" i="5" s="1"/>
  <c r="D6" i="5"/>
  <c r="F6" i="5" s="1"/>
  <c r="D5" i="5"/>
  <c r="F5" i="5" s="1"/>
  <c r="D11" i="4"/>
  <c r="F11" i="4" s="1"/>
  <c r="D10" i="4"/>
  <c r="F10" i="4" s="1"/>
  <c r="D9" i="4"/>
  <c r="F9" i="4" s="1"/>
  <c r="D8" i="4"/>
  <c r="F8" i="4" s="1"/>
  <c r="D7" i="4"/>
  <c r="F7" i="4" s="1"/>
  <c r="D6" i="4"/>
  <c r="F6" i="4" s="1"/>
  <c r="D5" i="4"/>
  <c r="F5" i="4" s="1"/>
  <c r="D6" i="3"/>
  <c r="F6" i="3" s="1"/>
  <c r="D7" i="3"/>
  <c r="F7" i="3" s="1"/>
  <c r="D8" i="3"/>
  <c r="F8" i="3" s="1"/>
  <c r="D9" i="3"/>
  <c r="F9" i="3" s="1"/>
  <c r="D10" i="3"/>
  <c r="D5" i="3"/>
  <c r="F5" i="3" s="1"/>
  <c r="D11" i="2"/>
  <c r="F11" i="2" s="1"/>
  <c r="D10" i="2"/>
  <c r="F10" i="2" s="1"/>
  <c r="D9" i="2"/>
  <c r="F9" i="2" s="1"/>
  <c r="D8" i="2"/>
  <c r="F8" i="2" s="1"/>
  <c r="D7" i="2"/>
  <c r="F7" i="2" s="1"/>
  <c r="D6" i="2"/>
  <c r="D5" i="2"/>
  <c r="F5" i="2" s="1"/>
  <c r="G5" i="2" s="1"/>
  <c r="F12" i="1"/>
  <c r="F11" i="1"/>
  <c r="H11" i="1" s="1"/>
  <c r="F10" i="1"/>
  <c r="G10" i="1" s="1"/>
  <c r="F9" i="1"/>
  <c r="F8" i="1"/>
  <c r="G8" i="1" s="1"/>
  <c r="F7" i="1"/>
  <c r="H7" i="1" s="1"/>
  <c r="F6" i="1"/>
  <c r="G6" i="4" l="1"/>
  <c r="G5" i="3"/>
  <c r="H11" i="4"/>
  <c r="H8" i="2"/>
  <c r="H6" i="3"/>
  <c r="G6" i="3"/>
  <c r="H9" i="2"/>
  <c r="G9" i="2"/>
  <c r="G9" i="4"/>
  <c r="G10" i="4"/>
  <c r="H10" i="4"/>
  <c r="H11" i="2"/>
  <c r="F10" i="3"/>
  <c r="E5" i="6"/>
  <c r="F5" i="6" s="1"/>
  <c r="E4" i="8"/>
  <c r="G12" i="1"/>
  <c r="G10" i="5"/>
  <c r="I10" i="5" s="1"/>
  <c r="H10" i="5"/>
  <c r="H9" i="5"/>
  <c r="G9" i="5"/>
  <c r="G8" i="5"/>
  <c r="H8" i="5"/>
  <c r="G7" i="5"/>
  <c r="H7" i="5"/>
  <c r="G6" i="5"/>
  <c r="H6" i="5"/>
  <c r="G5" i="5"/>
  <c r="H5" i="5"/>
  <c r="G8" i="4"/>
  <c r="H8" i="4"/>
  <c r="G7" i="4"/>
  <c r="I7" i="4" s="1"/>
  <c r="H7" i="4"/>
  <c r="G5" i="4"/>
  <c r="I5" i="4" s="1"/>
  <c r="H5" i="4"/>
  <c r="H9" i="4"/>
  <c r="I9" i="4" s="1"/>
  <c r="H6" i="4"/>
  <c r="I6" i="4" s="1"/>
  <c r="B8" i="8"/>
  <c r="E8" i="8" s="1"/>
  <c r="G11" i="4"/>
  <c r="G8" i="2"/>
  <c r="I8" i="2" s="1"/>
  <c r="H7" i="3"/>
  <c r="G7" i="3"/>
  <c r="G8" i="3"/>
  <c r="H8" i="3"/>
  <c r="G9" i="3"/>
  <c r="H9" i="3"/>
  <c r="H5" i="3"/>
  <c r="H10" i="3"/>
  <c r="G10" i="3"/>
  <c r="G11" i="2"/>
  <c r="G10" i="2"/>
  <c r="H10" i="2"/>
  <c r="G7" i="2"/>
  <c r="H7" i="2"/>
  <c r="I7" i="2" s="1"/>
  <c r="H6" i="2"/>
  <c r="G6" i="2"/>
  <c r="H5" i="2"/>
  <c r="I5" i="2" s="1"/>
  <c r="I9" i="2"/>
  <c r="G11" i="1"/>
  <c r="I11" i="1" s="1"/>
  <c r="H10" i="1"/>
  <c r="I10" i="1" s="1"/>
  <c r="G7" i="1"/>
  <c r="I7" i="1" s="1"/>
  <c r="H6" i="1"/>
  <c r="G6" i="1"/>
  <c r="H9" i="1"/>
  <c r="G9" i="1"/>
  <c r="H8" i="1"/>
  <c r="I8" i="1" s="1"/>
  <c r="H12" i="1"/>
  <c r="I12" i="1" s="1"/>
  <c r="I13" i="1" s="1"/>
  <c r="D5" i="1"/>
  <c r="F5" i="1" s="1"/>
  <c r="F12" i="5" l="1"/>
  <c r="F13" i="5"/>
  <c r="I6" i="5"/>
  <c r="F15" i="5"/>
  <c r="I16" i="4"/>
  <c r="I6" i="3"/>
  <c r="I5" i="3"/>
  <c r="I6" i="2"/>
  <c r="I16" i="2" s="1"/>
  <c r="F16" i="2"/>
  <c r="I10" i="4"/>
  <c r="I7" i="5"/>
  <c r="G5" i="6"/>
  <c r="H5" i="6"/>
  <c r="I8" i="4"/>
  <c r="I8" i="5"/>
  <c r="I11" i="2"/>
  <c r="I12" i="2" s="1"/>
  <c r="I5" i="5"/>
  <c r="E10" i="8"/>
  <c r="I6" i="1"/>
  <c r="I9" i="5"/>
  <c r="I11" i="4"/>
  <c r="I8" i="3"/>
  <c r="I7" i="3"/>
  <c r="I9" i="3"/>
  <c r="I10" i="3"/>
  <c r="I11" i="3" s="1"/>
  <c r="I10" i="2"/>
  <c r="I9" i="1"/>
  <c r="G5" i="1"/>
  <c r="F15" i="1" s="1"/>
  <c r="H5" i="1"/>
  <c r="F14" i="1" l="1"/>
  <c r="D5" i="7" s="1"/>
  <c r="D6" i="7" s="1"/>
  <c r="F17" i="1"/>
  <c r="C5" i="10" s="1"/>
  <c r="H5" i="10" s="1"/>
  <c r="I13" i="5"/>
  <c r="G6" i="10" s="1"/>
  <c r="I12" i="5"/>
  <c r="F7" i="6"/>
  <c r="I15" i="3"/>
  <c r="I5" i="6"/>
  <c r="I7" i="6" s="1"/>
  <c r="I12" i="4"/>
  <c r="I5" i="1"/>
  <c r="D7" i="7" l="1"/>
  <c r="D14" i="7"/>
  <c r="I15" i="5"/>
  <c r="G7" i="10" s="1"/>
  <c r="I14" i="1"/>
  <c r="E5" i="7" s="1"/>
  <c r="E6" i="7" s="1"/>
  <c r="E7" i="7" s="1"/>
  <c r="I15" i="1"/>
  <c r="I17" i="1" l="1"/>
  <c r="C7" i="10" s="1"/>
  <c r="H7" i="10" s="1"/>
  <c r="C6" i="10"/>
  <c r="H6" i="10" s="1"/>
  <c r="E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Tracy Curtis</author>
  </authors>
  <commentList>
    <comment ref="B5" authorId="0" shapeId="0" xr:uid="{034756CC-D1DB-4515-8A63-0C1A4F9F8D57}">
      <text>
        <r>
          <rPr>
            <b/>
            <sz val="9"/>
            <color indexed="81"/>
            <rFont val="Tahoma"/>
            <family val="2"/>
          </rPr>
          <t>Tracy Curtis:</t>
        </r>
        <r>
          <rPr>
            <sz val="9"/>
            <color indexed="81"/>
            <rFont val="Tahoma"/>
            <family val="2"/>
          </rPr>
          <t xml:space="preserve">
Previously 4
</t>
        </r>
      </text>
    </comment>
  </commentList>
</comments>
</file>

<file path=xl/sharedStrings.xml><?xml version="1.0" encoding="utf-8"?>
<sst xmlns="http://schemas.openxmlformats.org/spreadsheetml/2006/main" count="228" uniqueCount="167">
  <si>
    <t>Burden Item</t>
  </si>
  <si>
    <t>(C)</t>
  </si>
  <si>
    <t>(D)</t>
  </si>
  <si>
    <t>(E)</t>
  </si>
  <si>
    <t>1.1  Bulk Terminals</t>
  </si>
  <si>
    <t>(h)  Submit semiannual compliance report</t>
  </si>
  <si>
    <t>Burden item</t>
  </si>
  <si>
    <t>(A) Person hours per occurrence</t>
  </si>
  <si>
    <t>(B) No. of occurrences per respondent per year</t>
  </si>
  <si>
    <t>(C) Person hours per respondent per year (C=AxB)</t>
  </si>
  <si>
    <t>(E) Technical person- hours per year (E=CxD)</t>
  </si>
  <si>
    <t>(F) Management person hours per year (Ex0.05)</t>
  </si>
  <si>
    <t>(G) Clerical person hours per year (Ex0.1)</t>
  </si>
  <si>
    <t xml:space="preserve">Average Number of Respondents per year </t>
  </si>
  <si>
    <t>1.2  Pipeline Breakout Stations</t>
  </si>
  <si>
    <t>(g)  Submit semiannual compliance report</t>
  </si>
  <si>
    <t>Assumptions for Table 1.1:</t>
  </si>
  <si>
    <t>Assumptions  for Table 1.2:</t>
  </si>
  <si>
    <t>1.3 Pipeline Pumping Stations</t>
  </si>
  <si>
    <t>(d)  Perform equipment leak inspections</t>
  </si>
  <si>
    <t>Assumptions for Table 1.3:</t>
  </si>
  <si>
    <t>1.4 Bulk Plants</t>
  </si>
  <si>
    <t>Assumptions for Table 1.4:</t>
  </si>
  <si>
    <t>1.5 Gasoline Dispensing Facilities</t>
  </si>
  <si>
    <t>Assumptions for Table 1.5:</t>
  </si>
  <si>
    <t>Increase: Updated Labor Rates</t>
  </si>
  <si>
    <r>
      <t xml:space="preserve">(H) Total Cost per year </t>
    </r>
    <r>
      <rPr>
        <b/>
        <vertAlign val="superscript"/>
        <sz val="10"/>
        <color theme="1"/>
        <rFont val="Times New Roman"/>
        <family val="1"/>
      </rPr>
      <t>b</t>
    </r>
  </si>
  <si>
    <r>
      <t xml:space="preserve">(D) Respondents per year </t>
    </r>
    <r>
      <rPr>
        <b/>
        <vertAlign val="superscript"/>
        <sz val="10"/>
        <color theme="1"/>
        <rFont val="Times New Roman"/>
        <family val="1"/>
      </rPr>
      <t>a</t>
    </r>
  </si>
  <si>
    <r>
      <t xml:space="preserve">(b)  Prepare Initial Notification </t>
    </r>
    <r>
      <rPr>
        <vertAlign val="superscript"/>
        <sz val="8"/>
        <color theme="1"/>
        <rFont val="Times New Roman"/>
        <family val="1"/>
      </rPr>
      <t>c</t>
    </r>
  </si>
  <si>
    <r>
      <t xml:space="preserve">(c)  Perform Initial Performance Test </t>
    </r>
    <r>
      <rPr>
        <vertAlign val="superscript"/>
        <sz val="8"/>
        <color theme="1"/>
        <rFont val="Times New Roman"/>
        <family val="1"/>
      </rPr>
      <t>c</t>
    </r>
  </si>
  <si>
    <r>
      <t xml:space="preserve">(d)  Prepare Notification of Compliance Status </t>
    </r>
    <r>
      <rPr>
        <vertAlign val="superscript"/>
        <sz val="8"/>
        <color theme="1"/>
        <rFont val="Times New Roman"/>
        <family val="1"/>
      </rPr>
      <t>c</t>
    </r>
  </si>
  <si>
    <r>
      <t xml:space="preserve">(f)  Perform equipment leak inspections </t>
    </r>
    <r>
      <rPr>
        <vertAlign val="superscript"/>
        <sz val="8"/>
        <color theme="1"/>
        <rFont val="Times New Roman"/>
        <family val="1"/>
      </rPr>
      <t>d</t>
    </r>
  </si>
  <si>
    <r>
      <t xml:space="preserve">(e)  Perform annual storage tank inspection </t>
    </r>
    <r>
      <rPr>
        <vertAlign val="superscript"/>
        <sz val="8"/>
        <color theme="1"/>
        <rFont val="Times New Roman"/>
        <family val="1"/>
      </rPr>
      <t>d</t>
    </r>
  </si>
  <si>
    <r>
      <rPr>
        <vertAlign val="superscript"/>
        <sz val="10"/>
        <color theme="1"/>
        <rFont val="Times New Roman"/>
        <family val="1"/>
      </rPr>
      <t>a</t>
    </r>
    <r>
      <rPr>
        <sz val="7"/>
        <color theme="1"/>
        <rFont val="Times New Roman"/>
        <family val="1"/>
      </rPr>
      <t> </t>
    </r>
    <r>
      <rPr>
        <sz val="10"/>
        <color theme="1"/>
        <rFont val="Times New Roman"/>
        <family val="1"/>
      </rPr>
      <t>We expect no new affected sources the next 3 years of this ICR.  Therefore, the estimated number of respondents remains unchanged as 1,100 existing bulk terminals.</t>
    </r>
  </si>
  <si>
    <r>
      <rPr>
        <vertAlign val="superscript"/>
        <sz val="10"/>
        <color theme="1"/>
        <rFont val="Times New Roman"/>
        <family val="1"/>
      </rPr>
      <t>a</t>
    </r>
    <r>
      <rPr>
        <sz val="7"/>
        <color theme="1"/>
        <rFont val="Times New Roman"/>
        <family val="1"/>
      </rPr>
      <t> </t>
    </r>
    <r>
      <rPr>
        <sz val="10"/>
        <color theme="1"/>
        <rFont val="Times New Roman"/>
        <family val="1"/>
      </rPr>
      <t>We expect no new affected sources the next 3 years of this ICR.  Therefore, the estimated number of respondents remains unchanged as 460 existing pipeline breakout stations.</t>
    </r>
  </si>
  <si>
    <r>
      <rPr>
        <vertAlign val="superscript"/>
        <sz val="10"/>
        <color theme="1"/>
        <rFont val="Arial"/>
        <family val="2"/>
      </rPr>
      <t>d</t>
    </r>
    <r>
      <rPr>
        <sz val="10"/>
        <color theme="1"/>
        <rFont val="Arial"/>
        <family val="2"/>
      </rPr>
      <t xml:space="preserve"> </t>
    </r>
    <r>
      <rPr>
        <sz val="10"/>
        <color theme="1"/>
        <rFont val="Times New Roman"/>
        <family val="1"/>
      </rPr>
      <t>Assumed that all respondents are currently performing annual storage tank inspections; and, that all are currently performing equipment leak inspections at least once per month.</t>
    </r>
  </si>
  <si>
    <t>Total Annual Responses</t>
  </si>
  <si>
    <t>Information Collection Activity</t>
  </si>
  <si>
    <t>Number of Respondents</t>
  </si>
  <si>
    <t>Number of Responses</t>
  </si>
  <si>
    <t>Number of Existing…</t>
  </si>
  <si>
    <t>Total</t>
  </si>
  <si>
    <t>Initial Notification</t>
  </si>
  <si>
    <t>Initial Performance Test</t>
  </si>
  <si>
    <t>Notification of Compliance Status</t>
  </si>
  <si>
    <t>Semiannual Compliance Report</t>
  </si>
  <si>
    <r>
      <t xml:space="preserve">(D) Respondents per year  </t>
    </r>
    <r>
      <rPr>
        <b/>
        <vertAlign val="superscript"/>
        <sz val="10"/>
        <color theme="1"/>
        <rFont val="Times New Roman"/>
        <family val="1"/>
      </rPr>
      <t>a</t>
    </r>
  </si>
  <si>
    <r>
      <t>(b)  Prepare Initial Notification</t>
    </r>
    <r>
      <rPr>
        <vertAlign val="superscript"/>
        <sz val="8"/>
        <color theme="1"/>
        <rFont val="Times New Roman"/>
        <family val="1"/>
      </rPr>
      <t>c</t>
    </r>
  </si>
  <si>
    <r>
      <t>(c)  Prepare Notification of Compliance Status</t>
    </r>
    <r>
      <rPr>
        <vertAlign val="superscript"/>
        <sz val="8"/>
        <color theme="1"/>
        <rFont val="Times New Roman"/>
        <family val="1"/>
      </rPr>
      <t>c</t>
    </r>
  </si>
  <si>
    <r>
      <t>(d)  Perform annual storage tank inspection</t>
    </r>
    <r>
      <rPr>
        <vertAlign val="superscript"/>
        <sz val="8"/>
        <color theme="1"/>
        <rFont val="Times New Roman"/>
        <family val="1"/>
      </rPr>
      <t>d</t>
    </r>
  </si>
  <si>
    <r>
      <t>(e)  Perform equipment leak inspections</t>
    </r>
    <r>
      <rPr>
        <vertAlign val="superscript"/>
        <sz val="8"/>
        <color theme="1"/>
        <rFont val="Times New Roman"/>
        <family val="1"/>
      </rPr>
      <t>d</t>
    </r>
  </si>
  <si>
    <r>
      <t>(f)  Keep records of storage tank and equipment leak inspections</t>
    </r>
    <r>
      <rPr>
        <vertAlign val="superscript"/>
        <sz val="8"/>
        <color theme="1"/>
        <rFont val="Times New Roman"/>
        <family val="1"/>
      </rPr>
      <t>d</t>
    </r>
  </si>
  <si>
    <r>
      <rPr>
        <vertAlign val="superscript"/>
        <sz val="10"/>
        <color theme="1"/>
        <rFont val="Times New Roman"/>
        <family val="1"/>
      </rPr>
      <t>a</t>
    </r>
    <r>
      <rPr>
        <sz val="7"/>
        <color theme="1"/>
        <rFont val="Times New Roman"/>
        <family val="1"/>
      </rPr>
      <t> </t>
    </r>
    <r>
      <rPr>
        <sz val="10"/>
        <color theme="1"/>
        <rFont val="Times New Roman"/>
        <family val="1"/>
      </rPr>
      <t>We expect no new affected sources the next 3 years of this ICR.  Therefore, the estimated number of respondents remains unchanged as 1,800 existing pipeline pumping stations.</t>
    </r>
  </si>
  <si>
    <r>
      <rPr>
        <vertAlign val="superscript"/>
        <sz val="10"/>
        <color theme="1"/>
        <rFont val="Arial"/>
        <family val="2"/>
      </rPr>
      <t>e</t>
    </r>
    <r>
      <rPr>
        <sz val="10"/>
        <color theme="1"/>
        <rFont val="Arial"/>
        <family val="2"/>
      </rPr>
      <t xml:space="preserve"> </t>
    </r>
    <r>
      <rPr>
        <sz val="10"/>
        <color theme="1"/>
        <rFont val="Times New Roman"/>
        <family val="1"/>
      </rPr>
      <t>Assumed that, on an annual average basis, 2 percent of facilities (36) will be required to submit a semiannual compliance report because of delays in repairing equipment leaks.</t>
    </r>
  </si>
  <si>
    <r>
      <rPr>
        <vertAlign val="superscript"/>
        <sz val="10"/>
        <color theme="1"/>
        <rFont val="Arial"/>
        <family val="2"/>
      </rPr>
      <t>d</t>
    </r>
    <r>
      <rPr>
        <sz val="10"/>
        <color theme="1"/>
        <rFont val="Arial"/>
        <family val="2"/>
      </rPr>
      <t xml:space="preserve"> </t>
    </r>
    <r>
      <rPr>
        <sz val="10"/>
        <color theme="1"/>
        <rFont val="Times New Roman"/>
        <family val="1"/>
      </rPr>
      <t>Assumed that all respondents are currently performing equipment leak inspections at least once per month.</t>
    </r>
  </si>
  <si>
    <r>
      <t>(e)  Keep records of equipment leak inspections</t>
    </r>
    <r>
      <rPr>
        <vertAlign val="superscript"/>
        <sz val="8"/>
        <color theme="1"/>
        <rFont val="Times New Roman"/>
        <family val="1"/>
      </rPr>
      <t>d</t>
    </r>
  </si>
  <si>
    <r>
      <t xml:space="preserve">(f)  Submit semiannual compliance report </t>
    </r>
    <r>
      <rPr>
        <vertAlign val="superscript"/>
        <sz val="8"/>
        <color theme="1"/>
        <rFont val="Times New Roman"/>
        <family val="1"/>
      </rPr>
      <t>e</t>
    </r>
  </si>
  <si>
    <r>
      <rPr>
        <vertAlign val="superscript"/>
        <sz val="10"/>
        <color theme="1"/>
        <rFont val="Arial"/>
        <family val="2"/>
      </rPr>
      <t>e</t>
    </r>
    <r>
      <rPr>
        <sz val="10"/>
        <color theme="1"/>
        <rFont val="Arial"/>
        <family val="2"/>
      </rPr>
      <t xml:space="preserve"> </t>
    </r>
    <r>
      <rPr>
        <sz val="10"/>
        <color theme="1"/>
        <rFont val="Times New Roman"/>
        <family val="1"/>
      </rPr>
      <t>Assumed that, on an annual average basis, 2 percent of facilities (118) will be required to submit a semiannual compliance report because of delays in repairing equipment leaks.</t>
    </r>
  </si>
  <si>
    <r>
      <rPr>
        <vertAlign val="superscript"/>
        <sz val="10"/>
        <color theme="1"/>
        <rFont val="Times New Roman"/>
        <family val="1"/>
      </rPr>
      <t>a</t>
    </r>
    <r>
      <rPr>
        <sz val="7"/>
        <color theme="1"/>
        <rFont val="Times New Roman"/>
        <family val="1"/>
      </rPr>
      <t> </t>
    </r>
    <r>
      <rPr>
        <sz val="10"/>
        <color theme="1"/>
        <rFont val="Times New Roman"/>
        <family val="1"/>
      </rPr>
      <t xml:space="preserve">We expect no new affected sources the next 3 years of this ICR.  Therefore, the estimated number of respondents remains unchanged as 5,900 existing bulk plants.  </t>
    </r>
  </si>
  <si>
    <r>
      <t>(D) Respondents per year</t>
    </r>
    <r>
      <rPr>
        <b/>
        <vertAlign val="superscript"/>
        <sz val="10"/>
        <color theme="1"/>
        <rFont val="Times New Roman"/>
        <family val="1"/>
      </rPr>
      <t xml:space="preserve">  a</t>
    </r>
  </si>
  <si>
    <r>
      <t>(H) Total Cost per year</t>
    </r>
    <r>
      <rPr>
        <b/>
        <vertAlign val="superscript"/>
        <sz val="10"/>
        <color theme="1"/>
        <rFont val="Times New Roman"/>
        <family val="1"/>
      </rPr>
      <t xml:space="preserve"> b</t>
    </r>
  </si>
  <si>
    <r>
      <t>(c)  Prepare Initial Notification</t>
    </r>
    <r>
      <rPr>
        <vertAlign val="superscript"/>
        <sz val="8"/>
        <color theme="1"/>
        <rFont val="Times New Roman"/>
        <family val="1"/>
      </rPr>
      <t>c</t>
    </r>
  </si>
  <si>
    <r>
      <t>(d)  Prepare Notification of Compliance Status</t>
    </r>
    <r>
      <rPr>
        <vertAlign val="superscript"/>
        <sz val="8"/>
        <color theme="1"/>
        <rFont val="Times New Roman"/>
        <family val="1"/>
      </rPr>
      <t>c</t>
    </r>
  </si>
  <si>
    <r>
      <t>(g)  Submit semiannual compliance report</t>
    </r>
    <r>
      <rPr>
        <vertAlign val="superscript"/>
        <sz val="8"/>
        <color theme="1"/>
        <rFont val="Times New Roman"/>
        <family val="1"/>
      </rPr>
      <t>e</t>
    </r>
  </si>
  <si>
    <r>
      <t>(f)  Keep records of equipment leak inspections</t>
    </r>
    <r>
      <rPr>
        <vertAlign val="superscript"/>
        <sz val="8"/>
        <color theme="1"/>
        <rFont val="Times New Roman"/>
        <family val="1"/>
      </rPr>
      <t>d</t>
    </r>
  </si>
  <si>
    <r>
      <t xml:space="preserve">(D) Respondents per year </t>
    </r>
    <r>
      <rPr>
        <b/>
        <vertAlign val="superscript"/>
        <sz val="10"/>
        <color theme="1"/>
        <rFont val="Times New Roman"/>
        <family val="1"/>
      </rPr>
      <t xml:space="preserve"> a</t>
    </r>
  </si>
  <si>
    <r>
      <t>(d)  Prepare Initial Notification</t>
    </r>
    <r>
      <rPr>
        <vertAlign val="superscript"/>
        <sz val="8"/>
        <color theme="1"/>
        <rFont val="Times New Roman"/>
        <family val="1"/>
      </rPr>
      <t>c</t>
    </r>
  </si>
  <si>
    <r>
      <rPr>
        <vertAlign val="superscript"/>
        <sz val="8"/>
        <color theme="1"/>
        <rFont val="Arial"/>
        <family val="2"/>
      </rPr>
      <t xml:space="preserve">d </t>
    </r>
    <r>
      <rPr>
        <sz val="8"/>
        <color theme="1"/>
        <rFont val="Arial"/>
        <family val="2"/>
      </rPr>
      <t xml:space="preserve">Assume vapor balance pressure retesting require every three years.  There are 9,860 gasoline dispensing facilities would have to retest.   </t>
    </r>
  </si>
  <si>
    <t>hr per resp</t>
  </si>
  <si>
    <t>Subtotal for Recordkeeping Requirements</t>
  </si>
  <si>
    <t>Subtotal for Reporting Requirements</t>
  </si>
  <si>
    <t>Total person-hours per year</t>
  </si>
  <si>
    <t>Total Cost per year</t>
  </si>
  <si>
    <t>TOTAL LABOR  BURDEN AND COST</t>
  </si>
  <si>
    <t>(A)</t>
  </si>
  <si>
    <t>(B)</t>
  </si>
  <si>
    <t>Review of storage tank inspection reports</t>
  </si>
  <si>
    <t>Review semiannual compliance reports</t>
  </si>
  <si>
    <t>Activity</t>
  </si>
  <si>
    <t>(A) EPA person-hours per occurrence</t>
  </si>
  <si>
    <t>(B) No. of occurrences per plant per year</t>
  </si>
  <si>
    <t>(C) EPA person hours per plant per year (AxB)</t>
  </si>
  <si>
    <r>
      <t xml:space="preserve">(D) Plants per year </t>
    </r>
    <r>
      <rPr>
        <b/>
        <vertAlign val="superscript"/>
        <sz val="10"/>
        <color theme="1"/>
        <rFont val="Times New Roman"/>
        <family val="1"/>
      </rPr>
      <t>a</t>
    </r>
    <r>
      <rPr>
        <b/>
        <sz val="10"/>
        <color theme="1"/>
        <rFont val="Times New Roman"/>
        <family val="1"/>
      </rPr>
      <t xml:space="preserve">  </t>
    </r>
  </si>
  <si>
    <t>(E) Technical person-hours per year (CxD)</t>
  </si>
  <si>
    <t>(F) Management person-hours per year (Ex0.05)</t>
  </si>
  <si>
    <t>(G) Clerical person-hours per year (Ex0.1)</t>
  </si>
  <si>
    <r>
      <t xml:space="preserve">(H) Cost, $ </t>
    </r>
    <r>
      <rPr>
        <b/>
        <vertAlign val="superscript"/>
        <sz val="10"/>
        <color theme="1"/>
        <rFont val="Times New Roman"/>
        <family val="1"/>
      </rPr>
      <t>b</t>
    </r>
  </si>
  <si>
    <t>Assumptions for Table 2:</t>
  </si>
  <si>
    <t>Non-routine reports</t>
  </si>
  <si>
    <t>Storage Tank Inspections (Annual Report)</t>
  </si>
  <si>
    <r>
      <rPr>
        <vertAlign val="superscript"/>
        <sz val="10"/>
        <color theme="1"/>
        <rFont val="Times New Roman"/>
        <family val="1"/>
      </rPr>
      <t xml:space="preserve">a </t>
    </r>
    <r>
      <rPr>
        <sz val="10"/>
        <color theme="1"/>
        <rFont val="Times New Roman"/>
        <family val="1"/>
      </rPr>
      <t>Number of activities per year is the sum of the number of applicable respondents from Tables 1.1 through 1.5.</t>
    </r>
  </si>
  <si>
    <r>
      <t>Review of other, non-routine reports</t>
    </r>
    <r>
      <rPr>
        <vertAlign val="superscript"/>
        <sz val="10"/>
        <color theme="1"/>
        <rFont val="Times New Roman"/>
        <family val="1"/>
      </rPr>
      <t>c</t>
    </r>
  </si>
  <si>
    <r>
      <rPr>
        <vertAlign val="superscript"/>
        <sz val="10"/>
        <color theme="1"/>
        <rFont val="Times New Roman"/>
        <family val="1"/>
      </rPr>
      <t xml:space="preserve">c </t>
    </r>
    <r>
      <rPr>
        <sz val="10"/>
        <color theme="1"/>
        <rFont val="Times New Roman"/>
        <family val="1"/>
      </rPr>
      <t>Assumed that 10 percent of affected facilities industry-wide will submit non-routine reports each year. (19,120 x 10% = 1,912)</t>
    </r>
  </si>
  <si>
    <t>Subtotal Recordkeeping [(e) - (g)]</t>
  </si>
  <si>
    <t>Subtotal Reporting [(h)]</t>
  </si>
  <si>
    <t>Subtotal Reporting [(g)]</t>
  </si>
  <si>
    <t>Subtotal Recordkeeping [(d) - (f)]</t>
  </si>
  <si>
    <t>Subtotal Reporting [(f)]</t>
  </si>
  <si>
    <t>Subtotal Recordkeeping [(d) - (e)]</t>
  </si>
  <si>
    <t>Subtotal Recordkeeping [(e) - (f)]</t>
  </si>
  <si>
    <t>Subtotal Reporting [(e)]</t>
  </si>
  <si>
    <t>Subtotal Recordkeeping [NA]</t>
  </si>
  <si>
    <r>
      <t xml:space="preserve">Table 1.1: Annual Respondent Burden and Cost – </t>
    </r>
    <r>
      <rPr>
        <b/>
        <sz val="12"/>
        <color theme="1"/>
        <rFont val="Times New Roman"/>
        <family val="1"/>
      </rPr>
      <t>NESHAP for Source Categories: Gasoline Distribution Bulk Terminals, Bulk Plants, Pipeline Facilities, and Gasoline Dispensing Facilities</t>
    </r>
    <r>
      <rPr>
        <b/>
        <sz val="12"/>
        <color rgb="FF000000"/>
        <rFont val="Times New Roman"/>
        <family val="1"/>
      </rPr>
      <t xml:space="preserve"> (40 CFR Part 63, Subparts BBBBBB and CCCCCC) </t>
    </r>
  </si>
  <si>
    <r>
      <t xml:space="preserve">Table 1.2: Annual Respondent Burden and Cost – </t>
    </r>
    <r>
      <rPr>
        <b/>
        <sz val="12"/>
        <color theme="1"/>
        <rFont val="Times New Roman"/>
        <family val="1"/>
      </rPr>
      <t>NESHAP for Source Categories: Gasoline Distribution Bulk Terminals, Bulk Plants, Pipeline Facilities, and Gasoline Dispensing Facilities</t>
    </r>
    <r>
      <rPr>
        <b/>
        <sz val="12"/>
        <color rgb="FF000000"/>
        <rFont val="Times New Roman"/>
        <family val="1"/>
      </rPr>
      <t xml:space="preserve"> (40 CFR Part 63, Subparts BBBBBB and CCCCCC) (Renewal)</t>
    </r>
  </si>
  <si>
    <r>
      <t xml:space="preserve">Table 1.3: Annual Respondent Burden and Cost – </t>
    </r>
    <r>
      <rPr>
        <b/>
        <sz val="12"/>
        <color theme="1"/>
        <rFont val="Times New Roman"/>
        <family val="1"/>
      </rPr>
      <t>NESHAP for Source Categories: Gasoline Distribution Bulk Terminals, Bulk Plants, Pipeline Facilities, and Gasoline Dispensing Facilities</t>
    </r>
    <r>
      <rPr>
        <b/>
        <sz val="12"/>
        <color rgb="FF000000"/>
        <rFont val="Times New Roman"/>
        <family val="1"/>
      </rPr>
      <t xml:space="preserve"> (40 CFR Part 63, Subparts BBBBBB and CCCCCC) (Renewal)</t>
    </r>
  </si>
  <si>
    <r>
      <t xml:space="preserve">Table 1.4: Annual Respondent Burden and Cost – </t>
    </r>
    <r>
      <rPr>
        <b/>
        <sz val="12"/>
        <color theme="1"/>
        <rFont val="Times New Roman"/>
        <family val="1"/>
      </rPr>
      <t>NESHAP for Source Categories: Gasoline Distribution Bulk Terminals, Bulk Plants, Pipeline Facilities, and Gasoline Dispensing Facilities</t>
    </r>
    <r>
      <rPr>
        <b/>
        <sz val="12"/>
        <color rgb="FF000000"/>
        <rFont val="Times New Roman"/>
        <family val="1"/>
      </rPr>
      <t xml:space="preserve"> (40 CFR Part 63, Subparts BBBBBB and CCCCCC) (Renewal)</t>
    </r>
  </si>
  <si>
    <r>
      <t xml:space="preserve">Table 1.5: Annual Respondent Burden and Cost – </t>
    </r>
    <r>
      <rPr>
        <b/>
        <sz val="12"/>
        <color theme="1"/>
        <rFont val="Times New Roman"/>
        <family val="1"/>
      </rPr>
      <t>NESHAP for Source Categories: Gasoline Distribution Bulk Terminals, Bulk Plants, Pipeline Facilities, and Gasoline Dispensing Facilities</t>
    </r>
    <r>
      <rPr>
        <b/>
        <sz val="12"/>
        <color rgb="FF000000"/>
        <rFont val="Times New Roman"/>
        <family val="1"/>
      </rPr>
      <t xml:space="preserve"> (40 CFR Part 63, Subparts BBBBBB and CCCCCC) (Renewal)</t>
    </r>
  </si>
  <si>
    <r>
      <t xml:space="preserve">Table 1.6: Annual Respondent Burden and Cost – </t>
    </r>
    <r>
      <rPr>
        <b/>
        <sz val="12"/>
        <color theme="1"/>
        <rFont val="Times New Roman"/>
        <family val="1"/>
      </rPr>
      <t>NESHAP for Source Categories: Gasoline Distribution Bulk Terminals, Bulk Plants, Pipeline Facilities, and Gasoline Dispensing Facilities</t>
    </r>
    <r>
      <rPr>
        <b/>
        <sz val="12"/>
        <color rgb="FF000000"/>
        <rFont val="Times New Roman"/>
        <family val="1"/>
      </rPr>
      <t xml:space="preserve"> (40 CFR Part 63, Subparts BBBBBB and CCCCCC) (Renewal)</t>
    </r>
  </si>
  <si>
    <t>Table 2: Average Annual EPA Burden and Cost – NESHAP for Source Categories: Gasoline Distribution Bulk Terminals, Bulk Plants, Pipeline Facilities, and Gasoline Dispensing Facilities (40 CFR Part 63, Subparts BBBBBB and CCCCCC) (Renewal)</t>
  </si>
  <si>
    <t xml:space="preserve">Table 1: NESHAP for Source Categories: Gasoline Distribution Bulk Terminals, Bulk Plants, Pipeline Facilities, and Gasoline Dispensing Facilities (40 CFR Part 63, Subparts BBBBBB and CCCCCC) </t>
  </si>
  <si>
    <t>Sector</t>
  </si>
  <si>
    <t>Burden Hours</t>
  </si>
  <si>
    <t>Labor Cost</t>
  </si>
  <si>
    <t>Bulk Terminals</t>
  </si>
  <si>
    <t>Pipeline Breakout Stations</t>
  </si>
  <si>
    <t>Pipeline Pumping Stations</t>
  </si>
  <si>
    <t>Bulk Plants</t>
  </si>
  <si>
    <t>Gasoline Dispensing Facilities</t>
  </si>
  <si>
    <r>
      <t>TOTAL LABOR BURDEN AND COST (rounded)</t>
    </r>
    <r>
      <rPr>
        <vertAlign val="superscript"/>
        <sz val="10"/>
        <color rgb="FF000000"/>
        <rFont val="Times New Roman"/>
        <family val="1"/>
      </rPr>
      <t>e</t>
    </r>
  </si>
  <si>
    <r>
      <t>TOTAL CAPITAL AND O&amp;M COST (rounded)</t>
    </r>
    <r>
      <rPr>
        <vertAlign val="superscript"/>
        <sz val="10"/>
        <color theme="1"/>
        <rFont val="Times New Roman"/>
        <family val="1"/>
      </rPr>
      <t>e</t>
    </r>
  </si>
  <si>
    <r>
      <t xml:space="preserve">e </t>
    </r>
    <r>
      <rPr>
        <sz val="10"/>
        <color theme="1"/>
        <rFont val="Times New Roman"/>
        <family val="1"/>
      </rPr>
      <t>Totals have been rounded to 3 significant figures. Figures may not add exactly due to rounding.</t>
    </r>
  </si>
  <si>
    <r>
      <t>GRAND TOTAL (rounded)</t>
    </r>
    <r>
      <rPr>
        <b/>
        <vertAlign val="superscript"/>
        <sz val="8"/>
        <color theme="1"/>
        <rFont val="Times New Roman"/>
        <family val="1"/>
      </rPr>
      <t>e</t>
    </r>
  </si>
  <si>
    <r>
      <t>GRAND TOTAL (rounded)</t>
    </r>
    <r>
      <rPr>
        <b/>
        <vertAlign val="superscript"/>
        <sz val="8"/>
        <color theme="1"/>
        <rFont val="Times New Roman"/>
        <family val="1"/>
      </rPr>
      <t>f</t>
    </r>
  </si>
  <si>
    <r>
      <t>f</t>
    </r>
    <r>
      <rPr>
        <sz val="11"/>
        <color theme="1"/>
        <rFont val="Calibri"/>
        <family val="2"/>
        <scheme val="minor"/>
      </rPr>
      <t xml:space="preserve"> </t>
    </r>
    <r>
      <rPr>
        <sz val="10"/>
        <color theme="1"/>
        <rFont val="Times New Roman"/>
        <family val="1"/>
      </rPr>
      <t>Totals have been rounded to 3 significant figures. Figures may not add exactly due to rounding.</t>
    </r>
  </si>
  <si>
    <r>
      <t>TOTAL LABOR  BURDEN AND COST (rounded)</t>
    </r>
    <r>
      <rPr>
        <b/>
        <vertAlign val="superscript"/>
        <sz val="10"/>
        <rFont val="Times New Roman"/>
        <family val="1"/>
      </rPr>
      <t>d</t>
    </r>
  </si>
  <si>
    <r>
      <rPr>
        <vertAlign val="superscript"/>
        <sz val="10"/>
        <color theme="1"/>
        <rFont val="Times New Roman"/>
        <family val="1"/>
      </rPr>
      <t>d</t>
    </r>
    <r>
      <rPr>
        <sz val="10"/>
        <color theme="1"/>
        <rFont val="Times New Roman"/>
        <family val="1"/>
      </rPr>
      <t xml:space="preserve"> Totals have been rounded to 3 significant figures. Figures may not add exactly due to rounding.</t>
    </r>
  </si>
  <si>
    <t>June 2017:</t>
  </si>
  <si>
    <t>(g) Keep records of performance tests, storage tank and equipment leak inspections, and cargo tank vapor  tightness documentation</t>
  </si>
  <si>
    <r>
      <t>GRAND TOTAL (rounded)</t>
    </r>
    <r>
      <rPr>
        <b/>
        <vertAlign val="superscript"/>
        <sz val="10"/>
        <color theme="1"/>
        <rFont val="Times New Roman"/>
        <family val="1"/>
      </rPr>
      <t>e</t>
    </r>
  </si>
  <si>
    <r>
      <t>TOTAL LABOR BURDEN AND COST (rounded)</t>
    </r>
    <r>
      <rPr>
        <vertAlign val="superscript"/>
        <sz val="8"/>
        <color rgb="FF000000"/>
        <rFont val="Times New Roman"/>
        <family val="1"/>
      </rPr>
      <t>f</t>
    </r>
  </si>
  <si>
    <r>
      <t>TOTAL CAPITAL AND O&amp;M COST (rounded)</t>
    </r>
    <r>
      <rPr>
        <vertAlign val="superscript"/>
        <sz val="8"/>
        <color theme="1"/>
        <rFont val="Times New Roman"/>
        <family val="1"/>
      </rPr>
      <t>f</t>
    </r>
  </si>
  <si>
    <r>
      <t>TOTAL LABOR BURDEN AND COST (rounded)</t>
    </r>
    <r>
      <rPr>
        <vertAlign val="superscript"/>
        <sz val="8"/>
        <color rgb="FF000000"/>
        <rFont val="Times New Roman"/>
        <family val="1"/>
      </rPr>
      <t>e</t>
    </r>
  </si>
  <si>
    <r>
      <t>TOTAL CAPITAL AND O&amp;M COST (rounded)</t>
    </r>
    <r>
      <rPr>
        <vertAlign val="superscript"/>
        <sz val="8"/>
        <color theme="1"/>
        <rFont val="Times New Roman"/>
        <family val="1"/>
      </rPr>
      <t>e</t>
    </r>
  </si>
  <si>
    <r>
      <rPr>
        <vertAlign val="superscript"/>
        <sz val="10"/>
        <color theme="1"/>
        <rFont val="Times New Roman"/>
        <family val="1"/>
      </rPr>
      <t>a</t>
    </r>
    <r>
      <rPr>
        <sz val="7"/>
        <color theme="1"/>
        <rFont val="Times New Roman"/>
        <family val="1"/>
      </rPr>
      <t> </t>
    </r>
    <r>
      <rPr>
        <sz val="10"/>
        <color theme="1"/>
        <rFont val="Times New Roman"/>
        <family val="1"/>
      </rPr>
      <t xml:space="preserve">We expect no new affected sources the next 3 years of this ICR.  Of the total 340,000 facilities, 243,587 facilities with throughputs of &lt;100,000 gpm that are complying with a SLT submerged fill requirement, and for the 85,340 facilities with throughputs of &gt;100,000 gpm that are complying with a state (SLT) vapor balancing requirement, there are no other reporting or recordkeeping requirements associated with this rule for this ICR.   Therefore, the estimated number of respondents with recordkeeping and reporting requirements remains unchanged from the previous ICR as 11,073 gasoline dispensing facilities, of which 9,860 install vapor balance system and 1,213 must add submerged filled as a result of this rulemaking. </t>
    </r>
  </si>
  <si>
    <t>(c) Initial vapor balance system testing</t>
  </si>
  <si>
    <r>
      <t xml:space="preserve"> (e) Vapor balance system testing </t>
    </r>
    <r>
      <rPr>
        <vertAlign val="superscript"/>
        <sz val="8"/>
        <color theme="1"/>
        <rFont val="Times New Roman"/>
        <family val="1"/>
      </rPr>
      <t>d</t>
    </r>
  </si>
  <si>
    <r>
      <t xml:space="preserve">a </t>
    </r>
    <r>
      <rPr>
        <sz val="10"/>
        <color theme="1"/>
        <rFont val="Times New Roman"/>
        <family val="1"/>
      </rPr>
      <t>Totals have been rounded to 3 significant figures. Figures may not add exactly due to rounding.</t>
    </r>
  </si>
  <si>
    <r>
      <t>GRAND TOTAL (Rounded)</t>
    </r>
    <r>
      <rPr>
        <b/>
        <vertAlign val="superscript"/>
        <sz val="10"/>
        <rFont val="Times New Roman"/>
        <family val="1"/>
      </rPr>
      <t>a</t>
    </r>
  </si>
  <si>
    <r>
      <t>TOTAL CAPITAL AND O&amp;M COST(Rounded)</t>
    </r>
    <r>
      <rPr>
        <b/>
        <vertAlign val="superscript"/>
        <sz val="10"/>
        <rFont val="Times New Roman"/>
        <family val="1"/>
      </rPr>
      <t>a</t>
    </r>
  </si>
  <si>
    <r>
      <t>TOTAL LABOR  BURDEN AND COST (Rounded)</t>
    </r>
    <r>
      <rPr>
        <b/>
        <vertAlign val="superscript"/>
        <sz val="10"/>
        <rFont val="Times New Roman"/>
        <family val="1"/>
      </rPr>
      <t>a</t>
    </r>
  </si>
  <si>
    <t>2017:</t>
  </si>
  <si>
    <t>Total Cost (Labor + O&amp;M)</t>
  </si>
  <si>
    <t>Capital/Startup vs. Operation and Maintenance (O&amp;M) Costs</t>
  </si>
  <si>
    <t>Continuous Monitoring Device</t>
  </si>
  <si>
    <t>Capital/Startup Cost for One Respondent</t>
  </si>
  <si>
    <t xml:space="preserve">Number of New Respondents </t>
  </si>
  <si>
    <t>Total Capital/Startup Cost,  (B X C)</t>
  </si>
  <si>
    <t>Annual O&amp;M Costs for One Respondent</t>
  </si>
  <si>
    <t>(F)</t>
  </si>
  <si>
    <t>Number of Respondents  with O&amp;M</t>
  </si>
  <si>
    <t>(G)</t>
  </si>
  <si>
    <t>Total O&amp;M,</t>
  </si>
  <si>
    <t>(E X F)</t>
  </si>
  <si>
    <t>CPMS for  vapor processors</t>
  </si>
  <si>
    <t>110 ( 10% of Bulk Terminals)</t>
  </si>
  <si>
    <r>
      <rPr>
        <vertAlign val="superscript"/>
        <sz val="10"/>
        <color theme="1"/>
        <rFont val="Times New Roman"/>
        <family val="1"/>
      </rPr>
      <t>b</t>
    </r>
    <r>
      <rPr>
        <sz val="10"/>
        <color theme="1"/>
        <rFont val="Times New Roman"/>
        <family val="1"/>
      </rPr>
      <t xml:space="preserve"> This ICR uses the following labor rates: $149.35 per hour for Executive, Administrative, and Managerial labor; $112.98 per hour for Technical labor, and $54.81 per hour for Clerical labor.  These rates are from the United States Department of Labor, Bureau of Labor Statistics, </t>
    </r>
    <r>
      <rPr>
        <sz val="10"/>
        <rFont val="Times New Roman"/>
        <family val="1"/>
      </rPr>
      <t>June 2017</t>
    </r>
    <r>
      <rPr>
        <sz val="10"/>
        <color theme="1"/>
        <rFont val="Times New Roman"/>
        <family val="1"/>
      </rPr>
      <t>, “Table 2: Civilian Workers, by Occupational and Industry group.”  The rates are from column 1, “Total Compensation.”  The rates have been increased by 110% to account for the benefit packages available to those employed by private industry.</t>
    </r>
  </si>
  <si>
    <r>
      <rPr>
        <vertAlign val="superscript"/>
        <sz val="10"/>
        <color theme="1"/>
        <rFont val="Times New Roman"/>
        <family val="1"/>
      </rPr>
      <t>c</t>
    </r>
    <r>
      <rPr>
        <sz val="10"/>
        <color theme="1"/>
        <rFont val="Times New Roman"/>
        <family val="1"/>
      </rPr>
      <t xml:space="preserve"> Preparing Initial Notification, performing initial performance test, and preparing Notification of Compliance Status are one-time activities.  </t>
    </r>
  </si>
  <si>
    <t>(a) Familiarization with rule requirements</t>
  </si>
  <si>
    <r>
      <rPr>
        <vertAlign val="superscript"/>
        <sz val="10"/>
        <rFont val="Times New Roman"/>
        <family val="1"/>
      </rPr>
      <t>b</t>
    </r>
    <r>
      <rPr>
        <sz val="10"/>
        <rFont val="Times New Roman"/>
        <family val="1"/>
      </rPr>
      <t xml:space="preserve"> This ICR uses the following labor rates: $149.35 per hour for Executive, Administrative, and Managerial labor; $112.98 per hour for Technical labor, and $54.81 per hour for Clerical labor.  These rates are from the United States Department of Labor, Bureau of Labor Statistics, June 2017, “Table 2: Civilian Workers, by Occupational and Industry group.”  The rates are from column 1, “Total Compensation.”  The rates have been increased by 110% to account for the benefit packages available to those employed by private industry.</t>
    </r>
  </si>
  <si>
    <r>
      <rPr>
        <vertAlign val="superscript"/>
        <sz val="10"/>
        <color theme="1"/>
        <rFont val="Times New Roman"/>
        <family val="1"/>
      </rPr>
      <t>c</t>
    </r>
    <r>
      <rPr>
        <sz val="10"/>
        <color theme="1"/>
        <rFont val="Times New Roman"/>
        <family val="1"/>
      </rPr>
      <t xml:space="preserve"> Preparing Initial Notification, and preparing Notification of Compliance Status are one-time activities.  Note: 25% of the respondents are in States without bulk plant rules and 75% are in States with rules.</t>
    </r>
  </si>
  <si>
    <r>
      <rPr>
        <vertAlign val="superscript"/>
        <sz val="10"/>
        <color theme="1"/>
        <rFont val="Times New Roman"/>
        <family val="1"/>
      </rPr>
      <t>c</t>
    </r>
    <r>
      <rPr>
        <sz val="10"/>
        <color theme="1"/>
        <rFont val="Times New Roman"/>
        <family val="1"/>
      </rPr>
      <t xml:space="preserve"> Preparing Initial Notification, conducting an initial vapor balance system test, and preparing Notification of Compliance Status are one-time activities.  </t>
    </r>
  </si>
  <si>
    <t xml:space="preserve">(a)  Familiarization with rule requirements (facilities &gt;100k already in compliance) </t>
  </si>
  <si>
    <t>(b)  Familiarization with rule requirements (facilities &lt;100k already in compliance)</t>
  </si>
  <si>
    <t>(a)  Familiarization with rule requirements (in States without submerged fill rules)</t>
  </si>
  <si>
    <t>(b)  Familiarization with rule requirements (in States with submerged fill rules)</t>
  </si>
  <si>
    <t>(a)  Familiarization with rule requirements</t>
  </si>
  <si>
    <r>
      <rPr>
        <vertAlign val="superscript"/>
        <sz val="10"/>
        <rFont val="Times New Roman"/>
        <family val="1"/>
      </rPr>
      <t xml:space="preserve">b </t>
    </r>
    <r>
      <rPr>
        <sz val="10"/>
        <rFont val="Times New Roman"/>
        <family val="1"/>
      </rPr>
      <t xml:space="preserve">This cost is based on the average hourly labor rate from the Office of Personnel Management (OPM) “2017 General Schedule” which excludes locality rates of pay.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</si>
</sst>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quot;$&quot;#,##0.00"/>
    <numFmt numFmtId="165" formatCode="#,##0.0"/>
    <numFmt numFmtId="166" formatCode="&quot;$&quot;#,##0"/>
    <numFmt numFmtId="167" formatCode="0.0"/>
  </numFmts>
  <fonts count="41" x14ac:knownFonts="1">
    <font>
      <sz val="11"/>
      <color theme="1"/>
      <name val="Calibri"/>
      <family val="2"/>
      <scheme val="minor"/>
    </font>
    <font>
      <sz val="11"/>
      <color rgb="FFFF0000"/>
      <name val="Calibri"/>
      <family val="2"/>
      <scheme val="minor"/>
    </font>
    <font>
      <sz val="12"/>
      <color theme="1"/>
      <name val="Times New Roman"/>
      <family val="1"/>
    </font>
    <font>
      <b/>
      <sz val="8"/>
      <color theme="1"/>
      <name val="Times New Roman"/>
      <family val="1"/>
    </font>
    <font>
      <i/>
      <sz val="8"/>
      <color theme="1"/>
      <name val="Times New Roman"/>
      <family val="1"/>
    </font>
    <font>
      <sz val="10"/>
      <color theme="1"/>
      <name val="Arial"/>
      <family val="2"/>
    </font>
    <font>
      <sz val="8"/>
      <color theme="1"/>
      <name val="Times New Roman"/>
      <family val="1"/>
    </font>
    <font>
      <sz val="8"/>
      <color rgb="FFFF0000"/>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sz val="8"/>
      <name val="Times New Roman"/>
      <family val="1"/>
    </font>
    <font>
      <b/>
      <u/>
      <sz val="10"/>
      <color theme="1"/>
      <name val="Times New Roman"/>
      <family val="1"/>
    </font>
    <font>
      <sz val="7"/>
      <color theme="1"/>
      <name val="Times New Roman"/>
      <family val="1"/>
    </font>
    <font>
      <sz val="8"/>
      <color theme="1"/>
      <name val="Arial"/>
      <family val="2"/>
    </font>
    <font>
      <b/>
      <sz val="11"/>
      <color theme="1"/>
      <name val="Calibri"/>
      <family val="2"/>
      <scheme val="minor"/>
    </font>
    <font>
      <vertAlign val="superscript"/>
      <sz val="8"/>
      <color theme="1"/>
      <name val="Times New Roman"/>
      <family val="1"/>
    </font>
    <font>
      <sz val="9"/>
      <color indexed="81"/>
      <name val="Tahoma"/>
      <family val="2"/>
    </font>
    <font>
      <b/>
      <sz val="9"/>
      <color indexed="81"/>
      <name val="Tahoma"/>
      <family val="2"/>
    </font>
    <font>
      <vertAlign val="superscript"/>
      <sz val="10"/>
      <color theme="1"/>
      <name val="Times New Roman"/>
      <family val="1"/>
    </font>
    <font>
      <vertAlign val="superscript"/>
      <sz val="10"/>
      <color theme="1"/>
      <name val="Arial"/>
      <family val="2"/>
    </font>
    <font>
      <vertAlign val="superscript"/>
      <sz val="8"/>
      <color theme="1"/>
      <name val="Arial"/>
      <family val="2"/>
    </font>
    <font>
      <b/>
      <sz val="16"/>
      <color theme="1"/>
      <name val="Calibri"/>
      <family val="2"/>
      <scheme val="minor"/>
    </font>
    <font>
      <sz val="11"/>
      <color theme="1"/>
      <name val="Times New Roman"/>
      <family val="1"/>
    </font>
    <font>
      <b/>
      <i/>
      <sz val="10"/>
      <name val="Times New Roman"/>
      <family val="1"/>
    </font>
    <font>
      <b/>
      <sz val="10"/>
      <name val="Times New Roman"/>
      <family val="1"/>
    </font>
    <font>
      <b/>
      <i/>
      <sz val="8"/>
      <color theme="1"/>
      <name val="Times New Roman"/>
      <family val="1"/>
    </font>
    <font>
      <b/>
      <sz val="12"/>
      <color rgb="FF000000"/>
      <name val="Times New Roman"/>
      <family val="1"/>
    </font>
    <font>
      <b/>
      <sz val="12"/>
      <color theme="1"/>
      <name val="Times New Roman"/>
      <family val="1"/>
    </font>
    <font>
      <b/>
      <sz val="10"/>
      <color rgb="FF000000"/>
      <name val="Times New Roman"/>
      <family val="1"/>
    </font>
    <font>
      <vertAlign val="superscript"/>
      <sz val="10"/>
      <color rgb="FF000000"/>
      <name val="Times New Roman"/>
      <family val="1"/>
    </font>
    <font>
      <sz val="10"/>
      <color rgb="FF000000"/>
      <name val="Times New Roman"/>
      <family val="1"/>
    </font>
    <font>
      <b/>
      <vertAlign val="superscript"/>
      <sz val="8"/>
      <color theme="1"/>
      <name val="Times New Roman"/>
      <family val="1"/>
    </font>
    <font>
      <vertAlign val="superscript"/>
      <sz val="11"/>
      <color theme="1"/>
      <name val="Calibri"/>
      <family val="2"/>
      <scheme val="minor"/>
    </font>
    <font>
      <b/>
      <vertAlign val="superscript"/>
      <sz val="10"/>
      <name val="Times New Roman"/>
      <family val="1"/>
    </font>
    <font>
      <b/>
      <sz val="8"/>
      <color rgb="FF000000"/>
      <name val="Times New Roman"/>
      <family val="1"/>
    </font>
    <font>
      <vertAlign val="superscript"/>
      <sz val="8"/>
      <color rgb="FF000000"/>
      <name val="Times New Roman"/>
      <family val="1"/>
    </font>
    <font>
      <sz val="10"/>
      <name val="Times New Roman"/>
      <family val="1"/>
    </font>
    <font>
      <sz val="12"/>
      <color rgb="FF000000"/>
      <name val="Times New Roman"/>
      <family val="1"/>
    </font>
    <font>
      <vertAlign val="superscript"/>
      <sz val="10"/>
      <name val="Times New Roman"/>
      <family val="1"/>
    </font>
    <font>
      <sz val="11"/>
      <name val="Calibri"/>
      <family val="2"/>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FFFFFF"/>
      </bottom>
      <diagonal/>
    </border>
    <border>
      <left/>
      <right/>
      <top/>
      <bottom style="medium">
        <color rgb="FFFFFFFF"/>
      </bottom>
      <diagonal/>
    </border>
    <border>
      <left/>
      <right style="medium">
        <color rgb="FF000000"/>
      </right>
      <top/>
      <bottom style="medium">
        <color rgb="FFFFFFFF"/>
      </bottom>
      <diagonal/>
    </border>
    <border>
      <left style="medium">
        <color rgb="FF000000"/>
      </left>
      <right style="medium">
        <color rgb="FFFFFFFF"/>
      </right>
      <top/>
      <bottom style="medium">
        <color rgb="FF000000"/>
      </bottom>
      <diagonal/>
    </border>
    <border>
      <left style="medium">
        <color rgb="FF000000"/>
      </left>
      <right style="medium">
        <color rgb="FFFFFFFF"/>
      </right>
      <top/>
      <bottom/>
      <diagonal/>
    </border>
    <border>
      <left/>
      <right style="medium">
        <color rgb="FFFFFFFF"/>
      </right>
      <top/>
      <bottom style="medium">
        <color rgb="FF000000"/>
      </bottom>
      <diagonal/>
    </border>
    <border>
      <left/>
      <right style="medium">
        <color rgb="FFFFFFFF"/>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s>
  <cellStyleXfs count="1">
    <xf numFmtId="0" fontId="0" fillId="0" borderId="0"/>
  </cellStyleXfs>
  <cellXfs count="200">
    <xf numFmtId="0" fontId="0" fillId="0" borderId="0" xfId="0"/>
    <xf numFmtId="3" fontId="0" fillId="0" borderId="0" xfId="0" applyNumberFormat="1"/>
    <xf numFmtId="0" fontId="15" fillId="0" borderId="5" xfId="0" applyFont="1" applyBorder="1"/>
    <xf numFmtId="0" fontId="22" fillId="0" borderId="0" xfId="0" applyFont="1"/>
    <xf numFmtId="0" fontId="25" fillId="0" borderId="1" xfId="0" applyFont="1" applyFill="1" applyBorder="1" applyAlignment="1">
      <alignment horizontal="center" vertical="center" wrapText="1"/>
    </xf>
    <xf numFmtId="3" fontId="11" fillId="0" borderId="1" xfId="0" applyNumberFormat="1" applyFont="1" applyFill="1" applyBorder="1" applyAlignment="1">
      <alignment horizontal="center"/>
    </xf>
    <xf numFmtId="0" fontId="9" fillId="0" borderId="1" xfId="0" applyFont="1" applyFill="1" applyBorder="1" applyAlignment="1">
      <alignment vertical="top"/>
    </xf>
    <xf numFmtId="0" fontId="3" fillId="0" borderId="1" xfId="0" applyFont="1" applyFill="1" applyBorder="1" applyAlignment="1">
      <alignment vertical="top"/>
    </xf>
    <xf numFmtId="0" fontId="0" fillId="0" borderId="0" xfId="0" applyFill="1"/>
    <xf numFmtId="0" fontId="27" fillId="0" borderId="14" xfId="0" applyFont="1" applyBorder="1" applyAlignment="1">
      <alignment vertical="center" wrapText="1"/>
    </xf>
    <xf numFmtId="0" fontId="31" fillId="0" borderId="14" xfId="0" applyFont="1" applyBorder="1" applyAlignment="1">
      <alignment horizontal="center" vertical="center" wrapText="1"/>
    </xf>
    <xf numFmtId="0" fontId="31" fillId="0" borderId="14" xfId="0" applyFont="1" applyBorder="1" applyAlignment="1">
      <alignment vertical="center" wrapText="1"/>
    </xf>
    <xf numFmtId="0" fontId="0" fillId="0" borderId="13" xfId="0" applyBorder="1" applyAlignment="1">
      <alignment vertical="top" wrapText="1"/>
    </xf>
    <xf numFmtId="0" fontId="31" fillId="0" borderId="16" xfId="0" applyFont="1" applyBorder="1" applyAlignment="1">
      <alignment vertical="center" wrapText="1"/>
    </xf>
    <xf numFmtId="0" fontId="31" fillId="0" borderId="16" xfId="0" applyFont="1" applyBorder="1" applyAlignment="1">
      <alignment horizontal="center" vertical="center" wrapText="1"/>
    </xf>
    <xf numFmtId="0" fontId="0" fillId="0" borderId="15" xfId="0" applyBorder="1" applyAlignment="1">
      <alignment vertical="top" wrapText="1"/>
    </xf>
    <xf numFmtId="0" fontId="31" fillId="0" borderId="18" xfId="0" applyFont="1" applyBorder="1" applyAlignment="1">
      <alignment vertical="center" wrapText="1"/>
    </xf>
    <xf numFmtId="0" fontId="31" fillId="0" borderId="18" xfId="0" applyFont="1" applyBorder="1" applyAlignment="1">
      <alignment horizontal="center" vertical="center" wrapText="1"/>
    </xf>
    <xf numFmtId="0" fontId="31" fillId="0" borderId="17" xfId="0" applyFont="1" applyBorder="1" applyAlignment="1">
      <alignment vertical="center" wrapText="1"/>
    </xf>
    <xf numFmtId="0" fontId="31" fillId="0" borderId="20" xfId="0" applyFont="1" applyBorder="1" applyAlignment="1">
      <alignment vertical="center" wrapText="1"/>
    </xf>
    <xf numFmtId="0" fontId="8" fillId="0" borderId="19" xfId="0" applyFont="1" applyBorder="1" applyAlignment="1">
      <alignment vertical="center" wrapText="1"/>
    </xf>
    <xf numFmtId="6" fontId="31" fillId="0" borderId="17" xfId="0" applyNumberFormat="1" applyFont="1" applyBorder="1" applyAlignment="1">
      <alignment horizontal="center" vertical="center" wrapText="1"/>
    </xf>
    <xf numFmtId="0" fontId="31" fillId="0" borderId="17" xfId="0" applyFont="1" applyBorder="1" applyAlignment="1">
      <alignment horizontal="center" vertical="center" wrapText="1"/>
    </xf>
    <xf numFmtId="3" fontId="6" fillId="0" borderId="1" xfId="0" applyNumberFormat="1" applyFont="1" applyFill="1" applyBorder="1" applyAlignment="1">
      <alignment horizontal="center"/>
    </xf>
    <xf numFmtId="0" fontId="27" fillId="0" borderId="0" xfId="0" applyFont="1" applyFill="1"/>
    <xf numFmtId="0" fontId="1" fillId="0" borderId="0" xfId="0" applyFont="1" applyFill="1"/>
    <xf numFmtId="0" fontId="9" fillId="0" borderId="1" xfId="0" applyFont="1" applyFill="1" applyBorder="1" applyAlignment="1">
      <alignment horizontal="center" vertical="center" wrapText="1"/>
    </xf>
    <xf numFmtId="0" fontId="4" fillId="0" borderId="1" xfId="0" applyFont="1" applyFill="1" applyBorder="1" applyAlignment="1">
      <alignment vertical="top"/>
    </xf>
    <xf numFmtId="0" fontId="0" fillId="0" borderId="1" xfId="0" applyFill="1" applyBorder="1" applyAlignment="1"/>
    <xf numFmtId="0" fontId="5" fillId="0" borderId="1" xfId="0" applyFont="1" applyFill="1" applyBorder="1" applyAlignment="1">
      <alignment horizontal="center"/>
    </xf>
    <xf numFmtId="0" fontId="6" fillId="0" borderId="1" xfId="0" applyFont="1" applyFill="1" applyBorder="1" applyAlignment="1">
      <alignment vertical="top"/>
    </xf>
    <xf numFmtId="0" fontId="6" fillId="0" borderId="1" xfId="0" applyFont="1" applyFill="1" applyBorder="1" applyAlignment="1">
      <alignment horizontal="center"/>
    </xf>
    <xf numFmtId="164" fontId="11" fillId="0" borderId="1" xfId="0" applyNumberFormat="1" applyFont="1" applyFill="1" applyBorder="1" applyAlignment="1">
      <alignment horizontal="right"/>
    </xf>
    <xf numFmtId="0" fontId="6" fillId="0" borderId="1" xfId="0" applyFont="1" applyFill="1" applyBorder="1" applyAlignment="1">
      <alignment horizontal="right"/>
    </xf>
    <xf numFmtId="0" fontId="11" fillId="0" borderId="1" xfId="0" applyFont="1" applyFill="1" applyBorder="1" applyAlignment="1">
      <alignment horizontal="center"/>
    </xf>
    <xf numFmtId="0" fontId="15" fillId="0" borderId="0" xfId="0" applyFont="1" applyFill="1"/>
    <xf numFmtId="0" fontId="6" fillId="0" borderId="1" xfId="0" applyFont="1" applyFill="1" applyBorder="1" applyAlignment="1">
      <alignment vertical="top" wrapText="1"/>
    </xf>
    <xf numFmtId="0" fontId="26" fillId="0" borderId="1" xfId="0" applyFont="1" applyFill="1" applyBorder="1" applyAlignment="1">
      <alignment vertical="top"/>
    </xf>
    <xf numFmtId="166" fontId="11" fillId="0" borderId="1" xfId="0" applyNumberFormat="1" applyFont="1" applyFill="1" applyBorder="1" applyAlignment="1">
      <alignment horizontal="right"/>
    </xf>
    <xf numFmtId="0" fontId="35" fillId="0" borderId="4" xfId="0" applyFont="1" applyFill="1" applyBorder="1"/>
    <xf numFmtId="166" fontId="3" fillId="0" borderId="1" xfId="0" applyNumberFormat="1" applyFont="1" applyFill="1" applyBorder="1" applyAlignment="1">
      <alignment horizontal="right"/>
    </xf>
    <xf numFmtId="0" fontId="3" fillId="0" borderId="6" xfId="0" applyFont="1" applyFill="1" applyBorder="1" applyAlignment="1">
      <alignment vertical="center" wrapText="1"/>
    </xf>
    <xf numFmtId="166" fontId="35" fillId="0" borderId="1" xfId="0" applyNumberFormat="1" applyFont="1" applyFill="1" applyBorder="1"/>
    <xf numFmtId="166" fontId="3" fillId="0" borderId="1" xfId="0" applyNumberFormat="1" applyFont="1" applyFill="1" applyBorder="1"/>
    <xf numFmtId="0" fontId="12" fillId="0" borderId="0" xfId="0" applyFont="1" applyFill="1"/>
    <xf numFmtId="3" fontId="0" fillId="0" borderId="0" xfId="0" applyNumberFormat="1" applyFill="1"/>
    <xf numFmtId="0" fontId="8" fillId="0" borderId="0" xfId="0" applyFont="1" applyFill="1" applyAlignment="1">
      <alignment horizontal="left"/>
    </xf>
    <xf numFmtId="0" fontId="8" fillId="0" borderId="0" xfId="0" applyFont="1" applyFill="1" applyAlignment="1">
      <alignment vertical="top" wrapText="1"/>
    </xf>
    <xf numFmtId="0" fontId="5" fillId="0" borderId="0" xfId="0" applyFont="1" applyFill="1" applyAlignment="1">
      <alignment horizontal="left"/>
    </xf>
    <xf numFmtId="0" fontId="19" fillId="0" borderId="0" xfId="0" applyFont="1" applyFill="1" applyAlignment="1">
      <alignment horizontal="left"/>
    </xf>
    <xf numFmtId="0" fontId="0" fillId="0" borderId="1" xfId="0" applyFill="1" applyBorder="1"/>
    <xf numFmtId="0" fontId="0" fillId="0" borderId="0" xfId="0" applyFill="1" applyAlignment="1"/>
    <xf numFmtId="164" fontId="6" fillId="0" borderId="1" xfId="0" applyNumberFormat="1" applyFont="1" applyFill="1" applyBorder="1" applyAlignment="1">
      <alignment horizontal="right"/>
    </xf>
    <xf numFmtId="0" fontId="15" fillId="0" borderId="0" xfId="0" applyFont="1" applyFill="1" applyBorder="1"/>
    <xf numFmtId="0" fontId="0" fillId="0" borderId="0" xfId="0" applyFill="1" applyBorder="1"/>
    <xf numFmtId="0" fontId="3" fillId="0" borderId="0" xfId="0" applyFont="1" applyFill="1" applyBorder="1" applyAlignment="1">
      <alignment horizontal="center" vertical="top" wrapText="1"/>
    </xf>
    <xf numFmtId="0" fontId="0" fillId="0" borderId="0" xfId="0" applyFill="1" applyBorder="1" applyAlignment="1">
      <alignment vertical="top" wrapText="1"/>
    </xf>
    <xf numFmtId="0" fontId="4" fillId="0" borderId="0" xfId="0" applyFont="1" applyFill="1" applyBorder="1" applyAlignment="1">
      <alignment vertical="top" wrapText="1"/>
    </xf>
    <xf numFmtId="0" fontId="5" fillId="0" borderId="0" xfId="0" applyFont="1" applyFill="1" applyBorder="1" applyAlignment="1">
      <alignment horizontal="center" vertical="top" wrapText="1"/>
    </xf>
    <xf numFmtId="0" fontId="5" fillId="0" borderId="0" xfId="0" applyFont="1" applyFill="1" applyBorder="1" applyAlignment="1">
      <alignment horizontal="center" wrapText="1"/>
    </xf>
    <xf numFmtId="0" fontId="6" fillId="0" borderId="0" xfId="0" applyFont="1" applyFill="1" applyBorder="1" applyAlignment="1">
      <alignment vertical="top"/>
    </xf>
    <xf numFmtId="0" fontId="6" fillId="0" borderId="0" xfId="0" applyFont="1" applyFill="1" applyBorder="1" applyAlignment="1">
      <alignment horizontal="center"/>
    </xf>
    <xf numFmtId="0" fontId="6" fillId="0" borderId="0" xfId="0" applyFont="1" applyFill="1" applyBorder="1" applyAlignment="1">
      <alignment horizontal="right"/>
    </xf>
    <xf numFmtId="0" fontId="0" fillId="0" borderId="0" xfId="0" applyFill="1" applyBorder="1" applyAlignment="1"/>
    <xf numFmtId="164" fontId="6" fillId="0" borderId="0" xfId="0" applyNumberFormat="1" applyFont="1" applyFill="1" applyBorder="1" applyAlignment="1">
      <alignment horizontal="right"/>
    </xf>
    <xf numFmtId="164" fontId="3" fillId="0" borderId="0" xfId="0" applyNumberFormat="1" applyFont="1" applyFill="1" applyBorder="1" applyAlignment="1">
      <alignment horizontal="right"/>
    </xf>
    <xf numFmtId="3" fontId="6" fillId="0" borderId="0" xfId="0" applyNumberFormat="1" applyFont="1" applyFill="1" applyBorder="1" applyAlignment="1">
      <alignment horizontal="center"/>
    </xf>
    <xf numFmtId="0" fontId="12" fillId="0" borderId="0" xfId="0" applyFont="1" applyFill="1" applyBorder="1"/>
    <xf numFmtId="0" fontId="8" fillId="0" borderId="0" xfId="0" applyFont="1" applyFill="1" applyBorder="1" applyAlignment="1">
      <alignment horizontal="left" indent="4"/>
    </xf>
    <xf numFmtId="0" fontId="5" fillId="0" borderId="0" xfId="0" applyFont="1" applyFill="1" applyBorder="1" applyAlignment="1">
      <alignment horizontal="left" indent="4"/>
    </xf>
    <xf numFmtId="0" fontId="11" fillId="0" borderId="1" xfId="0" applyFont="1" applyFill="1" applyBorder="1" applyAlignment="1">
      <alignment vertical="top"/>
    </xf>
    <xf numFmtId="0" fontId="27" fillId="0" borderId="0" xfId="0" applyFont="1" applyFill="1" applyAlignment="1">
      <alignment horizontal="left" vertical="center"/>
    </xf>
    <xf numFmtId="0" fontId="5" fillId="0" borderId="1" xfId="0" applyFont="1" applyFill="1" applyBorder="1" applyAlignment="1"/>
    <xf numFmtId="0" fontId="5" fillId="0" borderId="1" xfId="0" applyFont="1" applyFill="1" applyBorder="1" applyAlignment="1">
      <alignment vertical="top"/>
    </xf>
    <xf numFmtId="0" fontId="7" fillId="0" borderId="1" xfId="0" applyFont="1" applyFill="1" applyBorder="1" applyAlignment="1">
      <alignment horizontal="center"/>
    </xf>
    <xf numFmtId="166" fontId="6" fillId="0" borderId="1" xfId="0" applyNumberFormat="1" applyFont="1" applyFill="1" applyBorder="1" applyAlignment="1">
      <alignment horizontal="right"/>
    </xf>
    <xf numFmtId="0" fontId="15" fillId="0" borderId="0" xfId="0" applyFont="1" applyFill="1" applyAlignment="1"/>
    <xf numFmtId="0" fontId="29" fillId="0" borderId="4" xfId="0" applyFont="1" applyFill="1" applyBorder="1"/>
    <xf numFmtId="0" fontId="9" fillId="0" borderId="6" xfId="0" applyFont="1" applyFill="1" applyBorder="1" applyAlignment="1">
      <alignment vertical="center" wrapText="1"/>
    </xf>
    <xf numFmtId="3" fontId="6" fillId="0" borderId="2" xfId="0" applyNumberFormat="1" applyFont="1" applyFill="1" applyBorder="1" applyAlignment="1">
      <alignment horizontal="center"/>
    </xf>
    <xf numFmtId="3" fontId="6" fillId="0" borderId="3" xfId="0" applyNumberFormat="1" applyFont="1" applyFill="1" applyBorder="1" applyAlignment="1">
      <alignment horizontal="center"/>
    </xf>
    <xf numFmtId="3" fontId="6" fillId="0" borderId="4" xfId="0" applyNumberFormat="1" applyFont="1" applyFill="1" applyBorder="1" applyAlignment="1">
      <alignment horizontal="center"/>
    </xf>
    <xf numFmtId="0" fontId="4" fillId="0" borderId="0" xfId="0" applyFont="1" applyFill="1" applyBorder="1" applyAlignment="1">
      <alignment vertical="top"/>
    </xf>
    <xf numFmtId="0" fontId="5" fillId="0" borderId="0" xfId="0" applyFont="1" applyFill="1" applyBorder="1" applyAlignment="1"/>
    <xf numFmtId="0" fontId="5" fillId="0" borderId="0" xfId="0" applyFont="1" applyFill="1" applyBorder="1" applyAlignment="1">
      <alignment horizontal="center"/>
    </xf>
    <xf numFmtId="0" fontId="5" fillId="0" borderId="0" xfId="0" applyFont="1" applyFill="1" applyBorder="1" applyAlignment="1">
      <alignment vertical="top"/>
    </xf>
    <xf numFmtId="4" fontId="6" fillId="0" borderId="0" xfId="0" applyNumberFormat="1" applyFont="1" applyFill="1" applyBorder="1" applyAlignment="1">
      <alignment horizontal="right"/>
    </xf>
    <xf numFmtId="3" fontId="3" fillId="0" borderId="0" xfId="0" applyNumberFormat="1" applyFont="1" applyFill="1" applyBorder="1" applyAlignment="1">
      <alignment horizontal="center"/>
    </xf>
    <xf numFmtId="0" fontId="8" fillId="0" borderId="0" xfId="0" applyFont="1" applyFill="1" applyBorder="1" applyAlignment="1">
      <alignment horizontal="left" indent="8"/>
    </xf>
    <xf numFmtId="0" fontId="1" fillId="0" borderId="0" xfId="0" applyFont="1" applyFill="1" applyAlignment="1"/>
    <xf numFmtId="3" fontId="7" fillId="0" borderId="1" xfId="0" applyNumberFormat="1" applyFont="1" applyFill="1" applyBorder="1" applyAlignment="1">
      <alignment horizontal="center"/>
    </xf>
    <xf numFmtId="0" fontId="6" fillId="0" borderId="3" xfId="0" applyFont="1" applyFill="1" applyBorder="1" applyAlignment="1">
      <alignment horizontal="center"/>
    </xf>
    <xf numFmtId="0" fontId="6" fillId="0" borderId="4" xfId="0" applyFont="1" applyFill="1" applyBorder="1" applyAlignment="1">
      <alignment horizontal="center"/>
    </xf>
    <xf numFmtId="0" fontId="8" fillId="0" borderId="1" xfId="0" applyFont="1" applyFill="1" applyBorder="1" applyAlignment="1"/>
    <xf numFmtId="0" fontId="33" fillId="0" borderId="0" xfId="0" applyFont="1" applyFill="1"/>
    <xf numFmtId="0" fontId="8" fillId="0" borderId="0" xfId="0" applyFont="1" applyFill="1" applyAlignment="1">
      <alignment horizontal="left" indent="5"/>
    </xf>
    <xf numFmtId="0" fontId="2" fillId="0" borderId="0" xfId="0" applyFont="1" applyFill="1"/>
    <xf numFmtId="0" fontId="3" fillId="0" borderId="0" xfId="0" applyFont="1" applyFill="1" applyBorder="1" applyAlignment="1">
      <alignment horizontal="right"/>
    </xf>
    <xf numFmtId="0" fontId="8" fillId="0" borderId="0" xfId="0" applyFont="1" applyFill="1" applyBorder="1" applyAlignment="1"/>
    <xf numFmtId="0" fontId="8" fillId="0" borderId="0" xfId="0" applyFont="1" applyFill="1" applyBorder="1" applyAlignment="1">
      <alignment horizontal="left" indent="5"/>
    </xf>
    <xf numFmtId="0" fontId="11" fillId="0" borderId="1" xfId="0" applyFont="1" applyFill="1" applyBorder="1" applyAlignment="1">
      <alignment horizontal="center" wrapText="1"/>
    </xf>
    <xf numFmtId="0" fontId="11" fillId="0" borderId="1" xfId="0" applyFont="1" applyFill="1" applyBorder="1" applyAlignment="1">
      <alignment horizontal="right" wrapText="1"/>
    </xf>
    <xf numFmtId="0" fontId="1" fillId="0" borderId="0" xfId="0" applyFont="1" applyFill="1" applyAlignment="1">
      <alignment wrapText="1"/>
    </xf>
    <xf numFmtId="0" fontId="0" fillId="0" borderId="0" xfId="0" applyFill="1" applyAlignment="1">
      <alignment wrapText="1"/>
    </xf>
    <xf numFmtId="0" fontId="0" fillId="0" borderId="0" xfId="0" applyFill="1" applyBorder="1" applyAlignment="1">
      <alignment wrapText="1"/>
    </xf>
    <xf numFmtId="0" fontId="6" fillId="0" borderId="0" xfId="0" applyFont="1" applyFill="1" applyBorder="1" applyAlignment="1"/>
    <xf numFmtId="4" fontId="6" fillId="0" borderId="0" xfId="0" applyNumberFormat="1" applyFont="1" applyFill="1" applyBorder="1" applyAlignment="1">
      <alignment horizontal="center"/>
    </xf>
    <xf numFmtId="4" fontId="3" fillId="0" borderId="0" xfId="0" applyNumberFormat="1" applyFont="1" applyFill="1" applyBorder="1" applyAlignment="1">
      <alignment horizontal="right"/>
    </xf>
    <xf numFmtId="3" fontId="6" fillId="0" borderId="0" xfId="0" applyNumberFormat="1" applyFont="1" applyFill="1" applyBorder="1" applyAlignment="1">
      <alignment horizontal="right"/>
    </xf>
    <xf numFmtId="2" fontId="6" fillId="0" borderId="1" xfId="0" applyNumberFormat="1" applyFont="1" applyFill="1" applyBorder="1" applyAlignment="1">
      <alignment horizontal="center"/>
    </xf>
    <xf numFmtId="167" fontId="6" fillId="0" borderId="1" xfId="0" applyNumberFormat="1" applyFont="1" applyFill="1" applyBorder="1" applyAlignment="1">
      <alignment horizontal="center"/>
    </xf>
    <xf numFmtId="1" fontId="6" fillId="0" borderId="1" xfId="0" applyNumberFormat="1" applyFont="1" applyFill="1" applyBorder="1" applyAlignment="1">
      <alignment horizontal="center"/>
    </xf>
    <xf numFmtId="0" fontId="6" fillId="0" borderId="1" xfId="0" applyFont="1" applyFill="1" applyBorder="1" applyAlignment="1">
      <alignment horizontal="center" vertical="center"/>
    </xf>
    <xf numFmtId="0" fontId="6" fillId="0" borderId="1" xfId="0" applyFont="1" applyFill="1" applyBorder="1" applyAlignment="1"/>
    <xf numFmtId="3" fontId="6" fillId="0" borderId="1" xfId="0" applyNumberFormat="1" applyFont="1" applyFill="1" applyBorder="1" applyAlignment="1">
      <alignment horizontal="center" vertical="center"/>
    </xf>
    <xf numFmtId="165" fontId="6" fillId="0" borderId="1"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3" fontId="6" fillId="0" borderId="3" xfId="0" applyNumberFormat="1" applyFont="1" applyFill="1" applyBorder="1" applyAlignment="1">
      <alignment horizontal="center" vertical="center"/>
    </xf>
    <xf numFmtId="3" fontId="6" fillId="0" borderId="4" xfId="0" applyNumberFormat="1" applyFont="1" applyFill="1" applyBorder="1" applyAlignment="1">
      <alignment horizontal="center" vertical="center"/>
    </xf>
    <xf numFmtId="0" fontId="14" fillId="0" borderId="0" xfId="0" applyFont="1" applyFill="1" applyBorder="1"/>
    <xf numFmtId="164" fontId="6" fillId="0" borderId="0" xfId="0" applyNumberFormat="1" applyFont="1" applyFill="1" applyBorder="1" applyAlignment="1">
      <alignment horizontal="center"/>
    </xf>
    <xf numFmtId="0" fontId="3" fillId="0" borderId="0" xfId="0" applyFont="1" applyFill="1" applyBorder="1" applyAlignment="1">
      <alignment horizontal="center"/>
    </xf>
    <xf numFmtId="0" fontId="14" fillId="0" borderId="0" xfId="0" applyFont="1" applyFill="1" applyBorder="1" applyAlignment="1"/>
    <xf numFmtId="0" fontId="6" fillId="0" borderId="0" xfId="0" applyFont="1" applyFill="1" applyBorder="1" applyAlignment="1">
      <alignment horizontal="center" vertical="top"/>
    </xf>
    <xf numFmtId="0" fontId="11" fillId="0" borderId="1" xfId="0" applyFont="1" applyFill="1" applyBorder="1" applyAlignment="1">
      <alignment vertical="top"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top" wrapText="1"/>
    </xf>
    <xf numFmtId="0" fontId="24" fillId="0" borderId="1" xfId="0" applyFont="1" applyFill="1" applyBorder="1" applyAlignment="1">
      <alignment horizontal="left"/>
    </xf>
    <xf numFmtId="3" fontId="8" fillId="0" borderId="1" xfId="0" applyNumberFormat="1" applyFont="1" applyFill="1" applyBorder="1" applyAlignment="1">
      <alignment horizontal="center" vertical="center" wrapText="1"/>
    </xf>
    <xf numFmtId="6" fontId="8" fillId="0" borderId="1" xfId="0" applyNumberFormat="1" applyFont="1" applyFill="1" applyBorder="1" applyAlignment="1">
      <alignment horizontal="center" vertical="center" wrapText="1"/>
    </xf>
    <xf numFmtId="3" fontId="0" fillId="0" borderId="0" xfId="0" applyNumberFormat="1" applyFill="1" applyAlignment="1"/>
    <xf numFmtId="0" fontId="25" fillId="0" borderId="1" xfId="0" applyFont="1" applyFill="1" applyBorder="1" applyAlignment="1">
      <alignment horizontal="left" vertical="center" wrapText="1"/>
    </xf>
    <xf numFmtId="3" fontId="8" fillId="0" borderId="1" xfId="0" applyNumberFormat="1" applyFont="1" applyFill="1" applyBorder="1" applyAlignment="1">
      <alignment horizontal="center" vertical="center"/>
    </xf>
    <xf numFmtId="6" fontId="8" fillId="0" borderId="1" xfId="0" applyNumberFormat="1" applyFont="1" applyFill="1" applyBorder="1" applyAlignment="1">
      <alignment horizontal="center" vertical="center"/>
    </xf>
    <xf numFmtId="3" fontId="9" fillId="0" borderId="1" xfId="0" applyNumberFormat="1" applyFont="1" applyFill="1" applyBorder="1" applyAlignment="1">
      <alignment horizontal="center" vertical="center"/>
    </xf>
    <xf numFmtId="6" fontId="9" fillId="0" borderId="1" xfId="0" applyNumberFormat="1" applyFont="1" applyFill="1" applyBorder="1" applyAlignment="1">
      <alignment horizontal="center" vertical="center"/>
    </xf>
    <xf numFmtId="3" fontId="23" fillId="0" borderId="1" xfId="0" applyNumberFormat="1" applyFont="1" applyFill="1" applyBorder="1" applyAlignment="1">
      <alignment horizontal="center" vertical="center"/>
    </xf>
    <xf numFmtId="3" fontId="8" fillId="0" borderId="0" xfId="0" applyNumberFormat="1" applyFont="1" applyFill="1" applyBorder="1" applyAlignment="1">
      <alignment horizontal="center" vertical="center" wrapText="1"/>
    </xf>
    <xf numFmtId="3" fontId="23" fillId="0" borderId="0" xfId="0" applyNumberFormat="1" applyFont="1" applyFill="1" applyBorder="1" applyAlignment="1">
      <alignment horizontal="center" vertical="center"/>
    </xf>
    <xf numFmtId="6" fontId="23" fillId="0" borderId="0" xfId="0" applyNumberFormat="1" applyFont="1" applyFill="1" applyBorder="1" applyAlignment="1">
      <alignment horizontal="center" vertical="center"/>
    </xf>
    <xf numFmtId="164" fontId="0" fillId="0" borderId="0" xfId="0" applyNumberFormat="1" applyFill="1"/>
    <xf numFmtId="1" fontId="0" fillId="0" borderId="0" xfId="0" applyNumberFormat="1" applyFill="1"/>
    <xf numFmtId="46" fontId="1" fillId="0" borderId="0" xfId="0" quotePrefix="1" applyNumberFormat="1" applyFont="1" applyFill="1"/>
    <xf numFmtId="3" fontId="8" fillId="0" borderId="1" xfId="0" applyNumberFormat="1" applyFont="1" applyFill="1" applyBorder="1" applyAlignment="1"/>
    <xf numFmtId="3" fontId="37" fillId="0" borderId="1" xfId="0" applyNumberFormat="1" applyFont="1" applyFill="1" applyBorder="1" applyAlignment="1"/>
    <xf numFmtId="164" fontId="8" fillId="0" borderId="1" xfId="0" applyNumberFormat="1" applyFont="1" applyFill="1" applyBorder="1" applyAlignment="1"/>
    <xf numFmtId="3" fontId="9" fillId="0" borderId="1" xfId="0" applyNumberFormat="1" applyFont="1" applyFill="1" applyBorder="1" applyAlignment="1"/>
    <xf numFmtId="0" fontId="9" fillId="0" borderId="0" xfId="0" applyFont="1" applyFill="1"/>
    <xf numFmtId="0" fontId="37" fillId="0" borderId="0" xfId="0" applyFont="1" applyFill="1" applyAlignment="1">
      <alignment horizontal="left"/>
    </xf>
    <xf numFmtId="0" fontId="40" fillId="0" borderId="0" xfId="0" applyFont="1" applyFill="1"/>
    <xf numFmtId="0" fontId="9" fillId="0" borderId="0" xfId="0" applyFont="1" applyFill="1" applyBorder="1" applyAlignment="1">
      <alignment horizontal="center" wrapText="1"/>
    </xf>
    <xf numFmtId="0" fontId="8" fillId="0" borderId="0" xfId="0" applyFont="1" applyFill="1" applyBorder="1" applyAlignment="1">
      <alignment wrapText="1"/>
    </xf>
    <xf numFmtId="0" fontId="8" fillId="0" borderId="0" xfId="0" applyFont="1" applyFill="1" applyBorder="1"/>
    <xf numFmtId="3" fontId="8" fillId="0" borderId="0" xfId="0" applyNumberFormat="1" applyFont="1" applyFill="1" applyBorder="1"/>
    <xf numFmtId="4" fontId="8" fillId="0" borderId="0" xfId="0" applyNumberFormat="1" applyFont="1" applyFill="1" applyBorder="1"/>
    <xf numFmtId="4" fontId="9" fillId="0" borderId="0" xfId="0" applyNumberFormat="1" applyFont="1" applyFill="1" applyBorder="1"/>
    <xf numFmtId="3" fontId="9" fillId="0" borderId="0" xfId="0" applyNumberFormat="1" applyFont="1" applyFill="1" applyBorder="1"/>
    <xf numFmtId="4" fontId="0" fillId="0" borderId="0" xfId="0" applyNumberFormat="1" applyFill="1" applyBorder="1"/>
    <xf numFmtId="0" fontId="9" fillId="0" borderId="0" xfId="0" applyFont="1" applyFill="1" applyBorder="1"/>
    <xf numFmtId="0" fontId="8" fillId="0" borderId="0" xfId="0" applyFont="1"/>
    <xf numFmtId="0" fontId="8" fillId="0" borderId="0" xfId="0" applyFont="1" applyAlignment="1">
      <alignment vertical="center"/>
    </xf>
    <xf numFmtId="0" fontId="9" fillId="0" borderId="1" xfId="0" applyFont="1" applyBorder="1" applyAlignment="1">
      <alignment horizontal="center" vertical="center" wrapText="1"/>
    </xf>
    <xf numFmtId="0" fontId="8" fillId="0" borderId="1" xfId="0" applyFont="1" applyFill="1" applyBorder="1" applyAlignment="1">
      <alignment vertical="center" wrapText="1"/>
    </xf>
    <xf numFmtId="3" fontId="8" fillId="0" borderId="1" xfId="0" applyNumberFormat="1" applyFont="1" applyBorder="1" applyAlignment="1">
      <alignment vertical="center"/>
    </xf>
    <xf numFmtId="166" fontId="8" fillId="0" borderId="1" xfId="0" applyNumberFormat="1" applyFont="1" applyBorder="1" applyAlignment="1">
      <alignment vertical="center"/>
    </xf>
    <xf numFmtId="0" fontId="8" fillId="0" borderId="1" xfId="0" applyFont="1" applyBorder="1" applyAlignment="1">
      <alignment vertical="center"/>
    </xf>
    <xf numFmtId="3" fontId="9" fillId="0" borderId="1" xfId="0" applyNumberFormat="1" applyFont="1" applyBorder="1" applyAlignment="1">
      <alignment vertical="center"/>
    </xf>
    <xf numFmtId="166" fontId="9" fillId="0" borderId="1" xfId="0" applyNumberFormat="1" applyFont="1" applyBorder="1" applyAlignment="1">
      <alignment vertical="center"/>
    </xf>
    <xf numFmtId="0" fontId="3" fillId="0" borderId="0" xfId="0" applyFont="1" applyFill="1" applyBorder="1" applyAlignment="1">
      <alignment horizontal="center" vertical="top" wrapText="1"/>
    </xf>
    <xf numFmtId="3" fontId="3" fillId="0" borderId="1" xfId="0" applyNumberFormat="1" applyFont="1" applyFill="1" applyBorder="1" applyAlignment="1">
      <alignment horizontal="center"/>
    </xf>
    <xf numFmtId="3" fontId="11" fillId="0" borderId="2" xfId="0" applyNumberFormat="1" applyFont="1" applyFill="1" applyBorder="1" applyAlignment="1">
      <alignment horizontal="center"/>
    </xf>
    <xf numFmtId="3" fontId="11" fillId="0" borderId="3" xfId="0" applyNumberFormat="1" applyFont="1" applyFill="1" applyBorder="1" applyAlignment="1">
      <alignment horizontal="center"/>
    </xf>
    <xf numFmtId="3" fontId="11" fillId="0" borderId="4" xfId="0" applyNumberFormat="1" applyFont="1" applyFill="1" applyBorder="1" applyAlignment="1">
      <alignment horizontal="center"/>
    </xf>
    <xf numFmtId="0" fontId="8" fillId="0" borderId="0" xfId="0" applyFont="1" applyFill="1" applyAlignment="1">
      <alignment horizontal="left" vertical="top" wrapText="1"/>
    </xf>
    <xf numFmtId="3" fontId="6" fillId="0" borderId="2" xfId="0" applyNumberFormat="1" applyFont="1" applyFill="1" applyBorder="1" applyAlignment="1">
      <alignment horizontal="center"/>
    </xf>
    <xf numFmtId="3" fontId="6" fillId="0" borderId="3" xfId="0" applyNumberFormat="1" applyFont="1" applyFill="1" applyBorder="1" applyAlignment="1">
      <alignment horizontal="center"/>
    </xf>
    <xf numFmtId="3" fontId="6" fillId="0" borderId="4" xfId="0" applyNumberFormat="1" applyFont="1" applyFill="1" applyBorder="1" applyAlignment="1">
      <alignment horizontal="center"/>
    </xf>
    <xf numFmtId="0" fontId="37" fillId="0" borderId="0" xfId="0" applyFont="1" applyFill="1" applyAlignment="1">
      <alignment horizontal="left" vertical="top" wrapText="1"/>
    </xf>
    <xf numFmtId="1" fontId="6" fillId="0" borderId="2" xfId="0" applyNumberFormat="1" applyFont="1" applyFill="1" applyBorder="1" applyAlignment="1">
      <alignment horizontal="center"/>
    </xf>
    <xf numFmtId="1" fontId="6" fillId="0" borderId="3" xfId="0" applyNumberFormat="1" applyFont="1" applyFill="1" applyBorder="1" applyAlignment="1">
      <alignment horizontal="center"/>
    </xf>
    <xf numFmtId="1" fontId="6" fillId="0" borderId="4" xfId="0" applyNumberFormat="1" applyFont="1" applyFill="1" applyBorder="1" applyAlignment="1">
      <alignment horizontal="center"/>
    </xf>
    <xf numFmtId="0" fontId="6" fillId="0" borderId="3" xfId="0" applyFont="1" applyFill="1" applyBorder="1" applyAlignment="1">
      <alignment horizontal="center"/>
    </xf>
    <xf numFmtId="0" fontId="6" fillId="0" borderId="4" xfId="0" applyFont="1" applyFill="1" applyBorder="1" applyAlignment="1">
      <alignment horizontal="center"/>
    </xf>
    <xf numFmtId="3" fontId="3" fillId="0" borderId="2" xfId="0" applyNumberFormat="1" applyFont="1" applyFill="1" applyBorder="1" applyAlignment="1">
      <alignment horizontal="center"/>
    </xf>
    <xf numFmtId="3" fontId="3" fillId="0" borderId="3" xfId="0" applyNumberFormat="1" applyFont="1" applyFill="1" applyBorder="1" applyAlignment="1">
      <alignment horizontal="center"/>
    </xf>
    <xf numFmtId="3" fontId="3" fillId="0" borderId="4" xfId="0" applyNumberFormat="1" applyFont="1" applyFill="1" applyBorder="1" applyAlignment="1">
      <alignment horizontal="center"/>
    </xf>
    <xf numFmtId="0" fontId="9" fillId="0" borderId="0" xfId="0" applyFont="1" applyFill="1" applyBorder="1" applyAlignment="1">
      <alignment horizontal="center" vertical="top" wrapText="1"/>
    </xf>
    <xf numFmtId="0" fontId="8" fillId="0" borderId="0" xfId="0" applyFont="1" applyFill="1" applyAlignment="1">
      <alignment horizontal="left" wrapText="1"/>
    </xf>
    <xf numFmtId="3" fontId="6" fillId="0" borderId="2" xfId="0" applyNumberFormat="1" applyFont="1" applyFill="1" applyBorder="1" applyAlignment="1">
      <alignment horizontal="center" vertical="center"/>
    </xf>
    <xf numFmtId="3" fontId="6" fillId="0" borderId="3" xfId="0" applyNumberFormat="1" applyFont="1" applyFill="1" applyBorder="1" applyAlignment="1">
      <alignment horizontal="center" vertical="center"/>
    </xf>
    <xf numFmtId="3" fontId="6" fillId="0" borderId="4" xfId="0" applyNumberFormat="1" applyFont="1" applyFill="1" applyBorder="1" applyAlignment="1">
      <alignment horizontal="center" vertical="center"/>
    </xf>
    <xf numFmtId="3" fontId="8" fillId="0" borderId="1" xfId="0" applyNumberFormat="1" applyFont="1" applyFill="1" applyBorder="1" applyAlignment="1">
      <alignment horizontal="center" vertical="center" wrapText="1"/>
    </xf>
    <xf numFmtId="3" fontId="8" fillId="0" borderId="1" xfId="0" applyNumberFormat="1" applyFont="1" applyFill="1" applyBorder="1" applyAlignment="1">
      <alignment horizontal="center"/>
    </xf>
    <xf numFmtId="0" fontId="9" fillId="0" borderId="0" xfId="0" applyFont="1" applyFill="1" applyBorder="1" applyAlignment="1">
      <alignment horizontal="center" wrapText="1"/>
    </xf>
    <xf numFmtId="0" fontId="38" fillId="0" borderId="7" xfId="0" applyFont="1" applyBorder="1" applyAlignment="1">
      <alignment vertical="center" wrapText="1"/>
    </xf>
    <xf numFmtId="0" fontId="38" fillId="0" borderId="8" xfId="0" applyFont="1" applyBorder="1" applyAlignment="1">
      <alignment vertical="center" wrapText="1"/>
    </xf>
    <xf numFmtId="0" fontId="38" fillId="0" borderId="9" xfId="0" applyFont="1" applyBorder="1" applyAlignment="1">
      <alignment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2"/>
  <sheetViews>
    <sheetView tabSelected="1" zoomScaleNormal="100" workbookViewId="0">
      <selection activeCell="A3" sqref="A3"/>
    </sheetView>
  </sheetViews>
  <sheetFormatPr defaultRowHeight="15" x14ac:dyDescent="0.25"/>
  <cols>
    <col min="1" max="1" width="45" style="8" customWidth="1"/>
    <col min="2" max="2" width="10.140625" style="8" customWidth="1"/>
    <col min="3" max="4" width="9.140625" style="8"/>
    <col min="5" max="5" width="11" style="8" customWidth="1"/>
    <col min="6" max="6" width="9.140625" style="8"/>
    <col min="7" max="7" width="10.85546875" style="8" bestFit="1" customWidth="1"/>
    <col min="8" max="8" width="9.5703125" style="8" bestFit="1" customWidth="1"/>
    <col min="9" max="9" width="13.85546875" style="8" customWidth="1"/>
    <col min="10" max="10" width="10.85546875" style="8" bestFit="1" customWidth="1"/>
    <col min="11" max="16384" width="9.140625" style="8"/>
  </cols>
  <sheetData>
    <row r="1" spans="1:13" ht="15.75" x14ac:dyDescent="0.25">
      <c r="A1" s="24" t="s">
        <v>102</v>
      </c>
    </row>
    <row r="2" spans="1:13" x14ac:dyDescent="0.25">
      <c r="D2" s="25" t="s">
        <v>126</v>
      </c>
      <c r="E2" s="25"/>
      <c r="F2" s="25">
        <v>112.98</v>
      </c>
      <c r="G2" s="25">
        <v>149.35</v>
      </c>
      <c r="H2" s="25">
        <v>54.81</v>
      </c>
      <c r="J2" s="25"/>
    </row>
    <row r="3" spans="1:13" ht="76.5" x14ac:dyDescent="0.25">
      <c r="A3" s="26" t="s">
        <v>6</v>
      </c>
      <c r="B3" s="26" t="s">
        <v>7</v>
      </c>
      <c r="C3" s="26" t="s">
        <v>8</v>
      </c>
      <c r="D3" s="26" t="s">
        <v>9</v>
      </c>
      <c r="E3" s="26" t="s">
        <v>27</v>
      </c>
      <c r="F3" s="26" t="s">
        <v>10</v>
      </c>
      <c r="G3" s="26" t="s">
        <v>11</v>
      </c>
      <c r="H3" s="26" t="s">
        <v>12</v>
      </c>
      <c r="I3" s="26" t="s">
        <v>26</v>
      </c>
    </row>
    <row r="4" spans="1:13" x14ac:dyDescent="0.25">
      <c r="A4" s="27" t="s">
        <v>4</v>
      </c>
      <c r="B4" s="28"/>
      <c r="C4" s="28"/>
      <c r="D4" s="28"/>
      <c r="E4" s="28"/>
      <c r="F4" s="28"/>
      <c r="G4" s="29"/>
      <c r="H4" s="29"/>
      <c r="I4" s="29"/>
    </row>
    <row r="5" spans="1:13" x14ac:dyDescent="0.25">
      <c r="A5" s="70" t="s">
        <v>157</v>
      </c>
      <c r="B5" s="31">
        <v>6</v>
      </c>
      <c r="C5" s="31">
        <v>1</v>
      </c>
      <c r="D5" s="31">
        <f>B5*C5</f>
        <v>6</v>
      </c>
      <c r="E5" s="23">
        <v>1100</v>
      </c>
      <c r="F5" s="31">
        <f t="shared" ref="F5:F11" si="0">D5*E5</f>
        <v>6600</v>
      </c>
      <c r="G5" s="31">
        <f t="shared" ref="G5:G11" si="1">F5*0.05</f>
        <v>330</v>
      </c>
      <c r="H5" s="31">
        <f t="shared" ref="H5:H11" si="2">F5*0.1</f>
        <v>660</v>
      </c>
      <c r="I5" s="32">
        <f>F5*F$2+G5*G$2+H5*H$2</f>
        <v>831128.1</v>
      </c>
      <c r="J5" s="25"/>
    </row>
    <row r="6" spans="1:13" x14ac:dyDescent="0.25">
      <c r="A6" s="30" t="s">
        <v>28</v>
      </c>
      <c r="B6" s="31">
        <v>4</v>
      </c>
      <c r="C6" s="31">
        <v>0</v>
      </c>
      <c r="D6" s="31">
        <v>4</v>
      </c>
      <c r="E6" s="31">
        <v>0</v>
      </c>
      <c r="F6" s="31">
        <f t="shared" si="0"/>
        <v>0</v>
      </c>
      <c r="G6" s="31">
        <f t="shared" si="1"/>
        <v>0</v>
      </c>
      <c r="H6" s="31">
        <f t="shared" si="2"/>
        <v>0</v>
      </c>
      <c r="I6" s="33">
        <f t="shared" ref="I6:I11" si="3">F6*F$2+G6*G$2+H6*H$2</f>
        <v>0</v>
      </c>
    </row>
    <row r="7" spans="1:13" x14ac:dyDescent="0.25">
      <c r="A7" s="30" t="s">
        <v>29</v>
      </c>
      <c r="B7" s="31">
        <v>175</v>
      </c>
      <c r="C7" s="31">
        <v>0</v>
      </c>
      <c r="D7" s="31">
        <v>175</v>
      </c>
      <c r="E7" s="31">
        <v>0</v>
      </c>
      <c r="F7" s="31">
        <f t="shared" si="0"/>
        <v>0</v>
      </c>
      <c r="G7" s="31">
        <f t="shared" si="1"/>
        <v>0</v>
      </c>
      <c r="H7" s="31">
        <f t="shared" si="2"/>
        <v>0</v>
      </c>
      <c r="I7" s="33">
        <f t="shared" si="3"/>
        <v>0</v>
      </c>
    </row>
    <row r="8" spans="1:13" x14ac:dyDescent="0.25">
      <c r="A8" s="30" t="s">
        <v>30</v>
      </c>
      <c r="B8" s="31">
        <v>4</v>
      </c>
      <c r="C8" s="31">
        <v>0</v>
      </c>
      <c r="D8" s="31">
        <v>4</v>
      </c>
      <c r="E8" s="31">
        <v>0</v>
      </c>
      <c r="F8" s="31">
        <f t="shared" si="0"/>
        <v>0</v>
      </c>
      <c r="G8" s="31">
        <f t="shared" si="1"/>
        <v>0</v>
      </c>
      <c r="H8" s="31">
        <f t="shared" si="2"/>
        <v>0</v>
      </c>
      <c r="I8" s="33">
        <f t="shared" si="3"/>
        <v>0</v>
      </c>
    </row>
    <row r="9" spans="1:13" x14ac:dyDescent="0.25">
      <c r="A9" s="30" t="s">
        <v>32</v>
      </c>
      <c r="B9" s="31">
        <v>12</v>
      </c>
      <c r="C9" s="31">
        <v>1</v>
      </c>
      <c r="D9" s="31">
        <v>12</v>
      </c>
      <c r="E9" s="5">
        <v>1100</v>
      </c>
      <c r="F9" s="5">
        <f t="shared" si="0"/>
        <v>13200</v>
      </c>
      <c r="G9" s="34">
        <f t="shared" si="1"/>
        <v>660</v>
      </c>
      <c r="H9" s="34">
        <f t="shared" si="2"/>
        <v>1320</v>
      </c>
      <c r="I9" s="32">
        <f t="shared" si="3"/>
        <v>1662256.2</v>
      </c>
      <c r="J9" s="25"/>
      <c r="M9" s="35"/>
    </row>
    <row r="10" spans="1:13" x14ac:dyDescent="0.25">
      <c r="A10" s="30" t="s">
        <v>31</v>
      </c>
      <c r="B10" s="31">
        <v>2</v>
      </c>
      <c r="C10" s="31">
        <v>12</v>
      </c>
      <c r="D10" s="31">
        <v>24</v>
      </c>
      <c r="E10" s="5">
        <v>1100</v>
      </c>
      <c r="F10" s="5">
        <f t="shared" si="0"/>
        <v>26400</v>
      </c>
      <c r="G10" s="5">
        <f t="shared" si="1"/>
        <v>1320</v>
      </c>
      <c r="H10" s="5">
        <f t="shared" si="2"/>
        <v>2640</v>
      </c>
      <c r="I10" s="32">
        <f t="shared" si="3"/>
        <v>3324512.4</v>
      </c>
      <c r="J10" s="25"/>
      <c r="M10" s="35"/>
    </row>
    <row r="11" spans="1:13" ht="33.75" x14ac:dyDescent="0.25">
      <c r="A11" s="36" t="s">
        <v>127</v>
      </c>
      <c r="B11" s="31">
        <v>0.75</v>
      </c>
      <c r="C11" s="31">
        <v>12</v>
      </c>
      <c r="D11" s="31">
        <v>9</v>
      </c>
      <c r="E11" s="5">
        <v>1100</v>
      </c>
      <c r="F11" s="5">
        <f t="shared" si="0"/>
        <v>9900</v>
      </c>
      <c r="G11" s="34">
        <f t="shared" si="1"/>
        <v>495</v>
      </c>
      <c r="H11" s="34">
        <f t="shared" si="2"/>
        <v>990</v>
      </c>
      <c r="I11" s="32">
        <f t="shared" si="3"/>
        <v>1246692.1499999999</v>
      </c>
      <c r="J11" s="25"/>
      <c r="M11" s="35"/>
    </row>
    <row r="12" spans="1:13" x14ac:dyDescent="0.25">
      <c r="A12" s="30" t="s">
        <v>5</v>
      </c>
      <c r="B12" s="31">
        <v>4</v>
      </c>
      <c r="C12" s="31">
        <v>2</v>
      </c>
      <c r="D12" s="31">
        <v>8</v>
      </c>
      <c r="E12" s="5">
        <v>1100</v>
      </c>
      <c r="F12" s="5">
        <f>D12*E12</f>
        <v>8800</v>
      </c>
      <c r="G12" s="34">
        <f>F12*0.05</f>
        <v>440</v>
      </c>
      <c r="H12" s="34">
        <f>F12*0.1</f>
        <v>880</v>
      </c>
      <c r="I12" s="32">
        <f>F12*F$2+G12*G$2+H12*H$2</f>
        <v>1108170.8</v>
      </c>
      <c r="J12" s="25"/>
      <c r="M12" s="35"/>
    </row>
    <row r="13" spans="1:13" x14ac:dyDescent="0.25">
      <c r="A13" s="37" t="s">
        <v>94</v>
      </c>
      <c r="B13" s="31"/>
      <c r="C13" s="31"/>
      <c r="D13" s="31"/>
      <c r="E13" s="5"/>
      <c r="F13" s="170">
        <f>SUM(F12:H12)</f>
        <v>10120</v>
      </c>
      <c r="G13" s="171"/>
      <c r="H13" s="172"/>
      <c r="I13" s="38">
        <f>I12</f>
        <v>1108170.8</v>
      </c>
      <c r="J13" s="25"/>
      <c r="M13" s="35"/>
    </row>
    <row r="14" spans="1:13" x14ac:dyDescent="0.25">
      <c r="A14" s="37" t="s">
        <v>93</v>
      </c>
      <c r="B14" s="31"/>
      <c r="C14" s="31"/>
      <c r="D14" s="31"/>
      <c r="E14" s="5"/>
      <c r="F14" s="170">
        <f>SUM(F5:H5,F9:H11)</f>
        <v>64515</v>
      </c>
      <c r="G14" s="171"/>
      <c r="H14" s="172"/>
      <c r="I14" s="38">
        <f>SUM(I5, I9:I11)</f>
        <v>7064588.8499999996</v>
      </c>
      <c r="J14" s="25"/>
      <c r="M14" s="35"/>
    </row>
    <row r="15" spans="1:13" x14ac:dyDescent="0.25">
      <c r="A15" s="39" t="s">
        <v>131</v>
      </c>
      <c r="B15" s="31"/>
      <c r="C15" s="31"/>
      <c r="D15" s="31"/>
      <c r="E15" s="5"/>
      <c r="F15" s="169">
        <f>ROUND(SUM(F5:H12),-2)</f>
        <v>74600</v>
      </c>
      <c r="G15" s="169"/>
      <c r="H15" s="169"/>
      <c r="I15" s="40">
        <f>ROUND(SUM(I5:I12),-4)</f>
        <v>8170000</v>
      </c>
      <c r="J15" s="25"/>
      <c r="M15" s="35"/>
    </row>
    <row r="16" spans="1:13" x14ac:dyDescent="0.25">
      <c r="A16" s="41" t="s">
        <v>132</v>
      </c>
      <c r="B16" s="31"/>
      <c r="C16" s="31"/>
      <c r="D16" s="31"/>
      <c r="E16" s="5"/>
      <c r="F16" s="170"/>
      <c r="G16" s="171"/>
      <c r="H16" s="172"/>
      <c r="I16" s="42">
        <f>'O&amp;M (Bulk Terminals Only)'!H9</f>
        <v>110000</v>
      </c>
      <c r="J16" s="25"/>
      <c r="M16" s="35"/>
    </row>
    <row r="17" spans="1:10" x14ac:dyDescent="0.25">
      <c r="A17" s="7" t="s">
        <v>121</v>
      </c>
      <c r="B17" s="28"/>
      <c r="C17" s="28"/>
      <c r="D17" s="28"/>
      <c r="E17" s="28"/>
      <c r="F17" s="169">
        <f>ROUND(SUM(F5:H12),-2)</f>
        <v>74600</v>
      </c>
      <c r="G17" s="169"/>
      <c r="H17" s="169"/>
      <c r="I17" s="43">
        <f>ROUND(SUM(I15:I16),-4)</f>
        <v>8280000</v>
      </c>
    </row>
    <row r="19" spans="1:10" x14ac:dyDescent="0.25">
      <c r="A19" s="44" t="s">
        <v>16</v>
      </c>
      <c r="G19" s="45"/>
    </row>
    <row r="20" spans="1:10" ht="16.5" x14ac:dyDescent="0.25">
      <c r="A20" s="46" t="s">
        <v>33</v>
      </c>
    </row>
    <row r="21" spans="1:10" ht="39.950000000000003" customHeight="1" x14ac:dyDescent="0.25">
      <c r="A21" s="173" t="s">
        <v>155</v>
      </c>
      <c r="B21" s="173"/>
      <c r="C21" s="173"/>
      <c r="D21" s="173"/>
      <c r="E21" s="173"/>
      <c r="F21" s="173"/>
      <c r="G21" s="173"/>
      <c r="H21" s="173"/>
      <c r="I21" s="173"/>
      <c r="J21" s="47"/>
    </row>
    <row r="22" spans="1:10" ht="16.5" x14ac:dyDescent="0.25">
      <c r="A22" s="46" t="s">
        <v>156</v>
      </c>
    </row>
    <row r="23" spans="1:10" x14ac:dyDescent="0.25">
      <c r="A23" s="48" t="s">
        <v>35</v>
      </c>
    </row>
    <row r="24" spans="1:10" ht="16.5" x14ac:dyDescent="0.25">
      <c r="A24" s="49" t="s">
        <v>120</v>
      </c>
    </row>
    <row r="25" spans="1:10" ht="16.5" x14ac:dyDescent="0.25">
      <c r="A25" s="49"/>
    </row>
    <row r="26" spans="1:10" s="54" customFormat="1" x14ac:dyDescent="0.25">
      <c r="A26" s="53"/>
    </row>
    <row r="27" spans="1:10" s="54" customFormat="1" x14ac:dyDescent="0.25">
      <c r="A27" s="168"/>
      <c r="B27" s="168"/>
      <c r="C27" s="168"/>
      <c r="D27" s="55"/>
      <c r="E27" s="55"/>
      <c r="F27" s="55"/>
      <c r="G27" s="55"/>
      <c r="H27" s="55"/>
      <c r="I27" s="55"/>
      <c r="J27" s="168"/>
    </row>
    <row r="28" spans="1:10" s="54" customFormat="1" x14ac:dyDescent="0.25">
      <c r="A28" s="168"/>
      <c r="B28" s="168"/>
      <c r="C28" s="168"/>
      <c r="D28" s="55"/>
      <c r="E28" s="55"/>
      <c r="F28" s="55"/>
      <c r="G28" s="55"/>
      <c r="H28" s="55"/>
      <c r="I28" s="55"/>
      <c r="J28" s="168"/>
    </row>
    <row r="29" spans="1:10" s="54" customFormat="1" x14ac:dyDescent="0.25">
      <c r="A29" s="168"/>
      <c r="B29" s="168"/>
      <c r="C29" s="168"/>
      <c r="D29" s="56"/>
      <c r="E29" s="56"/>
      <c r="F29" s="55"/>
      <c r="G29" s="56"/>
      <c r="H29" s="56"/>
      <c r="I29" s="56"/>
      <c r="J29" s="168"/>
    </row>
    <row r="30" spans="1:10" s="54" customFormat="1" x14ac:dyDescent="0.25">
      <c r="A30" s="57"/>
      <c r="G30" s="58"/>
      <c r="H30" s="59"/>
      <c r="I30" s="59"/>
      <c r="J30" s="59"/>
    </row>
    <row r="31" spans="1:10" s="63" customFormat="1" x14ac:dyDescent="0.25">
      <c r="A31" s="60"/>
      <c r="B31" s="61"/>
      <c r="C31" s="61"/>
      <c r="D31" s="61"/>
      <c r="E31" s="61"/>
      <c r="F31" s="61"/>
      <c r="G31" s="62"/>
      <c r="H31" s="62"/>
      <c r="I31" s="62"/>
      <c r="J31" s="62"/>
    </row>
    <row r="32" spans="1:10" s="63" customFormat="1" x14ac:dyDescent="0.25">
      <c r="A32" s="60"/>
      <c r="B32" s="61"/>
      <c r="C32" s="61"/>
      <c r="D32" s="61"/>
      <c r="E32" s="61"/>
      <c r="F32" s="61"/>
      <c r="G32" s="62"/>
      <c r="H32" s="62"/>
      <c r="I32" s="62"/>
      <c r="J32" s="62"/>
    </row>
    <row r="33" spans="1:10" s="63" customFormat="1" x14ac:dyDescent="0.25">
      <c r="A33" s="60"/>
      <c r="B33" s="61"/>
      <c r="C33" s="61"/>
      <c r="D33" s="61"/>
      <c r="E33" s="61"/>
      <c r="F33" s="61"/>
      <c r="G33" s="62"/>
      <c r="H33" s="62"/>
      <c r="I33" s="62"/>
      <c r="J33" s="62"/>
    </row>
    <row r="34" spans="1:10" s="63" customFormat="1" x14ac:dyDescent="0.25">
      <c r="A34" s="60"/>
      <c r="B34" s="61"/>
      <c r="C34" s="61"/>
      <c r="D34" s="61"/>
      <c r="E34" s="61"/>
      <c r="F34" s="61"/>
      <c r="G34" s="62"/>
      <c r="H34" s="62"/>
      <c r="I34" s="62"/>
      <c r="J34" s="62"/>
    </row>
    <row r="35" spans="1:10" s="63" customFormat="1" x14ac:dyDescent="0.25">
      <c r="A35" s="60"/>
      <c r="B35" s="61"/>
      <c r="C35" s="61"/>
      <c r="D35" s="61"/>
      <c r="E35" s="61"/>
      <c r="F35" s="61"/>
      <c r="G35" s="64"/>
      <c r="H35" s="64"/>
      <c r="I35" s="64"/>
      <c r="J35" s="64"/>
    </row>
    <row r="36" spans="1:10" s="63" customFormat="1" x14ac:dyDescent="0.25">
      <c r="A36" s="60"/>
      <c r="B36" s="61"/>
      <c r="C36" s="61"/>
      <c r="D36" s="61"/>
      <c r="E36" s="61"/>
      <c r="F36" s="61"/>
      <c r="G36" s="62"/>
      <c r="H36" s="62"/>
      <c r="I36" s="62"/>
      <c r="J36" s="62"/>
    </row>
    <row r="37" spans="1:10" s="63" customFormat="1" x14ac:dyDescent="0.25">
      <c r="A37" s="60"/>
      <c r="B37" s="61"/>
      <c r="C37" s="61"/>
      <c r="D37" s="61"/>
      <c r="E37" s="61"/>
      <c r="F37" s="61"/>
      <c r="G37" s="64"/>
      <c r="H37" s="64"/>
      <c r="I37" s="64"/>
      <c r="J37" s="64"/>
    </row>
    <row r="38" spans="1:10" s="63" customFormat="1" x14ac:dyDescent="0.25">
      <c r="A38" s="60"/>
      <c r="B38" s="61"/>
      <c r="C38" s="61"/>
      <c r="D38" s="61"/>
      <c r="E38" s="61"/>
      <c r="F38" s="61"/>
      <c r="G38" s="64"/>
      <c r="H38" s="64"/>
      <c r="I38" s="64"/>
      <c r="J38" s="64"/>
    </row>
    <row r="39" spans="1:10" s="63" customFormat="1" x14ac:dyDescent="0.25">
      <c r="A39" s="60"/>
      <c r="B39" s="61"/>
      <c r="C39" s="61"/>
      <c r="D39" s="61"/>
      <c r="E39" s="61"/>
      <c r="F39" s="61"/>
      <c r="G39" s="64"/>
      <c r="H39" s="64"/>
      <c r="I39" s="64"/>
      <c r="J39" s="64"/>
    </row>
    <row r="40" spans="1:10" s="63" customFormat="1" x14ac:dyDescent="0.25">
      <c r="A40" s="60"/>
      <c r="B40" s="61"/>
      <c r="C40" s="61"/>
      <c r="D40" s="61"/>
      <c r="E40" s="61"/>
      <c r="F40" s="61"/>
      <c r="G40" s="65"/>
      <c r="H40" s="64"/>
      <c r="I40" s="64"/>
      <c r="J40" s="64"/>
    </row>
    <row r="41" spans="1:10" s="63" customFormat="1" x14ac:dyDescent="0.25">
      <c r="A41" s="60"/>
      <c r="F41" s="66"/>
      <c r="G41" s="64"/>
      <c r="H41" s="64"/>
      <c r="I41" s="64"/>
      <c r="J41" s="64"/>
    </row>
    <row r="42" spans="1:10" s="54" customFormat="1" x14ac:dyDescent="0.25"/>
    <row r="43" spans="1:10" s="54" customFormat="1" x14ac:dyDescent="0.25">
      <c r="A43" s="67"/>
    </row>
    <row r="44" spans="1:10" s="54" customFormat="1" x14ac:dyDescent="0.25">
      <c r="A44" s="68"/>
    </row>
    <row r="45" spans="1:10" s="54" customFormat="1" x14ac:dyDescent="0.25">
      <c r="A45" s="68"/>
    </row>
    <row r="46" spans="1:10" s="54" customFormat="1" x14ac:dyDescent="0.25">
      <c r="A46" s="68"/>
    </row>
    <row r="47" spans="1:10" s="54" customFormat="1" x14ac:dyDescent="0.25">
      <c r="A47" s="69"/>
    </row>
    <row r="48" spans="1:10" s="54" customFormat="1" x14ac:dyDescent="0.25"/>
    <row r="49" s="54" customFormat="1" x14ac:dyDescent="0.25"/>
    <row r="50" s="54" customFormat="1" x14ac:dyDescent="0.25"/>
    <row r="51" s="54" customFormat="1" x14ac:dyDescent="0.25"/>
    <row r="52" s="54" customFormat="1" x14ac:dyDescent="0.25"/>
  </sheetData>
  <mergeCells count="10">
    <mergeCell ref="J27:J29"/>
    <mergeCell ref="F15:H15"/>
    <mergeCell ref="F13:H13"/>
    <mergeCell ref="F14:H14"/>
    <mergeCell ref="A27:A29"/>
    <mergeCell ref="B27:B29"/>
    <mergeCell ref="C27:C29"/>
    <mergeCell ref="F16:H16"/>
    <mergeCell ref="F17:H17"/>
    <mergeCell ref="A21:I2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28834-2DD1-47BF-82B4-EA4F175D8F94}">
  <dimension ref="B1:H9"/>
  <sheetViews>
    <sheetView workbookViewId="0">
      <selection activeCell="H10" sqref="H10"/>
    </sheetView>
  </sheetViews>
  <sheetFormatPr defaultRowHeight="15" x14ac:dyDescent="0.25"/>
  <cols>
    <col min="4" max="4" width="16.7109375" customWidth="1"/>
    <col min="5" max="5" width="10.5703125" customWidth="1"/>
    <col min="6" max="6" width="18.5703125" customWidth="1"/>
    <col min="8" max="8" width="16.140625" customWidth="1"/>
  </cols>
  <sheetData>
    <row r="1" spans="2:8" ht="15.75" thickBot="1" x14ac:dyDescent="0.3"/>
    <row r="2" spans="2:8" ht="15.75" x14ac:dyDescent="0.25">
      <c r="B2" s="194"/>
      <c r="C2" s="195"/>
      <c r="D2" s="195"/>
      <c r="E2" s="195"/>
      <c r="F2" s="195"/>
      <c r="G2" s="195"/>
      <c r="H2" s="196"/>
    </row>
    <row r="3" spans="2:8" ht="16.5" thickBot="1" x14ac:dyDescent="0.3">
      <c r="B3" s="197" t="s">
        <v>142</v>
      </c>
      <c r="C3" s="198"/>
      <c r="D3" s="198"/>
      <c r="E3" s="198"/>
      <c r="F3" s="198"/>
      <c r="G3" s="198"/>
      <c r="H3" s="199"/>
    </row>
    <row r="4" spans="2:8" ht="15.75" x14ac:dyDescent="0.25">
      <c r="B4" s="9"/>
      <c r="C4" s="13"/>
      <c r="D4" s="13"/>
      <c r="E4" s="13"/>
      <c r="F4" s="13"/>
      <c r="G4" s="13"/>
      <c r="H4" s="16"/>
    </row>
    <row r="5" spans="2:8" x14ac:dyDescent="0.25">
      <c r="B5" s="10" t="s">
        <v>74</v>
      </c>
      <c r="C5" s="14" t="s">
        <v>75</v>
      </c>
      <c r="D5" s="14" t="s">
        <v>1</v>
      </c>
      <c r="E5" s="14" t="s">
        <v>2</v>
      </c>
      <c r="F5" s="14" t="s">
        <v>3</v>
      </c>
      <c r="G5" s="14" t="s">
        <v>148</v>
      </c>
      <c r="H5" s="17" t="s">
        <v>150</v>
      </c>
    </row>
    <row r="6" spans="2:8" ht="63.75" x14ac:dyDescent="0.25">
      <c r="B6" s="11" t="s">
        <v>143</v>
      </c>
      <c r="C6" s="13" t="s">
        <v>144</v>
      </c>
      <c r="D6" s="13" t="s">
        <v>145</v>
      </c>
      <c r="E6" s="13" t="s">
        <v>146</v>
      </c>
      <c r="F6" s="13" t="s">
        <v>147</v>
      </c>
      <c r="G6" s="13" t="s">
        <v>149</v>
      </c>
      <c r="H6" s="16" t="s">
        <v>151</v>
      </c>
    </row>
    <row r="7" spans="2:8" ht="15.75" thickBot="1" x14ac:dyDescent="0.3">
      <c r="B7" s="12"/>
      <c r="C7" s="15"/>
      <c r="D7" s="15"/>
      <c r="E7" s="15"/>
      <c r="F7" s="15"/>
      <c r="G7" s="15"/>
      <c r="H7" s="18" t="s">
        <v>152</v>
      </c>
    </row>
    <row r="8" spans="2:8" x14ac:dyDescent="0.25">
      <c r="B8" s="19"/>
      <c r="C8" s="17"/>
      <c r="D8" s="17"/>
      <c r="E8" s="17"/>
      <c r="F8" s="17"/>
      <c r="G8" s="17"/>
      <c r="H8" s="17"/>
    </row>
    <row r="9" spans="2:8" ht="51.75" thickBot="1" x14ac:dyDescent="0.3">
      <c r="B9" s="20" t="s">
        <v>153</v>
      </c>
      <c r="C9" s="21">
        <v>0</v>
      </c>
      <c r="D9" s="22">
        <v>0</v>
      </c>
      <c r="E9" s="21">
        <v>0</v>
      </c>
      <c r="F9" s="21">
        <v>1000</v>
      </c>
      <c r="G9" s="22" t="s">
        <v>154</v>
      </c>
      <c r="H9" s="21">
        <f>F9*110</f>
        <v>110000</v>
      </c>
    </row>
  </sheetData>
  <mergeCells count="2">
    <mergeCell ref="B2:H2"/>
    <mergeCell ref="B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zoomScale="86" zoomScaleNormal="86" workbookViewId="0">
      <selection activeCell="I13" sqref="I13"/>
    </sheetView>
  </sheetViews>
  <sheetFormatPr defaultRowHeight="15" x14ac:dyDescent="0.25"/>
  <cols>
    <col min="1" max="1" width="44.5703125" style="8" customWidth="1"/>
    <col min="2" max="8" width="9.140625" style="8"/>
    <col min="9" max="9" width="11.85546875" style="8" customWidth="1"/>
    <col min="10" max="10" width="10" style="8" bestFit="1" customWidth="1"/>
    <col min="11" max="16384" width="9.140625" style="8"/>
  </cols>
  <sheetData>
    <row r="1" spans="1:16" ht="15.75" x14ac:dyDescent="0.25">
      <c r="A1" s="71" t="s">
        <v>103</v>
      </c>
    </row>
    <row r="2" spans="1:16" x14ac:dyDescent="0.25">
      <c r="D2" s="25" t="s">
        <v>126</v>
      </c>
      <c r="E2" s="25"/>
      <c r="F2" s="25">
        <v>112.98</v>
      </c>
      <c r="G2" s="25">
        <v>149.35</v>
      </c>
      <c r="H2" s="25">
        <v>54.81</v>
      </c>
      <c r="J2" s="25"/>
    </row>
    <row r="3" spans="1:16" ht="76.5" x14ac:dyDescent="0.25">
      <c r="A3" s="26" t="s">
        <v>6</v>
      </c>
      <c r="B3" s="26" t="s">
        <v>7</v>
      </c>
      <c r="C3" s="26" t="s">
        <v>8</v>
      </c>
      <c r="D3" s="26" t="s">
        <v>9</v>
      </c>
      <c r="E3" s="26" t="s">
        <v>46</v>
      </c>
      <c r="F3" s="26" t="s">
        <v>10</v>
      </c>
      <c r="G3" s="26" t="s">
        <v>11</v>
      </c>
      <c r="H3" s="26" t="s">
        <v>12</v>
      </c>
      <c r="I3" s="26" t="s">
        <v>26</v>
      </c>
    </row>
    <row r="4" spans="1:16" x14ac:dyDescent="0.25">
      <c r="A4" s="27" t="s">
        <v>14</v>
      </c>
      <c r="B4" s="72"/>
      <c r="C4" s="72"/>
      <c r="D4" s="72"/>
      <c r="E4" s="72"/>
      <c r="F4" s="29"/>
      <c r="G4" s="73"/>
      <c r="H4" s="72"/>
      <c r="I4" s="72"/>
    </row>
    <row r="5" spans="1:16" x14ac:dyDescent="0.25">
      <c r="A5" s="70" t="s">
        <v>165</v>
      </c>
      <c r="B5" s="31">
        <v>6</v>
      </c>
      <c r="C5" s="31">
        <v>1</v>
      </c>
      <c r="D5" s="31">
        <f t="shared" ref="D5:D11" si="0">B5*C5</f>
        <v>6</v>
      </c>
      <c r="E5" s="31">
        <v>460</v>
      </c>
      <c r="F5" s="31">
        <f t="shared" ref="F5:F11" si="1">D5*E5</f>
        <v>2760</v>
      </c>
      <c r="G5" s="31">
        <f t="shared" ref="G5:G11" si="2">F5*0.05</f>
        <v>138</v>
      </c>
      <c r="H5" s="31">
        <f t="shared" ref="H5:H11" si="3">F5*0.1</f>
        <v>276</v>
      </c>
      <c r="I5" s="52">
        <f>F5*F$2+G5*G$2+H5*H$2</f>
        <v>347562.66</v>
      </c>
      <c r="J5" s="25"/>
    </row>
    <row r="6" spans="1:16" x14ac:dyDescent="0.25">
      <c r="A6" s="30" t="s">
        <v>47</v>
      </c>
      <c r="B6" s="31">
        <v>8</v>
      </c>
      <c r="C6" s="31">
        <v>1</v>
      </c>
      <c r="D6" s="31">
        <f t="shared" si="0"/>
        <v>8</v>
      </c>
      <c r="E6" s="31">
        <v>0</v>
      </c>
      <c r="F6" s="31">
        <f t="shared" si="1"/>
        <v>0</v>
      </c>
      <c r="G6" s="31">
        <f t="shared" si="2"/>
        <v>0</v>
      </c>
      <c r="H6" s="31">
        <f t="shared" si="3"/>
        <v>0</v>
      </c>
      <c r="I6" s="33">
        <f t="shared" ref="I6:I9" si="4">F6*F$2+G6*G$2+H6*H$2</f>
        <v>0</v>
      </c>
    </row>
    <row r="7" spans="1:16" x14ac:dyDescent="0.25">
      <c r="A7" s="30" t="s">
        <v>48</v>
      </c>
      <c r="B7" s="31">
        <v>8</v>
      </c>
      <c r="C7" s="31">
        <v>1</v>
      </c>
      <c r="D7" s="31">
        <f t="shared" si="0"/>
        <v>8</v>
      </c>
      <c r="E7" s="31">
        <v>0</v>
      </c>
      <c r="F7" s="31">
        <f t="shared" si="1"/>
        <v>0</v>
      </c>
      <c r="G7" s="31">
        <f t="shared" si="2"/>
        <v>0</v>
      </c>
      <c r="H7" s="31">
        <f t="shared" si="3"/>
        <v>0</v>
      </c>
      <c r="I7" s="33">
        <f t="shared" si="4"/>
        <v>0</v>
      </c>
    </row>
    <row r="8" spans="1:16" x14ac:dyDescent="0.25">
      <c r="A8" s="30" t="s">
        <v>49</v>
      </c>
      <c r="B8" s="34">
        <v>12</v>
      </c>
      <c r="C8" s="34">
        <v>1</v>
      </c>
      <c r="D8" s="34">
        <f t="shared" si="0"/>
        <v>12</v>
      </c>
      <c r="E8" s="34">
        <v>460</v>
      </c>
      <c r="F8" s="5">
        <f t="shared" si="1"/>
        <v>5520</v>
      </c>
      <c r="G8" s="34">
        <f t="shared" si="2"/>
        <v>276</v>
      </c>
      <c r="H8" s="34">
        <f t="shared" si="3"/>
        <v>552</v>
      </c>
      <c r="I8" s="52">
        <f t="shared" si="4"/>
        <v>695125.32</v>
      </c>
    </row>
    <row r="9" spans="1:16" x14ac:dyDescent="0.25">
      <c r="A9" s="30" t="s">
        <v>50</v>
      </c>
      <c r="B9" s="34">
        <v>2</v>
      </c>
      <c r="C9" s="34">
        <v>12</v>
      </c>
      <c r="D9" s="34">
        <f t="shared" si="0"/>
        <v>24</v>
      </c>
      <c r="E9" s="34">
        <v>460</v>
      </c>
      <c r="F9" s="34">
        <f t="shared" si="1"/>
        <v>11040</v>
      </c>
      <c r="G9" s="34">
        <f t="shared" si="2"/>
        <v>552</v>
      </c>
      <c r="H9" s="34">
        <f t="shared" si="3"/>
        <v>1104</v>
      </c>
      <c r="I9" s="52">
        <f t="shared" si="4"/>
        <v>1390250.64</v>
      </c>
    </row>
    <row r="10" spans="1:16" x14ac:dyDescent="0.25">
      <c r="A10" s="30" t="s">
        <v>51</v>
      </c>
      <c r="B10" s="34">
        <v>16</v>
      </c>
      <c r="C10" s="34">
        <v>1</v>
      </c>
      <c r="D10" s="34">
        <f t="shared" si="0"/>
        <v>16</v>
      </c>
      <c r="E10" s="34">
        <v>460</v>
      </c>
      <c r="F10" s="5">
        <f t="shared" si="1"/>
        <v>7360</v>
      </c>
      <c r="G10" s="34">
        <f t="shared" si="2"/>
        <v>368</v>
      </c>
      <c r="H10" s="34">
        <f t="shared" si="3"/>
        <v>736</v>
      </c>
      <c r="I10" s="32">
        <f>F10*F$2+G10*G$2+H10*H$2</f>
        <v>926833.76000000013</v>
      </c>
      <c r="J10" s="25"/>
    </row>
    <row r="11" spans="1:16" x14ac:dyDescent="0.25">
      <c r="A11" s="30" t="s">
        <v>15</v>
      </c>
      <c r="B11" s="34">
        <v>4</v>
      </c>
      <c r="C11" s="34">
        <v>2</v>
      </c>
      <c r="D11" s="34">
        <f t="shared" si="0"/>
        <v>8</v>
      </c>
      <c r="E11" s="34">
        <v>460</v>
      </c>
      <c r="F11" s="5">
        <f t="shared" si="1"/>
        <v>3680</v>
      </c>
      <c r="G11" s="34">
        <f t="shared" si="2"/>
        <v>184</v>
      </c>
      <c r="H11" s="34">
        <f t="shared" si="3"/>
        <v>368</v>
      </c>
      <c r="I11" s="52">
        <f>F11*F$2+G11*G$2+H11*H$2</f>
        <v>463416.88000000006</v>
      </c>
    </row>
    <row r="12" spans="1:16" x14ac:dyDescent="0.25">
      <c r="A12" s="37" t="s">
        <v>95</v>
      </c>
      <c r="B12" s="31"/>
      <c r="C12" s="31"/>
      <c r="D12" s="31"/>
      <c r="E12" s="74"/>
      <c r="F12" s="174">
        <f>SUM(F11:H11)</f>
        <v>4232</v>
      </c>
      <c r="G12" s="175"/>
      <c r="H12" s="176"/>
      <c r="I12" s="75">
        <f>I11</f>
        <v>463416.88000000006</v>
      </c>
      <c r="J12" s="25"/>
      <c r="K12" s="51"/>
      <c r="L12" s="51"/>
      <c r="M12" s="76"/>
      <c r="N12" s="51"/>
      <c r="O12" s="51"/>
      <c r="P12" s="51"/>
    </row>
    <row r="13" spans="1:16" x14ac:dyDescent="0.25">
      <c r="A13" s="37" t="s">
        <v>96</v>
      </c>
      <c r="B13" s="31"/>
      <c r="C13" s="31"/>
      <c r="D13" s="31"/>
      <c r="E13" s="74"/>
      <c r="F13" s="174">
        <f>SUM(F5:H5, F8:H10)</f>
        <v>30682</v>
      </c>
      <c r="G13" s="175"/>
      <c r="H13" s="176"/>
      <c r="I13" s="75">
        <f>SUM(I5,I8:I10)</f>
        <v>3359772.3800000004</v>
      </c>
    </row>
    <row r="14" spans="1:16" ht="16.5" x14ac:dyDescent="0.25">
      <c r="A14" s="77" t="s">
        <v>118</v>
      </c>
      <c r="B14" s="31"/>
      <c r="C14" s="31"/>
      <c r="D14" s="31"/>
      <c r="E14" s="74"/>
      <c r="F14" s="174">
        <f>ROUND(SUM(F5:H11),-2)</f>
        <v>34900</v>
      </c>
      <c r="G14" s="175"/>
      <c r="H14" s="176"/>
      <c r="I14" s="75">
        <f>ROUND(SUM(I5:I11),-4)</f>
        <v>3820000</v>
      </c>
      <c r="J14" s="25"/>
    </row>
    <row r="15" spans="1:16" ht="15.75" x14ac:dyDescent="0.25">
      <c r="A15" s="78" t="s">
        <v>119</v>
      </c>
      <c r="B15" s="31"/>
      <c r="C15" s="31"/>
      <c r="D15" s="31"/>
      <c r="E15" s="74"/>
      <c r="F15" s="79"/>
      <c r="G15" s="80"/>
      <c r="H15" s="81"/>
      <c r="I15" s="75">
        <v>0</v>
      </c>
      <c r="J15" s="25"/>
    </row>
    <row r="16" spans="1:16" ht="15.75" x14ac:dyDescent="0.25">
      <c r="A16" s="6" t="s">
        <v>128</v>
      </c>
      <c r="B16" s="28"/>
      <c r="C16" s="28"/>
      <c r="D16" s="28"/>
      <c r="E16" s="28"/>
      <c r="F16" s="169">
        <f>ROUND(SUM(F5:H11),-2)</f>
        <v>34900</v>
      </c>
      <c r="G16" s="169"/>
      <c r="H16" s="169"/>
      <c r="I16" s="40">
        <f>ROUND(SUM(I5:I11),-4)</f>
        <v>3820000</v>
      </c>
    </row>
    <row r="17" spans="1:10" x14ac:dyDescent="0.25">
      <c r="A17" s="44" t="s">
        <v>17</v>
      </c>
    </row>
    <row r="18" spans="1:10" ht="16.5" x14ac:dyDescent="0.25">
      <c r="A18" s="46" t="s">
        <v>34</v>
      </c>
    </row>
    <row r="19" spans="1:10" ht="55.5" customHeight="1" x14ac:dyDescent="0.25">
      <c r="A19" s="177" t="s">
        <v>158</v>
      </c>
      <c r="B19" s="177"/>
      <c r="C19" s="177"/>
      <c r="D19" s="177"/>
      <c r="E19" s="177"/>
      <c r="F19" s="177"/>
      <c r="G19" s="177"/>
      <c r="H19" s="177"/>
      <c r="I19" s="177"/>
    </row>
    <row r="20" spans="1:10" ht="16.5" x14ac:dyDescent="0.25">
      <c r="A20" s="46" t="s">
        <v>156</v>
      </c>
    </row>
    <row r="21" spans="1:10" x14ac:dyDescent="0.25">
      <c r="A21" s="48" t="s">
        <v>35</v>
      </c>
    </row>
    <row r="22" spans="1:10" ht="16.5" x14ac:dyDescent="0.25">
      <c r="A22" s="49" t="s">
        <v>120</v>
      </c>
    </row>
    <row r="23" spans="1:10" s="54" customFormat="1" x14ac:dyDescent="0.25">
      <c r="A23" s="53"/>
    </row>
    <row r="24" spans="1:10" s="54" customFormat="1" x14ac:dyDescent="0.25">
      <c r="A24" s="55"/>
      <c r="B24" s="168"/>
      <c r="C24" s="168"/>
      <c r="D24" s="55"/>
      <c r="E24" s="55"/>
      <c r="F24" s="55"/>
      <c r="G24" s="55"/>
      <c r="H24" s="168"/>
      <c r="I24" s="168"/>
      <c r="J24" s="168"/>
    </row>
    <row r="25" spans="1:10" s="54" customFormat="1" x14ac:dyDescent="0.25">
      <c r="A25" s="55"/>
      <c r="B25" s="168"/>
      <c r="C25" s="168"/>
      <c r="D25" s="55"/>
      <c r="E25" s="55"/>
      <c r="F25" s="55"/>
      <c r="G25" s="55"/>
      <c r="H25" s="168"/>
      <c r="I25" s="168"/>
      <c r="J25" s="168"/>
    </row>
    <row r="26" spans="1:10" s="54" customFormat="1" x14ac:dyDescent="0.25">
      <c r="A26" s="56"/>
      <c r="B26" s="168"/>
      <c r="C26" s="168"/>
      <c r="D26" s="56"/>
      <c r="E26" s="56"/>
      <c r="F26" s="55"/>
      <c r="G26" s="56"/>
      <c r="H26" s="168"/>
      <c r="I26" s="168"/>
      <c r="J26" s="168"/>
    </row>
    <row r="27" spans="1:10" s="63" customFormat="1" x14ac:dyDescent="0.25">
      <c r="A27" s="82"/>
      <c r="B27" s="83"/>
      <c r="C27" s="83"/>
      <c r="D27" s="83"/>
      <c r="E27" s="83"/>
      <c r="F27" s="84"/>
      <c r="G27" s="85"/>
      <c r="H27" s="85"/>
      <c r="I27" s="83"/>
      <c r="J27" s="83"/>
    </row>
    <row r="28" spans="1:10" s="63" customFormat="1" x14ac:dyDescent="0.25">
      <c r="A28" s="60"/>
      <c r="B28" s="61"/>
      <c r="C28" s="61"/>
      <c r="D28" s="61"/>
      <c r="E28" s="61"/>
      <c r="F28" s="61"/>
      <c r="G28" s="62"/>
      <c r="H28" s="62"/>
      <c r="I28" s="62"/>
      <c r="J28" s="62"/>
    </row>
    <row r="29" spans="1:10" s="63" customFormat="1" x14ac:dyDescent="0.25">
      <c r="A29" s="60"/>
      <c r="B29" s="61"/>
      <c r="C29" s="61"/>
      <c r="D29" s="61"/>
      <c r="E29" s="61"/>
      <c r="F29" s="61"/>
      <c r="G29" s="62"/>
      <c r="H29" s="62"/>
      <c r="I29" s="62"/>
      <c r="J29" s="62"/>
    </row>
    <row r="30" spans="1:10" s="63" customFormat="1" x14ac:dyDescent="0.25">
      <c r="A30" s="60"/>
      <c r="B30" s="61"/>
      <c r="C30" s="61"/>
      <c r="D30" s="61"/>
      <c r="E30" s="61"/>
      <c r="F30" s="61"/>
      <c r="G30" s="62"/>
      <c r="H30" s="62"/>
      <c r="I30" s="62"/>
      <c r="J30" s="62"/>
    </row>
    <row r="31" spans="1:10" s="63" customFormat="1" x14ac:dyDescent="0.25">
      <c r="A31" s="60"/>
      <c r="B31" s="61"/>
      <c r="C31" s="61"/>
      <c r="D31" s="61"/>
      <c r="E31" s="61"/>
      <c r="F31" s="66"/>
      <c r="G31" s="86"/>
      <c r="H31" s="86"/>
      <c r="I31" s="86"/>
      <c r="J31" s="86"/>
    </row>
    <row r="32" spans="1:10" s="63" customFormat="1" x14ac:dyDescent="0.25">
      <c r="A32" s="60"/>
      <c r="B32" s="61"/>
      <c r="C32" s="61"/>
      <c r="D32" s="61"/>
      <c r="E32" s="61"/>
      <c r="F32" s="61"/>
      <c r="G32" s="62"/>
      <c r="H32" s="62"/>
      <c r="I32" s="62"/>
      <c r="J32" s="62"/>
    </row>
    <row r="33" spans="1:10" s="63" customFormat="1" x14ac:dyDescent="0.25">
      <c r="A33" s="60"/>
      <c r="B33" s="61"/>
      <c r="C33" s="61"/>
      <c r="D33" s="61"/>
      <c r="E33" s="61"/>
      <c r="F33" s="66"/>
      <c r="G33" s="86"/>
      <c r="H33" s="86"/>
      <c r="I33" s="86"/>
      <c r="J33" s="86"/>
    </row>
    <row r="34" spans="1:10" s="63" customFormat="1" x14ac:dyDescent="0.25">
      <c r="A34" s="60"/>
      <c r="B34" s="61"/>
      <c r="C34" s="61"/>
      <c r="D34" s="61"/>
      <c r="E34" s="61"/>
      <c r="F34" s="87"/>
      <c r="G34" s="86"/>
      <c r="H34" s="86"/>
      <c r="I34" s="86"/>
      <c r="J34" s="86"/>
    </row>
    <row r="35" spans="1:10" s="63" customFormat="1" x14ac:dyDescent="0.25">
      <c r="A35" s="60"/>
      <c r="B35" s="61"/>
      <c r="C35" s="61"/>
      <c r="D35" s="61"/>
      <c r="E35" s="61"/>
      <c r="F35" s="66"/>
      <c r="G35" s="86"/>
      <c r="H35" s="86"/>
      <c r="I35" s="86"/>
      <c r="J35" s="86"/>
    </row>
    <row r="36" spans="1:10" s="63" customFormat="1" x14ac:dyDescent="0.25">
      <c r="A36" s="60"/>
      <c r="F36" s="66"/>
      <c r="G36" s="86"/>
      <c r="H36" s="86"/>
      <c r="I36" s="86"/>
      <c r="J36" s="86"/>
    </row>
    <row r="37" spans="1:10" s="54" customFormat="1" x14ac:dyDescent="0.25">
      <c r="A37" s="67"/>
    </row>
    <row r="38" spans="1:10" s="54" customFormat="1" x14ac:dyDescent="0.25">
      <c r="A38" s="88"/>
    </row>
    <row r="39" spans="1:10" s="54" customFormat="1" x14ac:dyDescent="0.25">
      <c r="A39" s="88"/>
    </row>
  </sheetData>
  <mergeCells count="10">
    <mergeCell ref="F12:H12"/>
    <mergeCell ref="F13:H13"/>
    <mergeCell ref="J24:J26"/>
    <mergeCell ref="F16:H16"/>
    <mergeCell ref="B24:B26"/>
    <mergeCell ref="C24:C26"/>
    <mergeCell ref="H24:H26"/>
    <mergeCell ref="I24:I26"/>
    <mergeCell ref="F14:H14"/>
    <mergeCell ref="A19:I1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5"/>
  <sheetViews>
    <sheetView zoomScale="90" zoomScaleNormal="90" workbookViewId="0">
      <selection activeCell="I12" sqref="I12"/>
    </sheetView>
  </sheetViews>
  <sheetFormatPr defaultRowHeight="15" x14ac:dyDescent="0.25"/>
  <cols>
    <col min="1" max="1" width="33.140625" style="8" customWidth="1"/>
    <col min="2" max="8" width="9.140625" style="8"/>
    <col min="9" max="9" width="12.5703125" style="8" customWidth="1"/>
    <col min="10" max="16384" width="9.140625" style="8"/>
  </cols>
  <sheetData>
    <row r="1" spans="1:16" ht="15.75" x14ac:dyDescent="0.25">
      <c r="A1" s="71" t="s">
        <v>104</v>
      </c>
    </row>
    <row r="2" spans="1:16" x14ac:dyDescent="0.25">
      <c r="D2" s="25" t="s">
        <v>126</v>
      </c>
      <c r="E2" s="25"/>
      <c r="F2" s="25">
        <v>112.98</v>
      </c>
      <c r="G2" s="25">
        <v>149.35</v>
      </c>
      <c r="H2" s="25">
        <v>54.81</v>
      </c>
      <c r="J2" s="25" t="s">
        <v>25</v>
      </c>
    </row>
    <row r="3" spans="1:16" ht="76.5" x14ac:dyDescent="0.25">
      <c r="A3" s="26" t="s">
        <v>6</v>
      </c>
      <c r="B3" s="26" t="s">
        <v>7</v>
      </c>
      <c r="C3" s="26" t="s">
        <v>8</v>
      </c>
      <c r="D3" s="26" t="s">
        <v>9</v>
      </c>
      <c r="E3" s="26" t="s">
        <v>46</v>
      </c>
      <c r="F3" s="26" t="s">
        <v>10</v>
      </c>
      <c r="G3" s="26" t="s">
        <v>11</v>
      </c>
      <c r="H3" s="26" t="s">
        <v>12</v>
      </c>
      <c r="I3" s="26" t="s">
        <v>26</v>
      </c>
    </row>
    <row r="4" spans="1:16" s="51" customFormat="1" x14ac:dyDescent="0.25">
      <c r="A4" s="27" t="s">
        <v>18</v>
      </c>
      <c r="B4" s="72"/>
      <c r="C4" s="72"/>
      <c r="D4" s="72"/>
      <c r="E4" s="72"/>
      <c r="F4" s="29"/>
      <c r="G4" s="73"/>
      <c r="H4" s="72"/>
      <c r="I4" s="72"/>
    </row>
    <row r="5" spans="1:16" s="51" customFormat="1" x14ac:dyDescent="0.25">
      <c r="A5" s="70" t="s">
        <v>165</v>
      </c>
      <c r="B5" s="31">
        <v>4</v>
      </c>
      <c r="C5" s="31">
        <v>1</v>
      </c>
      <c r="D5" s="31">
        <f>B5*C5</f>
        <v>4</v>
      </c>
      <c r="E5" s="23">
        <v>1800</v>
      </c>
      <c r="F5" s="31">
        <f t="shared" ref="F5:F10" si="0">D5*E5</f>
        <v>7200</v>
      </c>
      <c r="G5" s="31">
        <f t="shared" ref="G5:G10" si="1">F5*0.05</f>
        <v>360</v>
      </c>
      <c r="H5" s="31">
        <f t="shared" ref="H5:H10" si="2">F5*0.1</f>
        <v>720</v>
      </c>
      <c r="I5" s="52">
        <f t="shared" ref="I5:I10" si="3">F5*F$2+G5*G$2+H5*H$2</f>
        <v>906685.2</v>
      </c>
      <c r="J5" s="25"/>
    </row>
    <row r="6" spans="1:16" s="51" customFormat="1" x14ac:dyDescent="0.25">
      <c r="A6" s="30" t="s">
        <v>47</v>
      </c>
      <c r="B6" s="31">
        <v>1</v>
      </c>
      <c r="C6" s="31">
        <v>1</v>
      </c>
      <c r="D6" s="31">
        <f t="shared" ref="D6:D10" si="4">B6*C6</f>
        <v>1</v>
      </c>
      <c r="E6" s="31">
        <v>0</v>
      </c>
      <c r="F6" s="31">
        <f t="shared" si="0"/>
        <v>0</v>
      </c>
      <c r="G6" s="31">
        <f t="shared" si="1"/>
        <v>0</v>
      </c>
      <c r="H6" s="31">
        <f t="shared" si="2"/>
        <v>0</v>
      </c>
      <c r="I6" s="33">
        <f t="shared" si="3"/>
        <v>0</v>
      </c>
    </row>
    <row r="7" spans="1:16" s="51" customFormat="1" x14ac:dyDescent="0.25">
      <c r="A7" s="30" t="s">
        <v>48</v>
      </c>
      <c r="B7" s="31">
        <v>1</v>
      </c>
      <c r="C7" s="31">
        <v>1</v>
      </c>
      <c r="D7" s="31">
        <f t="shared" si="4"/>
        <v>1</v>
      </c>
      <c r="E7" s="31">
        <v>0</v>
      </c>
      <c r="F7" s="31">
        <f t="shared" si="0"/>
        <v>0</v>
      </c>
      <c r="G7" s="31">
        <f t="shared" si="1"/>
        <v>0</v>
      </c>
      <c r="H7" s="31">
        <f t="shared" si="2"/>
        <v>0</v>
      </c>
      <c r="I7" s="33">
        <f t="shared" si="3"/>
        <v>0</v>
      </c>
    </row>
    <row r="8" spans="1:16" s="51" customFormat="1" x14ac:dyDescent="0.25">
      <c r="A8" s="30" t="s">
        <v>19</v>
      </c>
      <c r="B8" s="31">
        <v>1</v>
      </c>
      <c r="C8" s="31">
        <v>12</v>
      </c>
      <c r="D8" s="31">
        <f t="shared" si="4"/>
        <v>12</v>
      </c>
      <c r="E8" s="5">
        <v>1800</v>
      </c>
      <c r="F8" s="23">
        <f t="shared" si="0"/>
        <v>21600</v>
      </c>
      <c r="G8" s="23">
        <f t="shared" si="1"/>
        <v>1080</v>
      </c>
      <c r="H8" s="23">
        <f t="shared" si="2"/>
        <v>2160</v>
      </c>
      <c r="I8" s="52">
        <f t="shared" si="3"/>
        <v>2720055.6</v>
      </c>
      <c r="J8" s="89"/>
      <c r="M8" s="76"/>
    </row>
    <row r="9" spans="1:16" s="51" customFormat="1" x14ac:dyDescent="0.25">
      <c r="A9" s="30" t="s">
        <v>55</v>
      </c>
      <c r="B9" s="31">
        <v>0.1</v>
      </c>
      <c r="C9" s="31">
        <v>12</v>
      </c>
      <c r="D9" s="31">
        <f t="shared" si="4"/>
        <v>1.2000000000000002</v>
      </c>
      <c r="E9" s="5">
        <v>1800</v>
      </c>
      <c r="F9" s="23">
        <f t="shared" si="0"/>
        <v>2160.0000000000005</v>
      </c>
      <c r="G9" s="31">
        <f t="shared" si="1"/>
        <v>108.00000000000003</v>
      </c>
      <c r="H9" s="31">
        <f t="shared" si="2"/>
        <v>216.00000000000006</v>
      </c>
      <c r="I9" s="52">
        <f t="shared" si="3"/>
        <v>272005.56000000006</v>
      </c>
      <c r="J9" s="25"/>
      <c r="M9" s="76"/>
    </row>
    <row r="10" spans="1:16" s="51" customFormat="1" x14ac:dyDescent="0.25">
      <c r="A10" s="30" t="s">
        <v>56</v>
      </c>
      <c r="B10" s="31">
        <v>0.25</v>
      </c>
      <c r="C10" s="31">
        <v>2</v>
      </c>
      <c r="D10" s="31">
        <f t="shared" si="4"/>
        <v>0.5</v>
      </c>
      <c r="E10" s="5">
        <f>1800*0.02</f>
        <v>36</v>
      </c>
      <c r="F10" s="31">
        <f t="shared" si="0"/>
        <v>18</v>
      </c>
      <c r="G10" s="31">
        <f t="shared" si="1"/>
        <v>0.9</v>
      </c>
      <c r="H10" s="31">
        <f t="shared" si="2"/>
        <v>1.8</v>
      </c>
      <c r="I10" s="52">
        <f t="shared" si="3"/>
        <v>2266.7130000000002</v>
      </c>
      <c r="J10" s="25"/>
      <c r="M10" s="76"/>
    </row>
    <row r="11" spans="1:16" s="51" customFormat="1" x14ac:dyDescent="0.25">
      <c r="A11" s="37" t="s">
        <v>97</v>
      </c>
      <c r="B11" s="31"/>
      <c r="C11" s="31"/>
      <c r="D11" s="31"/>
      <c r="E11" s="90"/>
      <c r="F11" s="178">
        <f>SUM(F10:H10)</f>
        <v>20.7</v>
      </c>
      <c r="G11" s="179"/>
      <c r="H11" s="180"/>
      <c r="I11" s="75">
        <f>I10</f>
        <v>2266.7130000000002</v>
      </c>
      <c r="J11" s="25"/>
      <c r="K11" s="25"/>
      <c r="L11" s="25"/>
      <c r="M11" s="25"/>
      <c r="N11" s="25"/>
      <c r="O11" s="25"/>
      <c r="P11" s="25"/>
    </row>
    <row r="12" spans="1:16" s="51" customFormat="1" x14ac:dyDescent="0.25">
      <c r="A12" s="37" t="s">
        <v>98</v>
      </c>
      <c r="B12" s="31"/>
      <c r="C12" s="31"/>
      <c r="D12" s="31"/>
      <c r="E12" s="90"/>
      <c r="F12" s="174">
        <f>SUM(F5:H5, F8:H9)</f>
        <v>35604</v>
      </c>
      <c r="G12" s="181"/>
      <c r="H12" s="182"/>
      <c r="I12" s="75">
        <f>SUM(I5, I8:I9)</f>
        <v>3898746.36</v>
      </c>
      <c r="K12" s="8"/>
      <c r="L12" s="8"/>
      <c r="M12" s="8"/>
      <c r="N12" s="8"/>
      <c r="O12" s="8"/>
    </row>
    <row r="13" spans="1:16" s="51" customFormat="1" x14ac:dyDescent="0.25">
      <c r="A13" s="39" t="s">
        <v>129</v>
      </c>
      <c r="B13" s="31"/>
      <c r="C13" s="31"/>
      <c r="D13" s="31"/>
      <c r="E13" s="90"/>
      <c r="F13" s="174">
        <f>ROUND(SUM(F5:H10),-2)</f>
        <v>35600</v>
      </c>
      <c r="G13" s="181"/>
      <c r="H13" s="182"/>
      <c r="I13" s="75">
        <f>ROUND(SUM(I5:I10),-4)</f>
        <v>3900000</v>
      </c>
      <c r="J13" s="25"/>
      <c r="K13" s="8"/>
      <c r="L13" s="8"/>
      <c r="M13" s="8"/>
      <c r="N13" s="8"/>
      <c r="O13" s="8"/>
    </row>
    <row r="14" spans="1:16" s="51" customFormat="1" ht="21.75" x14ac:dyDescent="0.25">
      <c r="A14" s="41" t="s">
        <v>130</v>
      </c>
      <c r="B14" s="31"/>
      <c r="C14" s="31"/>
      <c r="D14" s="31"/>
      <c r="E14" s="90"/>
      <c r="F14" s="79"/>
      <c r="G14" s="91"/>
      <c r="H14" s="92"/>
      <c r="I14" s="75">
        <v>0</v>
      </c>
      <c r="J14" s="25"/>
      <c r="K14" s="8"/>
      <c r="L14" s="8"/>
      <c r="M14" s="8"/>
      <c r="N14" s="8"/>
      <c r="O14" s="8"/>
    </row>
    <row r="15" spans="1:16" s="51" customFormat="1" ht="17.25" customHeight="1" x14ac:dyDescent="0.25">
      <c r="A15" s="7" t="s">
        <v>122</v>
      </c>
      <c r="B15" s="93"/>
      <c r="C15" s="93"/>
      <c r="D15" s="93"/>
      <c r="E15" s="93"/>
      <c r="F15" s="183">
        <f>ROUND(SUM(F5:H10),-2)</f>
        <v>35600</v>
      </c>
      <c r="G15" s="184"/>
      <c r="H15" s="185"/>
      <c r="I15" s="40">
        <f>ROUND(SUM(I5:I10),-4)</f>
        <v>3900000</v>
      </c>
    </row>
    <row r="16" spans="1:16" x14ac:dyDescent="0.25">
      <c r="A16" s="44" t="s">
        <v>20</v>
      </c>
    </row>
    <row r="17" spans="1:10" ht="16.5" x14ac:dyDescent="0.25">
      <c r="A17" s="46" t="s">
        <v>52</v>
      </c>
    </row>
    <row r="18" spans="1:10" ht="53.45" customHeight="1" x14ac:dyDescent="0.25">
      <c r="A18" s="177" t="s">
        <v>158</v>
      </c>
      <c r="B18" s="177"/>
      <c r="C18" s="177"/>
      <c r="D18" s="177"/>
      <c r="E18" s="177"/>
      <c r="F18" s="177"/>
      <c r="G18" s="177"/>
      <c r="H18" s="177"/>
      <c r="I18" s="177"/>
      <c r="J18" s="177"/>
    </row>
    <row r="19" spans="1:10" ht="16.5" x14ac:dyDescent="0.25">
      <c r="A19" s="46" t="s">
        <v>156</v>
      </c>
    </row>
    <row r="20" spans="1:10" x14ac:dyDescent="0.25">
      <c r="A20" s="48" t="s">
        <v>54</v>
      </c>
    </row>
    <row r="21" spans="1:10" x14ac:dyDescent="0.25">
      <c r="A21" s="48" t="s">
        <v>53</v>
      </c>
    </row>
    <row r="22" spans="1:10" ht="17.25" x14ac:dyDescent="0.25">
      <c r="A22" s="94" t="s">
        <v>123</v>
      </c>
    </row>
    <row r="24" spans="1:10" s="54" customFormat="1" x14ac:dyDescent="0.25">
      <c r="A24" s="53"/>
    </row>
    <row r="25" spans="1:10" s="54" customFormat="1" x14ac:dyDescent="0.25">
      <c r="A25" s="186"/>
      <c r="B25" s="186"/>
      <c r="C25" s="186"/>
      <c r="D25" s="55"/>
      <c r="E25" s="55"/>
      <c r="F25" s="55"/>
      <c r="G25" s="55"/>
      <c r="H25" s="168"/>
      <c r="I25" s="55"/>
      <c r="J25" s="168"/>
    </row>
    <row r="26" spans="1:10" s="54" customFormat="1" x14ac:dyDescent="0.25">
      <c r="A26" s="186"/>
      <c r="B26" s="186"/>
      <c r="C26" s="186"/>
      <c r="D26" s="55"/>
      <c r="E26" s="55"/>
      <c r="F26" s="55"/>
      <c r="G26" s="55"/>
      <c r="H26" s="168"/>
      <c r="I26" s="55"/>
      <c r="J26" s="168"/>
    </row>
    <row r="27" spans="1:10" s="54" customFormat="1" x14ac:dyDescent="0.25">
      <c r="A27" s="186"/>
      <c r="B27" s="186"/>
      <c r="C27" s="186"/>
      <c r="D27" s="56"/>
      <c r="E27" s="56"/>
      <c r="F27" s="55"/>
      <c r="G27" s="56"/>
      <c r="H27" s="168"/>
      <c r="I27" s="56"/>
      <c r="J27" s="168"/>
    </row>
    <row r="28" spans="1:10" s="63" customFormat="1" x14ac:dyDescent="0.25">
      <c r="A28" s="82"/>
      <c r="B28" s="83"/>
      <c r="C28" s="83"/>
      <c r="D28" s="83"/>
      <c r="E28" s="83"/>
      <c r="F28" s="84"/>
      <c r="G28" s="85"/>
      <c r="H28" s="85"/>
      <c r="I28" s="83"/>
      <c r="J28" s="83"/>
    </row>
    <row r="29" spans="1:10" s="63" customFormat="1" x14ac:dyDescent="0.25">
      <c r="A29" s="60"/>
      <c r="B29" s="61"/>
      <c r="C29" s="61"/>
      <c r="D29" s="61"/>
      <c r="E29" s="61"/>
      <c r="F29" s="61"/>
      <c r="G29" s="62"/>
      <c r="H29" s="62"/>
      <c r="I29" s="62"/>
      <c r="J29" s="62"/>
    </row>
    <row r="30" spans="1:10" s="63" customFormat="1" x14ac:dyDescent="0.25">
      <c r="A30" s="60"/>
      <c r="B30" s="61"/>
      <c r="C30" s="61"/>
      <c r="D30" s="61"/>
      <c r="E30" s="61"/>
      <c r="F30" s="61"/>
      <c r="G30" s="62"/>
      <c r="H30" s="62"/>
      <c r="I30" s="62"/>
      <c r="J30" s="62"/>
    </row>
    <row r="31" spans="1:10" s="63" customFormat="1" x14ac:dyDescent="0.25">
      <c r="A31" s="60"/>
      <c r="B31" s="61"/>
      <c r="C31" s="61"/>
      <c r="D31" s="61"/>
      <c r="E31" s="61"/>
      <c r="F31" s="61"/>
      <c r="G31" s="62"/>
      <c r="H31" s="62"/>
      <c r="I31" s="62"/>
      <c r="J31" s="62"/>
    </row>
    <row r="32" spans="1:10" s="63" customFormat="1" x14ac:dyDescent="0.25">
      <c r="A32" s="60"/>
      <c r="B32" s="61"/>
      <c r="C32" s="61"/>
      <c r="D32" s="61"/>
      <c r="E32" s="61"/>
      <c r="F32" s="61"/>
      <c r="G32" s="62"/>
      <c r="H32" s="62"/>
      <c r="I32" s="62"/>
      <c r="J32" s="62"/>
    </row>
    <row r="33" spans="1:10" s="63" customFormat="1" x14ac:dyDescent="0.25">
      <c r="A33" s="60"/>
      <c r="B33" s="61"/>
      <c r="C33" s="61"/>
      <c r="D33" s="61"/>
      <c r="E33" s="66"/>
      <c r="F33" s="66"/>
      <c r="G33" s="86"/>
      <c r="H33" s="62"/>
      <c r="I33" s="86"/>
      <c r="J33" s="86"/>
    </row>
    <row r="34" spans="1:10" s="63" customFormat="1" x14ac:dyDescent="0.25">
      <c r="A34" s="60"/>
      <c r="B34" s="61"/>
      <c r="C34" s="61"/>
      <c r="D34" s="61"/>
      <c r="E34" s="66"/>
      <c r="F34" s="66"/>
      <c r="G34" s="86"/>
      <c r="H34" s="97"/>
      <c r="I34" s="86"/>
      <c r="J34" s="86"/>
    </row>
    <row r="35" spans="1:10" s="63" customFormat="1" x14ac:dyDescent="0.25">
      <c r="A35" s="60"/>
      <c r="B35" s="61"/>
      <c r="C35" s="61"/>
      <c r="D35" s="61"/>
      <c r="E35" s="66"/>
      <c r="F35" s="61"/>
      <c r="G35" s="86"/>
      <c r="H35" s="62"/>
      <c r="I35" s="86"/>
      <c r="J35" s="86"/>
    </row>
    <row r="36" spans="1:10" s="63" customFormat="1" x14ac:dyDescent="0.25">
      <c r="A36" s="60"/>
      <c r="B36" s="61"/>
      <c r="C36" s="61"/>
      <c r="D36" s="61"/>
      <c r="E36" s="66"/>
      <c r="F36" s="66"/>
      <c r="G36" s="86"/>
      <c r="H36" s="97"/>
      <c r="I36" s="86"/>
      <c r="J36" s="86"/>
    </row>
    <row r="37" spans="1:10" s="63" customFormat="1" x14ac:dyDescent="0.25">
      <c r="A37" s="60"/>
      <c r="B37" s="98"/>
      <c r="C37" s="98"/>
      <c r="D37" s="98"/>
      <c r="E37" s="98"/>
      <c r="F37" s="66"/>
      <c r="G37" s="86"/>
      <c r="H37" s="62"/>
      <c r="I37" s="86"/>
      <c r="J37" s="86"/>
    </row>
    <row r="38" spans="1:10" s="54" customFormat="1" x14ac:dyDescent="0.25"/>
    <row r="39" spans="1:10" s="54" customFormat="1" x14ac:dyDescent="0.25"/>
    <row r="40" spans="1:10" s="54" customFormat="1" x14ac:dyDescent="0.25">
      <c r="A40" s="67"/>
    </row>
    <row r="41" spans="1:10" s="54" customFormat="1" x14ac:dyDescent="0.25">
      <c r="A41" s="99"/>
    </row>
    <row r="42" spans="1:10" s="54" customFormat="1" x14ac:dyDescent="0.25">
      <c r="A42" s="99"/>
    </row>
    <row r="43" spans="1:10" s="54" customFormat="1" x14ac:dyDescent="0.25">
      <c r="A43" s="99"/>
    </row>
    <row r="44" spans="1:10" s="54" customFormat="1" x14ac:dyDescent="0.25"/>
    <row r="45" spans="1:10" ht="15.75" x14ac:dyDescent="0.25">
      <c r="A45" s="96"/>
    </row>
  </sheetData>
  <mergeCells count="10">
    <mergeCell ref="F11:H11"/>
    <mergeCell ref="F12:H12"/>
    <mergeCell ref="J25:J27"/>
    <mergeCell ref="F15:H15"/>
    <mergeCell ref="A25:A27"/>
    <mergeCell ref="B25:B27"/>
    <mergeCell ref="C25:C27"/>
    <mergeCell ref="H25:H27"/>
    <mergeCell ref="F13:H13"/>
    <mergeCell ref="A18:J1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7"/>
  <sheetViews>
    <sheetView zoomScale="94" zoomScaleNormal="94" workbookViewId="0">
      <selection activeCell="I13" sqref="I13"/>
    </sheetView>
  </sheetViews>
  <sheetFormatPr defaultRowHeight="15" x14ac:dyDescent="0.25"/>
  <cols>
    <col min="1" max="1" width="35.5703125" style="8" customWidth="1"/>
    <col min="2" max="8" width="9.140625" style="8"/>
    <col min="9" max="9" width="13.42578125" style="8" customWidth="1"/>
    <col min="10" max="16384" width="9.140625" style="8"/>
  </cols>
  <sheetData>
    <row r="1" spans="1:16" ht="15.75" x14ac:dyDescent="0.25">
      <c r="A1" s="71" t="s">
        <v>105</v>
      </c>
    </row>
    <row r="2" spans="1:16" x14ac:dyDescent="0.25">
      <c r="D2" s="25" t="s">
        <v>126</v>
      </c>
      <c r="E2" s="25"/>
      <c r="F2" s="25">
        <v>112.98</v>
      </c>
      <c r="G2" s="25">
        <v>149.35</v>
      </c>
      <c r="H2" s="25">
        <v>54.81</v>
      </c>
      <c r="J2" s="25"/>
    </row>
    <row r="3" spans="1:16" ht="76.5" x14ac:dyDescent="0.25">
      <c r="A3" s="26" t="s">
        <v>6</v>
      </c>
      <c r="B3" s="26" t="s">
        <v>7</v>
      </c>
      <c r="C3" s="26" t="s">
        <v>8</v>
      </c>
      <c r="D3" s="26" t="s">
        <v>9</v>
      </c>
      <c r="E3" s="26" t="s">
        <v>59</v>
      </c>
      <c r="F3" s="26" t="s">
        <v>10</v>
      </c>
      <c r="G3" s="26" t="s">
        <v>11</v>
      </c>
      <c r="H3" s="26" t="s">
        <v>12</v>
      </c>
      <c r="I3" s="26" t="s">
        <v>60</v>
      </c>
    </row>
    <row r="4" spans="1:16" x14ac:dyDescent="0.25">
      <c r="A4" s="27" t="s">
        <v>21</v>
      </c>
      <c r="B4" s="72"/>
      <c r="C4" s="72"/>
      <c r="D4" s="72"/>
      <c r="E4" s="72"/>
      <c r="F4" s="29"/>
      <c r="G4" s="73"/>
      <c r="H4" s="72"/>
      <c r="I4" s="72"/>
    </row>
    <row r="5" spans="1:16" s="102" customFormat="1" ht="22.5" x14ac:dyDescent="0.25">
      <c r="A5" s="124" t="s">
        <v>163</v>
      </c>
      <c r="B5" s="100">
        <v>2</v>
      </c>
      <c r="C5" s="100">
        <v>1</v>
      </c>
      <c r="D5" s="100">
        <f t="shared" ref="D5:D11" si="0">B5*C5</f>
        <v>2</v>
      </c>
      <c r="E5" s="100">
        <f>5900*0.25</f>
        <v>1475</v>
      </c>
      <c r="F5" s="100">
        <f t="shared" ref="F5:F11" si="1">D5*E5</f>
        <v>2950</v>
      </c>
      <c r="G5" s="100">
        <f t="shared" ref="G5:G11" si="2">F5*0.05</f>
        <v>147.5</v>
      </c>
      <c r="H5" s="100">
        <f t="shared" ref="H5:H11" si="3">F5*0.1</f>
        <v>295</v>
      </c>
      <c r="I5" s="101">
        <f t="shared" ref="I5:I11" si="4">F5*F$2+G5*G$2+H5*H$2</f>
        <v>371489.07500000001</v>
      </c>
      <c r="J5" s="25"/>
    </row>
    <row r="6" spans="1:16" ht="22.5" x14ac:dyDescent="0.25">
      <c r="A6" s="124" t="s">
        <v>164</v>
      </c>
      <c r="B6" s="31">
        <v>2</v>
      </c>
      <c r="C6" s="31">
        <v>1</v>
      </c>
      <c r="D6" s="31">
        <f t="shared" si="0"/>
        <v>2</v>
      </c>
      <c r="E6" s="23">
        <f>5900*0.75</f>
        <v>4425</v>
      </c>
      <c r="F6" s="31">
        <f t="shared" si="1"/>
        <v>8850</v>
      </c>
      <c r="G6" s="31">
        <f t="shared" si="2"/>
        <v>442.5</v>
      </c>
      <c r="H6" s="31">
        <f t="shared" si="3"/>
        <v>885</v>
      </c>
      <c r="I6" s="52">
        <f t="shared" si="4"/>
        <v>1114467.2250000001</v>
      </c>
      <c r="J6" s="25"/>
      <c r="K6" s="103"/>
      <c r="L6" s="103"/>
      <c r="M6" s="103"/>
      <c r="N6" s="103"/>
      <c r="O6" s="103"/>
    </row>
    <row r="7" spans="1:16" x14ac:dyDescent="0.25">
      <c r="A7" s="30" t="s">
        <v>61</v>
      </c>
      <c r="B7" s="31">
        <v>2</v>
      </c>
      <c r="C7" s="31">
        <v>1</v>
      </c>
      <c r="D7" s="31">
        <f t="shared" si="0"/>
        <v>2</v>
      </c>
      <c r="E7" s="31">
        <v>0</v>
      </c>
      <c r="F7" s="31">
        <f t="shared" si="1"/>
        <v>0</v>
      </c>
      <c r="G7" s="31">
        <f t="shared" si="2"/>
        <v>0</v>
      </c>
      <c r="H7" s="31">
        <f t="shared" si="3"/>
        <v>0</v>
      </c>
      <c r="I7" s="33">
        <f t="shared" si="4"/>
        <v>0</v>
      </c>
    </row>
    <row r="8" spans="1:16" x14ac:dyDescent="0.25">
      <c r="A8" s="30" t="s">
        <v>62</v>
      </c>
      <c r="B8" s="31">
        <v>1</v>
      </c>
      <c r="C8" s="31">
        <v>1</v>
      </c>
      <c r="D8" s="31">
        <f t="shared" si="0"/>
        <v>1</v>
      </c>
      <c r="E8" s="31">
        <v>0</v>
      </c>
      <c r="F8" s="31">
        <f t="shared" si="1"/>
        <v>0</v>
      </c>
      <c r="G8" s="31">
        <f t="shared" si="2"/>
        <v>0</v>
      </c>
      <c r="H8" s="31">
        <f t="shared" si="3"/>
        <v>0</v>
      </c>
      <c r="I8" s="33">
        <f t="shared" si="4"/>
        <v>0</v>
      </c>
    </row>
    <row r="9" spans="1:16" x14ac:dyDescent="0.25">
      <c r="A9" s="30" t="s">
        <v>50</v>
      </c>
      <c r="B9" s="31">
        <v>0.25</v>
      </c>
      <c r="C9" s="31">
        <v>12</v>
      </c>
      <c r="D9" s="31">
        <f t="shared" si="0"/>
        <v>3</v>
      </c>
      <c r="E9" s="5">
        <v>5900</v>
      </c>
      <c r="F9" s="23">
        <f t="shared" si="1"/>
        <v>17700</v>
      </c>
      <c r="G9" s="31">
        <f t="shared" si="2"/>
        <v>885</v>
      </c>
      <c r="H9" s="23">
        <f t="shared" si="3"/>
        <v>1770</v>
      </c>
      <c r="I9" s="52">
        <f t="shared" si="4"/>
        <v>2228934.4500000002</v>
      </c>
      <c r="J9" s="25"/>
      <c r="L9" s="35"/>
    </row>
    <row r="10" spans="1:16" x14ac:dyDescent="0.25">
      <c r="A10" s="30" t="s">
        <v>64</v>
      </c>
      <c r="B10" s="31">
        <v>0.1</v>
      </c>
      <c r="C10" s="31">
        <v>12</v>
      </c>
      <c r="D10" s="31">
        <f t="shared" si="0"/>
        <v>1.2000000000000002</v>
      </c>
      <c r="E10" s="5">
        <v>5900</v>
      </c>
      <c r="F10" s="23">
        <f t="shared" si="1"/>
        <v>7080.0000000000009</v>
      </c>
      <c r="G10" s="31">
        <f t="shared" si="2"/>
        <v>354.00000000000006</v>
      </c>
      <c r="H10" s="31">
        <f t="shared" si="3"/>
        <v>708.00000000000011</v>
      </c>
      <c r="I10" s="52">
        <f t="shared" si="4"/>
        <v>891573.78000000014</v>
      </c>
      <c r="J10" s="25"/>
      <c r="L10" s="35"/>
    </row>
    <row r="11" spans="1:16" x14ac:dyDescent="0.25">
      <c r="A11" s="30" t="s">
        <v>63</v>
      </c>
      <c r="B11" s="31">
        <v>1</v>
      </c>
      <c r="C11" s="31">
        <v>2</v>
      </c>
      <c r="D11" s="31">
        <f t="shared" si="0"/>
        <v>2</v>
      </c>
      <c r="E11" s="31">
        <f>5900*0.02</f>
        <v>118</v>
      </c>
      <c r="F11" s="31">
        <f t="shared" si="1"/>
        <v>236</v>
      </c>
      <c r="G11" s="31">
        <f t="shared" si="2"/>
        <v>11.8</v>
      </c>
      <c r="H11" s="31">
        <f t="shared" si="3"/>
        <v>23.6</v>
      </c>
      <c r="I11" s="52">
        <f t="shared" si="4"/>
        <v>29719.126</v>
      </c>
      <c r="J11" s="25"/>
      <c r="L11" s="35"/>
    </row>
    <row r="12" spans="1:16" x14ac:dyDescent="0.25">
      <c r="A12" s="37" t="s">
        <v>95</v>
      </c>
      <c r="B12" s="31"/>
      <c r="C12" s="31"/>
      <c r="D12" s="31"/>
      <c r="E12" s="31"/>
      <c r="F12" s="178">
        <f>SUM(F11:H11)</f>
        <v>271.40000000000003</v>
      </c>
      <c r="G12" s="179"/>
      <c r="H12" s="180"/>
      <c r="I12" s="75">
        <f>I11</f>
        <v>29719.126</v>
      </c>
      <c r="J12" s="25"/>
      <c r="L12" s="35"/>
    </row>
    <row r="13" spans="1:16" x14ac:dyDescent="0.25">
      <c r="A13" s="37" t="s">
        <v>99</v>
      </c>
      <c r="B13" s="31"/>
      <c r="C13" s="31"/>
      <c r="D13" s="31"/>
      <c r="E13" s="31"/>
      <c r="F13" s="174">
        <f>SUM(F5:H6,F9:H10)</f>
        <v>42067</v>
      </c>
      <c r="G13" s="181"/>
      <c r="H13" s="182"/>
      <c r="I13" s="75">
        <f>SUM(I5:I6,I9:I10)</f>
        <v>4606464.53</v>
      </c>
      <c r="J13" s="25"/>
      <c r="L13" s="35"/>
    </row>
    <row r="14" spans="1:16" x14ac:dyDescent="0.25">
      <c r="A14" s="39" t="s">
        <v>129</v>
      </c>
      <c r="B14" s="31"/>
      <c r="C14" s="31"/>
      <c r="D14" s="31"/>
      <c r="E14" s="31"/>
      <c r="F14" s="174">
        <f>ROUND(SUM(F5:H11),-2)</f>
        <v>42300</v>
      </c>
      <c r="G14" s="181"/>
      <c r="H14" s="182"/>
      <c r="I14" s="75">
        <f>ROUND(SUM(I5:I11),-4)</f>
        <v>4640000</v>
      </c>
      <c r="J14" s="25"/>
      <c r="P14" s="51"/>
    </row>
    <row r="15" spans="1:16" ht="21.75" x14ac:dyDescent="0.25">
      <c r="A15" s="41" t="s">
        <v>130</v>
      </c>
      <c r="B15" s="31"/>
      <c r="C15" s="31"/>
      <c r="D15" s="31"/>
      <c r="E15" s="31"/>
      <c r="F15" s="79"/>
      <c r="G15" s="91"/>
      <c r="H15" s="92"/>
      <c r="I15" s="75">
        <v>0</v>
      </c>
      <c r="J15" s="25"/>
      <c r="P15" s="51"/>
    </row>
    <row r="16" spans="1:16" x14ac:dyDescent="0.25">
      <c r="A16" s="7" t="s">
        <v>122</v>
      </c>
      <c r="B16" s="93"/>
      <c r="C16" s="93"/>
      <c r="D16" s="93"/>
      <c r="E16" s="93"/>
      <c r="F16" s="183">
        <f>ROUND(SUM(F5:H11),-2)</f>
        <v>42300</v>
      </c>
      <c r="G16" s="184"/>
      <c r="H16" s="185"/>
      <c r="I16" s="40">
        <f>ROUND(SUM(I5:I11),-4)</f>
        <v>4640000</v>
      </c>
      <c r="L16" s="35"/>
    </row>
    <row r="18" spans="1:11" x14ac:dyDescent="0.25">
      <c r="A18" s="44" t="s">
        <v>22</v>
      </c>
    </row>
    <row r="19" spans="1:11" ht="16.5" x14ac:dyDescent="0.25">
      <c r="A19" s="46" t="s">
        <v>58</v>
      </c>
    </row>
    <row r="20" spans="1:11" ht="44.45" customHeight="1" x14ac:dyDescent="0.25">
      <c r="A20" s="177" t="s">
        <v>158</v>
      </c>
      <c r="B20" s="177"/>
      <c r="C20" s="177"/>
      <c r="D20" s="177"/>
      <c r="E20" s="177"/>
      <c r="F20" s="177"/>
      <c r="G20" s="177"/>
      <c r="H20" s="177"/>
      <c r="I20" s="177"/>
      <c r="J20" s="177"/>
      <c r="K20" s="177"/>
    </row>
    <row r="21" spans="1:11" ht="30.6" customHeight="1" x14ac:dyDescent="0.25">
      <c r="A21" s="187" t="s">
        <v>159</v>
      </c>
      <c r="B21" s="187"/>
      <c r="C21" s="187"/>
      <c r="D21" s="187"/>
      <c r="E21" s="187"/>
      <c r="F21" s="187"/>
      <c r="G21" s="187"/>
      <c r="H21" s="187"/>
      <c r="I21" s="187"/>
      <c r="J21" s="187"/>
      <c r="K21" s="187"/>
    </row>
    <row r="22" spans="1:11" x14ac:dyDescent="0.25">
      <c r="A22" s="48" t="s">
        <v>54</v>
      </c>
    </row>
    <row r="23" spans="1:11" x14ac:dyDescent="0.25">
      <c r="A23" s="48" t="s">
        <v>57</v>
      </c>
    </row>
    <row r="24" spans="1:11" ht="17.25" x14ac:dyDescent="0.25">
      <c r="A24" s="94" t="s">
        <v>123</v>
      </c>
    </row>
    <row r="25" spans="1:11" s="54" customFormat="1" x14ac:dyDescent="0.25">
      <c r="A25" s="53"/>
    </row>
    <row r="26" spans="1:11" s="104" customFormat="1" x14ac:dyDescent="0.25">
      <c r="A26" s="168"/>
      <c r="B26" s="168"/>
      <c r="C26" s="168"/>
      <c r="D26" s="168"/>
      <c r="E26" s="55"/>
      <c r="F26" s="55"/>
      <c r="G26" s="55"/>
      <c r="H26" s="55"/>
      <c r="I26" s="55"/>
      <c r="J26" s="168"/>
    </row>
    <row r="27" spans="1:11" s="104" customFormat="1" x14ac:dyDescent="0.25">
      <c r="A27" s="168"/>
      <c r="B27" s="168"/>
      <c r="C27" s="168"/>
      <c r="D27" s="168"/>
      <c r="E27" s="55"/>
      <c r="F27" s="55"/>
      <c r="G27" s="55"/>
      <c r="H27" s="55"/>
      <c r="I27" s="55"/>
      <c r="J27" s="168"/>
    </row>
    <row r="28" spans="1:11" s="104" customFormat="1" x14ac:dyDescent="0.25">
      <c r="A28" s="168"/>
      <c r="B28" s="168"/>
      <c r="C28" s="168"/>
      <c r="D28" s="168"/>
      <c r="E28" s="56"/>
      <c r="F28" s="55"/>
      <c r="G28" s="56"/>
      <c r="H28" s="56"/>
      <c r="I28" s="56"/>
      <c r="J28" s="168"/>
    </row>
    <row r="29" spans="1:11" s="54" customFormat="1" x14ac:dyDescent="0.25">
      <c r="A29" s="82"/>
      <c r="B29" s="83"/>
      <c r="C29" s="83"/>
      <c r="D29" s="83"/>
      <c r="E29" s="83"/>
      <c r="F29" s="84"/>
      <c r="G29" s="85"/>
      <c r="H29" s="85"/>
      <c r="I29" s="83"/>
      <c r="J29" s="83"/>
    </row>
    <row r="30" spans="1:11" s="54" customFormat="1" x14ac:dyDescent="0.25">
      <c r="A30" s="60"/>
      <c r="B30" s="105"/>
      <c r="C30" s="105"/>
      <c r="D30" s="105"/>
      <c r="E30" s="61"/>
      <c r="F30" s="61"/>
      <c r="G30" s="62"/>
      <c r="H30" s="62"/>
      <c r="I30" s="62"/>
      <c r="J30" s="62"/>
    </row>
    <row r="31" spans="1:11" s="54" customFormat="1" x14ac:dyDescent="0.25">
      <c r="A31" s="60"/>
      <c r="B31" s="105"/>
      <c r="C31" s="105"/>
      <c r="D31" s="105"/>
      <c r="E31" s="61"/>
      <c r="F31" s="61"/>
      <c r="G31" s="62"/>
      <c r="H31" s="62"/>
      <c r="I31" s="62"/>
      <c r="J31" s="62"/>
    </row>
    <row r="32" spans="1:11" s="54" customFormat="1" x14ac:dyDescent="0.25">
      <c r="A32" s="60"/>
      <c r="B32" s="105"/>
      <c r="C32" s="105"/>
      <c r="D32" s="105"/>
      <c r="E32" s="61"/>
      <c r="F32" s="61"/>
      <c r="G32" s="62"/>
      <c r="H32" s="62"/>
      <c r="I32" s="62"/>
      <c r="J32" s="62"/>
    </row>
    <row r="33" spans="1:10" s="54" customFormat="1" x14ac:dyDescent="0.25">
      <c r="A33" s="60"/>
      <c r="B33" s="105"/>
      <c r="C33" s="105"/>
      <c r="D33" s="105"/>
      <c r="E33" s="61"/>
      <c r="F33" s="61"/>
      <c r="G33" s="62"/>
      <c r="H33" s="62"/>
      <c r="I33" s="62"/>
      <c r="J33" s="62"/>
    </row>
    <row r="34" spans="1:10" s="54" customFormat="1" x14ac:dyDescent="0.25">
      <c r="A34" s="60"/>
      <c r="B34" s="105"/>
      <c r="C34" s="105"/>
      <c r="D34" s="105"/>
      <c r="E34" s="61"/>
      <c r="F34" s="61"/>
      <c r="G34" s="62"/>
      <c r="H34" s="62"/>
      <c r="I34" s="62"/>
      <c r="J34" s="62"/>
    </row>
    <row r="35" spans="1:10" s="54" customFormat="1" x14ac:dyDescent="0.25">
      <c r="A35" s="60"/>
      <c r="B35" s="105"/>
      <c r="C35" s="105"/>
      <c r="D35" s="105"/>
      <c r="E35" s="66"/>
      <c r="F35" s="106"/>
      <c r="G35" s="86"/>
      <c r="H35" s="86"/>
      <c r="I35" s="86"/>
      <c r="J35" s="86"/>
    </row>
    <row r="36" spans="1:10" s="54" customFormat="1" x14ac:dyDescent="0.25">
      <c r="A36" s="60"/>
      <c r="B36" s="105"/>
      <c r="C36" s="105"/>
      <c r="D36" s="105"/>
      <c r="E36" s="66"/>
      <c r="F36" s="106"/>
      <c r="G36" s="86"/>
      <c r="H36" s="86"/>
      <c r="I36" s="107"/>
      <c r="J36" s="86"/>
    </row>
    <row r="37" spans="1:10" s="54" customFormat="1" x14ac:dyDescent="0.25">
      <c r="A37" s="60"/>
      <c r="B37" s="105"/>
      <c r="C37" s="105"/>
      <c r="D37" s="105"/>
      <c r="E37" s="105"/>
      <c r="F37" s="61"/>
      <c r="G37" s="108"/>
      <c r="H37" s="62"/>
      <c r="I37" s="86"/>
      <c r="J37" s="86"/>
    </row>
    <row r="38" spans="1:10" s="54" customFormat="1" x14ac:dyDescent="0.25">
      <c r="A38" s="60"/>
      <c r="B38" s="105"/>
      <c r="C38" s="105"/>
      <c r="D38" s="105"/>
      <c r="E38" s="105"/>
      <c r="F38" s="106"/>
      <c r="G38" s="86"/>
      <c r="H38" s="86"/>
      <c r="I38" s="107"/>
      <c r="J38" s="86"/>
    </row>
    <row r="39" spans="1:10" s="54" customFormat="1" x14ac:dyDescent="0.25">
      <c r="A39" s="60"/>
      <c r="B39" s="98"/>
      <c r="C39" s="98"/>
      <c r="D39" s="98"/>
      <c r="E39" s="98"/>
      <c r="F39" s="106"/>
      <c r="G39" s="62"/>
      <c r="H39" s="62"/>
      <c r="I39" s="98"/>
      <c r="J39" s="86"/>
    </row>
    <row r="42" spans="1:10" x14ac:dyDescent="0.25">
      <c r="A42" s="44"/>
    </row>
    <row r="43" spans="1:10" x14ac:dyDescent="0.25">
      <c r="A43" s="95"/>
    </row>
    <row r="44" spans="1:10" x14ac:dyDescent="0.25">
      <c r="A44" s="95"/>
    </row>
    <row r="45" spans="1:10" x14ac:dyDescent="0.25">
      <c r="A45" s="95"/>
    </row>
    <row r="47" spans="1:10" ht="15.75" x14ac:dyDescent="0.25">
      <c r="A47" s="96"/>
    </row>
  </sheetData>
  <mergeCells count="11">
    <mergeCell ref="F12:H12"/>
    <mergeCell ref="F13:H13"/>
    <mergeCell ref="J26:J28"/>
    <mergeCell ref="F16:H16"/>
    <mergeCell ref="A26:A28"/>
    <mergeCell ref="B26:B28"/>
    <mergeCell ref="C26:C28"/>
    <mergeCell ref="D26:D28"/>
    <mergeCell ref="F14:H14"/>
    <mergeCell ref="A21:K21"/>
    <mergeCell ref="A20:K20"/>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3"/>
  <sheetViews>
    <sheetView zoomScale="94" zoomScaleNormal="94" workbookViewId="0">
      <selection activeCell="F11" sqref="F11:H11"/>
    </sheetView>
  </sheetViews>
  <sheetFormatPr defaultRowHeight="15" x14ac:dyDescent="0.25"/>
  <cols>
    <col min="1" max="1" width="36.140625" style="8" customWidth="1"/>
    <col min="2" max="4" width="9.140625" style="8"/>
    <col min="5" max="5" width="11.5703125" style="8" customWidth="1"/>
    <col min="6" max="6" width="9.140625" style="8"/>
    <col min="7" max="7" width="11.28515625" style="8" customWidth="1"/>
    <col min="8" max="8" width="9.140625" style="8"/>
    <col min="9" max="9" width="13.28515625" style="8" customWidth="1"/>
    <col min="10" max="10" width="12.42578125" style="8" customWidth="1"/>
    <col min="11" max="16384" width="9.140625" style="8"/>
  </cols>
  <sheetData>
    <row r="1" spans="1:11" ht="15.75" x14ac:dyDescent="0.25">
      <c r="A1" s="71" t="s">
        <v>106</v>
      </c>
    </row>
    <row r="2" spans="1:11" x14ac:dyDescent="0.25">
      <c r="D2" s="25" t="s">
        <v>126</v>
      </c>
      <c r="E2" s="25"/>
      <c r="F2" s="25">
        <v>112.98</v>
      </c>
      <c r="G2" s="25">
        <v>149.35</v>
      </c>
      <c r="H2" s="25">
        <v>54.81</v>
      </c>
      <c r="J2" s="25"/>
    </row>
    <row r="3" spans="1:11" ht="76.5" x14ac:dyDescent="0.25">
      <c r="A3" s="26" t="s">
        <v>6</v>
      </c>
      <c r="B3" s="26" t="s">
        <v>7</v>
      </c>
      <c r="C3" s="26" t="s">
        <v>8</v>
      </c>
      <c r="D3" s="26" t="s">
        <v>9</v>
      </c>
      <c r="E3" s="26" t="s">
        <v>65</v>
      </c>
      <c r="F3" s="26" t="s">
        <v>10</v>
      </c>
      <c r="G3" s="26" t="s">
        <v>11</v>
      </c>
      <c r="H3" s="26" t="s">
        <v>12</v>
      </c>
      <c r="I3" s="26" t="s">
        <v>26</v>
      </c>
    </row>
    <row r="4" spans="1:11" x14ac:dyDescent="0.25">
      <c r="A4" s="27" t="s">
        <v>23</v>
      </c>
      <c r="B4" s="72"/>
      <c r="C4" s="72"/>
      <c r="D4" s="72"/>
      <c r="E4" s="72"/>
      <c r="F4" s="29"/>
      <c r="G4" s="73"/>
      <c r="H4" s="72"/>
      <c r="I4" s="72"/>
    </row>
    <row r="5" spans="1:11" ht="22.5" x14ac:dyDescent="0.25">
      <c r="A5" s="124" t="s">
        <v>161</v>
      </c>
      <c r="B5" s="31">
        <v>0.5</v>
      </c>
      <c r="C5" s="31">
        <v>1</v>
      </c>
      <c r="D5" s="31">
        <f t="shared" ref="D5:D10" si="0">B5*C5</f>
        <v>0.5</v>
      </c>
      <c r="E5" s="23">
        <v>9860</v>
      </c>
      <c r="F5" s="23">
        <f t="shared" ref="F5:F10" si="1">D5*E5</f>
        <v>4930</v>
      </c>
      <c r="G5" s="31">
        <f>F5*0.05</f>
        <v>246.5</v>
      </c>
      <c r="H5" s="31">
        <f>F5*0.1</f>
        <v>493</v>
      </c>
      <c r="I5" s="52">
        <f>F5*F$2+G5*G$2+H5*H$2</f>
        <v>620827.505</v>
      </c>
      <c r="J5" s="25"/>
    </row>
    <row r="6" spans="1:11" ht="22.5" x14ac:dyDescent="0.25">
      <c r="A6" s="124" t="s">
        <v>162</v>
      </c>
      <c r="B6" s="31">
        <v>0.25</v>
      </c>
      <c r="C6" s="31">
        <v>0.33</v>
      </c>
      <c r="D6" s="109">
        <f t="shared" si="0"/>
        <v>8.2500000000000004E-2</v>
      </c>
      <c r="E6" s="23">
        <v>0</v>
      </c>
      <c r="F6" s="110">
        <f t="shared" si="1"/>
        <v>0</v>
      </c>
      <c r="G6" s="111">
        <f t="shared" ref="G6:G10" si="2">F6*0.05</f>
        <v>0</v>
      </c>
      <c r="H6" s="111">
        <f t="shared" ref="H6:H10" si="3">F6*0.1</f>
        <v>0</v>
      </c>
      <c r="I6" s="75">
        <f t="shared" ref="I6:I10" si="4">F6*F$2+G6*G$2+H6*H$2</f>
        <v>0</v>
      </c>
      <c r="J6" s="25"/>
    </row>
    <row r="7" spans="1:11" x14ac:dyDescent="0.25">
      <c r="A7" s="30" t="s">
        <v>134</v>
      </c>
      <c r="B7" s="31">
        <v>6</v>
      </c>
      <c r="C7" s="31">
        <v>1</v>
      </c>
      <c r="D7" s="31">
        <f t="shared" si="0"/>
        <v>6</v>
      </c>
      <c r="E7" s="31">
        <v>0</v>
      </c>
      <c r="F7" s="112">
        <f t="shared" si="1"/>
        <v>0</v>
      </c>
      <c r="G7" s="112">
        <f t="shared" si="2"/>
        <v>0</v>
      </c>
      <c r="H7" s="112">
        <f t="shared" si="3"/>
        <v>0</v>
      </c>
      <c r="I7" s="33">
        <f t="shared" si="4"/>
        <v>0</v>
      </c>
    </row>
    <row r="8" spans="1:11" x14ac:dyDescent="0.25">
      <c r="A8" s="30" t="s">
        <v>66</v>
      </c>
      <c r="B8" s="31">
        <v>1</v>
      </c>
      <c r="C8" s="31">
        <v>1</v>
      </c>
      <c r="D8" s="31">
        <f t="shared" si="0"/>
        <v>1</v>
      </c>
      <c r="E8" s="31">
        <v>0</v>
      </c>
      <c r="F8" s="112">
        <f t="shared" si="1"/>
        <v>0</v>
      </c>
      <c r="G8" s="112">
        <f t="shared" si="2"/>
        <v>0</v>
      </c>
      <c r="H8" s="112">
        <f t="shared" si="3"/>
        <v>0</v>
      </c>
      <c r="I8" s="33">
        <f t="shared" si="4"/>
        <v>0</v>
      </c>
    </row>
    <row r="9" spans="1:11" x14ac:dyDescent="0.25">
      <c r="A9" s="30" t="s">
        <v>62</v>
      </c>
      <c r="B9" s="31">
        <v>1</v>
      </c>
      <c r="C9" s="31">
        <v>1</v>
      </c>
      <c r="D9" s="31">
        <f t="shared" si="0"/>
        <v>1</v>
      </c>
      <c r="E9" s="31">
        <v>0</v>
      </c>
      <c r="F9" s="112">
        <f t="shared" si="1"/>
        <v>0</v>
      </c>
      <c r="G9" s="112">
        <f t="shared" si="2"/>
        <v>0</v>
      </c>
      <c r="H9" s="112">
        <f t="shared" si="3"/>
        <v>0</v>
      </c>
      <c r="I9" s="33">
        <f t="shared" si="4"/>
        <v>0</v>
      </c>
    </row>
    <row r="10" spans="1:11" x14ac:dyDescent="0.25">
      <c r="A10" s="113" t="s">
        <v>135</v>
      </c>
      <c r="B10" s="31">
        <v>6</v>
      </c>
      <c r="C10" s="31">
        <v>0.3</v>
      </c>
      <c r="D10" s="31">
        <f t="shared" si="0"/>
        <v>1.7999999999999998</v>
      </c>
      <c r="E10" s="23">
        <v>9860</v>
      </c>
      <c r="F10" s="114">
        <f t="shared" si="1"/>
        <v>17748</v>
      </c>
      <c r="G10" s="112">
        <f t="shared" si="2"/>
        <v>887.40000000000009</v>
      </c>
      <c r="H10" s="115">
        <f t="shared" si="3"/>
        <v>1774.8000000000002</v>
      </c>
      <c r="I10" s="52">
        <f t="shared" si="4"/>
        <v>2234979.0180000002</v>
      </c>
      <c r="J10" s="25"/>
      <c r="K10" s="35"/>
    </row>
    <row r="11" spans="1:11" x14ac:dyDescent="0.25">
      <c r="A11" s="37" t="s">
        <v>100</v>
      </c>
      <c r="B11" s="31"/>
      <c r="C11" s="31"/>
      <c r="D11" s="31"/>
      <c r="E11" s="23"/>
      <c r="F11" s="188">
        <f>SUM(F10:H10)</f>
        <v>20410.2</v>
      </c>
      <c r="G11" s="189"/>
      <c r="H11" s="190"/>
      <c r="I11" s="75">
        <f>I10</f>
        <v>2234979.0180000002</v>
      </c>
      <c r="J11" s="25"/>
      <c r="K11" s="35"/>
    </row>
    <row r="12" spans="1:11" x14ac:dyDescent="0.25">
      <c r="A12" s="37" t="s">
        <v>101</v>
      </c>
      <c r="B12" s="31"/>
      <c r="C12" s="31"/>
      <c r="D12" s="31"/>
      <c r="E12" s="23"/>
      <c r="F12" s="188">
        <f>SUM(F5:H6)</f>
        <v>5669.5</v>
      </c>
      <c r="G12" s="189"/>
      <c r="H12" s="190"/>
      <c r="I12" s="75">
        <f>SUM(I5:I6)</f>
        <v>620827.505</v>
      </c>
      <c r="J12" s="25"/>
      <c r="K12" s="35"/>
    </row>
    <row r="13" spans="1:11" x14ac:dyDescent="0.25">
      <c r="A13" s="39" t="s">
        <v>131</v>
      </c>
      <c r="B13" s="31"/>
      <c r="C13" s="31"/>
      <c r="D13" s="31"/>
      <c r="E13" s="23"/>
      <c r="F13" s="188">
        <f>ROUND(SUM(F5:H10),-2)</f>
        <v>26100</v>
      </c>
      <c r="G13" s="189"/>
      <c r="H13" s="190"/>
      <c r="I13" s="75">
        <f>ROUND(SUM(I5:I10),-4)</f>
        <v>2860000</v>
      </c>
      <c r="J13" s="25"/>
      <c r="K13" s="35"/>
    </row>
    <row r="14" spans="1:11" ht="24.75" customHeight="1" x14ac:dyDescent="0.25">
      <c r="A14" s="41" t="s">
        <v>132</v>
      </c>
      <c r="B14" s="31"/>
      <c r="C14" s="31"/>
      <c r="D14" s="31"/>
      <c r="E14" s="23"/>
      <c r="F14" s="116"/>
      <c r="G14" s="117"/>
      <c r="H14" s="118"/>
      <c r="I14" s="75">
        <v>0</v>
      </c>
      <c r="J14" s="25"/>
      <c r="K14" s="35"/>
    </row>
    <row r="15" spans="1:11" x14ac:dyDescent="0.25">
      <c r="A15" s="7" t="s">
        <v>121</v>
      </c>
      <c r="B15" s="31"/>
      <c r="C15" s="31"/>
      <c r="D15" s="31"/>
      <c r="E15" s="31"/>
      <c r="F15" s="169">
        <f>ROUND(SUM(F5:H10),-2)</f>
        <v>26100</v>
      </c>
      <c r="G15" s="169"/>
      <c r="H15" s="169"/>
      <c r="I15" s="40">
        <f>ROUND(SUM(I11:I12),-4)</f>
        <v>2860000</v>
      </c>
    </row>
    <row r="16" spans="1:11" x14ac:dyDescent="0.25">
      <c r="A16" s="119"/>
      <c r="B16" s="61"/>
      <c r="C16" s="61"/>
      <c r="D16" s="61"/>
      <c r="E16" s="61"/>
      <c r="F16" s="66"/>
      <c r="G16" s="66"/>
      <c r="H16" s="66"/>
      <c r="I16" s="120"/>
    </row>
    <row r="17" spans="1:10" x14ac:dyDescent="0.25">
      <c r="A17" s="44" t="s">
        <v>24</v>
      </c>
    </row>
    <row r="18" spans="1:10" ht="72.95" customHeight="1" x14ac:dyDescent="0.25">
      <c r="A18" s="173" t="s">
        <v>133</v>
      </c>
      <c r="B18" s="173"/>
      <c r="C18" s="173"/>
      <c r="D18" s="173"/>
      <c r="E18" s="173"/>
      <c r="F18" s="173"/>
      <c r="G18" s="173"/>
      <c r="H18" s="173"/>
      <c r="I18" s="173"/>
      <c r="J18" s="173"/>
    </row>
    <row r="19" spans="1:10" ht="53.1" customHeight="1" x14ac:dyDescent="0.25">
      <c r="A19" s="177" t="s">
        <v>158</v>
      </c>
      <c r="B19" s="177"/>
      <c r="C19" s="177"/>
      <c r="D19" s="177"/>
      <c r="E19" s="177"/>
      <c r="F19" s="177"/>
      <c r="G19" s="177"/>
      <c r="H19" s="177"/>
      <c r="I19" s="177"/>
      <c r="J19" s="177"/>
    </row>
    <row r="20" spans="1:10" ht="16.5" x14ac:dyDescent="0.25">
      <c r="A20" s="46" t="s">
        <v>160</v>
      </c>
    </row>
    <row r="21" spans="1:10" x14ac:dyDescent="0.25">
      <c r="A21" s="119" t="s">
        <v>67</v>
      </c>
      <c r="B21" s="61"/>
      <c r="C21" s="61"/>
      <c r="D21" s="61"/>
      <c r="E21" s="61"/>
      <c r="F21" s="66"/>
      <c r="G21" s="66"/>
      <c r="H21" s="66"/>
      <c r="I21" s="120"/>
    </row>
    <row r="22" spans="1:10" ht="16.5" x14ac:dyDescent="0.25">
      <c r="A22" s="49" t="s">
        <v>120</v>
      </c>
    </row>
    <row r="23" spans="1:10" s="54" customFormat="1" x14ac:dyDescent="0.25">
      <c r="A23" s="53"/>
    </row>
    <row r="24" spans="1:10" s="54" customFormat="1" x14ac:dyDescent="0.25">
      <c r="A24" s="168"/>
      <c r="B24" s="168"/>
      <c r="C24" s="168"/>
      <c r="D24" s="55"/>
      <c r="E24" s="55"/>
      <c r="F24" s="55"/>
      <c r="G24" s="55"/>
      <c r="H24" s="55"/>
      <c r="I24" s="55"/>
      <c r="J24" s="168"/>
    </row>
    <row r="25" spans="1:10" s="54" customFormat="1" x14ac:dyDescent="0.25">
      <c r="A25" s="168"/>
      <c r="B25" s="168"/>
      <c r="C25" s="168"/>
      <c r="D25" s="55"/>
      <c r="E25" s="55"/>
      <c r="F25" s="55"/>
      <c r="G25" s="55"/>
      <c r="H25" s="55"/>
      <c r="I25" s="55"/>
      <c r="J25" s="168"/>
    </row>
    <row r="26" spans="1:10" s="54" customFormat="1" x14ac:dyDescent="0.25">
      <c r="A26" s="168"/>
      <c r="B26" s="168"/>
      <c r="C26" s="168"/>
      <c r="D26" s="56"/>
      <c r="E26" s="56"/>
      <c r="F26" s="55"/>
      <c r="G26" s="56"/>
      <c r="H26" s="55"/>
      <c r="I26" s="55"/>
      <c r="J26" s="168"/>
    </row>
    <row r="27" spans="1:10" s="54" customFormat="1" x14ac:dyDescent="0.25">
      <c r="A27" s="82"/>
      <c r="B27" s="83"/>
      <c r="C27" s="83"/>
      <c r="D27" s="83"/>
      <c r="E27" s="83"/>
      <c r="F27" s="84"/>
      <c r="G27" s="85"/>
      <c r="H27" s="85"/>
      <c r="I27" s="83"/>
      <c r="J27" s="83"/>
    </row>
    <row r="28" spans="1:10" s="54" customFormat="1" x14ac:dyDescent="0.25">
      <c r="A28" s="60"/>
      <c r="B28" s="61"/>
      <c r="C28" s="61"/>
      <c r="D28" s="61"/>
      <c r="E28" s="61"/>
      <c r="F28" s="61"/>
      <c r="G28" s="62"/>
      <c r="H28" s="62"/>
      <c r="I28" s="62"/>
      <c r="J28" s="62"/>
    </row>
    <row r="29" spans="1:10" s="54" customFormat="1" x14ac:dyDescent="0.25">
      <c r="A29" s="60"/>
      <c r="B29" s="61"/>
      <c r="C29" s="61"/>
      <c r="D29" s="61"/>
      <c r="E29" s="61"/>
      <c r="F29" s="61"/>
      <c r="G29" s="62"/>
      <c r="H29" s="62"/>
      <c r="I29" s="62"/>
      <c r="J29" s="62"/>
    </row>
    <row r="30" spans="1:10" s="54" customFormat="1" x14ac:dyDescent="0.25">
      <c r="A30" s="60"/>
      <c r="B30" s="61"/>
      <c r="C30" s="61"/>
      <c r="D30" s="61"/>
      <c r="E30" s="61"/>
      <c r="F30" s="61"/>
      <c r="G30" s="62"/>
      <c r="H30" s="62"/>
      <c r="I30" s="62"/>
      <c r="J30" s="62"/>
    </row>
    <row r="31" spans="1:10" s="54" customFormat="1" x14ac:dyDescent="0.25">
      <c r="A31" s="60"/>
      <c r="B31" s="61"/>
      <c r="C31" s="61"/>
      <c r="D31" s="61"/>
      <c r="E31" s="61"/>
      <c r="F31" s="61"/>
      <c r="G31" s="62"/>
      <c r="H31" s="62"/>
      <c r="I31" s="62"/>
      <c r="J31" s="62"/>
    </row>
    <row r="32" spans="1:10" s="54" customFormat="1" x14ac:dyDescent="0.25">
      <c r="A32" s="60"/>
      <c r="B32" s="61"/>
      <c r="C32" s="61"/>
      <c r="D32" s="61"/>
      <c r="E32" s="61"/>
      <c r="F32" s="61"/>
      <c r="G32" s="62"/>
      <c r="H32" s="62"/>
      <c r="I32" s="62"/>
      <c r="J32" s="62"/>
    </row>
    <row r="33" spans="1:10" s="54" customFormat="1" x14ac:dyDescent="0.25">
      <c r="A33" s="83"/>
      <c r="B33" s="61"/>
      <c r="C33" s="61"/>
      <c r="D33" s="61"/>
      <c r="E33" s="66"/>
      <c r="F33" s="66"/>
      <c r="G33" s="86"/>
      <c r="H33" s="86"/>
      <c r="I33" s="86"/>
      <c r="J33" s="86"/>
    </row>
    <row r="34" spans="1:10" s="54" customFormat="1" x14ac:dyDescent="0.25">
      <c r="A34" s="83"/>
      <c r="B34" s="61"/>
      <c r="C34" s="61"/>
      <c r="D34" s="121"/>
      <c r="E34" s="66"/>
      <c r="F34" s="87"/>
      <c r="G34" s="107"/>
      <c r="H34" s="107"/>
      <c r="I34" s="107"/>
      <c r="J34" s="86"/>
    </row>
    <row r="35" spans="1:10" s="54" customFormat="1" x14ac:dyDescent="0.25">
      <c r="A35" s="122"/>
      <c r="B35" s="61"/>
      <c r="C35" s="61"/>
      <c r="D35" s="61"/>
      <c r="E35" s="61"/>
      <c r="F35" s="66"/>
      <c r="G35" s="123"/>
      <c r="H35" s="61"/>
      <c r="I35" s="61"/>
      <c r="J35" s="106"/>
    </row>
    <row r="36" spans="1:10" s="54" customFormat="1" x14ac:dyDescent="0.25"/>
    <row r="37" spans="1:10" s="54" customFormat="1" x14ac:dyDescent="0.25"/>
    <row r="38" spans="1:10" s="54" customFormat="1" x14ac:dyDescent="0.25">
      <c r="A38" s="67"/>
    </row>
    <row r="39" spans="1:10" s="54" customFormat="1" x14ac:dyDescent="0.25">
      <c r="A39" s="99"/>
    </row>
    <row r="40" spans="1:10" s="54" customFormat="1" x14ac:dyDescent="0.25">
      <c r="A40" s="99"/>
    </row>
    <row r="41" spans="1:10" s="54" customFormat="1" x14ac:dyDescent="0.25">
      <c r="A41" s="99"/>
    </row>
    <row r="42" spans="1:10" s="54" customFormat="1" x14ac:dyDescent="0.25"/>
    <row r="43" spans="1:10" s="54" customFormat="1" x14ac:dyDescent="0.25"/>
  </sheetData>
  <mergeCells count="10">
    <mergeCell ref="J24:J26"/>
    <mergeCell ref="F11:H11"/>
    <mergeCell ref="F12:H12"/>
    <mergeCell ref="F15:H15"/>
    <mergeCell ref="A24:A26"/>
    <mergeCell ref="B24:B26"/>
    <mergeCell ref="C24:C26"/>
    <mergeCell ref="A19:J19"/>
    <mergeCell ref="A18:J18"/>
    <mergeCell ref="F13:H1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18"/>
  <sheetViews>
    <sheetView workbookViewId="0">
      <selection activeCell="G4" sqref="G4"/>
    </sheetView>
  </sheetViews>
  <sheetFormatPr defaultRowHeight="15" x14ac:dyDescent="0.25"/>
  <cols>
    <col min="1" max="1" width="9.140625" style="8"/>
    <col min="2" max="2" width="43.140625" style="8" customWidth="1"/>
    <col min="3" max="3" width="11.7109375" style="8" customWidth="1"/>
    <col min="4" max="4" width="13.140625" style="8" customWidth="1"/>
    <col min="5" max="5" width="14.28515625" style="8" bestFit="1" customWidth="1"/>
    <col min="6" max="6" width="13.5703125" style="8" customWidth="1"/>
    <col min="7" max="16384" width="9.140625" style="8"/>
  </cols>
  <sheetData>
    <row r="1" spans="2:9" ht="15.75" x14ac:dyDescent="0.25">
      <c r="B1" s="71" t="s">
        <v>107</v>
      </c>
    </row>
    <row r="3" spans="2:9" ht="54.75" customHeight="1" x14ac:dyDescent="0.25">
      <c r="B3" s="125" t="s">
        <v>0</v>
      </c>
      <c r="C3" s="126" t="s">
        <v>13</v>
      </c>
      <c r="D3" s="126" t="s">
        <v>71</v>
      </c>
      <c r="E3" s="126" t="s">
        <v>72</v>
      </c>
    </row>
    <row r="4" spans="2:9" x14ac:dyDescent="0.25">
      <c r="B4" s="127" t="s">
        <v>70</v>
      </c>
      <c r="C4" s="191">
        <f>SUM('Table 1.1'!E9,'Table 1.2'!E8,'Table 1.3'!E8,'Table 1.4'!E10,'Table 1.5'!E10)</f>
        <v>19120</v>
      </c>
      <c r="D4" s="128">
        <f>SUM('Table 1.1'!F13,'Table 1.2'!F12,'Table 1.3'!F11,'Table 1.4'!F12,'Table 1.5'!F11)</f>
        <v>35054.300000000003</v>
      </c>
      <c r="E4" s="129">
        <f>SUM('Table 1.1'!I13,'Table 1.2'!I12,'Table 1.3'!I11,'Table 1.4'!I12,'Table 1.5'!I11)</f>
        <v>3838552.5370000005</v>
      </c>
      <c r="G4" s="130"/>
      <c r="H4" s="51"/>
      <c r="I4" s="51"/>
    </row>
    <row r="5" spans="2:9" x14ac:dyDescent="0.25">
      <c r="B5" s="127" t="s">
        <v>69</v>
      </c>
      <c r="C5" s="191"/>
      <c r="D5" s="128">
        <f>SUM('Table 1.1'!F14,'Table 1.2'!F13,'Table 1.3'!F12,'Table 1.4'!F13,'Table 1.5'!F12)</f>
        <v>178537.5</v>
      </c>
      <c r="E5" s="129">
        <f>SUM('Table 1.1'!I14,'Table 1.2'!I13,'Table 1.3'!I12,'Table 1.4'!I13,'Table 1.5'!I12)</f>
        <v>19550399.625</v>
      </c>
    </row>
    <row r="6" spans="2:9" ht="24.75" customHeight="1" x14ac:dyDescent="0.25">
      <c r="B6" s="131" t="s">
        <v>73</v>
      </c>
      <c r="C6" s="191"/>
      <c r="D6" s="132">
        <f>SUM(D4:D5)</f>
        <v>213591.8</v>
      </c>
      <c r="E6" s="133">
        <f>(SUM(E4:E5))</f>
        <v>23388952.162</v>
      </c>
    </row>
    <row r="7" spans="2:9" ht="24.75" customHeight="1" x14ac:dyDescent="0.25">
      <c r="B7" s="131" t="s">
        <v>139</v>
      </c>
      <c r="C7" s="128"/>
      <c r="D7" s="134">
        <f>ROUND(D6,-3)</f>
        <v>214000</v>
      </c>
      <c r="E7" s="135">
        <f>ROUND(E6,-5)</f>
        <v>23400000</v>
      </c>
      <c r="F7" s="25"/>
    </row>
    <row r="8" spans="2:9" ht="15.75" x14ac:dyDescent="0.25">
      <c r="B8" s="131" t="s">
        <v>138</v>
      </c>
      <c r="C8" s="50"/>
      <c r="D8" s="136"/>
      <c r="E8" s="135">
        <v>110000</v>
      </c>
    </row>
    <row r="9" spans="2:9" ht="15.75" x14ac:dyDescent="0.25">
      <c r="B9" s="131" t="s">
        <v>137</v>
      </c>
      <c r="C9" s="50"/>
      <c r="D9" s="136"/>
      <c r="E9" s="135">
        <f>ROUND(E6+E8,-5)</f>
        <v>23500000</v>
      </c>
    </row>
    <row r="10" spans="2:9" ht="16.5" x14ac:dyDescent="0.25">
      <c r="B10" s="49" t="s">
        <v>136</v>
      </c>
      <c r="C10" s="137"/>
      <c r="D10" s="138"/>
      <c r="E10" s="139"/>
    </row>
    <row r="11" spans="2:9" x14ac:dyDescent="0.25">
      <c r="D11" s="45"/>
      <c r="E11" s="140"/>
    </row>
    <row r="12" spans="2:9" x14ac:dyDescent="0.25">
      <c r="E12" s="140"/>
    </row>
    <row r="14" spans="2:9" x14ac:dyDescent="0.25">
      <c r="D14" s="141">
        <f>D6/'Tot Ann Resp'!E10</f>
        <v>30.955333333333332</v>
      </c>
      <c r="E14" s="8" t="s">
        <v>68</v>
      </c>
    </row>
    <row r="18" spans="4:4" x14ac:dyDescent="0.25">
      <c r="D18" s="45"/>
    </row>
  </sheetData>
  <mergeCells count="1">
    <mergeCell ref="C4: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9"/>
  <sheetViews>
    <sheetView zoomScale="78" zoomScaleNormal="78" workbookViewId="0">
      <selection activeCell="A9" sqref="A9:A13"/>
    </sheetView>
  </sheetViews>
  <sheetFormatPr defaultRowHeight="15" x14ac:dyDescent="0.25"/>
  <cols>
    <col min="1" max="1" width="34.5703125" style="8" customWidth="1"/>
    <col min="2" max="9" width="13.28515625" style="8" customWidth="1"/>
    <col min="10" max="16384" width="9.140625" style="8"/>
  </cols>
  <sheetData>
    <row r="1" spans="1:14" ht="15.75" x14ac:dyDescent="0.25">
      <c r="A1" s="71" t="s">
        <v>108</v>
      </c>
    </row>
    <row r="2" spans="1:14" s="25" customFormat="1" x14ac:dyDescent="0.25">
      <c r="E2" s="142" t="s">
        <v>140</v>
      </c>
      <c r="F2" s="25">
        <v>48.08</v>
      </c>
      <c r="G2" s="25">
        <v>64.8</v>
      </c>
      <c r="H2" s="25">
        <v>26.02</v>
      </c>
    </row>
    <row r="3" spans="1:14" ht="63.75" x14ac:dyDescent="0.25">
      <c r="A3" s="26" t="s">
        <v>78</v>
      </c>
      <c r="B3" s="26" t="s">
        <v>79</v>
      </c>
      <c r="C3" s="26" t="s">
        <v>80</v>
      </c>
      <c r="D3" s="26" t="s">
        <v>81</v>
      </c>
      <c r="E3" s="26" t="s">
        <v>82</v>
      </c>
      <c r="F3" s="26" t="s">
        <v>83</v>
      </c>
      <c r="G3" s="4" t="s">
        <v>84</v>
      </c>
      <c r="H3" s="4" t="s">
        <v>85</v>
      </c>
      <c r="I3" s="26" t="s">
        <v>86</v>
      </c>
    </row>
    <row r="4" spans="1:14" s="51" customFormat="1" x14ac:dyDescent="0.25">
      <c r="A4" s="93" t="s">
        <v>76</v>
      </c>
      <c r="B4" s="93">
        <v>4</v>
      </c>
      <c r="C4" s="93">
        <v>1</v>
      </c>
      <c r="D4" s="143">
        <f>B4*C4</f>
        <v>4</v>
      </c>
      <c r="E4" s="144">
        <f>'Table 1.1'!E9+'Table 1.2'!E8</f>
        <v>1560</v>
      </c>
      <c r="F4" s="143">
        <f>E4*D4</f>
        <v>6240</v>
      </c>
      <c r="G4" s="93">
        <f>F4*0.05</f>
        <v>312</v>
      </c>
      <c r="H4" s="93">
        <f>F4*0.1</f>
        <v>624</v>
      </c>
      <c r="I4" s="145">
        <f>F4*F$2+G4*G$2+H4*H$2</f>
        <v>336473.27999999997</v>
      </c>
      <c r="J4" s="89"/>
    </row>
    <row r="5" spans="1:14" s="51" customFormat="1" x14ac:dyDescent="0.25">
      <c r="A5" s="93" t="s">
        <v>77</v>
      </c>
      <c r="B5" s="93">
        <v>2</v>
      </c>
      <c r="C5" s="93">
        <v>2</v>
      </c>
      <c r="D5" s="143">
        <f>B5*C5</f>
        <v>4</v>
      </c>
      <c r="E5" s="144">
        <f>'Table 1.1'!E12+'Table 1.2'!E11+'Table 1.3'!E10+'Table 1.4'!E11</f>
        <v>1714</v>
      </c>
      <c r="F5" s="143">
        <f>E5*D5</f>
        <v>6856</v>
      </c>
      <c r="G5" s="93">
        <f>F5*0.05</f>
        <v>342.8</v>
      </c>
      <c r="H5" s="93">
        <f>F5*0.1</f>
        <v>685.6</v>
      </c>
      <c r="I5" s="145">
        <f>F5*F$2+G5*G$2+H5*H$2</f>
        <v>369689.23199999996</v>
      </c>
      <c r="J5" s="89"/>
    </row>
    <row r="6" spans="1:14" s="51" customFormat="1" ht="16.5" x14ac:dyDescent="0.25">
      <c r="A6" s="93" t="s">
        <v>91</v>
      </c>
      <c r="B6" s="93">
        <v>4</v>
      </c>
      <c r="C6" s="93">
        <v>1</v>
      </c>
      <c r="D6" s="143">
        <f>B6*C6</f>
        <v>4</v>
      </c>
      <c r="E6" s="144">
        <f>19120*0.1</f>
        <v>1912</v>
      </c>
      <c r="F6" s="143">
        <f>E6*D6</f>
        <v>7648</v>
      </c>
      <c r="G6" s="93">
        <f>F6*0.05</f>
        <v>382.40000000000003</v>
      </c>
      <c r="H6" s="93">
        <f>F6*0.1</f>
        <v>764.80000000000007</v>
      </c>
      <c r="I6" s="145">
        <f>F6*F$2+G6*G$2+H6*H$2</f>
        <v>412395.45600000001</v>
      </c>
      <c r="J6" s="89"/>
      <c r="N6" s="89"/>
    </row>
    <row r="7" spans="1:14" s="51" customFormat="1" ht="28.5" x14ac:dyDescent="0.25">
      <c r="A7" s="131" t="s">
        <v>124</v>
      </c>
      <c r="B7" s="143"/>
      <c r="C7" s="93"/>
      <c r="D7" s="146"/>
      <c r="E7" s="146"/>
      <c r="F7" s="192">
        <f>ROUND(SUM(F4:H6),-2)</f>
        <v>23900</v>
      </c>
      <c r="G7" s="192"/>
      <c r="H7" s="192"/>
      <c r="I7" s="143">
        <f>ROUND(SUM(I4:I6),-4)</f>
        <v>1120000</v>
      </c>
    </row>
    <row r="9" spans="1:14" x14ac:dyDescent="0.25">
      <c r="A9" s="147" t="s">
        <v>87</v>
      </c>
    </row>
    <row r="10" spans="1:14" ht="16.5" x14ac:dyDescent="0.25">
      <c r="A10" s="46" t="s">
        <v>90</v>
      </c>
    </row>
    <row r="11" spans="1:14" s="149" customFormat="1" ht="16.5" x14ac:dyDescent="0.25">
      <c r="A11" s="148" t="s">
        <v>166</v>
      </c>
    </row>
    <row r="12" spans="1:14" ht="16.5" x14ac:dyDescent="0.25">
      <c r="A12" s="46" t="s">
        <v>92</v>
      </c>
    </row>
    <row r="13" spans="1:14" ht="16.5" x14ac:dyDescent="0.25">
      <c r="A13" s="46" t="s">
        <v>125</v>
      </c>
    </row>
    <row r="14" spans="1:14" s="54" customFormat="1" x14ac:dyDescent="0.25">
      <c r="A14" s="53"/>
    </row>
    <row r="15" spans="1:14" s="54" customFormat="1" x14ac:dyDescent="0.25">
      <c r="A15" s="193"/>
      <c r="B15" s="150"/>
      <c r="C15" s="150"/>
      <c r="D15" s="150"/>
      <c r="E15" s="193"/>
      <c r="F15" s="193"/>
      <c r="G15" s="193"/>
      <c r="H15" s="193"/>
    </row>
    <row r="16" spans="1:14" s="54" customFormat="1" x14ac:dyDescent="0.25">
      <c r="A16" s="193"/>
      <c r="B16" s="150"/>
      <c r="C16" s="150"/>
      <c r="D16" s="150"/>
      <c r="E16" s="193"/>
      <c r="F16" s="193"/>
      <c r="G16" s="193"/>
      <c r="H16" s="193"/>
    </row>
    <row r="17" spans="1:8" s="54" customFormat="1" x14ac:dyDescent="0.25">
      <c r="A17" s="151"/>
      <c r="B17" s="152"/>
      <c r="C17" s="152"/>
      <c r="D17" s="153"/>
      <c r="E17" s="154"/>
      <c r="F17" s="154"/>
      <c r="G17" s="154"/>
      <c r="H17" s="152"/>
    </row>
    <row r="18" spans="1:8" s="54" customFormat="1" x14ac:dyDescent="0.25">
      <c r="A18" s="151"/>
      <c r="B18" s="152"/>
      <c r="C18" s="152"/>
      <c r="D18" s="153"/>
      <c r="E18" s="154"/>
      <c r="F18" s="155"/>
      <c r="G18" s="155"/>
      <c r="H18" s="154"/>
    </row>
    <row r="19" spans="1:8" s="54" customFormat="1" x14ac:dyDescent="0.25">
      <c r="A19" s="151"/>
      <c r="B19" s="152"/>
      <c r="C19" s="152"/>
      <c r="D19" s="153"/>
      <c r="E19" s="154"/>
      <c r="F19" s="154"/>
      <c r="G19" s="154"/>
      <c r="H19" s="154"/>
    </row>
    <row r="20" spans="1:8" s="54" customFormat="1" x14ac:dyDescent="0.25">
      <c r="A20" s="151"/>
      <c r="B20" s="152"/>
      <c r="C20" s="152"/>
      <c r="D20" s="153"/>
      <c r="E20" s="154"/>
      <c r="F20" s="154"/>
      <c r="G20" s="154"/>
      <c r="H20" s="154"/>
    </row>
    <row r="21" spans="1:8" s="54" customFormat="1" x14ac:dyDescent="0.25">
      <c r="A21" s="151"/>
      <c r="B21" s="152"/>
      <c r="C21" s="152"/>
      <c r="D21" s="152"/>
      <c r="E21" s="154"/>
      <c r="F21" s="154"/>
      <c r="G21" s="154"/>
      <c r="H21" s="152"/>
    </row>
    <row r="22" spans="1:8" s="54" customFormat="1" x14ac:dyDescent="0.25">
      <c r="A22" s="151"/>
      <c r="B22" s="152"/>
      <c r="C22" s="152"/>
      <c r="D22" s="153"/>
      <c r="E22" s="154"/>
      <c r="F22" s="155"/>
      <c r="G22" s="155"/>
      <c r="H22" s="154"/>
    </row>
    <row r="23" spans="1:8" s="54" customFormat="1" x14ac:dyDescent="0.25">
      <c r="A23" s="151"/>
      <c r="B23" s="153"/>
      <c r="D23" s="156"/>
      <c r="H23" s="155"/>
    </row>
    <row r="24" spans="1:8" s="54" customFormat="1" x14ac:dyDescent="0.25">
      <c r="H24" s="157"/>
    </row>
    <row r="25" spans="1:8" s="54" customFormat="1" x14ac:dyDescent="0.25">
      <c r="A25" s="158"/>
    </row>
    <row r="26" spans="1:8" s="54" customFormat="1" x14ac:dyDescent="0.25">
      <c r="A26" s="158"/>
    </row>
    <row r="27" spans="1:8" s="54" customFormat="1" x14ac:dyDescent="0.25">
      <c r="A27" s="99"/>
    </row>
    <row r="28" spans="1:8" s="54" customFormat="1" x14ac:dyDescent="0.25">
      <c r="A28" s="99"/>
    </row>
    <row r="29" spans="1:8" s="54" customFormat="1" x14ac:dyDescent="0.25">
      <c r="A29" s="99"/>
    </row>
  </sheetData>
  <mergeCells count="6">
    <mergeCell ref="F7:H7"/>
    <mergeCell ref="A15:A16"/>
    <mergeCell ref="E15:E16"/>
    <mergeCell ref="F15:F16"/>
    <mergeCell ref="G15:G16"/>
    <mergeCell ref="H15:H1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506FC-728A-4B38-B5F4-A96D8EC04DC6}">
  <dimension ref="A1:H8"/>
  <sheetViews>
    <sheetView workbookViewId="0">
      <selection activeCell="C12" sqref="C12"/>
    </sheetView>
  </sheetViews>
  <sheetFormatPr defaultRowHeight="12.75" x14ac:dyDescent="0.2"/>
  <cols>
    <col min="1" max="1" width="12.42578125" style="159" customWidth="1"/>
    <col min="2" max="2" width="21.140625" style="159" customWidth="1"/>
    <col min="3" max="3" width="12.5703125" style="159" customWidth="1"/>
    <col min="4" max="4" width="16.7109375" style="159" customWidth="1"/>
    <col min="5" max="5" width="14.7109375" style="159" customWidth="1"/>
    <col min="6" max="6" width="10.140625" style="159" bestFit="1" customWidth="1"/>
    <col min="7" max="7" width="13.85546875" style="159" customWidth="1"/>
    <col min="8" max="8" width="15" style="159" customWidth="1"/>
    <col min="9" max="16384" width="9.140625" style="159"/>
  </cols>
  <sheetData>
    <row r="1" spans="1:8" x14ac:dyDescent="0.2">
      <c r="A1" s="159" t="s">
        <v>109</v>
      </c>
    </row>
    <row r="4" spans="1:8" s="160" customFormat="1" ht="38.25" x14ac:dyDescent="0.25">
      <c r="B4" s="161" t="s">
        <v>110</v>
      </c>
      <c r="C4" s="161" t="s">
        <v>113</v>
      </c>
      <c r="D4" s="161" t="s">
        <v>114</v>
      </c>
      <c r="E4" s="161" t="s">
        <v>115</v>
      </c>
      <c r="F4" s="161" t="s">
        <v>116</v>
      </c>
      <c r="G4" s="161" t="s">
        <v>117</v>
      </c>
      <c r="H4" s="26" t="s">
        <v>41</v>
      </c>
    </row>
    <row r="5" spans="1:8" x14ac:dyDescent="0.2">
      <c r="B5" s="162" t="s">
        <v>111</v>
      </c>
      <c r="C5" s="163">
        <f>SUM('Table 1.1'!F17:H17)</f>
        <v>74600</v>
      </c>
      <c r="D5" s="163">
        <f>SUM('Table 1.2'!F16:H16)</f>
        <v>34900</v>
      </c>
      <c r="E5" s="163">
        <f>SUM('Table 1.3'!F15:H15)</f>
        <v>35600</v>
      </c>
      <c r="F5" s="163">
        <f>SUM('Table 1.4'!F16:H16)</f>
        <v>42300</v>
      </c>
      <c r="G5" s="163">
        <f>SUM('Table 1.5'!F15:H15)</f>
        <v>26100</v>
      </c>
      <c r="H5" s="166">
        <f>ROUND(SUM(C5:G5),-3)</f>
        <v>214000</v>
      </c>
    </row>
    <row r="6" spans="1:8" x14ac:dyDescent="0.2">
      <c r="B6" s="162" t="s">
        <v>112</v>
      </c>
      <c r="C6" s="164">
        <f>'Table 1.1'!I15</f>
        <v>8170000</v>
      </c>
      <c r="D6" s="164">
        <f>'Table 1.2'!I14</f>
        <v>3820000</v>
      </c>
      <c r="E6" s="164">
        <f>'Table 1.3'!I13</f>
        <v>3900000</v>
      </c>
      <c r="F6" s="164">
        <f>'Table 1.4'!I14</f>
        <v>4640000</v>
      </c>
      <c r="G6" s="164">
        <f>'Table 1.5'!I13</f>
        <v>2860000</v>
      </c>
      <c r="H6" s="167">
        <f>ROUND(SUM(C6:G6),-5)</f>
        <v>23400000</v>
      </c>
    </row>
    <row r="7" spans="1:8" ht="25.5" x14ac:dyDescent="0.2">
      <c r="B7" s="162" t="s">
        <v>141</v>
      </c>
      <c r="C7" s="164">
        <f>'Table 1.1'!I17</f>
        <v>8280000</v>
      </c>
      <c r="D7" s="164">
        <f>'Table 1.2'!I16</f>
        <v>3820000</v>
      </c>
      <c r="E7" s="164">
        <f>'Table 1.3'!I15</f>
        <v>3900000</v>
      </c>
      <c r="F7" s="164">
        <f>'Table 1.4'!I16</f>
        <v>4640000</v>
      </c>
      <c r="G7" s="164">
        <f>'Table 1.5'!I15</f>
        <v>2860000</v>
      </c>
      <c r="H7" s="167">
        <f>SUM(C7:G7)</f>
        <v>23500000</v>
      </c>
    </row>
    <row r="8" spans="1:8" x14ac:dyDescent="0.2">
      <c r="B8" s="162" t="s">
        <v>39</v>
      </c>
      <c r="C8" s="163">
        <f>'Table 1.1'!E9+'Table 1.1'!E12*2+'Table 1.1'!E12*0.1</f>
        <v>3410</v>
      </c>
      <c r="D8" s="165">
        <f>'Table 1.2'!E8+'Table 1.2'!E11*2+'Table 1.2'!E11*0.1</f>
        <v>1426</v>
      </c>
      <c r="E8" s="165">
        <f>'Table 1.3'!E10*2+'Table 1.3'!E9*0.1</f>
        <v>252</v>
      </c>
      <c r="F8" s="165">
        <f>'Table 1.4'!E11*2+'Table 1.4'!E10*0.1</f>
        <v>826</v>
      </c>
      <c r="G8" s="163">
        <f>'Table 1.5'!E10*0.1</f>
        <v>986</v>
      </c>
      <c r="H8" s="166">
        <f>SUM(C8:G8)</f>
        <v>6900</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0"/>
  <sheetViews>
    <sheetView workbookViewId="0">
      <selection activeCell="B9" sqref="B9"/>
    </sheetView>
  </sheetViews>
  <sheetFormatPr defaultRowHeight="15" x14ac:dyDescent="0.25"/>
  <cols>
    <col min="1" max="1" width="41.28515625" bestFit="1" customWidth="1"/>
    <col min="2" max="2" width="23" bestFit="1" customWidth="1"/>
    <col min="3" max="3" width="20.7109375" bestFit="1" customWidth="1"/>
    <col min="4" max="4" width="19.5703125" bestFit="1" customWidth="1"/>
  </cols>
  <sheetData>
    <row r="1" spans="1:5" ht="21" x14ac:dyDescent="0.35">
      <c r="A1" s="3" t="s">
        <v>36</v>
      </c>
    </row>
    <row r="3" spans="1:5" s="2" customFormat="1" x14ac:dyDescent="0.25">
      <c r="A3" s="2" t="s">
        <v>37</v>
      </c>
      <c r="B3" s="2" t="s">
        <v>38</v>
      </c>
      <c r="C3" s="2" t="s">
        <v>39</v>
      </c>
      <c r="D3" s="2" t="s">
        <v>40</v>
      </c>
      <c r="E3" s="2" t="s">
        <v>41</v>
      </c>
    </row>
    <row r="4" spans="1:5" x14ac:dyDescent="0.25">
      <c r="A4" t="s">
        <v>42</v>
      </c>
      <c r="B4" s="1">
        <f>1100+460+1800+5900+9860</f>
        <v>19120</v>
      </c>
      <c r="C4">
        <v>0</v>
      </c>
      <c r="D4">
        <v>0</v>
      </c>
      <c r="E4" s="1">
        <f>B4*C4</f>
        <v>0</v>
      </c>
    </row>
    <row r="5" spans="1:5" x14ac:dyDescent="0.25">
      <c r="A5" t="s">
        <v>43</v>
      </c>
      <c r="B5" s="1">
        <f>1100+460+1800+(5900*0.25)+9860</f>
        <v>14695</v>
      </c>
      <c r="C5">
        <v>0</v>
      </c>
      <c r="D5">
        <v>0</v>
      </c>
      <c r="E5" s="1">
        <f t="shared" ref="E5:E8" si="0">B5*C5</f>
        <v>0</v>
      </c>
    </row>
    <row r="6" spans="1:5" x14ac:dyDescent="0.25">
      <c r="A6" t="s">
        <v>44</v>
      </c>
      <c r="B6" s="1">
        <f>1100+460+1800+(5900*0.25)+9860</f>
        <v>14695</v>
      </c>
      <c r="C6">
        <v>0</v>
      </c>
      <c r="D6">
        <v>0</v>
      </c>
      <c r="E6" s="1">
        <f t="shared" si="0"/>
        <v>0</v>
      </c>
    </row>
    <row r="7" spans="1:5" x14ac:dyDescent="0.25">
      <c r="A7" t="s">
        <v>89</v>
      </c>
      <c r="B7" s="1">
        <f>'Table 1.1'!E9+'Table 1.2'!E8</f>
        <v>1560</v>
      </c>
      <c r="C7">
        <v>1</v>
      </c>
      <c r="D7">
        <v>0</v>
      </c>
      <c r="E7" s="1">
        <f t="shared" si="0"/>
        <v>1560</v>
      </c>
    </row>
    <row r="8" spans="1:5" x14ac:dyDescent="0.25">
      <c r="A8" t="s">
        <v>45</v>
      </c>
      <c r="B8" s="1">
        <f>'Table 1.1'!E12+'Table 1.2'!E11+'Table 1.3'!E10+'Table 1.4'!E11</f>
        <v>1714</v>
      </c>
      <c r="C8">
        <v>2</v>
      </c>
      <c r="D8">
        <v>0</v>
      </c>
      <c r="E8" s="1">
        <f t="shared" si="0"/>
        <v>3428</v>
      </c>
    </row>
    <row r="9" spans="1:5" x14ac:dyDescent="0.25">
      <c r="A9" t="s">
        <v>88</v>
      </c>
      <c r="B9" s="1">
        <f>B4*0.1</f>
        <v>1912</v>
      </c>
      <c r="C9">
        <v>1</v>
      </c>
      <c r="D9">
        <v>0</v>
      </c>
      <c r="E9" s="1">
        <f t="shared" ref="E9" si="1">B9*C9</f>
        <v>1912</v>
      </c>
    </row>
    <row r="10" spans="1:5" x14ac:dyDescent="0.25">
      <c r="D10" t="s">
        <v>41</v>
      </c>
      <c r="E10" s="1">
        <f>SUM(E4:E9)</f>
        <v>6900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Table 1.1</vt:lpstr>
      <vt:lpstr>Table 1.2</vt:lpstr>
      <vt:lpstr>Table 1.3</vt:lpstr>
      <vt:lpstr>Table 1.4</vt:lpstr>
      <vt:lpstr>Table 1.5</vt:lpstr>
      <vt:lpstr>Table 1.6 Total</vt:lpstr>
      <vt:lpstr>Table 2</vt:lpstr>
      <vt:lpstr>Summary Table</vt:lpstr>
      <vt:lpstr>Tot Ann Resp</vt:lpstr>
      <vt:lpstr>O&amp;M (Bulk Terminals Only)</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wwrigley</cp:lastModifiedBy>
  <dcterms:created xsi:type="dcterms:W3CDTF">2014-09-29T16:56:37Z</dcterms:created>
  <dcterms:modified xsi:type="dcterms:W3CDTF">2018-12-03T13:25:42Z</dcterms:modified>
</cp:coreProperties>
</file>