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CA57E37F-B76F-478C-AFE1-3E14C116AD59}" xr6:coauthVersionLast="31" xr6:coauthVersionMax="31" xr10:uidLastSave="{00000000-0000-0000-0000-000000000000}"/>
  <bookViews>
    <workbookView xWindow="0" yWindow="0" windowWidth="19200" windowHeight="7335" tabRatio="714" xr2:uid="{00000000-000D-0000-FFFF-FFFF00000000}"/>
  </bookViews>
  <sheets>
    <sheet name="Summary Table" sheetId="7" r:id="rId1"/>
    <sheet name="Capital and O&amp;M Costs" sheetId="4" r:id="rId2"/>
    <sheet name="# Respondents" sheetId="6" r:id="rId3"/>
    <sheet name="# Responses Calcs" sheetId="3" r:id="rId4"/>
    <sheet name="Respondent Burden" sheetId="1" r:id="rId5"/>
    <sheet name="Agency Burden" sheetId="2" r:id="rId6"/>
  </sheets>
  <definedNames>
    <definedName name="_xlnm.Print_Area" localSheetId="5">'Agency Burden'!$A$1:$J$4</definedName>
    <definedName name="_xlnm.Print_Area" localSheetId="4">'Respondent Burden'!$A$1:$J$36</definedName>
  </definedNames>
  <calcPr calcId="179017"/>
</workbook>
</file>

<file path=xl/calcChain.xml><?xml version="1.0" encoding="utf-8"?>
<calcChain xmlns="http://schemas.openxmlformats.org/spreadsheetml/2006/main">
  <c r="J66" i="1" l="1"/>
  <c r="F82" i="1"/>
  <c r="F93" i="1"/>
  <c r="F91" i="1"/>
  <c r="F86" i="1"/>
  <c r="F85" i="1"/>
  <c r="F46" i="1"/>
  <c r="F61" i="1"/>
  <c r="F60" i="1"/>
  <c r="F59" i="1"/>
  <c r="F57" i="1"/>
  <c r="F50" i="1"/>
  <c r="E10" i="1"/>
  <c r="F9" i="1"/>
  <c r="J31" i="1" l="1"/>
  <c r="J67" i="1"/>
  <c r="D7" i="7" s="1"/>
  <c r="J98" i="1"/>
  <c r="E7" i="7"/>
  <c r="F15" i="4"/>
  <c r="C7" i="7" l="1"/>
  <c r="F7" i="7" s="1"/>
  <c r="F22" i="4"/>
  <c r="F15" i="1" l="1"/>
  <c r="F10" i="1" s="1"/>
  <c r="G10" i="1" s="1"/>
  <c r="G8" i="6"/>
  <c r="H10" i="1" l="1"/>
  <c r="I10" i="1"/>
  <c r="J10" i="1" s="1"/>
  <c r="C12" i="3"/>
  <c r="E7" i="4"/>
  <c r="C6" i="3" l="1"/>
  <c r="E8" i="4" s="1"/>
  <c r="F8" i="4" s="1"/>
  <c r="C11" i="3"/>
  <c r="E13" i="4" s="1"/>
  <c r="F13" i="4" s="1"/>
  <c r="C5" i="3"/>
  <c r="F7" i="4" s="1"/>
  <c r="F10" i="4" s="1"/>
  <c r="C7" i="3"/>
  <c r="E9" i="4" s="1"/>
  <c r="F9" i="4" s="1"/>
  <c r="E14" i="4"/>
  <c r="F14" i="4" s="1"/>
  <c r="I23" i="6"/>
  <c r="F10" i="2"/>
  <c r="F12" i="3" l="1"/>
  <c r="E20" i="4"/>
  <c r="F20" i="4" s="1"/>
  <c r="F21" i="4" s="1"/>
  <c r="C20" i="3"/>
  <c r="F20" i="3" s="1"/>
  <c r="C17" i="3"/>
  <c r="E17" i="4" s="1"/>
  <c r="F17" i="4" s="1"/>
  <c r="F18" i="4" s="1"/>
  <c r="C15" i="3"/>
  <c r="C16" i="3" s="1"/>
  <c r="C10" i="3"/>
  <c r="E12" i="4" s="1"/>
  <c r="F12" i="4" s="1"/>
  <c r="F7" i="3"/>
  <c r="F6" i="3"/>
  <c r="F5" i="3"/>
  <c r="F11" i="3"/>
  <c r="F17" i="3"/>
  <c r="E17" i="3"/>
  <c r="E22" i="3"/>
  <c r="F11" i="2"/>
  <c r="E94" i="1"/>
  <c r="E93" i="1"/>
  <c r="E91" i="1"/>
  <c r="F87" i="1"/>
  <c r="F94" i="1" s="1"/>
  <c r="E83" i="1"/>
  <c r="E95" i="1"/>
  <c r="E87" i="1"/>
  <c r="E86" i="1"/>
  <c r="E85" i="1"/>
  <c r="E82" i="1"/>
  <c r="F51" i="1"/>
  <c r="E62" i="1"/>
  <c r="G62" i="1" s="1"/>
  <c r="E61" i="1"/>
  <c r="E60" i="1"/>
  <c r="E59" i="1"/>
  <c r="E57" i="1"/>
  <c r="E51" i="1"/>
  <c r="E50" i="1"/>
  <c r="E49" i="1"/>
  <c r="E46" i="1"/>
  <c r="I13" i="6"/>
  <c r="F14" i="1"/>
  <c r="E26" i="1"/>
  <c r="G26" i="1" s="1"/>
  <c r="E25" i="1"/>
  <c r="G25" i="1" s="1"/>
  <c r="E24" i="1"/>
  <c r="G24" i="1" s="1"/>
  <c r="E23" i="1"/>
  <c r="G23" i="1" s="1"/>
  <c r="E15" i="1"/>
  <c r="E14" i="1"/>
  <c r="E13" i="1"/>
  <c r="E10" i="2"/>
  <c r="G10" i="2" s="1"/>
  <c r="G20" i="6"/>
  <c r="G12" i="6"/>
  <c r="G22" i="6"/>
  <c r="G21" i="6"/>
  <c r="G18" i="6"/>
  <c r="G17" i="6"/>
  <c r="G16" i="6"/>
  <c r="G14" i="6"/>
  <c r="G13" i="6"/>
  <c r="G10" i="6"/>
  <c r="G9" i="6"/>
  <c r="F23" i="6"/>
  <c r="E23" i="6"/>
  <c r="D23" i="6"/>
  <c r="F12" i="2" s="1"/>
  <c r="C23" i="6"/>
  <c r="I23" i="1" l="1"/>
  <c r="F8" i="3"/>
  <c r="F15" i="3"/>
  <c r="F22" i="3"/>
  <c r="F23" i="3" s="1"/>
  <c r="I10" i="2"/>
  <c r="H10" i="2"/>
  <c r="C21" i="3"/>
  <c r="F16" i="3"/>
  <c r="G94" i="1"/>
  <c r="I94" i="1" s="1"/>
  <c r="F95" i="1"/>
  <c r="G95" i="1" s="1"/>
  <c r="G93" i="1"/>
  <c r="G91" i="1"/>
  <c r="G85" i="1"/>
  <c r="G83" i="1"/>
  <c r="G82" i="1"/>
  <c r="G86" i="1"/>
  <c r="I86" i="1" s="1"/>
  <c r="G87" i="1"/>
  <c r="G60" i="1"/>
  <c r="G59" i="1"/>
  <c r="H59" i="1" s="1"/>
  <c r="G57" i="1"/>
  <c r="G61" i="1"/>
  <c r="G50" i="1"/>
  <c r="I50" i="1" s="1"/>
  <c r="G46" i="1"/>
  <c r="G15" i="1"/>
  <c r="H15" i="1" s="1"/>
  <c r="G51" i="1"/>
  <c r="H51" i="1" s="1"/>
  <c r="F13" i="1"/>
  <c r="G13" i="1" s="1"/>
  <c r="H13" i="1" s="1"/>
  <c r="I62" i="1"/>
  <c r="H62" i="1"/>
  <c r="G49" i="1"/>
  <c r="F21" i="1"/>
  <c r="H23" i="1"/>
  <c r="J23" i="1" s="1"/>
  <c r="H26" i="1"/>
  <c r="I26" i="1"/>
  <c r="H25" i="1"/>
  <c r="I25" i="1"/>
  <c r="H24" i="1"/>
  <c r="I24" i="1"/>
  <c r="G14" i="1"/>
  <c r="I14" i="1" s="1"/>
  <c r="G23" i="6"/>
  <c r="I46" i="1" l="1"/>
  <c r="F18" i="3"/>
  <c r="H82" i="1"/>
  <c r="H94" i="1"/>
  <c r="J94" i="1" s="1"/>
  <c r="H93" i="1"/>
  <c r="I93" i="1"/>
  <c r="H86" i="1"/>
  <c r="J86" i="1" s="1"/>
  <c r="H91" i="1"/>
  <c r="I91" i="1"/>
  <c r="I82" i="1"/>
  <c r="H87" i="1"/>
  <c r="H83" i="1"/>
  <c r="I83" i="1"/>
  <c r="I87" i="1"/>
  <c r="H95" i="1"/>
  <c r="I95" i="1"/>
  <c r="H85" i="1"/>
  <c r="I85" i="1"/>
  <c r="H61" i="1"/>
  <c r="I61" i="1"/>
  <c r="I60" i="1"/>
  <c r="H60" i="1"/>
  <c r="J62" i="1"/>
  <c r="I59" i="1"/>
  <c r="J59" i="1" s="1"/>
  <c r="H50" i="1"/>
  <c r="J50" i="1" s="1"/>
  <c r="I15" i="1"/>
  <c r="J15" i="1" s="1"/>
  <c r="H46" i="1"/>
  <c r="I51" i="1"/>
  <c r="J51" i="1" s="1"/>
  <c r="H57" i="1"/>
  <c r="I57" i="1"/>
  <c r="H49" i="1"/>
  <c r="I49" i="1"/>
  <c r="J24" i="1"/>
  <c r="J25" i="1"/>
  <c r="J26" i="1"/>
  <c r="H14" i="1"/>
  <c r="J14" i="1" s="1"/>
  <c r="I13" i="1"/>
  <c r="J13" i="1" s="1"/>
  <c r="F10" i="3"/>
  <c r="F13" i="3" s="1"/>
  <c r="F24" i="3" s="1"/>
  <c r="E12" i="2"/>
  <c r="E11" i="2"/>
  <c r="G11" i="2" s="1"/>
  <c r="E21" i="1"/>
  <c r="E9" i="1"/>
  <c r="G52" i="1" l="1"/>
  <c r="G65" i="1"/>
  <c r="J46" i="1"/>
  <c r="G88" i="1"/>
  <c r="G96" i="1"/>
  <c r="J91" i="1"/>
  <c r="J93" i="1"/>
  <c r="J82" i="1"/>
  <c r="J87" i="1"/>
  <c r="J83" i="1"/>
  <c r="J61" i="1"/>
  <c r="J85" i="1"/>
  <c r="J95" i="1"/>
  <c r="J60" i="1"/>
  <c r="J57" i="1"/>
  <c r="J49" i="1"/>
  <c r="H11" i="2"/>
  <c r="G12" i="2"/>
  <c r="G21" i="1"/>
  <c r="G9" i="1"/>
  <c r="G97" i="1" l="1"/>
  <c r="E5" i="7" s="1"/>
  <c r="J52" i="1"/>
  <c r="H12" i="2"/>
  <c r="I12" i="2"/>
  <c r="J96" i="1"/>
  <c r="J88" i="1"/>
  <c r="G66" i="1"/>
  <c r="D5" i="7" s="1"/>
  <c r="J65" i="1"/>
  <c r="I21" i="1"/>
  <c r="I11" i="2"/>
  <c r="J11" i="2" s="1"/>
  <c r="H21" i="1"/>
  <c r="H9" i="1"/>
  <c r="G16" i="1" s="1"/>
  <c r="I9" i="1"/>
  <c r="G29" i="1" l="1"/>
  <c r="J97" i="1"/>
  <c r="J99" i="1" s="1"/>
  <c r="J68" i="1"/>
  <c r="G13" i="2"/>
  <c r="J12" i="2"/>
  <c r="J13" i="2" s="1"/>
  <c r="J21" i="1"/>
  <c r="J29" i="1" s="1"/>
  <c r="J9" i="1"/>
  <c r="J16" i="1" s="1"/>
  <c r="J10" i="2"/>
  <c r="E6" i="7" l="1"/>
  <c r="E8" i="7" s="1"/>
  <c r="D6" i="7"/>
  <c r="D8" i="7" s="1"/>
  <c r="J30" i="1"/>
  <c r="J32" i="1" s="1"/>
  <c r="G30" i="1"/>
  <c r="C5" i="7" s="1"/>
  <c r="F5" i="7" s="1"/>
  <c r="F10" i="7" l="1"/>
  <c r="C6" i="7"/>
  <c r="F6" i="7" l="1"/>
  <c r="F8" i="7" s="1"/>
  <c r="C8" i="7"/>
</calcChain>
</file>

<file path=xl/sharedStrings.xml><?xml version="1.0" encoding="utf-8"?>
<sst xmlns="http://schemas.openxmlformats.org/spreadsheetml/2006/main" count="291" uniqueCount="129">
  <si>
    <t>Burden Item</t>
  </si>
  <si>
    <t>A</t>
  </si>
  <si>
    <t>B</t>
  </si>
  <si>
    <t>C</t>
  </si>
  <si>
    <t>D</t>
  </si>
  <si>
    <t>E</t>
  </si>
  <si>
    <t>F</t>
  </si>
  <si>
    <t>G</t>
  </si>
  <si>
    <t>H</t>
  </si>
  <si>
    <t>TECH</t>
  </si>
  <si>
    <t>Technical person-hours per occurrence</t>
  </si>
  <si>
    <t>No. of occurrences per respondent per year</t>
  </si>
  <si>
    <t>Technical person-hours per respondent per year (AxB)</t>
  </si>
  <si>
    <t>Technical hours per year (CxD)</t>
  </si>
  <si>
    <t>MGMT</t>
  </si>
  <si>
    <t>Recordkeeping Subtotal</t>
  </si>
  <si>
    <t>Reporting Subtotal</t>
  </si>
  <si>
    <t>CLER</t>
  </si>
  <si>
    <t>Total Annual Responses</t>
  </si>
  <si>
    <t>(A)
Information Collection Activity</t>
  </si>
  <si>
    <t>(C)
Number of Responses</t>
  </si>
  <si>
    <t>(D)
Number of Existing Respondents That Keep Records But Do Not Submit Reports</t>
  </si>
  <si>
    <t>(E)
Total Annual Responses
E=(BxC)+D</t>
  </si>
  <si>
    <r>
      <t xml:space="preserve">Total cost per year ($) </t>
    </r>
    <r>
      <rPr>
        <b/>
        <vertAlign val="superscript"/>
        <sz val="10"/>
        <rFont val="Times New Roman"/>
        <family val="1"/>
      </rPr>
      <t>b</t>
    </r>
  </si>
  <si>
    <t>(A)</t>
  </si>
  <si>
    <t>(B)</t>
  </si>
  <si>
    <t>(C)</t>
  </si>
  <si>
    <t>(D)</t>
  </si>
  <si>
    <t>(E)</t>
  </si>
  <si>
    <t>Total (after rounding)</t>
  </si>
  <si>
    <r>
      <t xml:space="preserve">Respondents per year </t>
    </r>
    <r>
      <rPr>
        <b/>
        <vertAlign val="superscript"/>
        <sz val="10"/>
        <rFont val="Times New Roman"/>
        <family val="1"/>
      </rPr>
      <t>a</t>
    </r>
  </si>
  <si>
    <t>Management hours per year  (Ex0.05)</t>
  </si>
  <si>
    <t>Clerical hours per year (Ex0.10)</t>
  </si>
  <si>
    <t>Assumptions:</t>
  </si>
  <si>
    <t xml:space="preserve">(B)
Number of Respondents  </t>
  </si>
  <si>
    <t>Total</t>
  </si>
  <si>
    <t>1.  Applications</t>
  </si>
  <si>
    <t>3.  Reporting requirements</t>
  </si>
  <si>
    <t>B.  Required activities</t>
  </si>
  <si>
    <t>C.  Create information</t>
  </si>
  <si>
    <t>4.  Recordkeeping requirements</t>
  </si>
  <si>
    <t>B.  Plan activities</t>
  </si>
  <si>
    <t>Notification of compliance status</t>
  </si>
  <si>
    <t>C.  Implement activities</t>
  </si>
  <si>
    <t>D.  Develop record system</t>
  </si>
  <si>
    <t>F.  Time to train personnel</t>
  </si>
  <si>
    <t>Paint Stripping</t>
  </si>
  <si>
    <t>Miscellaneous Surface Coating</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</si>
  <si>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</si>
  <si>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</si>
  <si>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</si>
  <si>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</si>
  <si>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</si>
  <si>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</si>
  <si>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</si>
  <si>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</si>
  <si>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Commercial Motor Vehicle and Mobile Equipment Refinishing</t>
  </si>
  <si>
    <t>Government Motor Vehicle and Mobile Equipment Refinishing</t>
  </si>
  <si>
    <t>Subtotal</t>
  </si>
  <si>
    <t>Number of New Respondents</t>
  </si>
  <si>
    <r>
      <t>Number of Respondents</t>
    </r>
    <r>
      <rPr>
        <b/>
        <vertAlign val="superscript"/>
        <sz val="12"/>
        <color rgb="FF000000"/>
        <rFont val="Times New Roman"/>
        <family val="1"/>
      </rPr>
      <t>1</t>
    </r>
  </si>
  <si>
    <t>Annual O&amp;M Costs per Occurrence</t>
  </si>
  <si>
    <t>Number of Occurrences per Respondent per Year</t>
  </si>
  <si>
    <t>Average Number of Respondents with O&amp;M</t>
  </si>
  <si>
    <t>Total O&amp;M,</t>
  </si>
  <si>
    <t>(A× B×C)</t>
  </si>
  <si>
    <t>Initial Notification Letter</t>
  </si>
  <si>
    <t>Notification of Compliance Status</t>
  </si>
  <si>
    <t>Annual Compliance Report</t>
  </si>
  <si>
    <t>Sector</t>
  </si>
  <si>
    <t>Commercial Misc. Surface Coating</t>
  </si>
  <si>
    <t>Government Misc. Surface Coating</t>
  </si>
  <si>
    <t>Burden Hours</t>
  </si>
  <si>
    <t>Labor Cost</t>
  </si>
  <si>
    <t>Table 1: Summary of Annual Respondent Burden and Cost – NESHAP for Paint Stripping and Miscellaneous Surface Coating at Area Sources (40 CFR Part 63, Subpart HHHHHH) (Renewal)</t>
  </si>
  <si>
    <t>Table 1b: Annual Respondent Burden and Cost – Government-owned Miscellaneous Surface Coating Operations at Area Sources</t>
  </si>
  <si>
    <t>Table 1c: Annual Respondent Burden and Cost – Paint Stripping Operations at Area Sources</t>
  </si>
  <si>
    <t>Table 2: Average Annual EPA Burden and Cost – NESHAP for Paint Stripping and Miscellaneous Surface Coating at Area Sources (40 CFR Part 63, Subpart HHHHHH) (Renewal)</t>
  </si>
  <si>
    <t>Applications</t>
  </si>
  <si>
    <t>Not applicable</t>
  </si>
  <si>
    <t>Required activities</t>
  </si>
  <si>
    <t>Create information</t>
  </si>
  <si>
    <t>Gather information</t>
  </si>
  <si>
    <t>Report reviews</t>
  </si>
  <si>
    <t>Annual compliance report</t>
  </si>
  <si>
    <t>G.  Time for audits</t>
  </si>
  <si>
    <t>2.  Surveys and studies</t>
  </si>
  <si>
    <t>Included in 3A</t>
  </si>
  <si>
    <t>2.  Notification of compliance status</t>
  </si>
  <si>
    <t>3.  Annual compliance report</t>
  </si>
  <si>
    <t>1.  Records of painter certification</t>
  </si>
  <si>
    <t>2.  Records of filter efficiency</t>
  </si>
  <si>
    <t>3.  Records of spray gun</t>
  </si>
  <si>
    <t>4.  Records of deviation from rule requirements and corrective actions taken</t>
  </si>
  <si>
    <t>--was 120,315 hrs, $10,885,792</t>
  </si>
  <si>
    <t>a.  This ICR assumes a total of 3,000 paint stripping facilities exist in any given year.  EPA estimates 1,050 of these facilities will use more than 150 gallons per year of paint strippers containing methylene chloride.  These facilities are required to develop a written plan and to submit notification of compliance status and annual compliance reports.</t>
  </si>
  <si>
    <t>a.  EPA estimates a total of 250 existing, government-owned paint shops by assuming one shop per county for counties with a population greater than 240,000.  This ICR assumes no new, government-owned paint shops will open over the three-year ICR period.</t>
  </si>
  <si>
    <t>Initial notification letter</t>
  </si>
  <si>
    <t>1.  Initial notification letter</t>
  </si>
  <si>
    <t>E.  Time to record information</t>
  </si>
  <si>
    <t>B.  Process/Review information</t>
  </si>
  <si>
    <t>2.  Update plan</t>
  </si>
  <si>
    <t>1.  Train personnel</t>
  </si>
  <si>
    <t>D.  Time to record information</t>
  </si>
  <si>
    <r>
      <t xml:space="preserve">Total cost per year ($) </t>
    </r>
    <r>
      <rPr>
        <b/>
        <vertAlign val="superscript"/>
        <sz val="10"/>
        <rFont val="Times New Roman"/>
        <family val="1"/>
      </rPr>
      <t>a</t>
    </r>
  </si>
  <si>
    <t>Respondents per year</t>
  </si>
  <si>
    <t>Capital/Startup vs. Operation and Maintenance (O&amp;M) Costs</t>
  </si>
  <si>
    <t>hrs/response</t>
  </si>
  <si>
    <t>Number of Existing Respondents That Are No Longer Subject</t>
  </si>
  <si>
    <t>A.  Familiarization with Regulatory Requirements</t>
  </si>
  <si>
    <t>b. This ICR uses the following labor rates: $112.98 for technical, $149.35 for managerial, and $54.81 for clerical labor.  These rates are from the United States Department of Labor, Bureau of Labor Statistics, December 2013, “Table 2. Civilian workers, by occupational and industry group.”  The rates are from column 1, “Total compensation.”  The rates have been increased by 110 percent to account for the benefit packages available to those employed by private industry.</t>
  </si>
  <si>
    <t>a.  This ICR assumes a total of 39,812 commercial facilities exist in any given year, and that 1,618 new sources per year will be constructed.  These commercial facilities comprise both the miscellaneous surface coating and commercial motor vehicle and mobile equipment refinishing categories.  This ICR also assumes that existing sources will shut down at a rate equal to that replaced by new sources.  Therefore, the total number of affected sources subject to this rule (i.e., 41,430 sources) will not change in any given year.</t>
  </si>
  <si>
    <t>a. This ICR uses the following labor rates: $48.08 for technical, $64.80 for managerial, and $26.02 for clerical labor.  These rates are from the Office of Personnel Management (OPM) 2013 General Schedule, which excludes locality rates of pay.  The rates have been increased by 60 percent to account for the benefit packages available to government employees.</t>
  </si>
  <si>
    <t>A. Familiarization with Regulatory Requirements</t>
  </si>
  <si>
    <t>Table 1a: Annual Respondent Burden and Cost – Commercial Motor Vehicle and Mobile Equipment Refinishing and Miscellaneous Surface Coating Operations at Area Sources</t>
  </si>
  <si>
    <t>Capital and O&amp;M Costs</t>
  </si>
  <si>
    <r>
      <rPr>
        <vertAlign val="superscript"/>
        <sz val="10"/>
        <color theme="1"/>
        <rFont val="Arial"/>
        <family val="2"/>
      </rPr>
      <t>1</t>
    </r>
    <r>
      <rPr>
        <sz val="10"/>
        <color theme="1"/>
        <rFont val="Arial"/>
        <family val="2"/>
      </rPr>
      <t xml:space="preserve"> This ICR assumes a total of 39,812 commercial facilities exist in any given year, and that 1,618 new sources per year will be constructed.  This ICR also assumes that existing sources will shut down at a rate equal to that replaced by new sources.  Therefore, the total number of affected sources subject to this rule (i.e., 39,312 sources) will not change in any given year.</t>
    </r>
  </si>
  <si>
    <t xml:space="preserve">Grand Total </t>
  </si>
  <si>
    <r>
      <rPr>
        <vertAlign val="superscript"/>
        <sz val="10"/>
        <rFont val="Times New Roman"/>
        <family val="1"/>
      </rPr>
      <t xml:space="preserve">c </t>
    </r>
    <r>
      <rPr>
        <sz val="10"/>
        <rFont val="Times New Roman"/>
        <family val="1"/>
      </rPr>
      <t>Totals have been rounded to 3 significant figures. Figures may not add exactly due to rounding.</t>
    </r>
  </si>
  <si>
    <r>
      <t>TOTAL ANNUAL BURDEN AND COST (ROUNDED)</t>
    </r>
    <r>
      <rPr>
        <b/>
        <vertAlign val="superscript"/>
        <sz val="10"/>
        <rFont val="Times New Roman"/>
        <family val="1"/>
      </rPr>
      <t>c</t>
    </r>
  </si>
  <si>
    <r>
      <t>TOTAL CAPITAL AND O&amp;M COST (ROUNDED)</t>
    </r>
    <r>
      <rPr>
        <b/>
        <vertAlign val="superscript"/>
        <sz val="10"/>
        <rFont val="Times New Roman"/>
        <family val="1"/>
      </rPr>
      <t>c</t>
    </r>
  </si>
  <si>
    <r>
      <t>GRAND TOTAL (ROUNDED)</t>
    </r>
    <r>
      <rPr>
        <b/>
        <vertAlign val="superscript"/>
        <sz val="10"/>
        <rFont val="Times New Roman"/>
        <family val="1"/>
      </rPr>
      <t>c</t>
    </r>
  </si>
  <si>
    <r>
      <t>TOTAL ANNUAL BURDEN AND COST (ROUNDED)</t>
    </r>
    <r>
      <rPr>
        <b/>
        <vertAlign val="superscript"/>
        <sz val="10"/>
        <rFont val="Times New Roman"/>
        <family val="1"/>
      </rPr>
      <t>b</t>
    </r>
  </si>
  <si>
    <r>
      <rPr>
        <vertAlign val="superscript"/>
        <sz val="10"/>
        <rFont val="Times New Roman"/>
        <family val="1"/>
      </rPr>
      <t xml:space="preserve">b </t>
    </r>
    <r>
      <rPr>
        <sz val="10"/>
        <rFont val="Times New Roman"/>
        <family val="1"/>
      </rPr>
      <t>Totals have been rounded to 3 significant figures. Figures may not add exactly due to rounding.</t>
    </r>
  </si>
  <si>
    <r>
      <t>TOTAL</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</si>
  <si>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Totals have been rounded to 3 significant figures. Figures may not add exactly due to rounding.</t>
    </r>
  </si>
  <si>
    <t>New sources</t>
  </si>
  <si>
    <t>Existing sources</t>
  </si>
  <si>
    <t>Note: assumes 1 hr for existing source to familiarize with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</si>
</sst>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00"/>
    <numFmt numFmtId="165" formatCode="#,##0.0"/>
    <numFmt numFmtId="166" formatCode="&quot;$&quot;#,##0"/>
  </numFmts>
  <fonts count="29"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i/>
      <sz val="10"/>
      <name val="Times New Roman"/>
      <family val="1"/>
    </font>
    <font>
      <sz val="10"/>
      <color rgb="FF000000"/>
      <name val="Times New Roman"/>
      <family val="1"/>
    </font>
    <font>
      <b/>
      <sz val="12"/>
      <name val="Times New Roman"/>
      <family val="1"/>
    </font>
    <font>
      <b/>
      <sz val="12"/>
      <color theme="1"/>
      <name val="Times New Roman"/>
      <family val="1"/>
    </font>
    <font>
      <i/>
      <sz val="10"/>
      <color rgb="FF000000"/>
      <name val="Times New Roman"/>
      <family val="1"/>
    </font>
    <font>
      <b/>
      <vertAlign val="superscript"/>
      <sz val="12"/>
      <color rgb="FF000000"/>
      <name val="Times New Roman"/>
      <family val="1"/>
    </font>
    <font>
      <b/>
      <sz val="10"/>
      <color rgb="FF000000"/>
      <name val="Times New Roman"/>
      <family val="1"/>
    </font>
    <font>
      <vertAlign val="superscript"/>
      <sz val="10"/>
      <color theme="1"/>
      <name val="Arial"/>
      <family val="2"/>
    </font>
    <font>
      <vertAlign val="superscript"/>
      <sz val="10"/>
      <color theme="1"/>
      <name val="Times New Roman"/>
      <family val="1"/>
    </font>
    <font>
      <sz val="10"/>
      <color theme="1"/>
      <name val="Arial"/>
      <family val="2"/>
    </font>
    <font>
      <b/>
      <sz val="10"/>
      <color theme="1"/>
      <name val="Arial"/>
      <family val="2"/>
    </font>
    <font>
      <i/>
      <sz val="10"/>
      <color theme="1"/>
      <name val="Times New Roman"/>
      <family val="1"/>
    </font>
    <font>
      <sz val="10"/>
      <color rgb="FFFF0000"/>
      <name val="Arial"/>
      <family val="2"/>
    </font>
    <font>
      <sz val="10"/>
      <color rgb="FFFF0000"/>
      <name val="Times New Roman"/>
      <family val="1"/>
    </font>
    <font>
      <vertAlign val="superscript"/>
      <sz val="10"/>
      <name val="Times New Roman"/>
      <family val="1"/>
    </font>
    <font>
      <b/>
      <i/>
      <sz val="10"/>
      <color theme="1"/>
      <name val="Times New Roman"/>
      <family val="1"/>
    </font>
    <font>
      <b/>
      <sz val="10"/>
      <color theme="1"/>
      <name val="Times New Roman"/>
      <family val="1"/>
    </font>
    <font>
      <b/>
      <vertAlign val="superscript"/>
      <sz val="10"/>
      <color theme="1"/>
      <name val="Times New Roman"/>
      <family val="1"/>
    </font>
    <font>
      <b/>
      <i/>
      <sz val="9"/>
      <name val="Times New Roman"/>
      <family val="1"/>
    </font>
    <font>
      <b/>
      <sz val="10"/>
      <color rgb="FFFF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43" fontId="18" fillId="0" borderId="0" applyFont="0" applyFill="0" applyBorder="0" applyAlignment="0" applyProtection="0"/>
  </cellStyleXfs>
  <cellXfs count="171">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Fill="1" applyAlignment="1">
      <alignment wrapText="1"/>
    </xf>
    <xf numFmtId="0" fontId="2" fillId="0" borderId="0" xfId="0" applyFont="1"/>
    <xf numFmtId="0" fontId="2" fillId="0" borderId="0" xfId="0" applyFont="1" applyFill="1"/>
    <xf numFmtId="4" fontId="3" fillId="0" borderId="1" xfId="0" applyNumberFormat="1" applyFont="1" applyFill="1" applyBorder="1" applyAlignment="1">
      <alignment horizontal="center"/>
    </xf>
    <xf numFmtId="4" fontId="3" fillId="0" borderId="1" xfId="0" applyNumberFormat="1" applyFont="1" applyFill="1" applyBorder="1" applyAlignment="1">
      <alignment horizontal="center" wrapText="1"/>
    </xf>
    <xf numFmtId="4" fontId="2" fillId="0" borderId="0" xfId="0" applyNumberFormat="1" applyFont="1" applyFill="1"/>
    <xf numFmtId="3" fontId="2" fillId="0" borderId="0" xfId="0" applyNumberFormat="1" applyFont="1" applyFill="1"/>
    <xf numFmtId="0" fontId="3" fillId="0" borderId="1" xfId="0" applyNumberFormat="1" applyFont="1" applyFill="1" applyBorder="1" applyAlignment="1">
      <alignment horizontal="center" vertical="center"/>
    </xf>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1" fillId="0" borderId="0" xfId="0" applyFont="1" applyFill="1"/>
    <xf numFmtId="0" fontId="11" fillId="0" borderId="0" xfId="0" applyFont="1" applyFill="1" applyAlignment="1"/>
    <xf numFmtId="0" fontId="2" fillId="0" borderId="0" xfId="0" applyFont="1" applyFill="1" applyBorder="1" applyAlignment="1">
      <alignment horizontal="center"/>
    </xf>
    <xf numFmtId="0" fontId="10" fillId="0" borderId="5" xfId="0" applyFont="1" applyBorder="1" applyAlignment="1">
      <alignment horizontal="center" vertical="top" wrapText="1"/>
    </xf>
    <xf numFmtId="0" fontId="2" fillId="0" borderId="0" xfId="0" applyFont="1" applyFill="1" applyBorder="1"/>
    <xf numFmtId="4" fontId="2"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center" wrapText="1"/>
    </xf>
    <xf numFmtId="0" fontId="10" fillId="0" borderId="0" xfId="0" applyFont="1" applyAlignment="1">
      <alignment wrapText="1"/>
    </xf>
    <xf numFmtId="3" fontId="2"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center" wrapText="1"/>
    </xf>
    <xf numFmtId="0" fontId="0" fillId="0" borderId="0" xfId="0" applyBorder="1"/>
    <xf numFmtId="0" fontId="10" fillId="0" borderId="7" xfId="0" applyFont="1" applyBorder="1" applyAlignment="1">
      <alignment horizontal="center" vertical="top" wrapText="1"/>
    </xf>
    <xf numFmtId="0" fontId="5" fillId="0" borderId="8" xfId="0" applyFont="1" applyBorder="1" applyAlignment="1">
      <alignment vertical="top" wrapText="1"/>
    </xf>
    <xf numFmtId="0" fontId="6" fillId="0" borderId="1" xfId="0" applyFont="1" applyBorder="1" applyAlignment="1">
      <alignment vertical="top" wrapText="1"/>
    </xf>
    <xf numFmtId="0" fontId="10" fillId="0" borderId="1" xfId="0" applyFont="1" applyBorder="1" applyAlignment="1">
      <alignment horizontal="center" vertical="top" wrapText="1"/>
    </xf>
    <xf numFmtId="3" fontId="10"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0" fillId="0" borderId="7"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7" fillId="0" borderId="0" xfId="0" applyFont="1"/>
    <xf numFmtId="0" fontId="2" fillId="0" borderId="0" xfId="0" quotePrefix="1" applyFont="1" applyFill="1"/>
    <xf numFmtId="0" fontId="0" fillId="0" borderId="0" xfId="0" quotePrefix="1"/>
    <xf numFmtId="0" fontId="3" fillId="0" borderId="1" xfId="0" applyNumberFormat="1" applyFont="1" applyFill="1" applyBorder="1" applyAlignment="1">
      <alignment horizontal="center" wrapText="1"/>
    </xf>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left" vertical="top" wrapText="1" indent="2"/>
    </xf>
    <xf numFmtId="165"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3" fillId="0" borderId="1" xfId="0" applyFont="1" applyFill="1" applyBorder="1" applyAlignment="1">
      <alignment wrapText="1"/>
    </xf>
    <xf numFmtId="3" fontId="2" fillId="0" borderId="1" xfId="0" applyNumberFormat="1" applyFont="1" applyFill="1" applyBorder="1" applyAlignment="1">
      <alignment horizontal="center" vertical="top" wrapText="1"/>
    </xf>
    <xf numFmtId="0" fontId="2" fillId="0" borderId="0" xfId="0" applyFont="1" applyFill="1" applyAlignment="1"/>
    <xf numFmtId="164" fontId="2" fillId="0" borderId="0" xfId="0" applyNumberFormat="1" applyFont="1" applyFill="1" applyAlignment="1"/>
    <xf numFmtId="0" fontId="2" fillId="0" borderId="1" xfId="0" applyFont="1" applyFill="1" applyBorder="1" applyAlignment="1">
      <alignment horizontal="left" vertical="top" wrapText="1" indent="3"/>
    </xf>
    <xf numFmtId="0" fontId="9" fillId="0" borderId="1" xfId="0" applyFont="1" applyFill="1" applyBorder="1" applyAlignment="1">
      <alignment vertical="top" wrapText="1"/>
    </xf>
    <xf numFmtId="3" fontId="2" fillId="0" borderId="1" xfId="0" quotePrefix="1" applyNumberFormat="1" applyFont="1" applyFill="1" applyBorder="1" applyAlignment="1">
      <alignment horizontal="center" vertical="top" wrapText="1"/>
    </xf>
    <xf numFmtId="43" fontId="15" fillId="0" borderId="8" xfId="1"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5" xfId="0" applyFont="1" applyFill="1" applyBorder="1" applyAlignment="1">
      <alignment vertical="top" wrapText="1"/>
    </xf>
    <xf numFmtId="3" fontId="2" fillId="0" borderId="5" xfId="0" applyNumberFormat="1" applyFont="1" applyFill="1" applyBorder="1" applyAlignment="1">
      <alignment horizontal="center" vertical="top" wrapText="1"/>
    </xf>
    <xf numFmtId="0" fontId="9" fillId="0" borderId="2" xfId="0" applyFont="1" applyFill="1" applyBorder="1" applyAlignment="1">
      <alignment horizontal="left" vertical="top" wrapText="1" indent="1"/>
    </xf>
    <xf numFmtId="3" fontId="2" fillId="0" borderId="3" xfId="0" applyNumberFormat="1" applyFont="1" applyFill="1" applyBorder="1" applyAlignment="1">
      <alignment horizontal="center" vertical="top" wrapText="1"/>
    </xf>
    <xf numFmtId="3" fontId="2" fillId="0" borderId="4" xfId="0" applyNumberFormat="1" applyFont="1" applyFill="1" applyBorder="1" applyAlignment="1">
      <alignment horizontal="center" vertical="top" wrapText="1"/>
    </xf>
    <xf numFmtId="6" fontId="1" fillId="0" borderId="1" xfId="0" applyNumberFormat="1" applyFont="1" applyBorder="1" applyAlignment="1">
      <alignment horizontal="center" vertical="top" wrapText="1"/>
    </xf>
    <xf numFmtId="0" fontId="1" fillId="0" borderId="5" xfId="0" applyFont="1" applyBorder="1" applyAlignment="1">
      <alignment vertical="top" wrapText="1"/>
    </xf>
    <xf numFmtId="6" fontId="1" fillId="0" borderId="5" xfId="0" applyNumberFormat="1" applyFont="1" applyBorder="1" applyAlignment="1">
      <alignment horizontal="center" vertical="top" wrapText="1"/>
    </xf>
    <xf numFmtId="0" fontId="1" fillId="0" borderId="5" xfId="0" applyFont="1" applyBorder="1" applyAlignment="1">
      <alignment horizontal="center" vertical="top" wrapText="1"/>
    </xf>
    <xf numFmtId="6" fontId="1" fillId="0" borderId="0" xfId="0" applyNumberFormat="1" applyFont="1" applyBorder="1" applyAlignment="1">
      <alignment horizontal="center" vertical="top" wrapText="1"/>
    </xf>
    <xf numFmtId="0" fontId="1" fillId="0" borderId="0" xfId="0" applyFont="1" applyBorder="1" applyAlignment="1">
      <alignment horizontal="center" vertical="top" wrapText="1"/>
    </xf>
    <xf numFmtId="0" fontId="1" fillId="0" borderId="10" xfId="0" applyFont="1" applyBorder="1" applyAlignment="1">
      <alignment vertical="top" wrapText="1"/>
    </xf>
    <xf numFmtId="6" fontId="1" fillId="0" borderId="6" xfId="0" applyNumberFormat="1" applyFont="1" applyBorder="1" applyAlignment="1">
      <alignment horizontal="center" vertical="top" wrapText="1"/>
    </xf>
    <xf numFmtId="0" fontId="1" fillId="0" borderId="11" xfId="0" applyFont="1" applyBorder="1" applyAlignment="1">
      <alignment horizontal="center" vertical="top" wrapText="1"/>
    </xf>
    <xf numFmtId="0" fontId="1" fillId="0" borderId="7" xfId="0" applyFont="1" applyBorder="1" applyAlignment="1">
      <alignment horizontal="center" vertical="top" wrapText="1"/>
    </xf>
    <xf numFmtId="0" fontId="0" fillId="0" borderId="6" xfId="0" applyBorder="1" applyAlignment="1">
      <alignment vertical="top" wrapText="1"/>
    </xf>
    <xf numFmtId="0" fontId="1" fillId="0" borderId="6" xfId="0" applyFont="1" applyBorder="1" applyAlignment="1">
      <alignment horizontal="center" vertical="top" wrapText="1"/>
    </xf>
    <xf numFmtId="6" fontId="1" fillId="0" borderId="12" xfId="0" applyNumberFormat="1" applyFont="1" applyBorder="1" applyAlignment="1">
      <alignment horizontal="center" vertical="top" wrapText="1"/>
    </xf>
    <xf numFmtId="6" fontId="1" fillId="0" borderId="3" xfId="0" applyNumberFormat="1" applyFont="1" applyBorder="1" applyAlignment="1">
      <alignment horizontal="center" vertical="top" wrapText="1"/>
    </xf>
    <xf numFmtId="0" fontId="1" fillId="0" borderId="3" xfId="0" applyFont="1" applyBorder="1" applyAlignment="1">
      <alignment horizontal="center" vertical="top" wrapText="1"/>
    </xf>
    <xf numFmtId="6" fontId="1" fillId="0" borderId="4" xfId="0" applyNumberFormat="1" applyFont="1" applyBorder="1" applyAlignment="1">
      <alignment horizontal="center" vertical="top" wrapText="1"/>
    </xf>
    <xf numFmtId="0" fontId="20" fillId="0" borderId="8" xfId="0" applyFont="1" applyBorder="1" applyAlignment="1">
      <alignment horizontal="left" vertical="top" wrapText="1" indent="1"/>
    </xf>
    <xf numFmtId="0" fontId="20" fillId="0" borderId="2" xfId="0" applyFont="1" applyBorder="1" applyAlignment="1">
      <alignment horizontal="left" vertical="top" wrapText="1" indent="1"/>
    </xf>
    <xf numFmtId="0" fontId="0" fillId="0" borderId="0" xfId="0" applyFill="1"/>
    <xf numFmtId="0" fontId="1" fillId="0" borderId="1" xfId="0" applyFont="1" applyFill="1" applyBorder="1" applyAlignment="1">
      <alignment vertical="top" wrapText="1"/>
    </xf>
    <xf numFmtId="3" fontId="1" fillId="0" borderId="1" xfId="0" applyNumberFormat="1" applyFont="1" applyFill="1" applyBorder="1" applyAlignment="1">
      <alignment horizontal="right" vertical="top" wrapText="1"/>
    </xf>
    <xf numFmtId="3" fontId="1" fillId="0" borderId="0" xfId="0" quotePrefix="1" applyNumberFormat="1" applyFont="1" applyFill="1" applyBorder="1" applyAlignment="1">
      <alignment horizontal="left" vertical="top" wrapText="1"/>
    </xf>
    <xf numFmtId="6" fontId="1" fillId="0" borderId="1" xfId="0" applyNumberFormat="1" applyFont="1" applyFill="1" applyBorder="1" applyAlignment="1">
      <alignment horizontal="right" vertical="top" wrapText="1"/>
    </xf>
    <xf numFmtId="0" fontId="19" fillId="0" borderId="0" xfId="0" applyFont="1" applyAlignment="1"/>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0" fillId="0" borderId="6" xfId="0" applyFill="1" applyBorder="1" applyAlignment="1">
      <alignment vertical="top" wrapText="1"/>
    </xf>
    <xf numFmtId="3" fontId="1" fillId="0" borderId="6" xfId="0" applyNumberFormat="1" applyFont="1" applyFill="1" applyBorder="1" applyAlignment="1">
      <alignment horizontal="center" vertical="top" wrapText="1"/>
    </xf>
    <xf numFmtId="3" fontId="1" fillId="0" borderId="3" xfId="0" applyNumberFormat="1"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0" fontId="21" fillId="0" borderId="0" xfId="0" applyFont="1"/>
    <xf numFmtId="0" fontId="3" fillId="0" borderId="1" xfId="0" applyFont="1" applyFill="1" applyBorder="1" applyAlignment="1">
      <alignment vertical="top" wrapText="1"/>
    </xf>
    <xf numFmtId="0" fontId="3" fillId="0" borderId="0" xfId="0" applyFont="1" applyFill="1" applyBorder="1" applyAlignment="1">
      <alignment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3" fontId="2" fillId="0" borderId="0" xfId="0" applyNumberFormat="1" applyFont="1" applyFill="1" applyBorder="1" applyAlignment="1">
      <alignment horizontal="center" vertical="top" wrapText="1"/>
    </xf>
    <xf numFmtId="3" fontId="2" fillId="0" borderId="0" xfId="0" applyNumberFormat="1" applyFont="1" applyFill="1" applyBorder="1" applyAlignment="1">
      <alignment horizontal="right" wrapText="1"/>
    </xf>
    <xf numFmtId="0" fontId="3" fillId="0" borderId="1" xfId="0" applyFont="1" applyFill="1" applyBorder="1"/>
    <xf numFmtId="0" fontId="2" fillId="0" borderId="1" xfId="0" applyFont="1" applyFill="1" applyBorder="1"/>
    <xf numFmtId="166" fontId="2" fillId="0" borderId="1" xfId="0" applyNumberFormat="1" applyFont="1" applyFill="1" applyBorder="1" applyAlignment="1">
      <alignment horizontal="right" vertical="top" wrapText="1"/>
    </xf>
    <xf numFmtId="166" fontId="2" fillId="0" borderId="1" xfId="0" applyNumberFormat="1" applyFont="1" applyFill="1" applyBorder="1" applyAlignment="1">
      <alignment horizontal="right" wrapText="1"/>
    </xf>
    <xf numFmtId="166" fontId="2" fillId="0" borderId="1" xfId="0" applyNumberFormat="1" applyFont="1" applyFill="1" applyBorder="1"/>
    <xf numFmtId="0" fontId="3" fillId="0" borderId="0" xfId="0" applyFont="1" applyFill="1" applyBorder="1"/>
    <xf numFmtId="164" fontId="2" fillId="0" borderId="1" xfId="0" applyNumberFormat="1" applyFont="1" applyFill="1" applyBorder="1" applyAlignment="1">
      <alignment horizontal="right" vertical="top" wrapText="1"/>
    </xf>
    <xf numFmtId="0" fontId="2" fillId="0" borderId="7" xfId="0"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Font="1" applyFill="1" applyBorder="1" applyAlignment="1">
      <alignment vertical="top" wrapText="1"/>
    </xf>
    <xf numFmtId="3" fontId="0" fillId="0" borderId="0" xfId="0" applyNumberFormat="1"/>
    <xf numFmtId="0" fontId="22" fillId="0" borderId="0" xfId="0" applyFont="1" applyFill="1"/>
    <xf numFmtId="3" fontId="2"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vertical="top" wrapText="1"/>
    </xf>
    <xf numFmtId="6" fontId="1" fillId="0" borderId="4" xfId="0" applyNumberFormat="1" applyFont="1" applyFill="1" applyBorder="1" applyAlignment="1">
      <alignment horizontal="right" vertical="top" wrapText="1"/>
    </xf>
    <xf numFmtId="0" fontId="22" fillId="0" borderId="0" xfId="0" applyFont="1" applyFill="1" applyBorder="1"/>
    <xf numFmtId="3" fontId="2"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wrapText="1"/>
    </xf>
    <xf numFmtId="0" fontId="25" fillId="0" borderId="10" xfId="0" applyFont="1" applyBorder="1" applyAlignment="1">
      <alignment vertical="top" wrapText="1"/>
    </xf>
    <xf numFmtId="0" fontId="25" fillId="0" borderId="13" xfId="0" applyFont="1" applyBorder="1" applyAlignment="1">
      <alignment horizontal="center" vertical="top" wrapText="1"/>
    </xf>
    <xf numFmtId="0" fontId="25" fillId="0" borderId="13" xfId="0" applyFont="1" applyFill="1" applyBorder="1" applyAlignment="1">
      <alignment horizontal="center" vertical="top" wrapText="1"/>
    </xf>
    <xf numFmtId="6" fontId="25" fillId="0" borderId="11" xfId="0" applyNumberFormat="1" applyFont="1" applyBorder="1" applyAlignment="1">
      <alignment horizontal="center" vertical="top" wrapText="1"/>
    </xf>
    <xf numFmtId="0" fontId="19" fillId="0" borderId="0" xfId="0" quotePrefix="1" applyFont="1"/>
    <xf numFmtId="0" fontId="19" fillId="0" borderId="0" xfId="0" applyFont="1"/>
    <xf numFmtId="0" fontId="1" fillId="0" borderId="0" xfId="0" applyFont="1"/>
    <xf numFmtId="3" fontId="3" fillId="0" borderId="4" xfId="0" applyNumberFormat="1" applyFont="1" applyFill="1" applyBorder="1" applyAlignment="1">
      <alignment horizontal="center" vertical="top" wrapText="1"/>
    </xf>
    <xf numFmtId="0" fontId="25" fillId="0" borderId="0" xfId="0" quotePrefix="1" applyFont="1" applyAlignment="1">
      <alignment horizontal="left"/>
    </xf>
    <xf numFmtId="0" fontId="15" fillId="0" borderId="1" xfId="0" applyFont="1" applyFill="1" applyBorder="1" applyAlignment="1">
      <alignment vertical="top" wrapText="1"/>
    </xf>
    <xf numFmtId="0" fontId="28" fillId="0" borderId="1" xfId="0" applyFont="1" applyFill="1" applyBorder="1" applyAlignment="1">
      <alignment vertical="top" wrapText="1"/>
    </xf>
    <xf numFmtId="0" fontId="3" fillId="0" borderId="1" xfId="0" applyFont="1" applyFill="1" applyBorder="1" applyAlignment="1">
      <alignment horizontal="center" vertical="top"/>
    </xf>
    <xf numFmtId="0" fontId="25" fillId="0" borderId="0" xfId="0" applyFont="1"/>
    <xf numFmtId="44" fontId="2" fillId="0" borderId="1" xfId="0" applyNumberFormat="1" applyFont="1" applyFill="1" applyBorder="1" applyAlignment="1">
      <alignment horizontal="right" vertical="top" wrapText="1"/>
    </xf>
    <xf numFmtId="0" fontId="25" fillId="0" borderId="1" xfId="0" applyFont="1" applyBorder="1" applyAlignment="1">
      <alignment horizontal="center"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20" fillId="0" borderId="6" xfId="0" applyFont="1" applyBorder="1" applyAlignment="1">
      <alignment horizontal="center"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0" borderId="9" xfId="0" applyBorder="1" applyAlignment="1">
      <alignment horizontal="left"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27" fillId="0" borderId="2" xfId="0" applyFont="1" applyFill="1" applyBorder="1" applyAlignment="1">
      <alignment horizontal="left" vertical="top" wrapText="1"/>
    </xf>
    <xf numFmtId="0" fontId="27" fillId="0"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5" fillId="0" borderId="1" xfId="0" applyFont="1" applyBorder="1" applyAlignment="1">
      <alignment horizontal="center" vertical="top" wrapText="1"/>
    </xf>
    <xf numFmtId="3" fontId="2"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wrapText="1"/>
    </xf>
    <xf numFmtId="3" fontId="2" fillId="0" borderId="2" xfId="0" applyNumberFormat="1" applyFont="1" applyFill="1" applyBorder="1" applyAlignment="1">
      <alignment horizontal="center" vertical="top" wrapText="1"/>
    </xf>
    <xf numFmtId="3" fontId="2" fillId="0" borderId="3" xfId="0" applyNumberFormat="1" applyFont="1" applyFill="1" applyBorder="1" applyAlignment="1">
      <alignment horizontal="center" vertical="top" wrapText="1"/>
    </xf>
    <xf numFmtId="3" fontId="2" fillId="0" borderId="4" xfId="0" applyNumberFormat="1" applyFont="1" applyFill="1" applyBorder="1" applyAlignment="1">
      <alignment horizontal="center" vertical="top"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2" fontId="2" fillId="0" borderId="0" xfId="0" applyNumberFormat="1" applyFont="1" applyFill="1" applyAlignment="1">
      <alignment horizontal="left" wrapText="1"/>
    </xf>
    <xf numFmtId="0" fontId="2" fillId="0" borderId="0" xfId="0" applyNumberFormat="1" applyFont="1" applyFill="1" applyAlignment="1">
      <alignment horizontal="left" wrapText="1"/>
    </xf>
    <xf numFmtId="0" fontId="3" fillId="0" borderId="1" xfId="0" applyNumberFormat="1" applyFont="1" applyFill="1" applyBorder="1" applyAlignment="1">
      <alignment horizontal="left" wrapText="1"/>
    </xf>
    <xf numFmtId="0" fontId="2" fillId="0"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10"/>
  <sheetViews>
    <sheetView tabSelected="1" workbookViewId="0">
      <selection activeCell="B1" sqref="B1"/>
    </sheetView>
  </sheetViews>
  <sheetFormatPr defaultRowHeight="12.75" x14ac:dyDescent="0.2"/>
  <cols>
    <col min="1" max="1" width="3.140625" customWidth="1"/>
    <col min="2" max="2" width="20.7109375" customWidth="1"/>
    <col min="3" max="3" width="20.85546875" bestFit="1" customWidth="1"/>
    <col min="4" max="4" width="21.5703125" bestFit="1" customWidth="1"/>
    <col min="5" max="5" width="12.28515625" bestFit="1" customWidth="1"/>
    <col min="6" max="6" width="13.42578125" customWidth="1"/>
    <col min="7" max="7" width="14.28515625" bestFit="1" customWidth="1"/>
  </cols>
  <sheetData>
    <row r="1" spans="1:7" x14ac:dyDescent="0.2">
      <c r="A1" s="90" t="s">
        <v>74</v>
      </c>
    </row>
    <row r="4" spans="1:7" ht="25.5" x14ac:dyDescent="0.2">
      <c r="B4" s="137" t="s">
        <v>69</v>
      </c>
      <c r="C4" s="137" t="s">
        <v>70</v>
      </c>
      <c r="D4" s="137" t="s">
        <v>71</v>
      </c>
      <c r="E4" s="137" t="s">
        <v>46</v>
      </c>
      <c r="F4" s="137" t="s">
        <v>35</v>
      </c>
    </row>
    <row r="5" spans="1:7" s="85" customFormat="1" x14ac:dyDescent="0.2">
      <c r="B5" s="86" t="s">
        <v>72</v>
      </c>
      <c r="C5" s="87">
        <f>'Respondent Burden'!G30</f>
        <v>163000</v>
      </c>
      <c r="D5" s="87">
        <f>'Respondent Burden'!G66</f>
        <v>876.875</v>
      </c>
      <c r="E5" s="87">
        <f>'Respondent Burden'!G97</f>
        <v>4830</v>
      </c>
      <c r="F5" s="87">
        <f>ROUND(SUM(C5:E5),-3)</f>
        <v>169000</v>
      </c>
      <c r="G5" s="88"/>
    </row>
    <row r="6" spans="1:7" s="85" customFormat="1" x14ac:dyDescent="0.2">
      <c r="B6" s="86" t="s">
        <v>73</v>
      </c>
      <c r="C6" s="89">
        <f>'Respondent Burden'!J30</f>
        <v>17800000</v>
      </c>
      <c r="D6" s="89">
        <f>'Respondent Burden'!J66</f>
        <v>96000</v>
      </c>
      <c r="E6" s="89">
        <f>'Respondent Burden'!J97</f>
        <v>529000</v>
      </c>
      <c r="F6" s="89">
        <f>ROUND(SUM(C6:E6),-5)</f>
        <v>18400000</v>
      </c>
      <c r="G6" s="88"/>
    </row>
    <row r="7" spans="1:7" s="85" customFormat="1" x14ac:dyDescent="0.2">
      <c r="B7" s="86" t="s">
        <v>115</v>
      </c>
      <c r="C7" s="89">
        <f>'Respondent Burden'!J31</f>
        <v>113000</v>
      </c>
      <c r="D7" s="89">
        <f>'Respondent Burden'!J67</f>
        <v>750</v>
      </c>
      <c r="E7" s="89">
        <f>'Respondent Burden'!J98</f>
        <v>3150</v>
      </c>
      <c r="F7" s="89">
        <f>ROUND(SUM(C7:E7),-3)</f>
        <v>117000</v>
      </c>
      <c r="G7" s="88"/>
    </row>
    <row r="8" spans="1:7" x14ac:dyDescent="0.2">
      <c r="B8" s="86" t="s">
        <v>117</v>
      </c>
      <c r="C8" s="89">
        <f>ROUND(SUM(C6:C7),-5)</f>
        <v>17900000</v>
      </c>
      <c r="D8" s="89">
        <f>ROUND(SUM(D6:D7),-2)</f>
        <v>96800</v>
      </c>
      <c r="E8" s="89">
        <f>ROUND(SUM(E6:E7),-3)</f>
        <v>532000</v>
      </c>
      <c r="F8" s="89">
        <f>ROUND(SUM(F6:F7),-5)</f>
        <v>18500000</v>
      </c>
    </row>
    <row r="10" spans="1:7" x14ac:dyDescent="0.2">
      <c r="F10" s="87">
        <f>F5/'# Responses Calcs'!F24</f>
        <v>3.9258502137149227</v>
      </c>
      <c r="G10" s="86"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H23"/>
  <sheetViews>
    <sheetView zoomScaleNormal="100" workbookViewId="0">
      <selection activeCell="H13" sqref="H13"/>
    </sheetView>
  </sheetViews>
  <sheetFormatPr defaultRowHeight="12.75" x14ac:dyDescent="0.2"/>
  <cols>
    <col min="1" max="1" width="2.5703125" customWidth="1"/>
    <col min="2" max="2" width="27.42578125" customWidth="1"/>
    <col min="3" max="3" width="12.85546875" bestFit="1" customWidth="1"/>
    <col min="4" max="4" width="17" bestFit="1" customWidth="1"/>
    <col min="5" max="5" width="16.5703125" style="85" bestFit="1" customWidth="1"/>
    <col min="6" max="6" width="16.28515625" customWidth="1"/>
    <col min="7" max="7" width="16.140625" bestFit="1" customWidth="1"/>
  </cols>
  <sheetData>
    <row r="2" spans="2:8" ht="15.75" x14ac:dyDescent="0.2">
      <c r="B2" s="141" t="s">
        <v>106</v>
      </c>
      <c r="C2" s="141"/>
      <c r="D2" s="141"/>
      <c r="E2" s="141"/>
      <c r="F2" s="142"/>
    </row>
    <row r="3" spans="2:8" x14ac:dyDescent="0.2">
      <c r="B3" s="143" t="s">
        <v>0</v>
      </c>
      <c r="C3" s="70" t="s">
        <v>24</v>
      </c>
      <c r="D3" s="70" t="s">
        <v>25</v>
      </c>
      <c r="E3" s="91" t="s">
        <v>26</v>
      </c>
      <c r="F3" s="70" t="s">
        <v>27</v>
      </c>
    </row>
    <row r="4" spans="2:8" ht="51" x14ac:dyDescent="0.2">
      <c r="B4" s="144"/>
      <c r="C4" s="76" t="s">
        <v>61</v>
      </c>
      <c r="D4" s="76" t="s">
        <v>62</v>
      </c>
      <c r="E4" s="92" t="s">
        <v>63</v>
      </c>
      <c r="F4" s="76" t="s">
        <v>64</v>
      </c>
      <c r="G4" s="61"/>
      <c r="H4" s="27"/>
    </row>
    <row r="5" spans="2:8" x14ac:dyDescent="0.2">
      <c r="B5" s="145"/>
      <c r="C5" s="77"/>
      <c r="D5" s="77"/>
      <c r="E5" s="93"/>
      <c r="F5" s="78" t="s">
        <v>65</v>
      </c>
    </row>
    <row r="6" spans="2:8" ht="13.5" x14ac:dyDescent="0.2">
      <c r="B6" s="138" t="s">
        <v>47</v>
      </c>
      <c r="C6" s="139"/>
      <c r="D6" s="139"/>
      <c r="E6" s="139"/>
      <c r="F6" s="140"/>
    </row>
    <row r="7" spans="2:8" x14ac:dyDescent="0.2">
      <c r="B7" s="73" t="s">
        <v>66</v>
      </c>
      <c r="C7" s="74">
        <v>1</v>
      </c>
      <c r="D7" s="75">
        <v>1</v>
      </c>
      <c r="E7" s="94">
        <f>'# Responses Calcs'!C5</f>
        <v>25</v>
      </c>
      <c r="F7" s="74">
        <f>C7*D7*E7</f>
        <v>25</v>
      </c>
    </row>
    <row r="8" spans="2:8" x14ac:dyDescent="0.2">
      <c r="B8" s="37" t="s">
        <v>67</v>
      </c>
      <c r="C8" s="74">
        <v>1</v>
      </c>
      <c r="D8" s="36">
        <v>1</v>
      </c>
      <c r="E8" s="94">
        <f>'# Responses Calcs'!C6</f>
        <v>25</v>
      </c>
      <c r="F8" s="67">
        <f>C8*D8*E8</f>
        <v>25</v>
      </c>
    </row>
    <row r="9" spans="2:8" x14ac:dyDescent="0.2">
      <c r="B9" s="68" t="s">
        <v>68</v>
      </c>
      <c r="C9" s="69">
        <v>3</v>
      </c>
      <c r="D9" s="70">
        <v>1</v>
      </c>
      <c r="E9" s="94">
        <f>'# Responses Calcs'!C7</f>
        <v>831</v>
      </c>
      <c r="F9" s="67">
        <f>C9*D9*E9</f>
        <v>2493</v>
      </c>
    </row>
    <row r="10" spans="2:8" x14ac:dyDescent="0.2">
      <c r="B10" s="84" t="s">
        <v>58</v>
      </c>
      <c r="C10" s="80"/>
      <c r="D10" s="81"/>
      <c r="E10" s="95"/>
      <c r="F10" s="82">
        <f>SUM(F7:F9)</f>
        <v>2543</v>
      </c>
    </row>
    <row r="11" spans="2:8" ht="13.5" x14ac:dyDescent="0.2">
      <c r="B11" s="138" t="s">
        <v>56</v>
      </c>
      <c r="C11" s="139"/>
      <c r="D11" s="139"/>
      <c r="E11" s="139"/>
      <c r="F11" s="140"/>
    </row>
    <row r="12" spans="2:8" x14ac:dyDescent="0.2">
      <c r="B12" s="73" t="s">
        <v>66</v>
      </c>
      <c r="C12" s="74">
        <v>1</v>
      </c>
      <c r="D12" s="75">
        <v>1</v>
      </c>
      <c r="E12" s="94">
        <f>'# Responses Calcs'!C10</f>
        <v>1593</v>
      </c>
      <c r="F12" s="74">
        <f>C12*D12*E12</f>
        <v>1593</v>
      </c>
    </row>
    <row r="13" spans="2:8" x14ac:dyDescent="0.2">
      <c r="B13" s="37" t="s">
        <v>67</v>
      </c>
      <c r="C13" s="74">
        <v>1</v>
      </c>
      <c r="D13" s="36">
        <v>1</v>
      </c>
      <c r="E13" s="94">
        <f>'# Responses Calcs'!C11</f>
        <v>1593</v>
      </c>
      <c r="F13" s="67">
        <f>C13*D13*E13</f>
        <v>1593</v>
      </c>
    </row>
    <row r="14" spans="2:8" x14ac:dyDescent="0.2">
      <c r="B14" s="68" t="s">
        <v>68</v>
      </c>
      <c r="C14" s="69">
        <v>3</v>
      </c>
      <c r="D14" s="70">
        <v>1</v>
      </c>
      <c r="E14" s="94">
        <f>'# Responses Calcs'!C12</f>
        <v>35731</v>
      </c>
      <c r="F14" s="67">
        <f>C14*D14*E14</f>
        <v>107193</v>
      </c>
    </row>
    <row r="15" spans="2:8" x14ac:dyDescent="0.2">
      <c r="B15" s="84" t="s">
        <v>58</v>
      </c>
      <c r="C15" s="80"/>
      <c r="D15" s="81"/>
      <c r="E15" s="95"/>
      <c r="F15" s="82">
        <f>SUM(F12:F14)</f>
        <v>110379</v>
      </c>
    </row>
    <row r="16" spans="2:8" ht="13.5" x14ac:dyDescent="0.2">
      <c r="B16" s="138" t="s">
        <v>57</v>
      </c>
      <c r="C16" s="139"/>
      <c r="D16" s="139"/>
      <c r="E16" s="139"/>
      <c r="F16" s="140"/>
    </row>
    <row r="17" spans="2:7" x14ac:dyDescent="0.2">
      <c r="B17" s="37" t="s">
        <v>68</v>
      </c>
      <c r="C17" s="67">
        <v>3</v>
      </c>
      <c r="D17" s="36">
        <v>1</v>
      </c>
      <c r="E17" s="96">
        <f>'# Responses Calcs'!C17</f>
        <v>250</v>
      </c>
      <c r="F17" s="67">
        <f>C17*D17*E17</f>
        <v>750</v>
      </c>
      <c r="G17" s="40"/>
    </row>
    <row r="18" spans="2:7" x14ac:dyDescent="0.2">
      <c r="B18" s="83" t="s">
        <v>58</v>
      </c>
      <c r="C18" s="71"/>
      <c r="D18" s="72"/>
      <c r="E18" s="97"/>
      <c r="F18" s="79">
        <f>F17</f>
        <v>750</v>
      </c>
    </row>
    <row r="19" spans="2:7" ht="13.5" x14ac:dyDescent="0.2">
      <c r="B19" s="138" t="s">
        <v>46</v>
      </c>
      <c r="C19" s="139"/>
      <c r="D19" s="139"/>
      <c r="E19" s="139"/>
      <c r="F19" s="140"/>
    </row>
    <row r="20" spans="2:7" x14ac:dyDescent="0.2">
      <c r="B20" s="37" t="s">
        <v>68</v>
      </c>
      <c r="C20" s="67">
        <v>3</v>
      </c>
      <c r="D20" s="36">
        <v>1</v>
      </c>
      <c r="E20" s="96">
        <f>'# Responses Calcs'!C22</f>
        <v>1050</v>
      </c>
      <c r="F20" s="67">
        <f>C20*D20*E20</f>
        <v>3150</v>
      </c>
    </row>
    <row r="21" spans="2:7" x14ac:dyDescent="0.2">
      <c r="B21" s="84" t="s">
        <v>58</v>
      </c>
      <c r="C21" s="80"/>
      <c r="D21" s="81"/>
      <c r="E21" s="95"/>
      <c r="F21" s="82">
        <f>F20</f>
        <v>3150</v>
      </c>
    </row>
    <row r="22" spans="2:7" s="128" customFormat="1" ht="15.75" x14ac:dyDescent="0.2">
      <c r="B22" s="123" t="s">
        <v>124</v>
      </c>
      <c r="C22" s="124"/>
      <c r="D22" s="124"/>
      <c r="E22" s="125"/>
      <c r="F22" s="126">
        <f>ROUND(F10+F15+F18+F21,-3)</f>
        <v>117000</v>
      </c>
      <c r="G22" s="127"/>
    </row>
    <row r="23" spans="2:7" ht="15.75" x14ac:dyDescent="0.2">
      <c r="B23" s="129" t="s">
        <v>125</v>
      </c>
    </row>
  </sheetData>
  <mergeCells count="6">
    <mergeCell ref="B6:F6"/>
    <mergeCell ref="B11:F11"/>
    <mergeCell ref="B16:F16"/>
    <mergeCell ref="B19:F19"/>
    <mergeCell ref="B2:F2"/>
    <mergeCell ref="B3: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M26"/>
  <sheetViews>
    <sheetView workbookViewId="0">
      <selection activeCell="D13" activeCellId="1" sqref="D9 D13"/>
    </sheetView>
  </sheetViews>
  <sheetFormatPr defaultRowHeight="12.75" x14ac:dyDescent="0.2"/>
  <cols>
    <col min="1" max="1" width="3" customWidth="1"/>
    <col min="2" max="2" width="7.42578125" bestFit="1" customWidth="1"/>
    <col min="3" max="3" width="18.140625" bestFit="1" customWidth="1"/>
    <col min="4" max="7" width="18.5703125" customWidth="1"/>
    <col min="9" max="9" width="9.7109375" hidden="1" customWidth="1"/>
  </cols>
  <sheetData>
    <row r="2" spans="2:13" ht="21.75" customHeight="1" x14ac:dyDescent="0.2">
      <c r="B2" s="150" t="s">
        <v>60</v>
      </c>
      <c r="C2" s="151"/>
      <c r="D2" s="151"/>
      <c r="E2" s="151"/>
      <c r="F2" s="151"/>
      <c r="G2" s="152"/>
    </row>
    <row r="3" spans="2:13" ht="24" customHeight="1" x14ac:dyDescent="0.2">
      <c r="B3" s="29"/>
      <c r="C3" s="153" t="s">
        <v>49</v>
      </c>
      <c r="D3" s="154"/>
      <c r="E3" s="30" t="s">
        <v>50</v>
      </c>
      <c r="F3" s="153"/>
      <c r="G3" s="154"/>
    </row>
    <row r="4" spans="2:13" x14ac:dyDescent="0.2">
      <c r="B4" s="20"/>
      <c r="C4" s="28" t="s">
        <v>24</v>
      </c>
      <c r="D4" s="28" t="s">
        <v>25</v>
      </c>
      <c r="E4" s="28" t="s">
        <v>26</v>
      </c>
      <c r="F4" s="28" t="s">
        <v>27</v>
      </c>
      <c r="G4" s="28" t="s">
        <v>28</v>
      </c>
    </row>
    <row r="5" spans="2:13" ht="51" x14ac:dyDescent="0.2">
      <c r="B5" s="28" t="s">
        <v>51</v>
      </c>
      <c r="C5" s="28" t="s">
        <v>59</v>
      </c>
      <c r="D5" s="28" t="s">
        <v>52</v>
      </c>
      <c r="E5" s="35" t="s">
        <v>53</v>
      </c>
      <c r="F5" s="112" t="s">
        <v>108</v>
      </c>
      <c r="G5" s="28" t="s">
        <v>48</v>
      </c>
    </row>
    <row r="6" spans="2:13" x14ac:dyDescent="0.2">
      <c r="B6" s="28"/>
      <c r="C6" s="28"/>
      <c r="D6" s="28"/>
      <c r="E6" s="28"/>
      <c r="F6" s="28"/>
      <c r="G6" s="28" t="s">
        <v>54</v>
      </c>
    </row>
    <row r="7" spans="2:13" x14ac:dyDescent="0.2">
      <c r="B7" s="146" t="s">
        <v>47</v>
      </c>
      <c r="C7" s="147"/>
      <c r="D7" s="147"/>
      <c r="E7" s="147"/>
      <c r="F7" s="147"/>
      <c r="G7" s="148"/>
    </row>
    <row r="8" spans="2:13" x14ac:dyDescent="0.2">
      <c r="B8" s="31">
        <v>1</v>
      </c>
      <c r="C8" s="31">
        <v>25</v>
      </c>
      <c r="D8" s="31">
        <v>831</v>
      </c>
      <c r="E8" s="31">
        <v>0</v>
      </c>
      <c r="F8" s="113">
        <v>25</v>
      </c>
      <c r="G8" s="31">
        <f>C8+D8+E8-F8</f>
        <v>831</v>
      </c>
    </row>
    <row r="9" spans="2:13" x14ac:dyDescent="0.2">
      <c r="B9" s="31">
        <v>2</v>
      </c>
      <c r="C9" s="31">
        <v>25</v>
      </c>
      <c r="D9" s="31">
        <v>831</v>
      </c>
      <c r="E9" s="31">
        <v>0</v>
      </c>
      <c r="F9" s="113">
        <v>25</v>
      </c>
      <c r="G9" s="31">
        <f t="shared" ref="G9:G10" si="0">C9+D9+E9-F9</f>
        <v>831</v>
      </c>
    </row>
    <row r="10" spans="2:13" x14ac:dyDescent="0.2">
      <c r="B10" s="31">
        <v>3</v>
      </c>
      <c r="C10" s="31">
        <v>25</v>
      </c>
      <c r="D10" s="31">
        <v>831</v>
      </c>
      <c r="E10" s="31">
        <v>0</v>
      </c>
      <c r="F10" s="113">
        <v>25</v>
      </c>
      <c r="G10" s="31">
        <f t="shared" si="0"/>
        <v>831</v>
      </c>
    </row>
    <row r="11" spans="2:13" x14ac:dyDescent="0.2">
      <c r="B11" s="146" t="s">
        <v>56</v>
      </c>
      <c r="C11" s="147"/>
      <c r="D11" s="147"/>
      <c r="E11" s="147"/>
      <c r="F11" s="147"/>
      <c r="G11" s="148"/>
      <c r="M11" s="115"/>
    </row>
    <row r="12" spans="2:13" x14ac:dyDescent="0.2">
      <c r="B12" s="31">
        <v>1</v>
      </c>
      <c r="C12" s="32">
        <v>1593</v>
      </c>
      <c r="D12" s="32">
        <v>35731</v>
      </c>
      <c r="E12" s="31">
        <v>0</v>
      </c>
      <c r="F12" s="32">
        <v>1593</v>
      </c>
      <c r="G12" s="32">
        <f t="shared" ref="G12:G14" si="1">C12+D12+E12-F12</f>
        <v>35731</v>
      </c>
    </row>
    <row r="13" spans="2:13" x14ac:dyDescent="0.2">
      <c r="B13" s="31">
        <v>2</v>
      </c>
      <c r="C13" s="32">
        <v>1593</v>
      </c>
      <c r="D13" s="32">
        <v>35731</v>
      </c>
      <c r="E13" s="31">
        <v>0</v>
      </c>
      <c r="F13" s="32">
        <v>1593</v>
      </c>
      <c r="G13" s="32">
        <f t="shared" si="1"/>
        <v>35731</v>
      </c>
      <c r="I13">
        <f>(D13+D9)/3</f>
        <v>12187.333333333334</v>
      </c>
    </row>
    <row r="14" spans="2:13" x14ac:dyDescent="0.2">
      <c r="B14" s="31">
        <v>3</v>
      </c>
      <c r="C14" s="32">
        <v>1593</v>
      </c>
      <c r="D14" s="32">
        <v>35731</v>
      </c>
      <c r="E14" s="31">
        <v>0</v>
      </c>
      <c r="F14" s="32">
        <v>1593</v>
      </c>
      <c r="G14" s="32">
        <f t="shared" si="1"/>
        <v>35731</v>
      </c>
    </row>
    <row r="15" spans="2:13" x14ac:dyDescent="0.2">
      <c r="B15" s="146" t="s">
        <v>57</v>
      </c>
      <c r="C15" s="147"/>
      <c r="D15" s="147"/>
      <c r="E15" s="147"/>
      <c r="F15" s="147"/>
      <c r="G15" s="148"/>
    </row>
    <row r="16" spans="2:13" x14ac:dyDescent="0.2">
      <c r="B16" s="31">
        <v>1</v>
      </c>
      <c r="C16" s="31">
        <v>0</v>
      </c>
      <c r="D16" s="31">
        <v>250</v>
      </c>
      <c r="E16" s="31">
        <v>0</v>
      </c>
      <c r="F16" s="31">
        <v>0</v>
      </c>
      <c r="G16" s="31">
        <f t="shared" ref="G16:G18" si="2">C16+D16+E16-F16</f>
        <v>250</v>
      </c>
    </row>
    <row r="17" spans="2:10" x14ac:dyDescent="0.2">
      <c r="B17" s="31">
        <v>2</v>
      </c>
      <c r="C17" s="31">
        <v>0</v>
      </c>
      <c r="D17" s="31">
        <v>250</v>
      </c>
      <c r="E17" s="31">
        <v>0</v>
      </c>
      <c r="F17" s="31">
        <v>0</v>
      </c>
      <c r="G17" s="31">
        <f t="shared" si="2"/>
        <v>250</v>
      </c>
    </row>
    <row r="18" spans="2:10" x14ac:dyDescent="0.2">
      <c r="B18" s="31">
        <v>3</v>
      </c>
      <c r="C18" s="31">
        <v>0</v>
      </c>
      <c r="D18" s="31">
        <v>250</v>
      </c>
      <c r="E18" s="31">
        <v>0</v>
      </c>
      <c r="F18" s="31">
        <v>0</v>
      </c>
      <c r="G18" s="31">
        <f t="shared" si="2"/>
        <v>250</v>
      </c>
    </row>
    <row r="19" spans="2:10" x14ac:dyDescent="0.2">
      <c r="B19" s="146" t="s">
        <v>46</v>
      </c>
      <c r="C19" s="147"/>
      <c r="D19" s="147"/>
      <c r="E19" s="147"/>
      <c r="F19" s="147"/>
      <c r="G19" s="148"/>
    </row>
    <row r="20" spans="2:10" x14ac:dyDescent="0.2">
      <c r="B20" s="31">
        <v>1</v>
      </c>
      <c r="C20" s="31">
        <v>0</v>
      </c>
      <c r="D20" s="118">
        <v>1050</v>
      </c>
      <c r="E20" s="32">
        <v>1950</v>
      </c>
      <c r="F20" s="31">
        <v>0</v>
      </c>
      <c r="G20" s="32">
        <f>C20+D20+E20-F20</f>
        <v>3000</v>
      </c>
    </row>
    <row r="21" spans="2:10" x14ac:dyDescent="0.2">
      <c r="B21" s="31">
        <v>2</v>
      </c>
      <c r="C21" s="31">
        <v>0</v>
      </c>
      <c r="D21" s="118">
        <v>1050</v>
      </c>
      <c r="E21" s="32">
        <v>1950</v>
      </c>
      <c r="F21" s="31">
        <v>0</v>
      </c>
      <c r="G21" s="32">
        <f t="shared" ref="G21:G22" si="3">C21+D21+E21-F21</f>
        <v>3000</v>
      </c>
    </row>
    <row r="22" spans="2:10" x14ac:dyDescent="0.2">
      <c r="B22" s="31">
        <v>3</v>
      </c>
      <c r="C22" s="31">
        <v>0</v>
      </c>
      <c r="D22" s="118">
        <v>1050</v>
      </c>
      <c r="E22" s="32">
        <v>1950</v>
      </c>
      <c r="F22" s="31">
        <v>0</v>
      </c>
      <c r="G22" s="32">
        <f t="shared" si="3"/>
        <v>3000</v>
      </c>
    </row>
    <row r="23" spans="2:10" x14ac:dyDescent="0.2">
      <c r="B23" s="33" t="s">
        <v>55</v>
      </c>
      <c r="C23" s="34">
        <f>SUM(C8:C10,C12:C14,C16:C18,C20:C22)/3</f>
        <v>1618</v>
      </c>
      <c r="D23" s="34">
        <f>SUM(D8:D10,D12:D14,D16:D18,D20:D22)/3</f>
        <v>37862</v>
      </c>
      <c r="E23" s="34">
        <f>SUM(E8:E10,E12:E14,E16:E18,E20:E22)/3</f>
        <v>1950</v>
      </c>
      <c r="F23" s="34">
        <f>SUM(F8:F10,F12:F14,F16:F18,F20:F22)/3</f>
        <v>1618</v>
      </c>
      <c r="G23" s="34">
        <f>SUM(G8:G10,G12:G14,G16:G18,G20:G22)/3</f>
        <v>39812</v>
      </c>
      <c r="I23" s="60">
        <f>39812*0.935</f>
        <v>37224.22</v>
      </c>
      <c r="J23" s="115"/>
    </row>
    <row r="24" spans="2:10" ht="55.5" customHeight="1" x14ac:dyDescent="0.2">
      <c r="B24" s="149" t="s">
        <v>116</v>
      </c>
      <c r="C24" s="149"/>
      <c r="D24" s="149"/>
      <c r="E24" s="149"/>
      <c r="F24" s="149"/>
      <c r="G24" s="149"/>
    </row>
    <row r="26" spans="2:10" x14ac:dyDescent="0.2">
      <c r="G26" s="115"/>
    </row>
  </sheetData>
  <mergeCells count="8">
    <mergeCell ref="B15:G15"/>
    <mergeCell ref="B19:G19"/>
    <mergeCell ref="B24:G24"/>
    <mergeCell ref="B2:G2"/>
    <mergeCell ref="C3:D3"/>
    <mergeCell ref="F3:G3"/>
    <mergeCell ref="B7:G7"/>
    <mergeCell ref="B11: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H25"/>
  <sheetViews>
    <sheetView zoomScale="110" zoomScaleNormal="110" workbookViewId="0">
      <selection activeCell="F8" activeCellId="1" sqref="F13 F8"/>
    </sheetView>
  </sheetViews>
  <sheetFormatPr defaultColWidth="9.140625" defaultRowHeight="12.75" x14ac:dyDescent="0.2"/>
  <cols>
    <col min="1" max="1" width="0.7109375" style="13" customWidth="1"/>
    <col min="2" max="2" width="31.28515625" style="13" customWidth="1"/>
    <col min="3" max="4" width="10" style="13" customWidth="1"/>
    <col min="5" max="5" width="16" style="13" customWidth="1"/>
    <col min="6" max="6" width="10.5703125" style="13" customWidth="1"/>
    <col min="7" max="7" width="9.28515625" style="13" customWidth="1"/>
    <col min="8" max="8" width="44.85546875" style="13" customWidth="1"/>
    <col min="9" max="16384" width="9.140625" style="13"/>
  </cols>
  <sheetData>
    <row r="2" spans="2:8" ht="15.75" x14ac:dyDescent="0.2">
      <c r="B2" s="158" t="s">
        <v>18</v>
      </c>
      <c r="C2" s="158"/>
      <c r="D2" s="158"/>
      <c r="E2" s="158"/>
      <c r="F2" s="158"/>
    </row>
    <row r="3" spans="2:8" ht="63.75" customHeight="1" x14ac:dyDescent="0.2">
      <c r="B3" s="16" t="s">
        <v>19</v>
      </c>
      <c r="C3" s="15" t="s">
        <v>34</v>
      </c>
      <c r="D3" s="15" t="s">
        <v>20</v>
      </c>
      <c r="E3" s="14" t="s">
        <v>21</v>
      </c>
      <c r="F3" s="14" t="s">
        <v>22</v>
      </c>
    </row>
    <row r="4" spans="2:8" s="128" customFormat="1" x14ac:dyDescent="0.2">
      <c r="B4" s="155" t="s">
        <v>47</v>
      </c>
      <c r="C4" s="156"/>
      <c r="D4" s="156"/>
      <c r="E4" s="156"/>
      <c r="F4" s="157"/>
    </row>
    <row r="5" spans="2:8" x14ac:dyDescent="0.2">
      <c r="B5" s="44" t="s">
        <v>97</v>
      </c>
      <c r="C5" s="54">
        <f>'# Respondents'!C9</f>
        <v>25</v>
      </c>
      <c r="D5" s="54">
        <v>1</v>
      </c>
      <c r="E5" s="54">
        <v>0</v>
      </c>
      <c r="F5" s="54">
        <f>C5*D5+E6</f>
        <v>25</v>
      </c>
      <c r="H5" s="24"/>
    </row>
    <row r="6" spans="2:8" x14ac:dyDescent="0.2">
      <c r="B6" s="44" t="s">
        <v>42</v>
      </c>
      <c r="C6" s="54">
        <f>'# Respondents'!C9</f>
        <v>25</v>
      </c>
      <c r="D6" s="54">
        <v>1</v>
      </c>
      <c r="E6" s="54">
        <v>0</v>
      </c>
      <c r="F6" s="54">
        <f t="shared" ref="F6" si="0">C6*D6+E7</f>
        <v>25</v>
      </c>
      <c r="G6" s="98"/>
      <c r="H6" s="24"/>
    </row>
    <row r="7" spans="2:8" x14ac:dyDescent="0.2">
      <c r="B7" s="62" t="s">
        <v>84</v>
      </c>
      <c r="C7" s="63">
        <f>'# Respondents'!D9</f>
        <v>831</v>
      </c>
      <c r="D7" s="63">
        <v>1</v>
      </c>
      <c r="E7" s="63">
        <v>0</v>
      </c>
      <c r="F7" s="63">
        <f>C7*D7+E15</f>
        <v>831</v>
      </c>
      <c r="H7" s="24"/>
    </row>
    <row r="8" spans="2:8" x14ac:dyDescent="0.2">
      <c r="B8" s="64" t="s">
        <v>58</v>
      </c>
      <c r="C8" s="65"/>
      <c r="D8" s="65"/>
      <c r="E8" s="65"/>
      <c r="F8" s="66">
        <f>SUM(F5:F7)</f>
        <v>881</v>
      </c>
      <c r="H8" s="24"/>
    </row>
    <row r="9" spans="2:8" s="128" customFormat="1" x14ac:dyDescent="0.2">
      <c r="B9" s="155" t="s">
        <v>56</v>
      </c>
      <c r="C9" s="156"/>
      <c r="D9" s="156"/>
      <c r="E9" s="156"/>
      <c r="F9" s="157"/>
    </row>
    <row r="10" spans="2:8" x14ac:dyDescent="0.2">
      <c r="B10" s="44" t="s">
        <v>97</v>
      </c>
      <c r="C10" s="54">
        <f>'# Respondents'!C13</f>
        <v>1593</v>
      </c>
      <c r="D10" s="54">
        <v>1</v>
      </c>
      <c r="E10" s="54">
        <v>0</v>
      </c>
      <c r="F10" s="54">
        <f>C10*D10+E11</f>
        <v>1593</v>
      </c>
      <c r="H10" s="24"/>
    </row>
    <row r="11" spans="2:8" x14ac:dyDescent="0.2">
      <c r="B11" s="44" t="s">
        <v>42</v>
      </c>
      <c r="C11" s="54">
        <f>'# Respondents'!C13</f>
        <v>1593</v>
      </c>
      <c r="D11" s="54">
        <v>1</v>
      </c>
      <c r="E11" s="54">
        <v>0</v>
      </c>
      <c r="F11" s="54">
        <f t="shared" ref="F11:F12" si="1">C11*D11+E12</f>
        <v>1593</v>
      </c>
      <c r="H11" s="24"/>
    </row>
    <row r="12" spans="2:8" x14ac:dyDescent="0.2">
      <c r="B12" s="62" t="s">
        <v>84</v>
      </c>
      <c r="C12" s="63">
        <f>'# Respondents'!D13</f>
        <v>35731</v>
      </c>
      <c r="D12" s="63">
        <v>1</v>
      </c>
      <c r="E12" s="63">
        <v>0</v>
      </c>
      <c r="F12" s="54">
        <f t="shared" si="1"/>
        <v>35731</v>
      </c>
      <c r="H12" s="24"/>
    </row>
    <row r="13" spans="2:8" x14ac:dyDescent="0.2">
      <c r="B13" s="64" t="s">
        <v>58</v>
      </c>
      <c r="C13" s="65"/>
      <c r="D13" s="65"/>
      <c r="E13" s="65"/>
      <c r="F13" s="66">
        <f>SUM(F10:F12)</f>
        <v>38917</v>
      </c>
      <c r="H13" s="24"/>
    </row>
    <row r="14" spans="2:8" s="128" customFormat="1" x14ac:dyDescent="0.2">
      <c r="B14" s="155" t="s">
        <v>57</v>
      </c>
      <c r="C14" s="156"/>
      <c r="D14" s="156"/>
      <c r="E14" s="156"/>
      <c r="F14" s="157"/>
    </row>
    <row r="15" spans="2:8" x14ac:dyDescent="0.2">
      <c r="B15" s="44" t="s">
        <v>97</v>
      </c>
      <c r="C15" s="54">
        <f>'# Respondents'!C17</f>
        <v>0</v>
      </c>
      <c r="D15" s="54">
        <v>1</v>
      </c>
      <c r="E15" s="54">
        <v>0</v>
      </c>
      <c r="F15" s="54">
        <f>C15*D15+E16</f>
        <v>0</v>
      </c>
      <c r="H15" s="24"/>
    </row>
    <row r="16" spans="2:8" x14ac:dyDescent="0.2">
      <c r="B16" s="44" t="s">
        <v>42</v>
      </c>
      <c r="C16" s="54">
        <f>C15</f>
        <v>0</v>
      </c>
      <c r="D16" s="54">
        <v>1</v>
      </c>
      <c r="E16" s="54">
        <v>0</v>
      </c>
      <c r="F16" s="54">
        <f t="shared" ref="F16" si="2">C16*D16+E17</f>
        <v>0</v>
      </c>
      <c r="H16" s="24"/>
    </row>
    <row r="17" spans="2:8" x14ac:dyDescent="0.2">
      <c r="B17" s="44" t="s">
        <v>84</v>
      </c>
      <c r="C17" s="54">
        <f>'# Respondents'!D17</f>
        <v>250</v>
      </c>
      <c r="D17" s="54">
        <v>1</v>
      </c>
      <c r="E17" s="54">
        <f>'# Respondents'!E15</f>
        <v>0</v>
      </c>
      <c r="F17" s="54">
        <f>C17*D17+E19</f>
        <v>250</v>
      </c>
      <c r="G17" s="40"/>
      <c r="H17" s="24"/>
    </row>
    <row r="18" spans="2:8" x14ac:dyDescent="0.2">
      <c r="B18" s="64" t="s">
        <v>58</v>
      </c>
      <c r="C18" s="65"/>
      <c r="D18" s="65"/>
      <c r="E18" s="65"/>
      <c r="F18" s="66">
        <f>SUM(F15:F17)</f>
        <v>250</v>
      </c>
      <c r="H18" s="24"/>
    </row>
    <row r="19" spans="2:8" s="128" customFormat="1" x14ac:dyDescent="0.2">
      <c r="B19" s="155" t="s">
        <v>46</v>
      </c>
      <c r="C19" s="156"/>
      <c r="D19" s="156"/>
      <c r="E19" s="156"/>
      <c r="F19" s="157"/>
    </row>
    <row r="20" spans="2:8" x14ac:dyDescent="0.2">
      <c r="B20" s="44" t="s">
        <v>97</v>
      </c>
      <c r="C20" s="54">
        <f>'# Respondents'!C21</f>
        <v>0</v>
      </c>
      <c r="D20" s="54">
        <v>1</v>
      </c>
      <c r="E20" s="54">
        <v>0</v>
      </c>
      <c r="F20" s="54">
        <f>C20*D20+E21</f>
        <v>0</v>
      </c>
      <c r="H20" s="24"/>
    </row>
    <row r="21" spans="2:8" x14ac:dyDescent="0.2">
      <c r="B21" s="44" t="s">
        <v>42</v>
      </c>
      <c r="C21" s="54">
        <f>C20</f>
        <v>0</v>
      </c>
      <c r="D21" s="54">
        <v>1</v>
      </c>
      <c r="E21" s="54">
        <v>0</v>
      </c>
      <c r="F21" s="54"/>
      <c r="H21" s="24"/>
    </row>
    <row r="22" spans="2:8" x14ac:dyDescent="0.2">
      <c r="B22" s="44" t="s">
        <v>84</v>
      </c>
      <c r="C22" s="117">
        <v>1050</v>
      </c>
      <c r="D22" s="54">
        <v>1</v>
      </c>
      <c r="E22" s="54">
        <f>'# Respondents'!E21</f>
        <v>1950</v>
      </c>
      <c r="F22" s="54">
        <f t="shared" ref="F22" si="3">C22*D22+E22</f>
        <v>3000</v>
      </c>
      <c r="G22" s="40"/>
      <c r="H22" s="24"/>
    </row>
    <row r="23" spans="2:8" x14ac:dyDescent="0.2">
      <c r="B23" s="64" t="s">
        <v>58</v>
      </c>
      <c r="C23" s="65"/>
      <c r="D23" s="65"/>
      <c r="E23" s="65"/>
      <c r="F23" s="66">
        <f>SUM(F20:F22)</f>
        <v>3000</v>
      </c>
      <c r="H23" s="24"/>
    </row>
    <row r="24" spans="2:8" s="135" customFormat="1" x14ac:dyDescent="0.2">
      <c r="B24" s="132" t="s">
        <v>29</v>
      </c>
      <c r="C24" s="133"/>
      <c r="D24" s="133"/>
      <c r="E24" s="134"/>
      <c r="F24" s="130">
        <f>SUM(F8,F13,F18,F23)</f>
        <v>43048</v>
      </c>
      <c r="G24" s="131"/>
    </row>
    <row r="25" spans="2:8" x14ac:dyDescent="0.2">
      <c r="B25" s="114"/>
    </row>
  </sheetData>
  <mergeCells count="5">
    <mergeCell ref="B19:F19"/>
    <mergeCell ref="B4:F4"/>
    <mergeCell ref="B2:F2"/>
    <mergeCell ref="B9:F9"/>
    <mergeCell ref="B14:F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M104"/>
  <sheetViews>
    <sheetView zoomScale="110" zoomScaleNormal="110" zoomScaleSheetLayoutView="55" workbookViewId="0">
      <selection activeCell="N16" sqref="N16"/>
    </sheetView>
  </sheetViews>
  <sheetFormatPr defaultColWidth="9.140625" defaultRowHeight="12.75" x14ac:dyDescent="0.2"/>
  <cols>
    <col min="1" max="1" width="0.7109375" style="5" customWidth="1"/>
    <col min="2" max="2" width="46.28515625" style="5" customWidth="1"/>
    <col min="3" max="3" width="15.140625" style="5" bestFit="1" customWidth="1"/>
    <col min="4" max="4" width="19.140625" style="5" bestFit="1" customWidth="1"/>
    <col min="5" max="5" width="17.140625" style="5" customWidth="1"/>
    <col min="6" max="6" width="13" style="5" customWidth="1"/>
    <col min="7" max="7" width="11.42578125" style="5" customWidth="1"/>
    <col min="8" max="8" width="15" style="5" customWidth="1"/>
    <col min="9" max="9" width="14.42578125" style="5" customWidth="1"/>
    <col min="10" max="10" width="12.42578125" style="8" customWidth="1"/>
    <col min="11" max="11" width="2" style="5" customWidth="1"/>
    <col min="12" max="12" width="8" style="5" customWidth="1"/>
    <col min="13" max="13" width="8.140625" style="5" customWidth="1"/>
    <col min="14" max="14" width="9.140625" style="5"/>
    <col min="15" max="15" width="5" style="5" customWidth="1"/>
    <col min="16" max="16384" width="9.140625" style="5"/>
  </cols>
  <sheetData>
    <row r="1" spans="2:13" ht="15.75" x14ac:dyDescent="0.25">
      <c r="B1" s="17" t="s">
        <v>114</v>
      </c>
    </row>
    <row r="3" spans="2:13" s="1" customFormat="1" ht="14.25" customHeight="1" x14ac:dyDescent="0.2">
      <c r="B3" s="160" t="s">
        <v>0</v>
      </c>
      <c r="C3" s="2" t="s">
        <v>1</v>
      </c>
      <c r="D3" s="2" t="s">
        <v>2</v>
      </c>
      <c r="E3" s="2" t="s">
        <v>3</v>
      </c>
      <c r="F3" s="2" t="s">
        <v>4</v>
      </c>
      <c r="G3" s="2" t="s">
        <v>5</v>
      </c>
      <c r="H3" s="2" t="s">
        <v>6</v>
      </c>
      <c r="I3" s="2" t="s">
        <v>7</v>
      </c>
      <c r="J3" s="6" t="s">
        <v>8</v>
      </c>
      <c r="L3" s="55" t="s">
        <v>9</v>
      </c>
      <c r="M3" s="56">
        <v>112.98</v>
      </c>
    </row>
    <row r="4" spans="2:13" s="3" customFormat="1" ht="51" x14ac:dyDescent="0.2">
      <c r="B4" s="160"/>
      <c r="C4" s="122" t="s">
        <v>10</v>
      </c>
      <c r="D4" s="122" t="s">
        <v>11</v>
      </c>
      <c r="E4" s="122" t="s">
        <v>12</v>
      </c>
      <c r="F4" s="122" t="s">
        <v>30</v>
      </c>
      <c r="G4" s="122" t="s">
        <v>13</v>
      </c>
      <c r="H4" s="122" t="s">
        <v>31</v>
      </c>
      <c r="I4" s="122" t="s">
        <v>32</v>
      </c>
      <c r="J4" s="7" t="s">
        <v>23</v>
      </c>
      <c r="L4" s="55" t="s">
        <v>14</v>
      </c>
      <c r="M4" s="56">
        <v>149.35</v>
      </c>
    </row>
    <row r="5" spans="2:13" x14ac:dyDescent="0.2">
      <c r="B5" s="44" t="s">
        <v>36</v>
      </c>
      <c r="C5" s="45" t="s">
        <v>79</v>
      </c>
      <c r="D5" s="45"/>
      <c r="E5" s="45"/>
      <c r="F5" s="45"/>
      <c r="G5" s="45"/>
      <c r="H5" s="45"/>
      <c r="I5" s="45"/>
      <c r="J5" s="22"/>
      <c r="L5" s="55" t="s">
        <v>17</v>
      </c>
      <c r="M5" s="56">
        <v>54.81</v>
      </c>
    </row>
    <row r="6" spans="2:13" x14ac:dyDescent="0.2">
      <c r="B6" s="44" t="s">
        <v>86</v>
      </c>
      <c r="C6" s="45" t="s">
        <v>79</v>
      </c>
      <c r="D6" s="45"/>
      <c r="E6" s="45"/>
      <c r="F6" s="45"/>
      <c r="G6" s="45"/>
      <c r="H6" s="45"/>
      <c r="I6" s="45"/>
      <c r="J6" s="22"/>
    </row>
    <row r="7" spans="2:13" x14ac:dyDescent="0.2">
      <c r="B7" s="44" t="s">
        <v>37</v>
      </c>
      <c r="C7" s="45"/>
      <c r="D7" s="45"/>
      <c r="E7" s="45"/>
      <c r="F7" s="45"/>
      <c r="G7" s="45"/>
      <c r="H7" s="45"/>
      <c r="I7" s="45"/>
      <c r="J7" s="22"/>
    </row>
    <row r="8" spans="2:13" x14ac:dyDescent="0.2">
      <c r="B8" s="48" t="s">
        <v>109</v>
      </c>
      <c r="C8" s="45"/>
      <c r="D8" s="45"/>
      <c r="E8" s="45"/>
      <c r="F8" s="45"/>
      <c r="G8" s="45"/>
      <c r="H8" s="45"/>
      <c r="I8" s="45"/>
      <c r="J8" s="22"/>
    </row>
    <row r="9" spans="2:13" x14ac:dyDescent="0.2">
      <c r="B9" s="57" t="s">
        <v>126</v>
      </c>
      <c r="C9" s="45">
        <v>5</v>
      </c>
      <c r="D9" s="45">
        <v>1</v>
      </c>
      <c r="E9" s="45">
        <f>C9*D9</f>
        <v>5</v>
      </c>
      <c r="F9" s="121">
        <f>'# Respondents'!C9+'# Respondents'!C13</f>
        <v>1618</v>
      </c>
      <c r="G9" s="121">
        <f>E9*F9</f>
        <v>8090</v>
      </c>
      <c r="H9" s="50">
        <f>G9*0.05</f>
        <v>404.5</v>
      </c>
      <c r="I9" s="121">
        <f>G9*0.1</f>
        <v>809</v>
      </c>
      <c r="J9" s="111">
        <f>G9*$M$3+H9*$M$4+I9*$M$5</f>
        <v>1018761.5650000001</v>
      </c>
    </row>
    <row r="10" spans="2:13" x14ac:dyDescent="0.2">
      <c r="B10" s="57" t="s">
        <v>127</v>
      </c>
      <c r="C10" s="45">
        <v>1</v>
      </c>
      <c r="D10" s="45">
        <v>1</v>
      </c>
      <c r="E10" s="45">
        <f>C10*D10</f>
        <v>1</v>
      </c>
      <c r="F10" s="121">
        <f>F15</f>
        <v>36562</v>
      </c>
      <c r="G10" s="121">
        <f>E10*F10</f>
        <v>36562</v>
      </c>
      <c r="H10" s="50">
        <f>G10*0.05</f>
        <v>1828.1000000000001</v>
      </c>
      <c r="I10" s="121">
        <f>G10*0.1</f>
        <v>3656.2000000000003</v>
      </c>
      <c r="J10" s="111">
        <f>G10*$M$3+H10*$M$4+I10*$M$5</f>
        <v>4604197.8169999998</v>
      </c>
      <c r="M10" s="5" t="s">
        <v>128</v>
      </c>
    </row>
    <row r="11" spans="2:13" x14ac:dyDescent="0.2">
      <c r="B11" s="48" t="s">
        <v>38</v>
      </c>
      <c r="C11" s="45" t="s">
        <v>79</v>
      </c>
      <c r="D11" s="45"/>
      <c r="E11" s="45"/>
      <c r="F11" s="45"/>
      <c r="G11" s="45"/>
      <c r="H11" s="45"/>
      <c r="I11" s="45"/>
      <c r="J11" s="111"/>
    </row>
    <row r="12" spans="2:13" x14ac:dyDescent="0.2">
      <c r="B12" s="48" t="s">
        <v>39</v>
      </c>
      <c r="C12" s="45"/>
      <c r="D12" s="45"/>
      <c r="E12" s="45"/>
      <c r="F12" s="45"/>
      <c r="G12" s="45"/>
      <c r="H12" s="45"/>
      <c r="I12" s="45"/>
      <c r="J12" s="111"/>
      <c r="L12" s="21"/>
      <c r="M12" s="21"/>
    </row>
    <row r="13" spans="2:13" x14ac:dyDescent="0.2">
      <c r="B13" s="57" t="s">
        <v>98</v>
      </c>
      <c r="C13" s="45">
        <v>1</v>
      </c>
      <c r="D13" s="45">
        <v>1</v>
      </c>
      <c r="E13" s="45">
        <f t="shared" ref="E13:E15" si="0">C13*D13</f>
        <v>1</v>
      </c>
      <c r="F13" s="121">
        <f>F9</f>
        <v>1618</v>
      </c>
      <c r="G13" s="121">
        <f>E13*F13</f>
        <v>1618</v>
      </c>
      <c r="H13" s="50">
        <f>G13*0.05</f>
        <v>80.900000000000006</v>
      </c>
      <c r="I13" s="50">
        <f>G13*0.1</f>
        <v>161.80000000000001</v>
      </c>
      <c r="J13" s="111">
        <f>G13*$M$3+H13*$M$4+I13*$M$5</f>
        <v>203752.31300000002</v>
      </c>
      <c r="L13" s="21"/>
      <c r="M13" s="21"/>
    </row>
    <row r="14" spans="2:13" x14ac:dyDescent="0.2">
      <c r="B14" s="57" t="s">
        <v>88</v>
      </c>
      <c r="C14" s="45">
        <v>2</v>
      </c>
      <c r="D14" s="45">
        <v>1</v>
      </c>
      <c r="E14" s="45">
        <f t="shared" si="0"/>
        <v>2</v>
      </c>
      <c r="F14" s="121">
        <f>F9</f>
        <v>1618</v>
      </c>
      <c r="G14" s="121">
        <f>E14*F14</f>
        <v>3236</v>
      </c>
      <c r="H14" s="50">
        <f>G14*0.05</f>
        <v>161.80000000000001</v>
      </c>
      <c r="I14" s="50">
        <f>G14*0.1</f>
        <v>323.60000000000002</v>
      </c>
      <c r="J14" s="111">
        <f>G14*$M$3+H14*$M$4+I14*$M$5</f>
        <v>407504.62600000005</v>
      </c>
      <c r="L14" s="21"/>
      <c r="M14" s="21"/>
    </row>
    <row r="15" spans="2:13" x14ac:dyDescent="0.2">
      <c r="B15" s="57" t="s">
        <v>89</v>
      </c>
      <c r="C15" s="45">
        <v>2</v>
      </c>
      <c r="D15" s="45">
        <v>1</v>
      </c>
      <c r="E15" s="45">
        <f t="shared" si="0"/>
        <v>2</v>
      </c>
      <c r="F15" s="121">
        <f>'# Respondents'!D9+'# Respondents'!D13</f>
        <v>36562</v>
      </c>
      <c r="G15" s="121">
        <f>E15*F15</f>
        <v>73124</v>
      </c>
      <c r="H15" s="50">
        <f>G15*0.05</f>
        <v>3656.2000000000003</v>
      </c>
      <c r="I15" s="50">
        <f>G15*0.1</f>
        <v>7312.4000000000005</v>
      </c>
      <c r="J15" s="111">
        <f>G15*$M$3+H15*$M$4+I15*$M$5</f>
        <v>9208395.6339999996</v>
      </c>
      <c r="L15" s="21"/>
      <c r="M15" s="21"/>
    </row>
    <row r="16" spans="2:13" x14ac:dyDescent="0.2">
      <c r="B16" s="58" t="s">
        <v>16</v>
      </c>
      <c r="C16" s="45"/>
      <c r="D16" s="45"/>
      <c r="E16" s="44"/>
      <c r="F16" s="121"/>
      <c r="G16" s="159">
        <f>SUM(G9:I15)</f>
        <v>141024.5</v>
      </c>
      <c r="H16" s="159"/>
      <c r="I16" s="159"/>
      <c r="J16" s="107">
        <f>SUM(J9:J15)</f>
        <v>15442611.955</v>
      </c>
    </row>
    <row r="17" spans="2:13" x14ac:dyDescent="0.2">
      <c r="B17" s="44" t="s">
        <v>40</v>
      </c>
      <c r="C17" s="45"/>
      <c r="D17" s="45"/>
      <c r="E17" s="45"/>
      <c r="F17" s="45"/>
      <c r="G17" s="45"/>
      <c r="H17" s="45"/>
      <c r="I17" s="45"/>
      <c r="J17" s="111"/>
    </row>
    <row r="18" spans="2:13" x14ac:dyDescent="0.2">
      <c r="B18" s="48" t="s">
        <v>109</v>
      </c>
      <c r="C18" s="45" t="s">
        <v>87</v>
      </c>
      <c r="D18" s="45"/>
      <c r="E18" s="45"/>
      <c r="F18" s="45"/>
      <c r="G18" s="121"/>
      <c r="H18" s="50"/>
      <c r="I18" s="50"/>
      <c r="J18" s="111"/>
    </row>
    <row r="19" spans="2:13" x14ac:dyDescent="0.2">
      <c r="B19" s="48" t="s">
        <v>41</v>
      </c>
      <c r="C19" s="45" t="s">
        <v>79</v>
      </c>
      <c r="D19" s="45"/>
      <c r="E19" s="45"/>
      <c r="F19" s="45"/>
      <c r="G19" s="45"/>
      <c r="H19" s="45"/>
      <c r="I19" s="45"/>
      <c r="J19" s="111"/>
      <c r="M19" s="8"/>
    </row>
    <row r="20" spans="2:13" x14ac:dyDescent="0.2">
      <c r="B20" s="48" t="s">
        <v>43</v>
      </c>
      <c r="C20" s="45" t="s">
        <v>79</v>
      </c>
      <c r="D20" s="45"/>
      <c r="E20" s="45"/>
      <c r="F20" s="45"/>
      <c r="G20" s="45"/>
      <c r="H20" s="45"/>
      <c r="I20" s="45"/>
      <c r="J20" s="111"/>
    </row>
    <row r="21" spans="2:13" x14ac:dyDescent="0.2">
      <c r="B21" s="48" t="s">
        <v>44</v>
      </c>
      <c r="C21" s="45">
        <v>8</v>
      </c>
      <c r="D21" s="45">
        <v>1</v>
      </c>
      <c r="E21" s="45">
        <f>C21*D21</f>
        <v>8</v>
      </c>
      <c r="F21" s="59">
        <f>F9</f>
        <v>1618</v>
      </c>
      <c r="G21" s="121">
        <f>E21*F21</f>
        <v>12944</v>
      </c>
      <c r="H21" s="50">
        <f>G21*0.05</f>
        <v>647.20000000000005</v>
      </c>
      <c r="I21" s="50">
        <f>G21*0.1</f>
        <v>1294.4000000000001</v>
      </c>
      <c r="J21" s="111">
        <f>G21*$M$3+H21*$M$4+I21*$M$5</f>
        <v>1630018.5040000002</v>
      </c>
    </row>
    <row r="22" spans="2:13" x14ac:dyDescent="0.2">
      <c r="B22" s="48" t="s">
        <v>99</v>
      </c>
      <c r="C22" s="45"/>
      <c r="D22" s="45"/>
      <c r="E22" s="45"/>
      <c r="F22" s="45"/>
      <c r="G22" s="121"/>
      <c r="H22" s="50"/>
      <c r="I22" s="50"/>
      <c r="J22" s="111"/>
    </row>
    <row r="23" spans="2:13" x14ac:dyDescent="0.2">
      <c r="B23" s="57" t="s">
        <v>90</v>
      </c>
      <c r="C23" s="45">
        <v>0.25</v>
      </c>
      <c r="D23" s="45">
        <v>2.4</v>
      </c>
      <c r="E23" s="45">
        <f t="shared" ref="E23" si="1">C23*D23</f>
        <v>0.6</v>
      </c>
      <c r="F23" s="121">
        <v>7156</v>
      </c>
      <c r="G23" s="50">
        <f>E23*F23</f>
        <v>4293.5999999999995</v>
      </c>
      <c r="H23" s="52">
        <f>G23*0.05</f>
        <v>214.67999999999998</v>
      </c>
      <c r="I23" s="52">
        <f>G23*0.1</f>
        <v>429.35999999999996</v>
      </c>
      <c r="J23" s="111">
        <f>G23*$M$3+H23*$M$4+I23*$M$5</f>
        <v>540686.60759999999</v>
      </c>
      <c r="L23" s="120"/>
      <c r="M23" s="21"/>
    </row>
    <row r="24" spans="2:13" x14ac:dyDescent="0.2">
      <c r="B24" s="57" t="s">
        <v>91</v>
      </c>
      <c r="C24" s="45">
        <v>0.25</v>
      </c>
      <c r="D24" s="45">
        <v>1</v>
      </c>
      <c r="E24" s="45">
        <f t="shared" ref="E24" si="2">C24*D24</f>
        <v>0.25</v>
      </c>
      <c r="F24" s="121">
        <v>357</v>
      </c>
      <c r="G24" s="52">
        <f>E24*F24</f>
        <v>89.25</v>
      </c>
      <c r="H24" s="52">
        <f>G24*0.05</f>
        <v>4.4625000000000004</v>
      </c>
      <c r="I24" s="52">
        <f>G24*0.1</f>
        <v>8.9250000000000007</v>
      </c>
      <c r="J24" s="111">
        <f>G24*$M$3+H24*$M$4+I24*$M$5</f>
        <v>11239.118624999999</v>
      </c>
      <c r="L24" s="120"/>
      <c r="M24" s="21"/>
    </row>
    <row r="25" spans="2:13" x14ac:dyDescent="0.2">
      <c r="B25" s="57" t="s">
        <v>92</v>
      </c>
      <c r="C25" s="45">
        <v>1.5</v>
      </c>
      <c r="D25" s="45">
        <v>1</v>
      </c>
      <c r="E25" s="45">
        <f t="shared" ref="E25:E26" si="3">C25*D25</f>
        <v>1.5</v>
      </c>
      <c r="F25" s="121">
        <v>0</v>
      </c>
      <c r="G25" s="121">
        <f>E25*F25</f>
        <v>0</v>
      </c>
      <c r="H25" s="121">
        <f>G25*0.05</f>
        <v>0</v>
      </c>
      <c r="I25" s="121">
        <f>G25*0.1</f>
        <v>0</v>
      </c>
      <c r="J25" s="25">
        <f>G25*$M$3+H25*$M$4+I25*$M$5</f>
        <v>0</v>
      </c>
      <c r="L25" s="120"/>
    </row>
    <row r="26" spans="2:13" ht="25.5" x14ac:dyDescent="0.2">
      <c r="B26" s="57" t="s">
        <v>93</v>
      </c>
      <c r="C26" s="45">
        <v>1</v>
      </c>
      <c r="D26" s="45">
        <v>1</v>
      </c>
      <c r="E26" s="45">
        <f t="shared" si="3"/>
        <v>1</v>
      </c>
      <c r="F26" s="121">
        <v>1787</v>
      </c>
      <c r="G26" s="121">
        <f>E26*F26</f>
        <v>1787</v>
      </c>
      <c r="H26" s="52">
        <f>G26*0.05</f>
        <v>89.350000000000009</v>
      </c>
      <c r="I26" s="50">
        <f>G26*0.1</f>
        <v>178.70000000000002</v>
      </c>
      <c r="J26" s="111">
        <f>G26*$M$3+H26*$M$4+I26*$M$5</f>
        <v>225034.22949999999</v>
      </c>
      <c r="L26" s="120"/>
    </row>
    <row r="27" spans="2:13" x14ac:dyDescent="0.2">
      <c r="B27" s="48" t="s">
        <v>45</v>
      </c>
      <c r="C27" s="45" t="s">
        <v>79</v>
      </c>
      <c r="D27" s="45"/>
      <c r="E27" s="45"/>
      <c r="F27" s="45"/>
      <c r="G27" s="45"/>
      <c r="H27" s="45"/>
      <c r="I27" s="45"/>
      <c r="J27" s="22"/>
    </row>
    <row r="28" spans="2:13" x14ac:dyDescent="0.2">
      <c r="B28" s="48" t="s">
        <v>85</v>
      </c>
      <c r="C28" s="45" t="s">
        <v>79</v>
      </c>
      <c r="D28" s="45"/>
      <c r="E28" s="45"/>
      <c r="F28" s="45"/>
      <c r="G28" s="121"/>
      <c r="H28" s="50"/>
      <c r="I28" s="50"/>
      <c r="J28" s="22"/>
    </row>
    <row r="29" spans="2:13" x14ac:dyDescent="0.2">
      <c r="B29" s="58" t="s">
        <v>15</v>
      </c>
      <c r="C29" s="45"/>
      <c r="D29" s="45"/>
      <c r="E29" s="44"/>
      <c r="F29" s="45"/>
      <c r="G29" s="159">
        <f>ROUND(SUM(G21:I21,G23:I26),0)</f>
        <v>21981</v>
      </c>
      <c r="H29" s="159"/>
      <c r="I29" s="159"/>
      <c r="J29" s="107">
        <f>ROUND(SUM(J21,J23:J26),0)</f>
        <v>2406978</v>
      </c>
      <c r="L29" s="116"/>
    </row>
    <row r="30" spans="2:13" ht="15.75" x14ac:dyDescent="0.2">
      <c r="B30" s="53" t="s">
        <v>119</v>
      </c>
      <c r="C30" s="45"/>
      <c r="D30" s="45"/>
      <c r="E30" s="44"/>
      <c r="F30" s="45"/>
      <c r="G30" s="159">
        <f>ROUND(G16+G29,-3)</f>
        <v>163000</v>
      </c>
      <c r="H30" s="159"/>
      <c r="I30" s="159"/>
      <c r="J30" s="108">
        <f>ROUND(J16+J29,-5)</f>
        <v>17800000</v>
      </c>
    </row>
    <row r="31" spans="2:13" ht="15.75" x14ac:dyDescent="0.2">
      <c r="B31" s="99" t="s">
        <v>120</v>
      </c>
      <c r="C31" s="45"/>
      <c r="D31" s="45"/>
      <c r="E31" s="44"/>
      <c r="F31" s="45"/>
      <c r="G31" s="161"/>
      <c r="H31" s="162"/>
      <c r="I31" s="163"/>
      <c r="J31" s="107">
        <f>ROUND(SUM('Capital and O&amp;M Costs'!F15,'Capital and O&amp;M Costs'!F10),-3)</f>
        <v>113000</v>
      </c>
    </row>
    <row r="32" spans="2:13" ht="15.75" x14ac:dyDescent="0.2">
      <c r="B32" s="105" t="s">
        <v>121</v>
      </c>
      <c r="C32" s="106"/>
      <c r="D32" s="106"/>
      <c r="E32" s="106"/>
      <c r="F32" s="106"/>
      <c r="G32" s="164"/>
      <c r="H32" s="165"/>
      <c r="I32" s="166"/>
      <c r="J32" s="109">
        <f>ROUND(SUM(J30:J31),-5)</f>
        <v>17900000</v>
      </c>
      <c r="K32" s="39" t="s">
        <v>94</v>
      </c>
    </row>
    <row r="33" spans="2:11" x14ac:dyDescent="0.2">
      <c r="B33" s="100"/>
      <c r="C33" s="101"/>
      <c r="D33" s="101"/>
      <c r="E33" s="102"/>
      <c r="F33" s="101"/>
      <c r="G33" s="103"/>
      <c r="H33" s="103"/>
      <c r="I33" s="103"/>
      <c r="J33" s="104"/>
      <c r="K33" s="39"/>
    </row>
    <row r="34" spans="2:11" x14ac:dyDescent="0.2">
      <c r="B34" s="5" t="s">
        <v>33</v>
      </c>
      <c r="G34" s="9"/>
      <c r="H34" s="9"/>
      <c r="I34" s="9"/>
    </row>
    <row r="35" spans="2:11" ht="39" customHeight="1" x14ac:dyDescent="0.2">
      <c r="B35" s="168" t="s">
        <v>111</v>
      </c>
      <c r="C35" s="168"/>
      <c r="D35" s="168"/>
      <c r="E35" s="168"/>
      <c r="F35" s="168"/>
      <c r="G35" s="168"/>
      <c r="H35" s="168"/>
      <c r="I35" s="168"/>
      <c r="J35" s="168"/>
    </row>
    <row r="36" spans="2:11" ht="39.75" customHeight="1" x14ac:dyDescent="0.2">
      <c r="B36" s="167" t="s">
        <v>110</v>
      </c>
      <c r="C36" s="167"/>
      <c r="D36" s="167"/>
      <c r="E36" s="167"/>
      <c r="F36" s="167"/>
      <c r="G36" s="167"/>
      <c r="H36" s="167"/>
      <c r="I36" s="167"/>
      <c r="J36" s="167"/>
    </row>
    <row r="37" spans="2:11" ht="15.75" x14ac:dyDescent="0.2">
      <c r="B37" s="5" t="s">
        <v>118</v>
      </c>
    </row>
    <row r="39" spans="2:11" ht="15.75" x14ac:dyDescent="0.25">
      <c r="B39" s="17" t="s">
        <v>75</v>
      </c>
    </row>
    <row r="41" spans="2:11" x14ac:dyDescent="0.2">
      <c r="B41" s="160" t="s">
        <v>0</v>
      </c>
      <c r="C41" s="2" t="s">
        <v>1</v>
      </c>
      <c r="D41" s="2" t="s">
        <v>2</v>
      </c>
      <c r="E41" s="2" t="s">
        <v>3</v>
      </c>
      <c r="F41" s="2" t="s">
        <v>4</v>
      </c>
      <c r="G41" s="2" t="s">
        <v>5</v>
      </c>
      <c r="H41" s="2" t="s">
        <v>6</v>
      </c>
      <c r="I41" s="2" t="s">
        <v>7</v>
      </c>
      <c r="J41" s="6" t="s">
        <v>8</v>
      </c>
    </row>
    <row r="42" spans="2:11" ht="51" x14ac:dyDescent="0.2">
      <c r="B42" s="160"/>
      <c r="C42" s="122" t="s">
        <v>10</v>
      </c>
      <c r="D42" s="122" t="s">
        <v>11</v>
      </c>
      <c r="E42" s="122" t="s">
        <v>12</v>
      </c>
      <c r="F42" s="122" t="s">
        <v>30</v>
      </c>
      <c r="G42" s="122" t="s">
        <v>13</v>
      </c>
      <c r="H42" s="122" t="s">
        <v>31</v>
      </c>
      <c r="I42" s="122" t="s">
        <v>32</v>
      </c>
      <c r="J42" s="7" t="s">
        <v>23</v>
      </c>
    </row>
    <row r="43" spans="2:11" x14ac:dyDescent="0.2">
      <c r="B43" s="44" t="s">
        <v>36</v>
      </c>
      <c r="C43" s="45" t="s">
        <v>79</v>
      </c>
      <c r="D43" s="45"/>
      <c r="E43" s="45"/>
      <c r="F43" s="45"/>
      <c r="G43" s="45"/>
      <c r="H43" s="45"/>
      <c r="I43" s="45"/>
      <c r="J43" s="22"/>
    </row>
    <row r="44" spans="2:11" x14ac:dyDescent="0.2">
      <c r="B44" s="44" t="s">
        <v>86</v>
      </c>
      <c r="C44" s="45" t="s">
        <v>79</v>
      </c>
      <c r="D44" s="45"/>
      <c r="E44" s="45"/>
      <c r="F44" s="45"/>
      <c r="G44" s="45"/>
      <c r="H44" s="45"/>
      <c r="I44" s="45"/>
      <c r="J44" s="22"/>
    </row>
    <row r="45" spans="2:11" x14ac:dyDescent="0.2">
      <c r="B45" s="44" t="s">
        <v>37</v>
      </c>
      <c r="C45" s="45"/>
      <c r="D45" s="45"/>
      <c r="E45" s="45"/>
      <c r="F45" s="45"/>
      <c r="G45" s="45"/>
      <c r="H45" s="45"/>
      <c r="I45" s="45"/>
      <c r="J45" s="22"/>
    </row>
    <row r="46" spans="2:11" x14ac:dyDescent="0.2">
      <c r="B46" s="48" t="s">
        <v>109</v>
      </c>
      <c r="C46" s="45">
        <v>1</v>
      </c>
      <c r="D46" s="45">
        <v>1</v>
      </c>
      <c r="E46" s="45">
        <f>C46*D46</f>
        <v>1</v>
      </c>
      <c r="F46" s="121">
        <f>F51</f>
        <v>250</v>
      </c>
      <c r="G46" s="121">
        <f>E46*F46</f>
        <v>250</v>
      </c>
      <c r="H46" s="121">
        <f>G46*0.05</f>
        <v>12.5</v>
      </c>
      <c r="I46" s="121">
        <f>G46*0.1</f>
        <v>25</v>
      </c>
      <c r="J46" s="111">
        <f>G46*$M$3+H46*$M$4+I46*$M$5</f>
        <v>31482.125</v>
      </c>
    </row>
    <row r="47" spans="2:11" x14ac:dyDescent="0.2">
      <c r="B47" s="48" t="s">
        <v>38</v>
      </c>
      <c r="C47" s="45" t="s">
        <v>79</v>
      </c>
      <c r="D47" s="45"/>
      <c r="E47" s="45"/>
      <c r="F47" s="45"/>
      <c r="G47" s="45"/>
      <c r="H47" s="45"/>
      <c r="I47" s="45"/>
      <c r="J47" s="22"/>
    </row>
    <row r="48" spans="2:11" x14ac:dyDescent="0.2">
      <c r="B48" s="48" t="s">
        <v>39</v>
      </c>
      <c r="C48" s="45"/>
      <c r="D48" s="45"/>
      <c r="E48" s="45"/>
      <c r="F48" s="45"/>
      <c r="G48" s="45"/>
      <c r="H48" s="45"/>
      <c r="I48" s="45"/>
      <c r="J48" s="22"/>
    </row>
    <row r="49" spans="2:11" x14ac:dyDescent="0.2">
      <c r="B49" s="57" t="s">
        <v>98</v>
      </c>
      <c r="C49" s="45">
        <v>1</v>
      </c>
      <c r="D49" s="45">
        <v>1</v>
      </c>
      <c r="E49" s="45">
        <f t="shared" ref="E49:E51" si="4">C49*D49</f>
        <v>1</v>
      </c>
      <c r="F49" s="121">
        <v>0</v>
      </c>
      <c r="G49" s="121">
        <f>E49*F49</f>
        <v>0</v>
      </c>
      <c r="H49" s="121">
        <f>G49*0.05</f>
        <v>0</v>
      </c>
      <c r="I49" s="121">
        <f>G49*0.1</f>
        <v>0</v>
      </c>
      <c r="J49" s="25">
        <f>G49*$M$3+H49*$M$4+I49*$M$5</f>
        <v>0</v>
      </c>
    </row>
    <row r="50" spans="2:11" x14ac:dyDescent="0.2">
      <c r="B50" s="57" t="s">
        <v>88</v>
      </c>
      <c r="C50" s="45">
        <v>2</v>
      </c>
      <c r="D50" s="45">
        <v>1</v>
      </c>
      <c r="E50" s="45">
        <f t="shared" si="4"/>
        <v>2</v>
      </c>
      <c r="F50" s="121">
        <f>F49</f>
        <v>0</v>
      </c>
      <c r="G50" s="121">
        <f>E50*F50</f>
        <v>0</v>
      </c>
      <c r="H50" s="121">
        <f>G50*0.05</f>
        <v>0</v>
      </c>
      <c r="I50" s="121">
        <f>G50*0.1</f>
        <v>0</v>
      </c>
      <c r="J50" s="25">
        <f>G50*$M$3+H50*$M$4+I50*$M$5</f>
        <v>0</v>
      </c>
    </row>
    <row r="51" spans="2:11" x14ac:dyDescent="0.2">
      <c r="B51" s="57" t="s">
        <v>89</v>
      </c>
      <c r="C51" s="45">
        <v>2</v>
      </c>
      <c r="D51" s="45">
        <v>1</v>
      </c>
      <c r="E51" s="45">
        <f t="shared" si="4"/>
        <v>2</v>
      </c>
      <c r="F51" s="121">
        <f>'# Respondents'!D17</f>
        <v>250</v>
      </c>
      <c r="G51" s="121">
        <f>E51*F51</f>
        <v>500</v>
      </c>
      <c r="H51" s="121">
        <f>G51*0.05</f>
        <v>25</v>
      </c>
      <c r="I51" s="121">
        <f>G51*0.1</f>
        <v>50</v>
      </c>
      <c r="J51" s="111">
        <f>G51*$M$3+H51*$M$4+I51*$M$5</f>
        <v>62964.25</v>
      </c>
    </row>
    <row r="52" spans="2:11" x14ac:dyDescent="0.2">
      <c r="B52" s="58" t="s">
        <v>16</v>
      </c>
      <c r="C52" s="45"/>
      <c r="D52" s="45"/>
      <c r="E52" s="44"/>
      <c r="F52" s="121"/>
      <c r="G52" s="159">
        <f>SUM(G46:I46,G49:I51)</f>
        <v>862.5</v>
      </c>
      <c r="H52" s="159"/>
      <c r="I52" s="159"/>
      <c r="J52" s="107">
        <f>SUM(J46,J49:J51)</f>
        <v>94446.375</v>
      </c>
      <c r="K52" s="39"/>
    </row>
    <row r="53" spans="2:11" x14ac:dyDescent="0.2">
      <c r="B53" s="44" t="s">
        <v>40</v>
      </c>
      <c r="C53" s="45"/>
      <c r="D53" s="45"/>
      <c r="E53" s="45"/>
      <c r="F53" s="45"/>
      <c r="G53" s="45"/>
      <c r="H53" s="45"/>
      <c r="I53" s="45"/>
      <c r="J53" s="22"/>
    </row>
    <row r="54" spans="2:11" x14ac:dyDescent="0.2">
      <c r="B54" s="48" t="s">
        <v>113</v>
      </c>
      <c r="C54" s="45" t="s">
        <v>87</v>
      </c>
      <c r="D54" s="45"/>
      <c r="E54" s="45"/>
      <c r="F54" s="45"/>
      <c r="G54" s="121"/>
      <c r="H54" s="50"/>
      <c r="I54" s="50"/>
      <c r="J54" s="22"/>
    </row>
    <row r="55" spans="2:11" x14ac:dyDescent="0.2">
      <c r="B55" s="48" t="s">
        <v>41</v>
      </c>
      <c r="C55" s="45" t="s">
        <v>79</v>
      </c>
      <c r="D55" s="45"/>
      <c r="E55" s="45"/>
      <c r="F55" s="45"/>
      <c r="G55" s="45"/>
      <c r="H55" s="45"/>
      <c r="I55" s="45"/>
      <c r="J55" s="22"/>
    </row>
    <row r="56" spans="2:11" x14ac:dyDescent="0.2">
      <c r="B56" s="48" t="s">
        <v>43</v>
      </c>
      <c r="C56" s="45" t="s">
        <v>79</v>
      </c>
      <c r="D56" s="45"/>
      <c r="E56" s="45"/>
      <c r="F56" s="45"/>
      <c r="G56" s="45"/>
      <c r="H56" s="45"/>
      <c r="I56" s="45"/>
      <c r="J56" s="22"/>
    </row>
    <row r="57" spans="2:11" x14ac:dyDescent="0.2">
      <c r="B57" s="48" t="s">
        <v>44</v>
      </c>
      <c r="C57" s="45">
        <v>8</v>
      </c>
      <c r="D57" s="45">
        <v>1</v>
      </c>
      <c r="E57" s="45">
        <f>C57*D57</f>
        <v>8</v>
      </c>
      <c r="F57" s="59">
        <f>F49</f>
        <v>0</v>
      </c>
      <c r="G57" s="121">
        <f>E57*F57</f>
        <v>0</v>
      </c>
      <c r="H57" s="121">
        <f>G57*0.05</f>
        <v>0</v>
      </c>
      <c r="I57" s="121">
        <f>G57*0.1</f>
        <v>0</v>
      </c>
      <c r="J57" s="25">
        <f>G57*$M$3+H57*$M$4+I57*$M$5</f>
        <v>0</v>
      </c>
    </row>
    <row r="58" spans="2:11" x14ac:dyDescent="0.2">
      <c r="B58" s="48" t="s">
        <v>99</v>
      </c>
      <c r="C58" s="45"/>
      <c r="D58" s="45"/>
      <c r="E58" s="45"/>
      <c r="F58" s="45"/>
      <c r="G58" s="121"/>
      <c r="H58" s="50"/>
      <c r="I58" s="50"/>
      <c r="J58" s="22"/>
    </row>
    <row r="59" spans="2:11" x14ac:dyDescent="0.2">
      <c r="B59" s="57" t="s">
        <v>90</v>
      </c>
      <c r="C59" s="45">
        <v>0.25</v>
      </c>
      <c r="D59" s="45">
        <v>2.4</v>
      </c>
      <c r="E59" s="45">
        <f t="shared" ref="E59:E62" si="5">C59*D59</f>
        <v>0.6</v>
      </c>
      <c r="F59" s="121">
        <f>F49</f>
        <v>0</v>
      </c>
      <c r="G59" s="121">
        <f>E59*F59</f>
        <v>0</v>
      </c>
      <c r="H59" s="121">
        <f>G59*0.05</f>
        <v>0</v>
      </c>
      <c r="I59" s="121">
        <f>G59*0.1</f>
        <v>0</v>
      </c>
      <c r="J59" s="25">
        <f>G59*$M$3+H59*$M$4+I59*$M$5</f>
        <v>0</v>
      </c>
    </row>
    <row r="60" spans="2:11" x14ac:dyDescent="0.2">
      <c r="B60" s="57" t="s">
        <v>91</v>
      </c>
      <c r="C60" s="45">
        <v>0.25</v>
      </c>
      <c r="D60" s="45">
        <v>1</v>
      </c>
      <c r="E60" s="45">
        <f t="shared" si="5"/>
        <v>0.25</v>
      </c>
      <c r="F60" s="121">
        <f>F49</f>
        <v>0</v>
      </c>
      <c r="G60" s="121">
        <f>E60*F60</f>
        <v>0</v>
      </c>
      <c r="H60" s="121">
        <f>G60*0.05</f>
        <v>0</v>
      </c>
      <c r="I60" s="121">
        <f>G60*0.1</f>
        <v>0</v>
      </c>
      <c r="J60" s="25">
        <f>G60*$M$3+H60*$M$4+I60*$M$5</f>
        <v>0</v>
      </c>
    </row>
    <row r="61" spans="2:11" x14ac:dyDescent="0.2">
      <c r="B61" s="57" t="s">
        <v>92</v>
      </c>
      <c r="C61" s="45">
        <v>1.5</v>
      </c>
      <c r="D61" s="45">
        <v>1</v>
      </c>
      <c r="E61" s="45">
        <f t="shared" si="5"/>
        <v>1.5</v>
      </c>
      <c r="F61" s="121">
        <f>F49</f>
        <v>0</v>
      </c>
      <c r="G61" s="121">
        <f>E61*F61</f>
        <v>0</v>
      </c>
      <c r="H61" s="121">
        <f>G61*0.05</f>
        <v>0</v>
      </c>
      <c r="I61" s="121">
        <f>G61*0.1</f>
        <v>0</v>
      </c>
      <c r="J61" s="25">
        <f>G61*$M$3+H61*$M$4+I61*$M$5</f>
        <v>0</v>
      </c>
    </row>
    <row r="62" spans="2:11" ht="25.5" x14ac:dyDescent="0.2">
      <c r="B62" s="57" t="s">
        <v>93</v>
      </c>
      <c r="C62" s="45">
        <v>1</v>
      </c>
      <c r="D62" s="45">
        <v>1</v>
      </c>
      <c r="E62" s="45">
        <f t="shared" si="5"/>
        <v>1</v>
      </c>
      <c r="F62" s="50">
        <v>12.5</v>
      </c>
      <c r="G62" s="50">
        <f>E62*F62</f>
        <v>12.5</v>
      </c>
      <c r="H62" s="52">
        <f>G62*0.05</f>
        <v>0.625</v>
      </c>
      <c r="I62" s="52">
        <f>G62*0.1</f>
        <v>1.25</v>
      </c>
      <c r="J62" s="111">
        <f>G62*$M$3+H62*$M$4+I62*$M$5</f>
        <v>1574.10625</v>
      </c>
    </row>
    <row r="63" spans="2:11" x14ac:dyDescent="0.2">
      <c r="B63" s="48" t="s">
        <v>45</v>
      </c>
      <c r="C63" s="45" t="s">
        <v>79</v>
      </c>
      <c r="D63" s="45"/>
      <c r="E63" s="45"/>
      <c r="F63" s="45"/>
      <c r="G63" s="45"/>
      <c r="H63" s="45"/>
      <c r="I63" s="45"/>
      <c r="J63" s="22"/>
    </row>
    <row r="64" spans="2:11" x14ac:dyDescent="0.2">
      <c r="B64" s="48" t="s">
        <v>85</v>
      </c>
      <c r="C64" s="45" t="s">
        <v>79</v>
      </c>
      <c r="D64" s="45"/>
      <c r="E64" s="45"/>
      <c r="F64" s="45"/>
      <c r="G64" s="121"/>
      <c r="H64" s="50"/>
      <c r="I64" s="50"/>
      <c r="J64" s="22"/>
    </row>
    <row r="65" spans="2:11" x14ac:dyDescent="0.2">
      <c r="B65" s="58" t="s">
        <v>15</v>
      </c>
      <c r="C65" s="45"/>
      <c r="D65" s="45"/>
      <c r="E65" s="44"/>
      <c r="F65" s="45"/>
      <c r="G65" s="159">
        <f>SUM(G57:I57,G59:I62)</f>
        <v>14.375</v>
      </c>
      <c r="H65" s="159"/>
      <c r="I65" s="159"/>
      <c r="J65" s="107">
        <f>SUM(J57,J59:J62)</f>
        <v>1574.10625</v>
      </c>
    </row>
    <row r="66" spans="2:11" ht="15.75" x14ac:dyDescent="0.2">
      <c r="B66" s="53" t="s">
        <v>119</v>
      </c>
      <c r="C66" s="45"/>
      <c r="D66" s="45"/>
      <c r="E66" s="44"/>
      <c r="F66" s="45"/>
      <c r="G66" s="159">
        <f>G52+G65</f>
        <v>876.875</v>
      </c>
      <c r="H66" s="159"/>
      <c r="I66" s="159"/>
      <c r="J66" s="108">
        <f>ROUND(J52+J65,-2)</f>
        <v>96000</v>
      </c>
    </row>
    <row r="67" spans="2:11" ht="15.75" x14ac:dyDescent="0.2">
      <c r="B67" s="99" t="s">
        <v>120</v>
      </c>
      <c r="C67" s="45"/>
      <c r="D67" s="45"/>
      <c r="E67" s="44"/>
      <c r="F67" s="45"/>
      <c r="G67" s="161"/>
      <c r="H67" s="162"/>
      <c r="I67" s="163"/>
      <c r="J67" s="119">
        <f>'Capital and O&amp;M Costs'!F18</f>
        <v>750</v>
      </c>
    </row>
    <row r="68" spans="2:11" ht="15.75" x14ac:dyDescent="0.2">
      <c r="B68" s="105" t="s">
        <v>121</v>
      </c>
      <c r="C68" s="45"/>
      <c r="D68" s="45"/>
      <c r="E68" s="44"/>
      <c r="F68" s="45"/>
      <c r="G68" s="161"/>
      <c r="H68" s="162"/>
      <c r="I68" s="163"/>
      <c r="J68" s="108">
        <f>ROUND(SUM(J66:J67),-2)</f>
        <v>96800</v>
      </c>
    </row>
    <row r="69" spans="2:11" x14ac:dyDescent="0.2">
      <c r="H69" s="9"/>
      <c r="J69" s="5"/>
      <c r="K69" s="39"/>
    </row>
    <row r="70" spans="2:11" x14ac:dyDescent="0.2">
      <c r="B70" s="5" t="s">
        <v>33</v>
      </c>
      <c r="G70" s="9"/>
      <c r="H70" s="9"/>
      <c r="I70" s="9"/>
    </row>
    <row r="71" spans="2:11" ht="25.5" customHeight="1" x14ac:dyDescent="0.2">
      <c r="B71" s="168" t="s">
        <v>96</v>
      </c>
      <c r="C71" s="168"/>
      <c r="D71" s="168"/>
      <c r="E71" s="168"/>
      <c r="F71" s="168"/>
      <c r="G71" s="168"/>
      <c r="H71" s="168"/>
      <c r="I71" s="168"/>
      <c r="J71" s="168"/>
    </row>
    <row r="72" spans="2:11" ht="39.75" customHeight="1" x14ac:dyDescent="0.2">
      <c r="B72" s="167" t="s">
        <v>110</v>
      </c>
      <c r="C72" s="167"/>
      <c r="D72" s="167"/>
      <c r="E72" s="167"/>
      <c r="F72" s="167"/>
      <c r="G72" s="167"/>
      <c r="H72" s="167"/>
      <c r="I72" s="167"/>
      <c r="J72" s="167"/>
    </row>
    <row r="73" spans="2:11" ht="15.75" x14ac:dyDescent="0.2">
      <c r="B73" s="5" t="s">
        <v>118</v>
      </c>
    </row>
    <row r="75" spans="2:11" ht="15.75" x14ac:dyDescent="0.25">
      <c r="B75" s="17" t="s">
        <v>76</v>
      </c>
    </row>
    <row r="77" spans="2:11" s="1" customFormat="1" ht="14.25" customHeight="1" x14ac:dyDescent="0.2">
      <c r="B77" s="160" t="s">
        <v>0</v>
      </c>
      <c r="C77" s="2" t="s">
        <v>1</v>
      </c>
      <c r="D77" s="2" t="s">
        <v>2</v>
      </c>
      <c r="E77" s="2" t="s">
        <v>3</v>
      </c>
      <c r="F77" s="2" t="s">
        <v>4</v>
      </c>
      <c r="G77" s="2" t="s">
        <v>5</v>
      </c>
      <c r="H77" s="2" t="s">
        <v>6</v>
      </c>
      <c r="I77" s="2" t="s">
        <v>7</v>
      </c>
      <c r="J77" s="6" t="s">
        <v>8</v>
      </c>
    </row>
    <row r="78" spans="2:11" s="3" customFormat="1" ht="41.25" customHeight="1" x14ac:dyDescent="0.2">
      <c r="B78" s="160"/>
      <c r="C78" s="122" t="s">
        <v>10</v>
      </c>
      <c r="D78" s="122" t="s">
        <v>11</v>
      </c>
      <c r="E78" s="122" t="s">
        <v>12</v>
      </c>
      <c r="F78" s="122" t="s">
        <v>30</v>
      </c>
      <c r="G78" s="122" t="s">
        <v>13</v>
      </c>
      <c r="H78" s="122" t="s">
        <v>31</v>
      </c>
      <c r="I78" s="122" t="s">
        <v>32</v>
      </c>
      <c r="J78" s="7" t="s">
        <v>23</v>
      </c>
    </row>
    <row r="79" spans="2:11" x14ac:dyDescent="0.2">
      <c r="B79" s="44" t="s">
        <v>36</v>
      </c>
      <c r="C79" s="45" t="s">
        <v>79</v>
      </c>
      <c r="D79" s="45"/>
      <c r="E79" s="45"/>
      <c r="F79" s="45"/>
      <c r="G79" s="45"/>
      <c r="H79" s="45"/>
      <c r="I79" s="45"/>
      <c r="J79" s="22"/>
    </row>
    <row r="80" spans="2:11" x14ac:dyDescent="0.2">
      <c r="B80" s="44" t="s">
        <v>86</v>
      </c>
      <c r="C80" s="45" t="s">
        <v>79</v>
      </c>
      <c r="D80" s="45"/>
      <c r="E80" s="45"/>
      <c r="F80" s="45"/>
      <c r="G80" s="45"/>
      <c r="H80" s="45"/>
      <c r="I80" s="45"/>
      <c r="J80" s="22"/>
    </row>
    <row r="81" spans="2:13" x14ac:dyDescent="0.2">
      <c r="B81" s="44" t="s">
        <v>37</v>
      </c>
      <c r="C81" s="45"/>
      <c r="D81" s="45"/>
      <c r="E81" s="45"/>
      <c r="F81" s="45"/>
      <c r="G81" s="45"/>
      <c r="H81" s="45"/>
      <c r="I81" s="45"/>
      <c r="J81" s="22"/>
    </row>
    <row r="82" spans="2:13" x14ac:dyDescent="0.2">
      <c r="B82" s="48" t="s">
        <v>109</v>
      </c>
      <c r="C82" s="45">
        <v>1</v>
      </c>
      <c r="D82" s="45">
        <v>1</v>
      </c>
      <c r="E82" s="45">
        <f>C82*D82</f>
        <v>1</v>
      </c>
      <c r="F82" s="121">
        <f>F87</f>
        <v>1050</v>
      </c>
      <c r="G82" s="121">
        <f>E82*F82</f>
        <v>1050</v>
      </c>
      <c r="H82" s="121">
        <f>G82*0.05</f>
        <v>52.5</v>
      </c>
      <c r="I82" s="121">
        <f>G82*0.1</f>
        <v>105</v>
      </c>
      <c r="J82" s="136">
        <f>G82*$M$3+H82*$M$4+I82*$M$5</f>
        <v>132224.92499999999</v>
      </c>
    </row>
    <row r="83" spans="2:13" x14ac:dyDescent="0.2">
      <c r="B83" s="48" t="s">
        <v>100</v>
      </c>
      <c r="C83" s="45">
        <v>2</v>
      </c>
      <c r="D83" s="45">
        <v>0</v>
      </c>
      <c r="E83" s="45">
        <f>C83*D83</f>
        <v>0</v>
      </c>
      <c r="F83" s="121">
        <v>0</v>
      </c>
      <c r="G83" s="121">
        <f>E83*F83</f>
        <v>0</v>
      </c>
      <c r="H83" s="121">
        <f>G83*0.05</f>
        <v>0</v>
      </c>
      <c r="I83" s="121">
        <f>G83*0.1</f>
        <v>0</v>
      </c>
      <c r="J83" s="25">
        <f>G83*$M$3+H83*$M$4+I83*$M$5</f>
        <v>0</v>
      </c>
    </row>
    <row r="84" spans="2:13" x14ac:dyDescent="0.2">
      <c r="B84" s="48" t="s">
        <v>39</v>
      </c>
      <c r="C84" s="45"/>
      <c r="D84" s="45"/>
      <c r="E84" s="45"/>
      <c r="F84" s="45"/>
      <c r="G84" s="45"/>
      <c r="H84" s="45"/>
      <c r="I84" s="45"/>
      <c r="J84" s="22"/>
      <c r="L84" s="21"/>
      <c r="M84" s="21"/>
    </row>
    <row r="85" spans="2:13" x14ac:dyDescent="0.2">
      <c r="B85" s="57" t="s">
        <v>98</v>
      </c>
      <c r="C85" s="45">
        <v>1</v>
      </c>
      <c r="D85" s="45">
        <v>0</v>
      </c>
      <c r="E85" s="45">
        <f t="shared" ref="E85:E87" si="6">C85*D85</f>
        <v>0</v>
      </c>
      <c r="F85" s="121">
        <f>F83</f>
        <v>0</v>
      </c>
      <c r="G85" s="121">
        <f>E85*F85</f>
        <v>0</v>
      </c>
      <c r="H85" s="121">
        <f>G85*0.05</f>
        <v>0</v>
      </c>
      <c r="I85" s="121">
        <f>G85*0.1</f>
        <v>0</v>
      </c>
      <c r="J85" s="25">
        <f>G85*$M$3+H85*$M$4+I85*$M$5</f>
        <v>0</v>
      </c>
      <c r="L85" s="21"/>
      <c r="M85" s="21"/>
    </row>
    <row r="86" spans="2:13" x14ac:dyDescent="0.2">
      <c r="B86" s="57" t="s">
        <v>88</v>
      </c>
      <c r="C86" s="45">
        <v>1</v>
      </c>
      <c r="D86" s="45">
        <v>0</v>
      </c>
      <c r="E86" s="45">
        <f t="shared" si="6"/>
        <v>0</v>
      </c>
      <c r="F86" s="121">
        <f>F83</f>
        <v>0</v>
      </c>
      <c r="G86" s="121">
        <f>E86*F86</f>
        <v>0</v>
      </c>
      <c r="H86" s="121">
        <f>G86*0.05</f>
        <v>0</v>
      </c>
      <c r="I86" s="121">
        <f>G86*0.1</f>
        <v>0</v>
      </c>
      <c r="J86" s="25">
        <f>G86*$M$3+H86*$M$4+I86*$M$5</f>
        <v>0</v>
      </c>
      <c r="L86" s="21"/>
      <c r="M86" s="21"/>
    </row>
    <row r="87" spans="2:13" x14ac:dyDescent="0.2">
      <c r="B87" s="57" t="s">
        <v>89</v>
      </c>
      <c r="C87" s="45">
        <v>1</v>
      </c>
      <c r="D87" s="45">
        <v>1</v>
      </c>
      <c r="E87" s="45">
        <f t="shared" si="6"/>
        <v>1</v>
      </c>
      <c r="F87" s="121">
        <f>'# Respondents'!D21</f>
        <v>1050</v>
      </c>
      <c r="G87" s="121">
        <f>E87*F87</f>
        <v>1050</v>
      </c>
      <c r="H87" s="50">
        <f>G87*0.05</f>
        <v>52.5</v>
      </c>
      <c r="I87" s="121">
        <f>G87*0.1</f>
        <v>105</v>
      </c>
      <c r="J87" s="111">
        <f>G87*$M$3+H87*$M$4+I87*$M$5</f>
        <v>132224.92499999999</v>
      </c>
      <c r="L87" s="21"/>
      <c r="M87" s="21"/>
    </row>
    <row r="88" spans="2:13" x14ac:dyDescent="0.2">
      <c r="B88" s="58" t="s">
        <v>16</v>
      </c>
      <c r="C88" s="45"/>
      <c r="D88" s="45"/>
      <c r="E88" s="44"/>
      <c r="F88" s="121"/>
      <c r="G88" s="159">
        <f>SUM(G82:I83,G85:I87)</f>
        <v>2415</v>
      </c>
      <c r="H88" s="159"/>
      <c r="I88" s="159"/>
      <c r="J88" s="107">
        <f>SUM(J82:J83,J85:J87)</f>
        <v>264449.84999999998</v>
      </c>
    </row>
    <row r="89" spans="2:13" x14ac:dyDescent="0.2">
      <c r="B89" s="44" t="s">
        <v>40</v>
      </c>
      <c r="C89" s="45"/>
      <c r="D89" s="45"/>
      <c r="E89" s="45"/>
      <c r="F89" s="45"/>
      <c r="G89" s="45"/>
      <c r="H89" s="45"/>
      <c r="I89" s="45"/>
      <c r="J89" s="22"/>
    </row>
    <row r="90" spans="2:13" x14ac:dyDescent="0.2">
      <c r="B90" s="48" t="s">
        <v>113</v>
      </c>
      <c r="C90" s="45" t="s">
        <v>87</v>
      </c>
      <c r="D90" s="45"/>
      <c r="E90" s="45"/>
      <c r="F90" s="45"/>
      <c r="G90" s="121"/>
      <c r="H90" s="50"/>
      <c r="I90" s="50"/>
      <c r="J90" s="22"/>
    </row>
    <row r="91" spans="2:13" x14ac:dyDescent="0.2">
      <c r="B91" s="48" t="s">
        <v>41</v>
      </c>
      <c r="C91" s="45">
        <v>8</v>
      </c>
      <c r="D91" s="45">
        <v>0</v>
      </c>
      <c r="E91" s="45">
        <f t="shared" ref="E91" si="7">C91*D91</f>
        <v>0</v>
      </c>
      <c r="F91" s="121">
        <f>F83</f>
        <v>0</v>
      </c>
      <c r="G91" s="121">
        <f>E91*F91</f>
        <v>0</v>
      </c>
      <c r="H91" s="121">
        <f>G91*0.05</f>
        <v>0</v>
      </c>
      <c r="I91" s="121">
        <f>G91*0.1</f>
        <v>0</v>
      </c>
      <c r="J91" s="25">
        <f>G91*$M$3+H91*$M$4+I91*$M$5</f>
        <v>0</v>
      </c>
      <c r="M91" s="8"/>
    </row>
    <row r="92" spans="2:13" x14ac:dyDescent="0.2">
      <c r="B92" s="48" t="s">
        <v>43</v>
      </c>
      <c r="C92" s="45"/>
      <c r="D92" s="45"/>
      <c r="E92" s="45"/>
      <c r="F92" s="45"/>
      <c r="G92" s="45"/>
      <c r="H92" s="45"/>
      <c r="I92" s="45"/>
      <c r="J92" s="22"/>
    </row>
    <row r="93" spans="2:13" x14ac:dyDescent="0.2">
      <c r="B93" s="57" t="s">
        <v>102</v>
      </c>
      <c r="C93" s="45">
        <v>8</v>
      </c>
      <c r="D93" s="45">
        <v>0</v>
      </c>
      <c r="E93" s="45">
        <f t="shared" ref="E93" si="8">C93*D93</f>
        <v>0</v>
      </c>
      <c r="F93" s="121">
        <f>F83</f>
        <v>0</v>
      </c>
      <c r="G93" s="121">
        <f>E93*F93</f>
        <v>0</v>
      </c>
      <c r="H93" s="121">
        <f>G93*0.05</f>
        <v>0</v>
      </c>
      <c r="I93" s="121">
        <f>G93*0.1</f>
        <v>0</v>
      </c>
      <c r="J93" s="25">
        <f>G93*$M$3+H93*$M$4+I93*$M$5</f>
        <v>0</v>
      </c>
      <c r="L93" s="21"/>
      <c r="M93" s="21"/>
    </row>
    <row r="94" spans="2:13" x14ac:dyDescent="0.2">
      <c r="B94" s="57" t="s">
        <v>101</v>
      </c>
      <c r="C94" s="45">
        <v>2</v>
      </c>
      <c r="D94" s="45">
        <v>1</v>
      </c>
      <c r="E94" s="45">
        <f t="shared" ref="E94" si="9">C94*D94</f>
        <v>2</v>
      </c>
      <c r="F94" s="121">
        <f>F87</f>
        <v>1050</v>
      </c>
      <c r="G94" s="121">
        <f>E94*F94</f>
        <v>2100</v>
      </c>
      <c r="H94" s="121">
        <f>G94*0.05</f>
        <v>105</v>
      </c>
      <c r="I94" s="121">
        <f>G94*0.1</f>
        <v>210</v>
      </c>
      <c r="J94" s="111">
        <f>G94*$M$3+H94*$M$4+I94*$M$5</f>
        <v>264449.84999999998</v>
      </c>
      <c r="L94" s="21"/>
      <c r="M94" s="21"/>
    </row>
    <row r="95" spans="2:13" x14ac:dyDescent="0.2">
      <c r="B95" s="48" t="s">
        <v>103</v>
      </c>
      <c r="C95" s="45">
        <v>1</v>
      </c>
      <c r="D95" s="45">
        <v>0</v>
      </c>
      <c r="E95" s="45">
        <f>C95*D95</f>
        <v>0</v>
      </c>
      <c r="F95" s="59">
        <f>F87</f>
        <v>1050</v>
      </c>
      <c r="G95" s="121">
        <f>E95*F95</f>
        <v>0</v>
      </c>
      <c r="H95" s="121">
        <f>G95*0.05</f>
        <v>0</v>
      </c>
      <c r="I95" s="121">
        <f>G95*0.1</f>
        <v>0</v>
      </c>
      <c r="J95" s="25">
        <f>G95*$M$3+H95*$M$4+I95*$M$5</f>
        <v>0</v>
      </c>
    </row>
    <row r="96" spans="2:13" x14ac:dyDescent="0.2">
      <c r="B96" s="58" t="s">
        <v>15</v>
      </c>
      <c r="C96" s="45"/>
      <c r="D96" s="45"/>
      <c r="E96" s="44"/>
      <c r="F96" s="45"/>
      <c r="G96" s="159">
        <f>SUM(G91:I91,G93:I95)</f>
        <v>2415</v>
      </c>
      <c r="H96" s="159"/>
      <c r="I96" s="159"/>
      <c r="J96" s="107">
        <f>SUM(J91,J93:J95)</f>
        <v>264449.84999999998</v>
      </c>
    </row>
    <row r="97" spans="2:11" ht="15.75" x14ac:dyDescent="0.2">
      <c r="B97" s="53" t="s">
        <v>119</v>
      </c>
      <c r="C97" s="45"/>
      <c r="D97" s="45"/>
      <c r="E97" s="44"/>
      <c r="F97" s="45"/>
      <c r="G97" s="159">
        <f>ROUND(G88+G96,-1)</f>
        <v>4830</v>
      </c>
      <c r="H97" s="159"/>
      <c r="I97" s="159"/>
      <c r="J97" s="108">
        <f>ROUND(J88+J96,-3)</f>
        <v>529000</v>
      </c>
      <c r="K97" s="39"/>
    </row>
    <row r="98" spans="2:11" ht="15.75" x14ac:dyDescent="0.2">
      <c r="B98" s="99" t="s">
        <v>120</v>
      </c>
      <c r="C98" s="45"/>
      <c r="D98" s="45"/>
      <c r="E98" s="44"/>
      <c r="F98" s="45"/>
      <c r="G98" s="161"/>
      <c r="H98" s="162"/>
      <c r="I98" s="163"/>
      <c r="J98" s="108">
        <f>'Capital and O&amp;M Costs'!F20</f>
        <v>3150</v>
      </c>
      <c r="K98" s="39"/>
    </row>
    <row r="99" spans="2:11" ht="15.75" x14ac:dyDescent="0.2">
      <c r="B99" s="105" t="s">
        <v>121</v>
      </c>
      <c r="C99" s="45"/>
      <c r="D99" s="45"/>
      <c r="E99" s="44"/>
      <c r="F99" s="45"/>
      <c r="G99" s="161"/>
      <c r="H99" s="162"/>
      <c r="I99" s="163"/>
      <c r="J99" s="108">
        <f>ROUND(SUM(J97:J98),-3)</f>
        <v>532000</v>
      </c>
      <c r="K99" s="39"/>
    </row>
    <row r="100" spans="2:11" x14ac:dyDescent="0.2">
      <c r="B100" s="110"/>
      <c r="C100" s="101"/>
      <c r="D100" s="101"/>
      <c r="E100" s="102"/>
      <c r="F100" s="101"/>
      <c r="G100" s="103"/>
      <c r="H100" s="103"/>
      <c r="I100" s="103"/>
      <c r="J100" s="104"/>
      <c r="K100" s="39"/>
    </row>
    <row r="101" spans="2:11" x14ac:dyDescent="0.2">
      <c r="B101" s="5" t="s">
        <v>33</v>
      </c>
      <c r="G101" s="9"/>
      <c r="H101" s="9"/>
      <c r="I101" s="9"/>
    </row>
    <row r="102" spans="2:11" ht="25.5" customHeight="1" x14ac:dyDescent="0.2">
      <c r="B102" s="168" t="s">
        <v>95</v>
      </c>
      <c r="C102" s="168"/>
      <c r="D102" s="168"/>
      <c r="E102" s="168"/>
      <c r="F102" s="168"/>
      <c r="G102" s="168"/>
      <c r="H102" s="168"/>
      <c r="I102" s="168"/>
      <c r="J102" s="168"/>
    </row>
    <row r="103" spans="2:11" ht="39.75" customHeight="1" x14ac:dyDescent="0.2">
      <c r="B103" s="167" t="s">
        <v>110</v>
      </c>
      <c r="C103" s="167"/>
      <c r="D103" s="167"/>
      <c r="E103" s="167"/>
      <c r="F103" s="167"/>
      <c r="G103" s="167"/>
      <c r="H103" s="167"/>
      <c r="I103" s="167"/>
      <c r="J103" s="167"/>
    </row>
    <row r="104" spans="2:11" ht="15.75" x14ac:dyDescent="0.2">
      <c r="B104" s="5" t="s">
        <v>118</v>
      </c>
    </row>
  </sheetData>
  <mergeCells count="24">
    <mergeCell ref="G99:I99"/>
    <mergeCell ref="B103:J103"/>
    <mergeCell ref="B41:B42"/>
    <mergeCell ref="B35:J35"/>
    <mergeCell ref="G52:I52"/>
    <mergeCell ref="B36:J36"/>
    <mergeCell ref="B102:J102"/>
    <mergeCell ref="G65:I65"/>
    <mergeCell ref="G66:I66"/>
    <mergeCell ref="B71:J71"/>
    <mergeCell ref="B72:J72"/>
    <mergeCell ref="B77:B78"/>
    <mergeCell ref="G88:I88"/>
    <mergeCell ref="G67:I67"/>
    <mergeCell ref="G68:I68"/>
    <mergeCell ref="G98:I98"/>
    <mergeCell ref="G96:I96"/>
    <mergeCell ref="G97:I97"/>
    <mergeCell ref="B3:B4"/>
    <mergeCell ref="G29:I29"/>
    <mergeCell ref="G30:I30"/>
    <mergeCell ref="G16:I16"/>
    <mergeCell ref="G31:I31"/>
    <mergeCell ref="G32:I32"/>
  </mergeCells>
  <pageMargins left="0.7" right="0.7" top="0.75" bottom="0.75" header="0.3" footer="0.3"/>
  <pageSetup scale="70" orientation="landscape" r:id="rId1"/>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M20"/>
  <sheetViews>
    <sheetView zoomScale="110" zoomScaleNormal="110" workbookViewId="0">
      <selection activeCell="E20" sqref="E20"/>
    </sheetView>
  </sheetViews>
  <sheetFormatPr defaultColWidth="9.140625" defaultRowHeight="12.75" x14ac:dyDescent="0.2"/>
  <cols>
    <col min="1" max="1" width="0.85546875" style="5" customWidth="1"/>
    <col min="2" max="2" width="49.28515625" style="5" bestFit="1" customWidth="1"/>
    <col min="3" max="3" width="15.140625" style="5" bestFit="1" customWidth="1"/>
    <col min="4" max="4" width="19.140625" style="5" bestFit="1" customWidth="1"/>
    <col min="5" max="5" width="21.42578125" style="5" bestFit="1" customWidth="1"/>
    <col min="6" max="6" width="13" style="5" bestFit="1" customWidth="1"/>
    <col min="7" max="7" width="11.7109375" style="5" bestFit="1" customWidth="1"/>
    <col min="8" max="8" width="15.140625" style="5" customWidth="1"/>
    <col min="9" max="9" width="14.42578125" style="5" customWidth="1"/>
    <col min="10" max="10" width="13.85546875" style="5" customWidth="1"/>
    <col min="11" max="11" width="9.42578125" style="5" customWidth="1"/>
    <col min="12" max="12" width="7.28515625" style="5" customWidth="1"/>
    <col min="13" max="13" width="7.7109375" style="5" customWidth="1"/>
    <col min="14" max="14" width="2.140625" style="5" customWidth="1"/>
    <col min="15" max="16384" width="9.140625" style="5"/>
  </cols>
  <sheetData>
    <row r="1" spans="2:13" ht="15.75" x14ac:dyDescent="0.25">
      <c r="B1" s="18" t="s">
        <v>77</v>
      </c>
      <c r="C1" s="18"/>
    </row>
    <row r="3" spans="2:13" s="1" customFormat="1" ht="12.75" customHeight="1" x14ac:dyDescent="0.2">
      <c r="B3" s="169" t="s">
        <v>0</v>
      </c>
      <c r="C3" s="10" t="s">
        <v>1</v>
      </c>
      <c r="D3" s="10" t="s">
        <v>2</v>
      </c>
      <c r="E3" s="10" t="s">
        <v>3</v>
      </c>
      <c r="F3" s="10" t="s">
        <v>4</v>
      </c>
      <c r="G3" s="10" t="s">
        <v>5</v>
      </c>
      <c r="H3" s="10" t="s">
        <v>6</v>
      </c>
      <c r="I3" s="10" t="s">
        <v>7</v>
      </c>
      <c r="J3" s="10" t="s">
        <v>8</v>
      </c>
      <c r="K3" s="19"/>
      <c r="L3" s="11" t="s">
        <v>9</v>
      </c>
      <c r="M3" s="42">
        <v>48.08</v>
      </c>
    </row>
    <row r="4" spans="2:13" s="3" customFormat="1" ht="38.25" x14ac:dyDescent="0.2">
      <c r="B4" s="169"/>
      <c r="C4" s="23" t="s">
        <v>10</v>
      </c>
      <c r="D4" s="23" t="s">
        <v>11</v>
      </c>
      <c r="E4" s="23" t="s">
        <v>12</v>
      </c>
      <c r="F4" s="41" t="s">
        <v>105</v>
      </c>
      <c r="G4" s="23" t="s">
        <v>13</v>
      </c>
      <c r="H4" s="23" t="s">
        <v>31</v>
      </c>
      <c r="I4" s="23" t="s">
        <v>32</v>
      </c>
      <c r="J4" s="26" t="s">
        <v>104</v>
      </c>
      <c r="K4" s="12"/>
      <c r="L4" s="11" t="s">
        <v>14</v>
      </c>
      <c r="M4" s="42">
        <v>64.8</v>
      </c>
    </row>
    <row r="5" spans="2:13" x14ac:dyDescent="0.2">
      <c r="B5" s="44" t="s">
        <v>78</v>
      </c>
      <c r="C5" s="45" t="s">
        <v>79</v>
      </c>
      <c r="D5" s="45"/>
      <c r="E5" s="45"/>
      <c r="F5" s="46"/>
      <c r="G5" s="46"/>
      <c r="H5" s="46"/>
      <c r="I5" s="46"/>
      <c r="J5" s="47"/>
      <c r="L5" s="11" t="s">
        <v>17</v>
      </c>
      <c r="M5" s="42">
        <v>26.02</v>
      </c>
    </row>
    <row r="6" spans="2:13" x14ac:dyDescent="0.2">
      <c r="B6" s="44" t="s">
        <v>80</v>
      </c>
      <c r="C6" s="45" t="s">
        <v>79</v>
      </c>
      <c r="D6" s="45"/>
      <c r="E6" s="45"/>
      <c r="F6" s="46"/>
      <c r="G6" s="46"/>
      <c r="H6" s="46"/>
      <c r="I6" s="46"/>
      <c r="J6" s="47"/>
      <c r="L6" s="11"/>
      <c r="M6" s="42"/>
    </row>
    <row r="7" spans="2:13" x14ac:dyDescent="0.2">
      <c r="B7" s="48" t="s">
        <v>81</v>
      </c>
      <c r="C7" s="45" t="s">
        <v>79</v>
      </c>
      <c r="D7" s="45"/>
      <c r="E7" s="45"/>
      <c r="F7" s="45"/>
      <c r="G7" s="46"/>
      <c r="H7" s="46"/>
      <c r="I7" s="46"/>
      <c r="J7" s="47"/>
      <c r="L7" s="43"/>
    </row>
    <row r="8" spans="2:13" x14ac:dyDescent="0.2">
      <c r="B8" s="48" t="s">
        <v>82</v>
      </c>
      <c r="C8" s="45" t="s">
        <v>79</v>
      </c>
      <c r="D8" s="45"/>
      <c r="E8" s="45"/>
      <c r="F8" s="45"/>
      <c r="G8" s="46"/>
      <c r="H8" s="46"/>
      <c r="I8" s="46"/>
      <c r="J8" s="47"/>
    </row>
    <row r="9" spans="2:13" x14ac:dyDescent="0.2">
      <c r="B9" s="48" t="s">
        <v>83</v>
      </c>
      <c r="C9" s="45" t="s">
        <v>79</v>
      </c>
      <c r="D9" s="45"/>
      <c r="E9" s="45"/>
      <c r="F9" s="45"/>
      <c r="G9" s="46"/>
      <c r="H9" s="46"/>
      <c r="I9" s="46"/>
      <c r="J9" s="47"/>
    </row>
    <row r="10" spans="2:13" x14ac:dyDescent="0.2">
      <c r="B10" s="49" t="s">
        <v>97</v>
      </c>
      <c r="C10" s="50">
        <v>0.5</v>
      </c>
      <c r="D10" s="45">
        <v>1</v>
      </c>
      <c r="E10" s="45">
        <f>C10*D10</f>
        <v>0.5</v>
      </c>
      <c r="F10" s="51">
        <f>'# Respondents'!C9+'# Respondents'!C13</f>
        <v>1618</v>
      </c>
      <c r="G10" s="51">
        <f>E10*F10</f>
        <v>809</v>
      </c>
      <c r="H10" s="52">
        <f>G10*0.05</f>
        <v>40.450000000000003</v>
      </c>
      <c r="I10" s="50">
        <f>G10*0.1</f>
        <v>80.900000000000006</v>
      </c>
      <c r="J10" s="111">
        <f t="shared" ref="J10:J12" si="0">G10*$M$3+H10*$M$4+I10*$M$5</f>
        <v>43622.898000000001</v>
      </c>
    </row>
    <row r="11" spans="2:13" x14ac:dyDescent="0.2">
      <c r="B11" s="49" t="s">
        <v>42</v>
      </c>
      <c r="C11" s="50">
        <v>0.5</v>
      </c>
      <c r="D11" s="45">
        <v>1</v>
      </c>
      <c r="E11" s="45">
        <f t="shared" ref="E11:E12" si="1">C11*D11</f>
        <v>0.5</v>
      </c>
      <c r="F11" s="51">
        <f>F10</f>
        <v>1618</v>
      </c>
      <c r="G11" s="51">
        <f>E11*F11</f>
        <v>809</v>
      </c>
      <c r="H11" s="52">
        <f t="shared" ref="H11:H12" si="2">G11*0.05</f>
        <v>40.450000000000003</v>
      </c>
      <c r="I11" s="50">
        <f t="shared" ref="I11" si="3">G11*0.1</f>
        <v>80.900000000000006</v>
      </c>
      <c r="J11" s="111">
        <f t="shared" si="0"/>
        <v>43622.898000000001</v>
      </c>
    </row>
    <row r="12" spans="2:13" x14ac:dyDescent="0.2">
      <c r="B12" s="49" t="s">
        <v>84</v>
      </c>
      <c r="C12" s="50">
        <v>0.5</v>
      </c>
      <c r="D12" s="45">
        <v>1</v>
      </c>
      <c r="E12" s="45">
        <f t="shared" si="1"/>
        <v>0.5</v>
      </c>
      <c r="F12" s="51">
        <f>'# Respondents'!D23</f>
        <v>37862</v>
      </c>
      <c r="G12" s="51">
        <f t="shared" ref="G12" si="4">E12*F12</f>
        <v>18931</v>
      </c>
      <c r="H12" s="52">
        <f t="shared" si="2"/>
        <v>946.55000000000007</v>
      </c>
      <c r="I12" s="50">
        <f>G12*0.1</f>
        <v>1893.1000000000001</v>
      </c>
      <c r="J12" s="111">
        <f t="shared" si="0"/>
        <v>1020797.382</v>
      </c>
    </row>
    <row r="13" spans="2:13" ht="15.75" x14ac:dyDescent="0.2">
      <c r="B13" s="53" t="s">
        <v>122</v>
      </c>
      <c r="C13" s="45"/>
      <c r="D13" s="45"/>
      <c r="E13" s="45"/>
      <c r="F13" s="45"/>
      <c r="G13" s="159">
        <f>ROUND(SUM(G10:I12), -2)</f>
        <v>23600</v>
      </c>
      <c r="H13" s="159"/>
      <c r="I13" s="159"/>
      <c r="J13" s="107">
        <f>ROUND(SUM(J10:J12),-4)</f>
        <v>1110000</v>
      </c>
      <c r="K13" s="39"/>
    </row>
    <row r="14" spans="2:13" x14ac:dyDescent="0.2">
      <c r="B14" s="5" t="s">
        <v>33</v>
      </c>
      <c r="K14" s="39"/>
    </row>
    <row r="15" spans="2:13" ht="25.5" customHeight="1" x14ac:dyDescent="0.2">
      <c r="B15" s="170" t="s">
        <v>112</v>
      </c>
      <c r="C15" s="170"/>
      <c r="D15" s="170"/>
      <c r="E15" s="170"/>
      <c r="F15" s="170"/>
      <c r="G15" s="170"/>
      <c r="H15" s="170"/>
      <c r="I15" s="170"/>
      <c r="J15" s="170"/>
    </row>
    <row r="16" spans="2:13" ht="15.75" x14ac:dyDescent="0.2">
      <c r="B16" s="4" t="s">
        <v>123</v>
      </c>
    </row>
    <row r="19" spans="2:2" ht="15.75" x14ac:dyDescent="0.2">
      <c r="B19" s="38"/>
    </row>
    <row r="20" spans="2:2" ht="15.75" x14ac:dyDescent="0.2">
      <c r="B20" s="38"/>
    </row>
  </sheetData>
  <mergeCells count="3">
    <mergeCell ref="G13:I13"/>
    <mergeCell ref="B3:B4"/>
    <mergeCell ref="B15:J15"/>
  </mergeCells>
  <pageMargins left="0.7" right="0.7" top="0.75" bottom="0.75" header="0.3" footer="0.3"/>
  <pageSetup scale="72"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Table</vt:lpstr>
      <vt:lpstr>Capital and O&amp;M Costs</vt:lpstr>
      <vt:lpstr># Respondents</vt:lpstr>
      <vt:lpstr># Responses Calcs</vt:lpstr>
      <vt:lpstr>Respondent Burden</vt:lpstr>
      <vt:lpstr>Agency Burden</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wwrigley</cp:lastModifiedBy>
  <cp:lastPrinted>2013-09-03T15:51:35Z</cp:lastPrinted>
  <dcterms:created xsi:type="dcterms:W3CDTF">2013-07-15T20:11:44Z</dcterms:created>
  <dcterms:modified xsi:type="dcterms:W3CDTF">2018-11-30T14:30:49Z</dcterms:modified>
</cp:coreProperties>
</file>