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F2E61D54-0AA1-4CFD-B457-D88E13FB6B61}" xr6:coauthVersionLast="31" xr6:coauthVersionMax="31" xr10:uidLastSave="{00000000-0000-0000-0000-000000000000}"/>
  <bookViews>
    <workbookView xWindow="0" yWindow="0" windowWidth="19200" windowHeight="7410" tabRatio="721" xr2:uid="{00000000-000D-0000-FFFF-FFFF00000000}"/>
  </bookViews>
  <sheets>
    <sheet name="Regulated Sources_Overview" sheetId="19" r:id="rId1"/>
    <sheet name="Table 1a " sheetId="1" r:id="rId2"/>
    <sheet name="Table 1b" sheetId="21" r:id="rId3"/>
    <sheet name="Table 1c" sheetId="20" r:id="rId4"/>
    <sheet name="Table 2" sheetId="5" r:id="rId5"/>
    <sheet name="Annual Responses" sheetId="4" r:id="rId6"/>
    <sheet name="Summary of CEMS Costs_2018" sheetId="22" r:id="rId7"/>
    <sheet name="%CEMSCPMSvs.testing" sheetId="24" r:id="rId8"/>
    <sheet name="Summary Info_2015" sheetId="12" state="hidden" r:id="rId9"/>
    <sheet name="Hg 1 monitor_2015" sheetId="13" state="hidden" r:id="rId10"/>
    <sheet name="HCl 1 monitor_2015" sheetId="15" state="hidden" r:id="rId11"/>
    <sheet name="PM 1 monitor_2015" sheetId="14" state="hidden" r:id="rId12"/>
    <sheet name="PM beta 1 monitor_2015" sheetId="16" state="hidden" r:id="rId13"/>
    <sheet name="PM extractive_2015" sheetId="17" state="hidden" r:id="rId14"/>
  </sheets>
  <definedNames>
    <definedName name="_xlnm.Print_Area" localSheetId="5">'Annual Responses'!$B$2:$H$15</definedName>
    <definedName name="_xlnm.Print_Area" localSheetId="1">'Table 1a '!#REF!</definedName>
    <definedName name="_xlnm.Print_Area" localSheetId="2">'Table 1b'!#REF!</definedName>
    <definedName name="_xlnm.Print_Area" localSheetId="4">'Table 2'!$A$5:$I$37</definedName>
  </definedNames>
  <calcPr calcId="179021"/>
</workbook>
</file>

<file path=xl/calcChain.xml><?xml version="1.0" encoding="utf-8"?>
<calcChain xmlns="http://schemas.openxmlformats.org/spreadsheetml/2006/main">
  <c r="H60" i="21" l="1"/>
  <c r="H60" i="1"/>
  <c r="F85" i="1" l="1"/>
  <c r="J70" i="19" l="1"/>
  <c r="J76" i="19" s="1"/>
  <c r="J82" i="19" s="1"/>
  <c r="N6" i="24" l="1"/>
  <c r="E14" i="20"/>
  <c r="G84" i="19" l="1"/>
  <c r="H84" i="19" s="1"/>
  <c r="L80" i="19"/>
  <c r="L86" i="19" s="1"/>
  <c r="L79" i="19"/>
  <c r="L85" i="19" s="1"/>
  <c r="J79" i="19"/>
  <c r="J85" i="19" s="1"/>
  <c r="H78" i="19"/>
  <c r="G78" i="19"/>
  <c r="G77" i="19"/>
  <c r="G83" i="19" s="1"/>
  <c r="H83" i="19" s="1"/>
  <c r="L74" i="19"/>
  <c r="J74" i="19"/>
  <c r="J80" i="19" s="1"/>
  <c r="J86" i="19" s="1"/>
  <c r="G74" i="19"/>
  <c r="G80" i="19" s="1"/>
  <c r="L73" i="19"/>
  <c r="J73" i="19"/>
  <c r="G73" i="19"/>
  <c r="G79" i="19" s="1"/>
  <c r="L72" i="19"/>
  <c r="L78" i="19" s="1"/>
  <c r="L84" i="19" s="1"/>
  <c r="J72" i="19"/>
  <c r="J78" i="19" s="1"/>
  <c r="J84" i="19" s="1"/>
  <c r="G72" i="19"/>
  <c r="L71" i="19"/>
  <c r="L77" i="19" s="1"/>
  <c r="L83" i="19" s="1"/>
  <c r="J71" i="19"/>
  <c r="J77" i="19" s="1"/>
  <c r="J83" i="19" s="1"/>
  <c r="G71" i="19"/>
  <c r="H71" i="19" s="1"/>
  <c r="L70" i="19"/>
  <c r="L76" i="19" s="1"/>
  <c r="L82" i="19" s="1"/>
  <c r="G70" i="19"/>
  <c r="G76" i="19" s="1"/>
  <c r="G82" i="19" s="1"/>
  <c r="G86" i="19" l="1"/>
  <c r="H86" i="19" s="1"/>
  <c r="H80" i="19"/>
  <c r="G85" i="19"/>
  <c r="H85" i="19" s="1"/>
  <c r="H79" i="19"/>
  <c r="N4" i="24"/>
  <c r="I34" i="24"/>
  <c r="H115" i="1" l="1"/>
  <c r="H113" i="21" s="1"/>
  <c r="G115" i="1"/>
  <c r="G113" i="21" s="1"/>
  <c r="F115" i="1"/>
  <c r="F113" i="21" s="1"/>
  <c r="H114" i="1"/>
  <c r="H112" i="21" s="1"/>
  <c r="G114" i="1"/>
  <c r="G112" i="21" s="1"/>
  <c r="F114" i="1"/>
  <c r="F112" i="21" s="1"/>
  <c r="H113" i="1"/>
  <c r="H111" i="21" s="1"/>
  <c r="G113" i="1"/>
  <c r="G111" i="21" s="1"/>
  <c r="F113" i="1"/>
  <c r="F111" i="21" s="1"/>
  <c r="D6" i="4"/>
  <c r="C9" i="4"/>
  <c r="C7" i="4"/>
  <c r="C6" i="4"/>
  <c r="F95" i="1" l="1"/>
  <c r="B10" i="20" l="1"/>
  <c r="B11" i="20" l="1"/>
  <c r="E12" i="20"/>
  <c r="C12" i="20"/>
  <c r="H61" i="21" l="1"/>
  <c r="H38" i="21"/>
  <c r="H62" i="21"/>
  <c r="H37" i="21"/>
  <c r="H10" i="21"/>
  <c r="C11" i="20"/>
  <c r="E11" i="20"/>
  <c r="I112" i="21"/>
  <c r="I111" i="21"/>
  <c r="F93" i="21"/>
  <c r="F85" i="21"/>
  <c r="F84" i="21"/>
  <c r="F83" i="21"/>
  <c r="E67" i="21"/>
  <c r="G67" i="21" s="1"/>
  <c r="G66" i="21"/>
  <c r="G65" i="21"/>
  <c r="G64" i="21"/>
  <c r="G62" i="21"/>
  <c r="G61" i="21"/>
  <c r="G60" i="21"/>
  <c r="G51" i="21"/>
  <c r="G50" i="21"/>
  <c r="G49" i="21"/>
  <c r="G48" i="21"/>
  <c r="G47" i="21"/>
  <c r="G46" i="21"/>
  <c r="G44" i="21"/>
  <c r="G43" i="21"/>
  <c r="G42" i="21"/>
  <c r="G40" i="21"/>
  <c r="G39" i="21"/>
  <c r="G38" i="21"/>
  <c r="G37" i="21"/>
  <c r="G36" i="21"/>
  <c r="I36" i="21" s="1"/>
  <c r="G35" i="21"/>
  <c r="I35" i="21" s="1"/>
  <c r="G33" i="21"/>
  <c r="I33" i="21" s="1"/>
  <c r="G32" i="21"/>
  <c r="I32" i="21" s="1"/>
  <c r="G27" i="21"/>
  <c r="G26" i="21"/>
  <c r="E25" i="21"/>
  <c r="G25" i="21" s="1"/>
  <c r="G24" i="21"/>
  <c r="G23" i="21"/>
  <c r="G22" i="21"/>
  <c r="G21" i="21"/>
  <c r="G19" i="21"/>
  <c r="G18" i="21"/>
  <c r="G17" i="21"/>
  <c r="G16" i="21"/>
  <c r="G15" i="21"/>
  <c r="G14" i="21"/>
  <c r="G13" i="21"/>
  <c r="G10" i="21"/>
  <c r="G8" i="21"/>
  <c r="H38" i="1" l="1"/>
  <c r="H62" i="1"/>
  <c r="H61" i="1"/>
  <c r="H37" i="1"/>
  <c r="H10" i="1"/>
  <c r="I113" i="21"/>
  <c r="J32" i="21"/>
  <c r="K32" i="21"/>
  <c r="K33" i="21"/>
  <c r="J33" i="21"/>
  <c r="L33" i="21" s="1"/>
  <c r="J35" i="21"/>
  <c r="K35" i="21"/>
  <c r="K36" i="21"/>
  <c r="J36" i="21"/>
  <c r="C37" i="5"/>
  <c r="M87" i="19"/>
  <c r="L14" i="19" s="1"/>
  <c r="K87" i="19"/>
  <c r="I87" i="19"/>
  <c r="E87" i="19"/>
  <c r="L17" i="19" s="1"/>
  <c r="F86" i="19"/>
  <c r="F85" i="19"/>
  <c r="F84" i="19"/>
  <c r="F83" i="19"/>
  <c r="M81" i="19"/>
  <c r="K14" i="19" s="1"/>
  <c r="K81" i="19"/>
  <c r="I81" i="19"/>
  <c r="E81" i="19"/>
  <c r="K7" i="19" s="1"/>
  <c r="H8" i="21" s="1"/>
  <c r="H27" i="21" s="1"/>
  <c r="I27" i="21" s="1"/>
  <c r="J27" i="21" s="1"/>
  <c r="F80" i="19"/>
  <c r="F79" i="19"/>
  <c r="F78" i="19"/>
  <c r="F77" i="19"/>
  <c r="H77" i="19" s="1"/>
  <c r="F76" i="19"/>
  <c r="M75" i="19"/>
  <c r="J14" i="19" s="1"/>
  <c r="K75" i="19"/>
  <c r="I75" i="19"/>
  <c r="F75" i="19"/>
  <c r="J6" i="19" s="1"/>
  <c r="E75" i="19"/>
  <c r="J19" i="19" s="1"/>
  <c r="H74" i="19"/>
  <c r="H72" i="19"/>
  <c r="H70" i="19"/>
  <c r="J7" i="19"/>
  <c r="G15" i="1"/>
  <c r="G14" i="1"/>
  <c r="G13" i="1"/>
  <c r="K24" i="19" l="1"/>
  <c r="L35" i="21"/>
  <c r="K19" i="19"/>
  <c r="L36" i="21"/>
  <c r="H50" i="21"/>
  <c r="I50" i="21" s="1"/>
  <c r="J50" i="21" s="1"/>
  <c r="L16" i="19"/>
  <c r="H22" i="21"/>
  <c r="I22" i="21" s="1"/>
  <c r="J22" i="21" s="1"/>
  <c r="H23" i="21"/>
  <c r="I23" i="21" s="1"/>
  <c r="K23" i="21" s="1"/>
  <c r="J17" i="19"/>
  <c r="H24" i="21"/>
  <c r="I24" i="21" s="1"/>
  <c r="J24" i="21" s="1"/>
  <c r="K27" i="21"/>
  <c r="L27" i="21" s="1"/>
  <c r="J18" i="19"/>
  <c r="H67" i="21"/>
  <c r="I67" i="21" s="1"/>
  <c r="L20" i="19"/>
  <c r="J24" i="19"/>
  <c r="K18" i="19"/>
  <c r="L19" i="19"/>
  <c r="L24" i="19" s="1"/>
  <c r="H47" i="21"/>
  <c r="I47" i="21" s="1"/>
  <c r="H42" i="21"/>
  <c r="I42" i="21" s="1"/>
  <c r="K42" i="21" s="1"/>
  <c r="I8" i="21"/>
  <c r="K8" i="21" s="1"/>
  <c r="H25" i="21"/>
  <c r="I25" i="21" s="1"/>
  <c r="H43" i="21"/>
  <c r="I43" i="21" s="1"/>
  <c r="J16" i="19"/>
  <c r="K17" i="19"/>
  <c r="L18" i="19"/>
  <c r="H46" i="21"/>
  <c r="I46" i="21" s="1"/>
  <c r="J46" i="21" s="1"/>
  <c r="H51" i="21"/>
  <c r="I51" i="21" s="1"/>
  <c r="K51" i="21" s="1"/>
  <c r="H65" i="21"/>
  <c r="I65" i="21" s="1"/>
  <c r="J65" i="21" s="1"/>
  <c r="H44" i="21"/>
  <c r="I44" i="21" s="1"/>
  <c r="H48" i="21"/>
  <c r="I48" i="21" s="1"/>
  <c r="J48" i="21" s="1"/>
  <c r="L32" i="21"/>
  <c r="L7" i="19"/>
  <c r="F81" i="19"/>
  <c r="K6" i="19" s="1"/>
  <c r="K16" i="19"/>
  <c r="H8" i="1"/>
  <c r="H64" i="21"/>
  <c r="I64" i="21" s="1"/>
  <c r="J64" i="21" s="1"/>
  <c r="H21" i="21"/>
  <c r="I21" i="21" s="1"/>
  <c r="H26" i="21"/>
  <c r="I26" i="21" s="1"/>
  <c r="J26" i="21" s="1"/>
  <c r="H49" i="21"/>
  <c r="I49" i="21" s="1"/>
  <c r="J49" i="21" s="1"/>
  <c r="H66" i="21"/>
  <c r="I66" i="21" s="1"/>
  <c r="J66" i="21" s="1"/>
  <c r="J42" i="21"/>
  <c r="K24" i="21"/>
  <c r="K50" i="21"/>
  <c r="K25" i="21"/>
  <c r="J25" i="21"/>
  <c r="L25" i="21"/>
  <c r="J44" i="21"/>
  <c r="K44" i="21"/>
  <c r="K22" i="21"/>
  <c r="J21" i="21"/>
  <c r="K21" i="21"/>
  <c r="K47" i="21"/>
  <c r="J47" i="21"/>
  <c r="K46" i="21"/>
  <c r="K43" i="21"/>
  <c r="J43" i="21"/>
  <c r="L43" i="21" s="1"/>
  <c r="K66" i="21"/>
  <c r="K67" i="21"/>
  <c r="J67" i="21"/>
  <c r="L67" i="21" s="1"/>
  <c r="K48" i="21"/>
  <c r="L75" i="19"/>
  <c r="J13" i="19" s="1"/>
  <c r="H75" i="19"/>
  <c r="G75" i="19"/>
  <c r="J11" i="19" s="1"/>
  <c r="F82" i="19"/>
  <c r="L22" i="21" l="1"/>
  <c r="K49" i="21"/>
  <c r="L44" i="21"/>
  <c r="J20" i="19"/>
  <c r="L48" i="21"/>
  <c r="L46" i="21"/>
  <c r="L47" i="21"/>
  <c r="J23" i="21"/>
  <c r="L23" i="21" s="1"/>
  <c r="J23" i="19"/>
  <c r="K65" i="21"/>
  <c r="L65" i="21" s="1"/>
  <c r="K26" i="21"/>
  <c r="L26" i="21" s="1"/>
  <c r="G99" i="21"/>
  <c r="G101" i="1"/>
  <c r="G100" i="21"/>
  <c r="G102" i="1"/>
  <c r="J21" i="19"/>
  <c r="L49" i="21"/>
  <c r="L42" i="21"/>
  <c r="L66" i="21"/>
  <c r="K64" i="21"/>
  <c r="J51" i="21"/>
  <c r="L51" i="21" s="1"/>
  <c r="K20" i="19"/>
  <c r="G98" i="21"/>
  <c r="G100" i="1"/>
  <c r="J8" i="21"/>
  <c r="L8" i="21" s="1"/>
  <c r="L50" i="21"/>
  <c r="L21" i="21"/>
  <c r="L24" i="21"/>
  <c r="L64" i="21"/>
  <c r="F87" i="19"/>
  <c r="L6" i="19" s="1"/>
  <c r="H76" i="19"/>
  <c r="G81" i="19"/>
  <c r="D9" i="4"/>
  <c r="C42" i="5"/>
  <c r="I18" i="5" s="1"/>
  <c r="D6" i="5"/>
  <c r="G101" i="21" l="1"/>
  <c r="K11" i="19"/>
  <c r="F12" i="20"/>
  <c r="F11" i="20"/>
  <c r="H81" i="19"/>
  <c r="L81" i="19"/>
  <c r="H82" i="19"/>
  <c r="G87" i="19"/>
  <c r="L11" i="19" s="1"/>
  <c r="F9" i="4"/>
  <c r="G19" i="1"/>
  <c r="G18" i="1"/>
  <c r="G17" i="1"/>
  <c r="G16" i="1"/>
  <c r="G27" i="1"/>
  <c r="G26" i="1"/>
  <c r="G24" i="1"/>
  <c r="G22" i="1"/>
  <c r="G23" i="1"/>
  <c r="G21" i="1"/>
  <c r="H13" i="1" l="1"/>
  <c r="J115" i="1"/>
  <c r="H15" i="1"/>
  <c r="J114" i="1"/>
  <c r="J113" i="1"/>
  <c r="H14" i="1"/>
  <c r="H39" i="1"/>
  <c r="J111" i="21"/>
  <c r="K111" i="21" s="1"/>
  <c r="H13" i="21"/>
  <c r="J112" i="21"/>
  <c r="H14" i="21"/>
  <c r="J113" i="21"/>
  <c r="H15" i="21"/>
  <c r="H39" i="21"/>
  <c r="K13" i="19"/>
  <c r="K21" i="19"/>
  <c r="I62" i="21"/>
  <c r="I10" i="21"/>
  <c r="I60" i="21"/>
  <c r="I61" i="21"/>
  <c r="L21" i="19"/>
  <c r="H87" i="19"/>
  <c r="L87" i="19"/>
  <c r="L13" i="19" s="1"/>
  <c r="L23" i="19" s="1"/>
  <c r="D7" i="4"/>
  <c r="D10" i="4"/>
  <c r="D11" i="4"/>
  <c r="D12" i="4"/>
  <c r="D13" i="4"/>
  <c r="D14" i="4"/>
  <c r="D16" i="4"/>
  <c r="D17" i="4"/>
  <c r="D18" i="4"/>
  <c r="D21" i="4"/>
  <c r="D22" i="4"/>
  <c r="D23" i="4"/>
  <c r="D20" i="4"/>
  <c r="D24" i="4"/>
  <c r="D25" i="4"/>
  <c r="G95" i="1" l="1"/>
  <c r="I15" i="1"/>
  <c r="H40" i="21"/>
  <c r="I40" i="21" s="1"/>
  <c r="I39" i="21"/>
  <c r="G94" i="1"/>
  <c r="I14" i="1"/>
  <c r="G92" i="21"/>
  <c r="I14" i="21"/>
  <c r="H40" i="1"/>
  <c r="C13" i="4"/>
  <c r="G93" i="21"/>
  <c r="H93" i="21" s="1"/>
  <c r="I15" i="21"/>
  <c r="G91" i="21"/>
  <c r="I13" i="21"/>
  <c r="C8" i="4"/>
  <c r="F8" i="4" s="1"/>
  <c r="G93" i="1"/>
  <c r="I13" i="1"/>
  <c r="K23" i="19"/>
  <c r="L78" i="12" s="1"/>
  <c r="K113" i="21"/>
  <c r="I38" i="21"/>
  <c r="J38" i="21" s="1"/>
  <c r="C12" i="4"/>
  <c r="I37" i="21"/>
  <c r="J37" i="21" s="1"/>
  <c r="C11" i="4"/>
  <c r="K62" i="21"/>
  <c r="J62" i="21"/>
  <c r="G78" i="12"/>
  <c r="K60" i="21"/>
  <c r="J60" i="21"/>
  <c r="J61" i="21"/>
  <c r="K61" i="21"/>
  <c r="J10" i="21"/>
  <c r="K10" i="21"/>
  <c r="F6" i="4"/>
  <c r="F7" i="4"/>
  <c r="G65" i="12"/>
  <c r="G55" i="12"/>
  <c r="M74" i="12"/>
  <c r="M72" i="12"/>
  <c r="M75" i="12" s="1"/>
  <c r="L59" i="12"/>
  <c r="G59" i="12" s="1"/>
  <c r="O65" i="12"/>
  <c r="G67" i="12"/>
  <c r="G72" i="12"/>
  <c r="G60" i="12"/>
  <c r="D15" i="19"/>
  <c r="J34" i="19"/>
  <c r="J40" i="19" s="1"/>
  <c r="M57" i="19"/>
  <c r="M63" i="19"/>
  <c r="M69" i="19"/>
  <c r="G34" i="19"/>
  <c r="F40" i="19"/>
  <c r="F46" i="19" s="1"/>
  <c r="F52" i="19" s="1"/>
  <c r="K69" i="19"/>
  <c r="I69" i="19"/>
  <c r="E69" i="19"/>
  <c r="I7" i="19" s="1"/>
  <c r="F68" i="19"/>
  <c r="G68" i="19" s="1"/>
  <c r="H68" i="19" s="1"/>
  <c r="L68" i="19" s="1"/>
  <c r="F67" i="19"/>
  <c r="G67" i="19" s="1"/>
  <c r="F66" i="19"/>
  <c r="G66" i="19" s="1"/>
  <c r="H66" i="19" s="1"/>
  <c r="L66" i="19" s="1"/>
  <c r="F65" i="19"/>
  <c r="G65" i="19" s="1"/>
  <c r="H65" i="19" s="1"/>
  <c r="L65" i="19" s="1"/>
  <c r="K63" i="19"/>
  <c r="I63" i="19"/>
  <c r="E63" i="19"/>
  <c r="H7" i="19" s="1"/>
  <c r="F62" i="19"/>
  <c r="F61" i="19"/>
  <c r="G61" i="19" s="1"/>
  <c r="F60" i="19"/>
  <c r="G60" i="19" s="1"/>
  <c r="H60" i="19" s="1"/>
  <c r="L60" i="19" s="1"/>
  <c r="F59" i="19"/>
  <c r="G59" i="19" s="1"/>
  <c r="H59" i="19" s="1"/>
  <c r="L59" i="19" s="1"/>
  <c r="K57" i="19"/>
  <c r="I57" i="19"/>
  <c r="E57" i="19"/>
  <c r="G7" i="19" s="1"/>
  <c r="G56" i="19"/>
  <c r="H56" i="19" s="1"/>
  <c r="L56" i="19" s="1"/>
  <c r="G55" i="19"/>
  <c r="G54" i="19"/>
  <c r="H54" i="19" s="1"/>
  <c r="L54" i="19" s="1"/>
  <c r="G53" i="19"/>
  <c r="H53" i="19" s="1"/>
  <c r="L53" i="19" s="1"/>
  <c r="E25" i="1"/>
  <c r="G25" i="1" s="1"/>
  <c r="J14" i="21" l="1"/>
  <c r="K14" i="21"/>
  <c r="L14" i="21"/>
  <c r="K39" i="21"/>
  <c r="L39" i="21" s="1"/>
  <c r="J39" i="21"/>
  <c r="J13" i="21"/>
  <c r="L13" i="21" s="1"/>
  <c r="K13" i="21"/>
  <c r="K40" i="21"/>
  <c r="J40" i="21"/>
  <c r="L40" i="21" s="1"/>
  <c r="K13" i="1"/>
  <c r="J13" i="1"/>
  <c r="K14" i="1"/>
  <c r="J14" i="1"/>
  <c r="J15" i="1"/>
  <c r="K15" i="1"/>
  <c r="J15" i="21"/>
  <c r="K15" i="21"/>
  <c r="L15" i="21"/>
  <c r="C14" i="4"/>
  <c r="K37" i="21"/>
  <c r="L37" i="21" s="1"/>
  <c r="K38" i="21"/>
  <c r="L38" i="21" s="1"/>
  <c r="L62" i="21"/>
  <c r="L60" i="21"/>
  <c r="I69" i="21"/>
  <c r="D5" i="20" s="1"/>
  <c r="L61" i="21"/>
  <c r="L10" i="21"/>
  <c r="G62" i="19"/>
  <c r="H62" i="19" s="1"/>
  <c r="L62" i="19" s="1"/>
  <c r="H19" i="19"/>
  <c r="I19" i="19"/>
  <c r="J46" i="19"/>
  <c r="J52" i="19" s="1"/>
  <c r="J45" i="19"/>
  <c r="J39" i="19"/>
  <c r="F57" i="19"/>
  <c r="G6" i="19" s="1"/>
  <c r="G52" i="19"/>
  <c r="G57" i="19" s="1"/>
  <c r="F58" i="19"/>
  <c r="H34" i="19"/>
  <c r="F50" i="19"/>
  <c r="G50" i="19" s="1"/>
  <c r="H50" i="19" s="1"/>
  <c r="L50" i="19" s="1"/>
  <c r="F49" i="19"/>
  <c r="G49" i="19" s="1"/>
  <c r="F48" i="19"/>
  <c r="G48" i="19" s="1"/>
  <c r="H48" i="19" s="1"/>
  <c r="L48" i="19" s="1"/>
  <c r="F47" i="19"/>
  <c r="G47" i="19" s="1"/>
  <c r="H47" i="19" s="1"/>
  <c r="L47" i="19" s="1"/>
  <c r="F44" i="19"/>
  <c r="G44" i="19" s="1"/>
  <c r="H44" i="19" s="1"/>
  <c r="L44" i="19" s="1"/>
  <c r="F43" i="19"/>
  <c r="G43" i="19" s="1"/>
  <c r="F42" i="19"/>
  <c r="F41" i="19"/>
  <c r="G41" i="19" s="1"/>
  <c r="H41" i="19" s="1"/>
  <c r="L41" i="19" s="1"/>
  <c r="F13" i="19"/>
  <c r="F15" i="19" s="1"/>
  <c r="E13" i="19"/>
  <c r="E15" i="19" s="1"/>
  <c r="G35" i="19"/>
  <c r="H35" i="19" s="1"/>
  <c r="L35" i="19" s="1"/>
  <c r="G36" i="19"/>
  <c r="H36" i="19" s="1"/>
  <c r="L36" i="19" s="1"/>
  <c r="G37" i="19"/>
  <c r="E51" i="19"/>
  <c r="F7" i="19" s="1"/>
  <c r="E45" i="19"/>
  <c r="E7" i="19" s="1"/>
  <c r="E39" i="19"/>
  <c r="D7" i="19" s="1"/>
  <c r="Q51" i="19"/>
  <c r="P51" i="19"/>
  <c r="O51" i="19"/>
  <c r="N51" i="19"/>
  <c r="M51" i="19"/>
  <c r="F24" i="19" s="1"/>
  <c r="G14" i="19" s="1"/>
  <c r="K51" i="19"/>
  <c r="I51" i="19"/>
  <c r="Q45" i="19"/>
  <c r="P45" i="19"/>
  <c r="O45" i="19"/>
  <c r="N45" i="19"/>
  <c r="M45" i="19"/>
  <c r="E19" i="19" s="1"/>
  <c r="K45" i="19"/>
  <c r="I45" i="19"/>
  <c r="G42" i="19"/>
  <c r="H42" i="19" s="1"/>
  <c r="L42" i="19" s="1"/>
  <c r="Q39" i="19"/>
  <c r="P39" i="19"/>
  <c r="O39" i="19"/>
  <c r="N39" i="19"/>
  <c r="M39" i="19"/>
  <c r="D19" i="19" s="1"/>
  <c r="D24" i="19" s="1"/>
  <c r="K39" i="19"/>
  <c r="I39" i="19"/>
  <c r="G38" i="19"/>
  <c r="H38" i="19" s="1"/>
  <c r="L38" i="19" s="1"/>
  <c r="G10" i="1"/>
  <c r="G8" i="1"/>
  <c r="L69" i="21" l="1"/>
  <c r="F64" i="19"/>
  <c r="F69" i="19" s="1"/>
  <c r="I6" i="19" s="1"/>
  <c r="G58" i="19"/>
  <c r="G63" i="19" s="1"/>
  <c r="I8" i="1"/>
  <c r="J8" i="1" s="1"/>
  <c r="H51" i="1"/>
  <c r="E17" i="5" s="1"/>
  <c r="H48" i="1"/>
  <c r="H24" i="1"/>
  <c r="I24" i="1" s="1"/>
  <c r="H27" i="1"/>
  <c r="I27" i="1" s="1"/>
  <c r="J27" i="1" s="1"/>
  <c r="J51" i="19"/>
  <c r="F17" i="19" s="1"/>
  <c r="G19" i="19"/>
  <c r="G24" i="19" s="1"/>
  <c r="H14" i="19" s="1"/>
  <c r="H24" i="19" s="1"/>
  <c r="I14" i="19" s="1"/>
  <c r="I24" i="19" s="1"/>
  <c r="H21" i="1"/>
  <c r="H43" i="1"/>
  <c r="H50" i="1"/>
  <c r="E16" i="5" s="1"/>
  <c r="H64" i="1"/>
  <c r="H25" i="1"/>
  <c r="I25" i="1" s="1"/>
  <c r="H49" i="1"/>
  <c r="H65" i="1"/>
  <c r="H52" i="19"/>
  <c r="L52" i="19" s="1"/>
  <c r="L57" i="19" s="1"/>
  <c r="H23" i="1"/>
  <c r="I23" i="1" s="1"/>
  <c r="I10" i="1"/>
  <c r="H44" i="1"/>
  <c r="H67" i="1"/>
  <c r="H47" i="1"/>
  <c r="H22" i="1"/>
  <c r="I22" i="1" s="1"/>
  <c r="H26" i="1"/>
  <c r="I26" i="1" s="1"/>
  <c r="H42" i="1"/>
  <c r="H66" i="1"/>
  <c r="H46" i="1"/>
  <c r="F63" i="19"/>
  <c r="H6" i="19" s="1"/>
  <c r="G64" i="19"/>
  <c r="G69" i="19" s="1"/>
  <c r="H58" i="19"/>
  <c r="L34" i="19"/>
  <c r="L39" i="19" s="1"/>
  <c r="F39" i="19"/>
  <c r="D6" i="19" s="1"/>
  <c r="E24" i="19"/>
  <c r="E17" i="19"/>
  <c r="F19" i="19"/>
  <c r="D17" i="19"/>
  <c r="G39" i="19"/>
  <c r="H39" i="19"/>
  <c r="G66" i="12"/>
  <c r="H59" i="12"/>
  <c r="E8" i="5" l="1"/>
  <c r="C16" i="4"/>
  <c r="F16" i="4" s="1"/>
  <c r="E10" i="5"/>
  <c r="E11" i="5" s="1"/>
  <c r="C18" i="4"/>
  <c r="C24" i="4"/>
  <c r="C25" i="4"/>
  <c r="C22" i="4"/>
  <c r="E13" i="5"/>
  <c r="E15" i="5"/>
  <c r="C20" i="4"/>
  <c r="F20" i="4" s="1"/>
  <c r="C23" i="4"/>
  <c r="F23" i="4" s="1"/>
  <c r="E14" i="5"/>
  <c r="E9" i="5"/>
  <c r="C17" i="4"/>
  <c r="F17" i="4" s="1"/>
  <c r="E12" i="5"/>
  <c r="C21" i="4"/>
  <c r="F21" i="4" s="1"/>
  <c r="K8" i="1"/>
  <c r="I21" i="1"/>
  <c r="J21" i="1" s="1"/>
  <c r="F24" i="4"/>
  <c r="K27" i="1"/>
  <c r="J24" i="1"/>
  <c r="K24" i="1"/>
  <c r="J66" i="12"/>
  <c r="K26" i="1"/>
  <c r="J26" i="1"/>
  <c r="J10" i="1"/>
  <c r="K10" i="1"/>
  <c r="J23" i="1"/>
  <c r="K23" i="1"/>
  <c r="K22" i="1"/>
  <c r="J22" i="1"/>
  <c r="J25" i="1"/>
  <c r="K25" i="1"/>
  <c r="F22" i="4"/>
  <c r="J58" i="19"/>
  <c r="J57" i="19"/>
  <c r="G17" i="19" s="1"/>
  <c r="H57" i="19"/>
  <c r="H64" i="19"/>
  <c r="H69" i="19" s="1"/>
  <c r="L58" i="19"/>
  <c r="L63" i="19" s="1"/>
  <c r="H63" i="19"/>
  <c r="G40" i="19"/>
  <c r="F45" i="19"/>
  <c r="E6" i="19" s="1"/>
  <c r="F22" i="19"/>
  <c r="G12" i="19" s="1"/>
  <c r="E22" i="19"/>
  <c r="D22" i="19"/>
  <c r="D18" i="19"/>
  <c r="D16" i="19"/>
  <c r="G22" i="19" l="1"/>
  <c r="H12" i="19" s="1"/>
  <c r="F18" i="4"/>
  <c r="C19" i="4"/>
  <c r="F19" i="4" s="1"/>
  <c r="K21" i="1"/>
  <c r="F6" i="5"/>
  <c r="D20" i="19"/>
  <c r="D21" i="19"/>
  <c r="H18" i="19"/>
  <c r="H16" i="19"/>
  <c r="F13" i="4"/>
  <c r="F12" i="4"/>
  <c r="L64" i="19"/>
  <c r="L69" i="19" s="1"/>
  <c r="I18" i="19" s="1"/>
  <c r="J63" i="19"/>
  <c r="J64" i="19"/>
  <c r="J69" i="19" s="1"/>
  <c r="I16" i="19"/>
  <c r="G46" i="19"/>
  <c r="F51" i="19"/>
  <c r="F6" i="19" s="1"/>
  <c r="H40" i="19"/>
  <c r="G45" i="19"/>
  <c r="D23" i="19"/>
  <c r="J75" i="19" l="1"/>
  <c r="J12" i="19" s="1"/>
  <c r="G6" i="5"/>
  <c r="H6" i="5"/>
  <c r="D25" i="19"/>
  <c r="D27" i="19" s="1"/>
  <c r="H95" i="1"/>
  <c r="H17" i="19"/>
  <c r="C10" i="4"/>
  <c r="F10" i="4" s="1"/>
  <c r="F11" i="4"/>
  <c r="I17" i="19"/>
  <c r="I20" i="19" s="1"/>
  <c r="E16" i="19"/>
  <c r="H46" i="19"/>
  <c r="G51" i="19"/>
  <c r="L40" i="19"/>
  <c r="L45" i="19" s="1"/>
  <c r="E18" i="19" s="1"/>
  <c r="H45" i="19"/>
  <c r="J87" i="19" l="1"/>
  <c r="L12" i="19" s="1"/>
  <c r="J81" i="19"/>
  <c r="H16" i="1" s="1"/>
  <c r="J22" i="19"/>
  <c r="J25" i="19" s="1"/>
  <c r="J27" i="19" s="1"/>
  <c r="J15" i="19"/>
  <c r="E21" i="19"/>
  <c r="E20" i="19"/>
  <c r="G103" i="1"/>
  <c r="H20" i="19"/>
  <c r="H22" i="19"/>
  <c r="F16" i="19"/>
  <c r="G16" i="19"/>
  <c r="E23" i="19"/>
  <c r="L46" i="19"/>
  <c r="L51" i="19" s="1"/>
  <c r="H51" i="19"/>
  <c r="N69" i="12"/>
  <c r="N70" i="12"/>
  <c r="N71" i="12"/>
  <c r="N72" i="12"/>
  <c r="L66" i="12"/>
  <c r="L67" i="12"/>
  <c r="O67" i="12" s="1"/>
  <c r="L68" i="12"/>
  <c r="O68" i="12" s="1"/>
  <c r="L69" i="12"/>
  <c r="L70" i="12"/>
  <c r="L71" i="12"/>
  <c r="L72" i="12"/>
  <c r="L54" i="12"/>
  <c r="M54" i="12"/>
  <c r="N54" i="12"/>
  <c r="L55" i="12"/>
  <c r="M55" i="12"/>
  <c r="N55" i="12"/>
  <c r="L56" i="12"/>
  <c r="M56" i="12"/>
  <c r="N56" i="12"/>
  <c r="L57" i="12"/>
  <c r="M57" i="12"/>
  <c r="L58" i="12"/>
  <c r="M58" i="12"/>
  <c r="N58" i="12"/>
  <c r="N59" i="12"/>
  <c r="O59" i="12" s="1"/>
  <c r="L60" i="12"/>
  <c r="M60" i="12"/>
  <c r="N60" i="12"/>
  <c r="I72" i="12"/>
  <c r="I71" i="12"/>
  <c r="I70" i="12"/>
  <c r="I69" i="12"/>
  <c r="I68" i="12"/>
  <c r="I67" i="12"/>
  <c r="I65" i="12"/>
  <c r="H72" i="12"/>
  <c r="H71" i="12"/>
  <c r="H70" i="12"/>
  <c r="H69" i="12"/>
  <c r="H68" i="12"/>
  <c r="H67" i="12"/>
  <c r="H65" i="12"/>
  <c r="E75" i="12"/>
  <c r="E74" i="12"/>
  <c r="B65" i="12"/>
  <c r="C65" i="12"/>
  <c r="D65" i="12"/>
  <c r="B66" i="12"/>
  <c r="C66" i="12"/>
  <c r="D66" i="12"/>
  <c r="B67" i="12"/>
  <c r="C67" i="12"/>
  <c r="D67" i="12"/>
  <c r="B68" i="12"/>
  <c r="C68" i="12"/>
  <c r="D68" i="12"/>
  <c r="B69" i="12"/>
  <c r="C69" i="12"/>
  <c r="D69" i="12"/>
  <c r="B70" i="12"/>
  <c r="C70" i="12"/>
  <c r="D70" i="12"/>
  <c r="B71" i="12"/>
  <c r="C71" i="12"/>
  <c r="D71" i="12"/>
  <c r="B72" i="12"/>
  <c r="C72" i="12"/>
  <c r="D72" i="12"/>
  <c r="B54" i="12"/>
  <c r="C54" i="12"/>
  <c r="D54" i="12"/>
  <c r="B55" i="12"/>
  <c r="C55" i="12"/>
  <c r="D55" i="12"/>
  <c r="B56" i="12"/>
  <c r="C56" i="12"/>
  <c r="D56" i="12"/>
  <c r="B57" i="12"/>
  <c r="C57" i="12"/>
  <c r="D57" i="12"/>
  <c r="B58" i="12"/>
  <c r="C58" i="12"/>
  <c r="D58" i="12"/>
  <c r="B59" i="12"/>
  <c r="C59" i="12"/>
  <c r="D59" i="12"/>
  <c r="B60" i="12"/>
  <c r="C60" i="12"/>
  <c r="D60" i="12"/>
  <c r="I59" i="12"/>
  <c r="J59" i="12" s="1"/>
  <c r="I58" i="12"/>
  <c r="I57" i="12"/>
  <c r="J57" i="12" s="1"/>
  <c r="I54" i="12"/>
  <c r="G71" i="12"/>
  <c r="G70" i="12"/>
  <c r="G69" i="12"/>
  <c r="G68" i="12"/>
  <c r="I60" i="12"/>
  <c r="I56" i="12"/>
  <c r="J56" i="12" s="1"/>
  <c r="I55" i="12"/>
  <c r="J55" i="12" s="1"/>
  <c r="H60" i="12"/>
  <c r="G58" i="12"/>
  <c r="G54" i="12"/>
  <c r="H16" i="21" l="1"/>
  <c r="O70" i="12"/>
  <c r="K12" i="19"/>
  <c r="L22" i="19"/>
  <c r="L25" i="19" s="1"/>
  <c r="L27" i="19" s="1"/>
  <c r="L15" i="19"/>
  <c r="O72" i="12"/>
  <c r="O57" i="12"/>
  <c r="J58" i="12"/>
  <c r="J71" i="12"/>
  <c r="I114" i="1"/>
  <c r="O60" i="12"/>
  <c r="O58" i="12"/>
  <c r="O55" i="12"/>
  <c r="O69" i="12"/>
  <c r="H75" i="12"/>
  <c r="H74" i="12"/>
  <c r="J65" i="12"/>
  <c r="J54" i="12"/>
  <c r="G61" i="12"/>
  <c r="G62" i="12" s="1"/>
  <c r="I74" i="12"/>
  <c r="I75" i="12"/>
  <c r="J72" i="12"/>
  <c r="J60" i="12"/>
  <c r="H61" i="12"/>
  <c r="H62" i="12" s="1"/>
  <c r="J68" i="12"/>
  <c r="G75" i="12"/>
  <c r="G74" i="12"/>
  <c r="J70" i="12"/>
  <c r="J69" i="12"/>
  <c r="J67" i="12"/>
  <c r="I12" i="19"/>
  <c r="I22" i="19" s="1"/>
  <c r="L61" i="12"/>
  <c r="L62" i="12" s="1"/>
  <c r="O54" i="12"/>
  <c r="M61" i="12"/>
  <c r="M62" i="12" s="1"/>
  <c r="O66" i="12"/>
  <c r="L74" i="12"/>
  <c r="L75" i="12"/>
  <c r="N74" i="12"/>
  <c r="N75" i="12"/>
  <c r="N61" i="12"/>
  <c r="N62" i="12" s="1"/>
  <c r="O56" i="12"/>
  <c r="O71" i="12"/>
  <c r="F21" i="19"/>
  <c r="G11" i="19" s="1"/>
  <c r="F18" i="19"/>
  <c r="F23" i="19" s="1"/>
  <c r="G18" i="19"/>
  <c r="E25" i="19"/>
  <c r="E27" i="19" s="1"/>
  <c r="C75" i="12"/>
  <c r="D75" i="12"/>
  <c r="B75" i="12"/>
  <c r="B74" i="12"/>
  <c r="C74" i="12"/>
  <c r="D74" i="12"/>
  <c r="H18" i="1" l="1"/>
  <c r="I18" i="1" s="1"/>
  <c r="H19" i="1"/>
  <c r="I19" i="1" s="1"/>
  <c r="H17" i="1"/>
  <c r="I17" i="1" s="1"/>
  <c r="I16" i="1"/>
  <c r="H18" i="21"/>
  <c r="I18" i="21" s="1"/>
  <c r="H17" i="21"/>
  <c r="I17" i="21" s="1"/>
  <c r="H19" i="21"/>
  <c r="I19" i="21" s="1"/>
  <c r="I16" i="21"/>
  <c r="K112" i="21"/>
  <c r="K114" i="21" s="1"/>
  <c r="K22" i="19"/>
  <c r="K15" i="19"/>
  <c r="F93" i="1"/>
  <c r="H93" i="1" s="1"/>
  <c r="F91" i="21"/>
  <c r="L63" i="12"/>
  <c r="F100" i="21" s="1"/>
  <c r="H100" i="21" s="1"/>
  <c r="J61" i="12"/>
  <c r="G21" i="19"/>
  <c r="H11" i="19" s="1"/>
  <c r="F20" i="19"/>
  <c r="J75" i="12"/>
  <c r="J74" i="12"/>
  <c r="K114" i="1"/>
  <c r="G13" i="19"/>
  <c r="G23" i="19" s="1"/>
  <c r="H13" i="19" s="1"/>
  <c r="O74" i="12"/>
  <c r="O75" i="12"/>
  <c r="G20" i="19"/>
  <c r="K16" i="21" l="1"/>
  <c r="J16" i="21"/>
  <c r="J17" i="1"/>
  <c r="K17" i="1"/>
  <c r="J17" i="21"/>
  <c r="K17" i="21"/>
  <c r="L17" i="21" s="1"/>
  <c r="K19" i="1"/>
  <c r="J19" i="1"/>
  <c r="K16" i="1"/>
  <c r="J16" i="1"/>
  <c r="K19" i="21"/>
  <c r="J19" i="21"/>
  <c r="K18" i="21"/>
  <c r="J18" i="21"/>
  <c r="K18" i="1"/>
  <c r="J18" i="1"/>
  <c r="H91" i="21"/>
  <c r="B78" i="12"/>
  <c r="D98" i="12" s="1"/>
  <c r="K25" i="19"/>
  <c r="K27" i="19" s="1"/>
  <c r="G15" i="19"/>
  <c r="H23" i="19"/>
  <c r="G25" i="19"/>
  <c r="G27" i="19" s="1"/>
  <c r="F25" i="19"/>
  <c r="F27" i="19" s="1"/>
  <c r="I61" i="12"/>
  <c r="I62" i="12" s="1"/>
  <c r="E61" i="12"/>
  <c r="D61" i="12"/>
  <c r="D62" i="12" s="1"/>
  <c r="C61" i="12"/>
  <c r="B61" i="12"/>
  <c r="B62" i="12" s="1"/>
  <c r="L19" i="21" l="1"/>
  <c r="L18" i="21"/>
  <c r="I52" i="21"/>
  <c r="I70" i="21" s="1"/>
  <c r="L16" i="21"/>
  <c r="C98" i="12"/>
  <c r="D92" i="12"/>
  <c r="C95" i="12"/>
  <c r="B93" i="12"/>
  <c r="D95" i="12"/>
  <c r="C91" i="12"/>
  <c r="B94" i="12"/>
  <c r="D96" i="12"/>
  <c r="D91" i="12"/>
  <c r="C94" i="12"/>
  <c r="B97" i="12"/>
  <c r="B98" i="12"/>
  <c r="C93" i="12"/>
  <c r="B96" i="12"/>
  <c r="C97" i="12"/>
  <c r="C83" i="12"/>
  <c r="D86" i="12"/>
  <c r="C86" i="12"/>
  <c r="B87" i="12"/>
  <c r="C85" i="12"/>
  <c r="D82" i="12"/>
  <c r="C81" i="12"/>
  <c r="D87" i="12"/>
  <c r="B82" i="12"/>
  <c r="D84" i="12"/>
  <c r="B84" i="12"/>
  <c r="C84" i="12"/>
  <c r="D81" i="12"/>
  <c r="C82" i="12"/>
  <c r="B85" i="12"/>
  <c r="D83" i="12"/>
  <c r="B91" i="12"/>
  <c r="D85" i="12"/>
  <c r="C87" i="12"/>
  <c r="B86" i="12"/>
  <c r="B81" i="12"/>
  <c r="B83" i="12"/>
  <c r="B92" i="12"/>
  <c r="D94" i="12"/>
  <c r="F94" i="1"/>
  <c r="H94" i="1" s="1"/>
  <c r="F92" i="21"/>
  <c r="C92" i="12"/>
  <c r="D93" i="12"/>
  <c r="B95" i="12"/>
  <c r="C96" i="12"/>
  <c r="D97" i="12"/>
  <c r="I13" i="19"/>
  <c r="I23" i="19" s="1"/>
  <c r="H21" i="19"/>
  <c r="H15" i="19"/>
  <c r="O61" i="12"/>
  <c r="B63" i="12"/>
  <c r="F99" i="21" s="1"/>
  <c r="H99" i="21" s="1"/>
  <c r="C62" i="12"/>
  <c r="I113" i="1"/>
  <c r="K113" i="1" s="1"/>
  <c r="G63" i="12"/>
  <c r="E97" i="12" l="1"/>
  <c r="L52" i="21"/>
  <c r="L70" i="21" s="1"/>
  <c r="F5" i="20" s="1"/>
  <c r="E81" i="12"/>
  <c r="C5" i="20"/>
  <c r="E5" i="20" s="1"/>
  <c r="E91" i="12"/>
  <c r="E98" i="12"/>
  <c r="E96" i="12"/>
  <c r="E86" i="12"/>
  <c r="E95" i="12"/>
  <c r="E92" i="12"/>
  <c r="F96" i="1"/>
  <c r="E94" i="12"/>
  <c r="E93" i="12"/>
  <c r="E87" i="12"/>
  <c r="C100" i="12"/>
  <c r="E82" i="12"/>
  <c r="D101" i="12"/>
  <c r="B101" i="12"/>
  <c r="E85" i="12"/>
  <c r="E83" i="12"/>
  <c r="B100" i="12"/>
  <c r="C101" i="12"/>
  <c r="D100" i="12"/>
  <c r="E84" i="12"/>
  <c r="F100" i="1"/>
  <c r="F98" i="21"/>
  <c r="H92" i="21"/>
  <c r="H94" i="21" s="1"/>
  <c r="F94" i="21"/>
  <c r="L91" i="12"/>
  <c r="M91" i="12"/>
  <c r="N91" i="12"/>
  <c r="L81" i="12"/>
  <c r="M87" i="12"/>
  <c r="N82" i="12"/>
  <c r="M81" i="12"/>
  <c r="N81" i="12"/>
  <c r="L98" i="12"/>
  <c r="L97" i="12"/>
  <c r="M96" i="12"/>
  <c r="N95" i="12"/>
  <c r="L92" i="12"/>
  <c r="M85" i="12"/>
  <c r="N83" i="12"/>
  <c r="M98" i="12"/>
  <c r="M97" i="12"/>
  <c r="N96" i="12"/>
  <c r="L94" i="12"/>
  <c r="L93" i="12"/>
  <c r="M92" i="12"/>
  <c r="L86" i="12"/>
  <c r="N85" i="12"/>
  <c r="L84" i="12"/>
  <c r="L82" i="12"/>
  <c r="N98" i="12"/>
  <c r="N97" i="12"/>
  <c r="L95" i="12"/>
  <c r="M94" i="12"/>
  <c r="M93" i="12"/>
  <c r="N92" i="12"/>
  <c r="L87" i="12"/>
  <c r="M86" i="12"/>
  <c r="M84" i="12"/>
  <c r="L83" i="12"/>
  <c r="M82" i="12"/>
  <c r="L96" i="12"/>
  <c r="M95" i="12"/>
  <c r="N94" i="12"/>
  <c r="N93" i="12"/>
  <c r="N87" i="12"/>
  <c r="N86" i="12"/>
  <c r="L85" i="12"/>
  <c r="N84" i="12"/>
  <c r="M83" i="12"/>
  <c r="I11" i="19"/>
  <c r="I15" i="19" s="1"/>
  <c r="S78" i="12"/>
  <c r="S79" i="12" s="1"/>
  <c r="I21" i="19"/>
  <c r="I25" i="19" s="1"/>
  <c r="I27" i="19" s="1"/>
  <c r="H25" i="19"/>
  <c r="H27" i="19" s="1"/>
  <c r="I115" i="1"/>
  <c r="K115" i="1" s="1"/>
  <c r="K116" i="1" s="1"/>
  <c r="F101" i="1"/>
  <c r="H100" i="1"/>
  <c r="E101" i="12" l="1"/>
  <c r="E100" i="12"/>
  <c r="H98" i="21"/>
  <c r="H101" i="21" s="1"/>
  <c r="H103" i="21" s="1"/>
  <c r="L71" i="21" s="1"/>
  <c r="G5" i="20" s="1"/>
  <c r="H5" i="20" s="1"/>
  <c r="F101" i="21"/>
  <c r="O87" i="12"/>
  <c r="O95" i="12"/>
  <c r="O84" i="12"/>
  <c r="O93" i="12"/>
  <c r="O81" i="12"/>
  <c r="O96" i="12"/>
  <c r="O82" i="12"/>
  <c r="O92" i="12"/>
  <c r="O98" i="12"/>
  <c r="O91" i="12"/>
  <c r="L101" i="12"/>
  <c r="L100" i="12"/>
  <c r="O86" i="12"/>
  <c r="O97" i="12"/>
  <c r="M100" i="12"/>
  <c r="M101" i="12"/>
  <c r="H81" i="12"/>
  <c r="S81" i="12" s="1"/>
  <c r="G91" i="12"/>
  <c r="R91" i="12" s="1"/>
  <c r="G87" i="12"/>
  <c r="R87" i="12" s="1"/>
  <c r="H91" i="12"/>
  <c r="S91" i="12" s="1"/>
  <c r="G81" i="12"/>
  <c r="I81" i="12"/>
  <c r="T81" i="12" s="1"/>
  <c r="I91" i="12"/>
  <c r="T91" i="12" s="1"/>
  <c r="G94" i="12"/>
  <c r="R94" i="12" s="1"/>
  <c r="H98" i="12"/>
  <c r="S98" i="12" s="1"/>
  <c r="G96" i="12"/>
  <c r="H95" i="12"/>
  <c r="S95" i="12" s="1"/>
  <c r="I94" i="12"/>
  <c r="T94" i="12" s="1"/>
  <c r="I93" i="12"/>
  <c r="T93" i="12" s="1"/>
  <c r="H87" i="12"/>
  <c r="S87" i="12" s="1"/>
  <c r="I86" i="12"/>
  <c r="T86" i="12" s="1"/>
  <c r="G85" i="12"/>
  <c r="I84" i="12"/>
  <c r="T84" i="12" s="1"/>
  <c r="H83" i="12"/>
  <c r="S83" i="12" s="1"/>
  <c r="I82" i="12"/>
  <c r="T82" i="12" s="1"/>
  <c r="G97" i="12"/>
  <c r="R97" i="12" s="1"/>
  <c r="H96" i="12"/>
  <c r="S96" i="12" s="1"/>
  <c r="I95" i="12"/>
  <c r="T95" i="12" s="1"/>
  <c r="G92" i="12"/>
  <c r="R92" i="12" s="1"/>
  <c r="I87" i="12"/>
  <c r="T87" i="12" s="1"/>
  <c r="H85" i="12"/>
  <c r="S85" i="12" s="1"/>
  <c r="I83" i="12"/>
  <c r="T83" i="12" s="1"/>
  <c r="G98" i="12"/>
  <c r="R98" i="12" s="1"/>
  <c r="H97" i="12"/>
  <c r="S97" i="12" s="1"/>
  <c r="I96" i="12"/>
  <c r="T96" i="12" s="1"/>
  <c r="G93" i="12"/>
  <c r="R93" i="12" s="1"/>
  <c r="H92" i="12"/>
  <c r="S92" i="12" s="1"/>
  <c r="G86" i="12"/>
  <c r="I85" i="12"/>
  <c r="T85" i="12" s="1"/>
  <c r="G84" i="12"/>
  <c r="G82" i="12"/>
  <c r="R82" i="12" s="1"/>
  <c r="I98" i="12"/>
  <c r="T98" i="12" s="1"/>
  <c r="I97" i="12"/>
  <c r="T97" i="12" s="1"/>
  <c r="G95" i="12"/>
  <c r="H94" i="12"/>
  <c r="S94" i="12" s="1"/>
  <c r="H93" i="12"/>
  <c r="S93" i="12" s="1"/>
  <c r="I92" i="12"/>
  <c r="T92" i="12" s="1"/>
  <c r="H86" i="12"/>
  <c r="S86" i="12" s="1"/>
  <c r="H84" i="12"/>
  <c r="S84" i="12" s="1"/>
  <c r="G83" i="12"/>
  <c r="H82" i="12"/>
  <c r="S82" i="12" s="1"/>
  <c r="O85" i="12"/>
  <c r="O83" i="12"/>
  <c r="O94" i="12"/>
  <c r="N101" i="12"/>
  <c r="N100" i="12"/>
  <c r="F102" i="1"/>
  <c r="F103" i="1" s="1"/>
  <c r="L72" i="21" l="1"/>
  <c r="J81" i="12"/>
  <c r="U81" i="12" s="1"/>
  <c r="J83" i="12"/>
  <c r="U83" i="12" s="1"/>
  <c r="J95" i="12"/>
  <c r="U95" i="12" s="1"/>
  <c r="J86" i="12"/>
  <c r="U86" i="12" s="1"/>
  <c r="J85" i="12"/>
  <c r="U85" i="12" s="1"/>
  <c r="R95" i="12"/>
  <c r="J91" i="12"/>
  <c r="U91" i="12" s="1"/>
  <c r="G101" i="12"/>
  <c r="R101" i="12" s="1"/>
  <c r="G100" i="12"/>
  <c r="R100" i="12" s="1"/>
  <c r="I100" i="12"/>
  <c r="T100" i="12" s="1"/>
  <c r="I101" i="12"/>
  <c r="T101" i="12" s="1"/>
  <c r="O101" i="12"/>
  <c r="O100" i="12"/>
  <c r="R83" i="12"/>
  <c r="J84" i="12"/>
  <c r="U84" i="12" s="1"/>
  <c r="J93" i="12"/>
  <c r="U93" i="12" s="1"/>
  <c r="J96" i="12"/>
  <c r="U96" i="12" s="1"/>
  <c r="R81" i="12"/>
  <c r="R84" i="12"/>
  <c r="R85" i="12"/>
  <c r="J82" i="12"/>
  <c r="U82" i="12" s="1"/>
  <c r="J98" i="12"/>
  <c r="U98" i="12" s="1"/>
  <c r="J92" i="12"/>
  <c r="U92" i="12" s="1"/>
  <c r="J87" i="12"/>
  <c r="U87" i="12" s="1"/>
  <c r="R86" i="12"/>
  <c r="R96" i="12"/>
  <c r="H101" i="12"/>
  <c r="S101" i="12" s="1"/>
  <c r="H100" i="12"/>
  <c r="S100" i="12" s="1"/>
  <c r="J97" i="12"/>
  <c r="U97" i="12" s="1"/>
  <c r="J94" i="12"/>
  <c r="U94" i="12" s="1"/>
  <c r="F25" i="4"/>
  <c r="J100" i="12" l="1"/>
  <c r="U100" i="12" s="1"/>
  <c r="J101" i="12"/>
  <c r="U101" i="12" s="1"/>
  <c r="D8" i="5" l="1"/>
  <c r="F8" i="5" s="1"/>
  <c r="D17" i="5"/>
  <c r="F17" i="5" s="1"/>
  <c r="D15" i="5"/>
  <c r="F15" i="5" s="1"/>
  <c r="D13" i="5"/>
  <c r="F13" i="5" s="1"/>
  <c r="D12" i="5"/>
  <c r="F12" i="5" s="1"/>
  <c r="H15" i="5" l="1"/>
  <c r="G15" i="5"/>
  <c r="H8" i="5"/>
  <c r="G8" i="5"/>
  <c r="H13" i="5"/>
  <c r="G13" i="5"/>
  <c r="H12" i="5"/>
  <c r="G12" i="5"/>
  <c r="H17" i="5"/>
  <c r="G17" i="5"/>
  <c r="F14" i="4" l="1"/>
  <c r="F26" i="4" s="1"/>
  <c r="G66" i="1"/>
  <c r="I66" i="1" s="1"/>
  <c r="G65" i="1"/>
  <c r="I65" i="1" s="1"/>
  <c r="G64" i="1"/>
  <c r="I64" i="1" s="1"/>
  <c r="G62" i="1"/>
  <c r="I62" i="1" s="1"/>
  <c r="G61" i="1"/>
  <c r="I61" i="1" s="1"/>
  <c r="G60" i="1"/>
  <c r="I60" i="1" s="1"/>
  <c r="G35" i="1"/>
  <c r="I35" i="1" s="1"/>
  <c r="G46" i="1"/>
  <c r="I46" i="1" s="1"/>
  <c r="G48" i="1"/>
  <c r="I48" i="1" s="1"/>
  <c r="G37" i="1"/>
  <c r="I37" i="1" s="1"/>
  <c r="J37" i="1" s="1"/>
  <c r="G42" i="1"/>
  <c r="I42" i="1" s="1"/>
  <c r="G47" i="1"/>
  <c r="I47" i="1" s="1"/>
  <c r="G51" i="1"/>
  <c r="I51" i="1" s="1"/>
  <c r="G40" i="1"/>
  <c r="I40" i="1" s="1"/>
  <c r="G39" i="1"/>
  <c r="I39" i="1" s="1"/>
  <c r="G38" i="1"/>
  <c r="I38" i="1" s="1"/>
  <c r="G36" i="1"/>
  <c r="I36" i="1" s="1"/>
  <c r="G33" i="1"/>
  <c r="I33" i="1" s="1"/>
  <c r="G32" i="1"/>
  <c r="I32" i="1" s="1"/>
  <c r="B5" i="20" l="1"/>
  <c r="B4" i="20"/>
  <c r="J40" i="1"/>
  <c r="K40" i="1"/>
  <c r="J32" i="1"/>
  <c r="K32" i="1"/>
  <c r="J38" i="1"/>
  <c r="K38" i="1"/>
  <c r="K47" i="1"/>
  <c r="J47" i="1"/>
  <c r="K62" i="1"/>
  <c r="J62" i="1"/>
  <c r="K33" i="1"/>
  <c r="J33" i="1"/>
  <c r="K37" i="1"/>
  <c r="K60" i="1"/>
  <c r="J60" i="1"/>
  <c r="J39" i="1"/>
  <c r="K39" i="1"/>
  <c r="J35" i="1"/>
  <c r="K35" i="1"/>
  <c r="J36" i="1"/>
  <c r="K36" i="1"/>
  <c r="J61" i="1"/>
  <c r="K61" i="1"/>
  <c r="K42" i="1"/>
  <c r="J42" i="1"/>
  <c r="J64" i="1"/>
  <c r="K64" i="1"/>
  <c r="J65" i="1"/>
  <c r="K65" i="1"/>
  <c r="K46" i="1"/>
  <c r="J46" i="1"/>
  <c r="J51" i="1"/>
  <c r="K51" i="1"/>
  <c r="J48" i="1"/>
  <c r="K48" i="1"/>
  <c r="K66" i="1"/>
  <c r="J66" i="1"/>
  <c r="B6" i="20" l="1"/>
  <c r="H96" i="1"/>
  <c r="E67" i="1" l="1"/>
  <c r="G67" i="1" s="1"/>
  <c r="I67" i="1" s="1"/>
  <c r="K67" i="1" l="1"/>
  <c r="J67" i="1"/>
  <c r="I69" i="1" s="1"/>
  <c r="D4" i="20" s="1"/>
  <c r="D6" i="20" l="1"/>
  <c r="F87" i="1"/>
  <c r="F86" i="1"/>
  <c r="L10" i="1" s="1"/>
  <c r="D16" i="5"/>
  <c r="F16" i="5" s="1"/>
  <c r="G49" i="1"/>
  <c r="I49" i="1" s="1"/>
  <c r="D7" i="5"/>
  <c r="F7" i="5" s="1"/>
  <c r="D14" i="5"/>
  <c r="F14" i="5" s="1"/>
  <c r="F33" i="5"/>
  <c r="F34" i="5"/>
  <c r="F32" i="5"/>
  <c r="D9" i="5"/>
  <c r="F9" i="5" s="1"/>
  <c r="D10" i="5"/>
  <c r="F10" i="5" s="1"/>
  <c r="D11" i="5"/>
  <c r="F11" i="5" s="1"/>
  <c r="G50" i="1"/>
  <c r="I50" i="1" s="1"/>
  <c r="G44" i="1"/>
  <c r="I44" i="1" s="1"/>
  <c r="G43" i="1"/>
  <c r="I43" i="1" s="1"/>
  <c r="I13" i="5" l="1"/>
  <c r="G14" i="5"/>
  <c r="L19" i="1"/>
  <c r="L16" i="1"/>
  <c r="L17" i="1"/>
  <c r="L18" i="1"/>
  <c r="L62" i="1"/>
  <c r="L37" i="1"/>
  <c r="L14" i="1"/>
  <c r="L15" i="1"/>
  <c r="L13" i="1"/>
  <c r="I6" i="5"/>
  <c r="I17" i="5"/>
  <c r="I15" i="5"/>
  <c r="I12" i="5"/>
  <c r="I8" i="5"/>
  <c r="H11" i="5"/>
  <c r="G11" i="5"/>
  <c r="G10" i="5"/>
  <c r="H10" i="5"/>
  <c r="H7" i="5"/>
  <c r="G7" i="5"/>
  <c r="H16" i="5"/>
  <c r="G16" i="5"/>
  <c r="H9" i="5"/>
  <c r="G9" i="5"/>
  <c r="H14" i="5"/>
  <c r="L24" i="1"/>
  <c r="L23" i="1"/>
  <c r="L22" i="1"/>
  <c r="L26" i="1"/>
  <c r="L21" i="1"/>
  <c r="L25" i="1"/>
  <c r="L38" i="1"/>
  <c r="L66" i="1"/>
  <c r="L33" i="1"/>
  <c r="L36" i="1"/>
  <c r="L32" i="1"/>
  <c r="L61" i="1"/>
  <c r="L48" i="1"/>
  <c r="L51" i="1"/>
  <c r="L40" i="1"/>
  <c r="L35" i="1"/>
  <c r="L39" i="1"/>
  <c r="L46" i="1"/>
  <c r="L60" i="1"/>
  <c r="L64" i="1"/>
  <c r="L42" i="1"/>
  <c r="L47" i="1"/>
  <c r="L65" i="1"/>
  <c r="L67" i="1"/>
  <c r="L8" i="1"/>
  <c r="J43" i="1"/>
  <c r="K43" i="1"/>
  <c r="J50" i="1"/>
  <c r="K50" i="1"/>
  <c r="K44" i="1"/>
  <c r="J44" i="1"/>
  <c r="J49" i="1"/>
  <c r="K49" i="1"/>
  <c r="H101" i="1"/>
  <c r="I52" i="1" l="1"/>
  <c r="C4" i="20" s="1"/>
  <c r="E4" i="20" s="1"/>
  <c r="E6" i="20" s="1"/>
  <c r="I14" i="5"/>
  <c r="L69" i="1"/>
  <c r="F19" i="5"/>
  <c r="I10" i="5"/>
  <c r="I9" i="5"/>
  <c r="I7" i="5"/>
  <c r="I16" i="5"/>
  <c r="I11" i="5"/>
  <c r="L43" i="1"/>
  <c r="L49" i="1"/>
  <c r="L50" i="1"/>
  <c r="L44" i="1"/>
  <c r="L27" i="1"/>
  <c r="L52" i="1" l="1"/>
  <c r="L70" i="1" s="1"/>
  <c r="C6" i="20"/>
  <c r="I6" i="20"/>
  <c r="I70" i="1"/>
  <c r="F27" i="4" s="1"/>
  <c r="I19" i="5"/>
  <c r="F4" i="20" l="1"/>
  <c r="F6" i="20" l="1"/>
  <c r="H102" i="1"/>
  <c r="H103" i="1" s="1"/>
  <c r="H105" i="1" s="1"/>
  <c r="L71" i="1" s="1"/>
  <c r="G4" i="20" s="1"/>
  <c r="G6" i="20" s="1"/>
  <c r="H6" i="20" l="1"/>
  <c r="H4" i="20"/>
  <c r="L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H16" authorId="0" shapeId="0" xr:uid="{00000000-0006-0000-0100-000001000000}">
      <text>
        <r>
          <rPr>
            <b/>
            <sz val="9"/>
            <color indexed="81"/>
            <rFont val="Tahoma"/>
            <family val="2"/>
          </rPr>
          <t>Tracy Curtis:</t>
        </r>
        <r>
          <rPr>
            <sz val="9"/>
            <color indexed="81"/>
            <rFont val="Tahoma"/>
            <family val="2"/>
          </rPr>
          <t xml:space="preserve">
Updated to # of HCl/SO2 CEMS, assumes that hourly estimates apply on a unit basis. Note that data provided by OAQPS broke down CEMS for HCl/SO2, CPMS for Hg and PM
</t>
        </r>
      </text>
    </comment>
    <comment ref="D60" authorId="0" shapeId="0" xr:uid="{5431765C-F94F-42B8-9D0E-74BB9BBC14DC}">
      <text>
        <r>
          <rPr>
            <b/>
            <sz val="9"/>
            <color indexed="81"/>
            <rFont val="Tahoma"/>
            <family val="2"/>
          </rPr>
          <t>Tracy Curtis:</t>
        </r>
        <r>
          <rPr>
            <sz val="9"/>
            <color indexed="81"/>
            <rFont val="Tahoma"/>
            <family val="2"/>
          </rPr>
          <t xml:space="preserve">
We are only assuming 10% of respondents will be reporting SSM in line 37, have adjusted the records of CEMS malfunctions accordingly.</t>
        </r>
      </text>
    </comment>
    <comment ref="J111" authorId="0" shapeId="0" xr:uid="{00000000-0006-0000-0100-000004000000}">
      <text>
        <r>
          <rPr>
            <b/>
            <sz val="9"/>
            <color indexed="81"/>
            <rFont val="Tahoma"/>
            <family val="2"/>
          </rPr>
          <t>Tracy Curtis:</t>
        </r>
        <r>
          <rPr>
            <sz val="9"/>
            <color indexed="81"/>
            <rFont val="Tahoma"/>
            <family val="2"/>
          </rPr>
          <t xml:space="preserve">
Number of monitors has been updated based on the % of EGUs conducting CPMS or CEMS monitoring (see the %CEMSCPMSvs.testing tab)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D60" authorId="0" shapeId="0" xr:uid="{82D6E84E-297B-4E2C-AF64-501CE451E288}">
      <text>
        <r>
          <rPr>
            <b/>
            <sz val="9"/>
            <color indexed="81"/>
            <rFont val="Tahoma"/>
            <family val="2"/>
          </rPr>
          <t>Tracy Curtis:</t>
        </r>
        <r>
          <rPr>
            <sz val="9"/>
            <color indexed="81"/>
            <rFont val="Tahoma"/>
            <family val="2"/>
          </rPr>
          <t xml:space="preserve">
We are only assuming 10% of respondents will be reporting SSM in line 37, have adjusted the records of CEMS malfunctions accordingly.</t>
        </r>
      </text>
    </comment>
    <comment ref="J109" authorId="0" shapeId="0" xr:uid="{00000000-0006-0000-0200-000001000000}">
      <text>
        <r>
          <rPr>
            <b/>
            <sz val="9"/>
            <color indexed="81"/>
            <rFont val="Tahoma"/>
            <family val="2"/>
          </rPr>
          <t>Tracy Curtis:</t>
        </r>
        <r>
          <rPr>
            <sz val="9"/>
            <color indexed="81"/>
            <rFont val="Tahoma"/>
            <family val="2"/>
          </rPr>
          <t xml:space="preserve">
Number of monitors has been updated based on the % of EGUs conducting CPMS or CEMS monitoring (see the %CEMSCPMSvs.testing tab)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E16" authorId="0" shapeId="0" xr:uid="{00000000-0006-0000-0400-000001000000}">
      <text>
        <r>
          <rPr>
            <b/>
            <sz val="9"/>
            <color indexed="81"/>
            <rFont val="Tahoma"/>
            <family val="2"/>
          </rPr>
          <t>Tracy Curtis:</t>
        </r>
        <r>
          <rPr>
            <sz val="9"/>
            <color indexed="81"/>
            <rFont val="Tahoma"/>
            <family val="2"/>
          </rPr>
          <t xml:space="preserve">
Updated to add values from Table 1b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C8" authorId="0" shapeId="0" xr:uid="{00000000-0006-0000-0500-000001000000}">
      <text>
        <r>
          <rPr>
            <b/>
            <sz val="9"/>
            <color indexed="81"/>
            <rFont val="Tahoma"/>
            <family val="2"/>
          </rPr>
          <t>Tracy Curtis:</t>
        </r>
        <r>
          <rPr>
            <sz val="9"/>
            <color indexed="81"/>
            <rFont val="Tahoma"/>
            <family val="2"/>
          </rPr>
          <t xml:space="preserve">
This is based on # of PM tests/# of units; assuming that a report will cover multiple pollutants. Should other tests be included?</t>
        </r>
      </text>
    </comment>
  </commentList>
</comments>
</file>

<file path=xl/sharedStrings.xml><?xml version="1.0" encoding="utf-8"?>
<sst xmlns="http://schemas.openxmlformats.org/spreadsheetml/2006/main" count="1845" uniqueCount="442">
  <si>
    <t>E. Write Report</t>
  </si>
  <si>
    <t>Total</t>
  </si>
  <si>
    <t>Loaded</t>
  </si>
  <si>
    <t>Rate (110%)</t>
  </si>
  <si>
    <t>Travel Expenses</t>
  </si>
  <si>
    <t>Technical</t>
  </si>
  <si>
    <t>Clerical</t>
  </si>
  <si>
    <t>Year 1</t>
  </si>
  <si>
    <t>Year 2</t>
  </si>
  <si>
    <t>Year 3</t>
  </si>
  <si>
    <t>CEM</t>
  </si>
  <si>
    <t>Testing</t>
  </si>
  <si>
    <t>ODC's</t>
  </si>
  <si>
    <t>Existing Sources</t>
  </si>
  <si>
    <t>New Sources</t>
  </si>
  <si>
    <t>Assumptions and calculation area:</t>
  </si>
  <si>
    <t>HCl</t>
  </si>
  <si>
    <t>Hg</t>
  </si>
  <si>
    <t>Total Annual Responses</t>
  </si>
  <si>
    <t>PM</t>
  </si>
  <si>
    <t>GS-06 Step 3</t>
  </si>
  <si>
    <t>GS-12 Step 1</t>
  </si>
  <si>
    <t>GS-13 Step 5</t>
  </si>
  <si>
    <t>SALARY TABLE 2011-GS</t>
  </si>
  <si>
    <t>Coal-fired &lt;8,300</t>
  </si>
  <si>
    <t>Coal-fired &gt;8,300</t>
  </si>
  <si>
    <t>IGCC</t>
  </si>
  <si>
    <t>liq oil-fired</t>
  </si>
  <si>
    <t>solid oil-fired</t>
  </si>
  <si>
    <t>M5, M202</t>
  </si>
  <si>
    <t>M29</t>
  </si>
  <si>
    <t>M320</t>
  </si>
  <si>
    <t>M6A</t>
  </si>
  <si>
    <t>Existing</t>
  </si>
  <si>
    <t>SO2</t>
  </si>
  <si>
    <t>HF</t>
  </si>
  <si>
    <t>Method 320</t>
  </si>
  <si>
    <t>New</t>
  </si>
  <si>
    <t>new beta gauge PM CEMS</t>
  </si>
  <si>
    <t>new FTIR CEMS</t>
  </si>
  <si>
    <t>new Hg CEMS</t>
  </si>
  <si>
    <t xml:space="preserve">M5 and M202 are most expensive for total PM; HCl testing more expensive than SO2; Hg testing is required </t>
  </si>
  <si>
    <t>Managerial</t>
  </si>
  <si>
    <t>Method 30B</t>
  </si>
  <si>
    <t>M30B</t>
  </si>
  <si>
    <t xml:space="preserve">Hg </t>
  </si>
  <si>
    <t>Summary of CEMS</t>
  </si>
  <si>
    <t>Summary of Costs</t>
  </si>
  <si>
    <t>Hg CEMS</t>
  </si>
  <si>
    <t>First Costs</t>
  </si>
  <si>
    <t>Labor</t>
  </si>
  <si>
    <t>Test</t>
  </si>
  <si>
    <t>ODCs</t>
  </si>
  <si>
    <t xml:space="preserve">    Planning</t>
  </si>
  <si>
    <t xml:space="preserve">    Select Equipment</t>
  </si>
  <si>
    <t xml:space="preserve">    Support Facilities</t>
  </si>
  <si>
    <t xml:space="preserve">    Purchase CEMS Hardware</t>
  </si>
  <si>
    <t xml:space="preserve">    Install and Check CEMS</t>
  </si>
  <si>
    <t xml:space="preserve">    Performance Specification Tests</t>
  </si>
  <si>
    <t xml:space="preserve">    QA/QC Plan</t>
  </si>
  <si>
    <t>w/cap. Recov</t>
  </si>
  <si>
    <t>labor and ODC</t>
  </si>
  <si>
    <t>Annual Costs</t>
  </si>
  <si>
    <t>Annual Costs (NESCAUM)</t>
  </si>
  <si>
    <t xml:space="preserve">    Day-to-Day Activities</t>
  </si>
  <si>
    <t xml:space="preserve">    Annual RATA</t>
  </si>
  <si>
    <t xml:space="preserve">    PM Monitor RCA</t>
  </si>
  <si>
    <t xml:space="preserve">    PM Monitor RRA</t>
  </si>
  <si>
    <t xml:space="preserve">    Cylinder Gas Audits (ACA/SVA for PM)</t>
  </si>
  <si>
    <t xml:space="preserve">    Recordkeeping and Reporting</t>
  </si>
  <si>
    <t xml:space="preserve">    Annual QA &amp; O&amp;M Review and Update</t>
  </si>
  <si>
    <t xml:space="preserve">    Capital Recovery</t>
  </si>
  <si>
    <t xml:space="preserve">    Total w/o capital recovery</t>
  </si>
  <si>
    <t xml:space="preserve">    Total with capital recovery</t>
  </si>
  <si>
    <t xml:space="preserve">HCl Monitors </t>
  </si>
  <si>
    <t xml:space="preserve">PM CPMS </t>
  </si>
  <si>
    <t>SUMMARY</t>
  </si>
  <si>
    <t>All</t>
  </si>
  <si>
    <t>monitors</t>
  </si>
  <si>
    <t>monitors/site</t>
  </si>
  <si>
    <t>ODC</t>
  </si>
  <si>
    <t>Planning</t>
  </si>
  <si>
    <t xml:space="preserve">    Review regulations</t>
  </si>
  <si>
    <t xml:space="preserve">    Resolve questions</t>
  </si>
  <si>
    <t xml:space="preserve">    Review drawing</t>
  </si>
  <si>
    <t xml:space="preserve">    Inspect source</t>
  </si>
  <si>
    <t xml:space="preserve">    Define constraints</t>
  </si>
  <si>
    <t xml:space="preserve">    Write engineering report</t>
  </si>
  <si>
    <t xml:space="preserve">           Subtotal</t>
  </si>
  <si>
    <t>Select Equipment</t>
  </si>
  <si>
    <t xml:space="preserve">    Decide on approach</t>
  </si>
  <si>
    <t xml:space="preserve">    Write specifications</t>
  </si>
  <si>
    <t xml:space="preserve">    Identify potential bidders</t>
  </si>
  <si>
    <t xml:space="preserve">    Write RFP's</t>
  </si>
  <si>
    <t xml:space="preserve">    Copy and mail RFP's</t>
  </si>
  <si>
    <t xml:space="preserve">    Respond to bidders</t>
  </si>
  <si>
    <t xml:space="preserve">    Review and evaluate proposals</t>
  </si>
  <si>
    <t xml:space="preserve">    Select winner(s) and negotiate contract(s)</t>
  </si>
  <si>
    <t xml:space="preserve">    Management</t>
  </si>
  <si>
    <t>Support Facilities</t>
  </si>
  <si>
    <t xml:space="preserve">    Sampling ports</t>
  </si>
  <si>
    <t xml:space="preserve">    Utilities</t>
  </si>
  <si>
    <t xml:space="preserve">    Platforms and ladders</t>
  </si>
  <si>
    <t xml:space="preserve">    Instrument room/shelter</t>
  </si>
  <si>
    <t xml:space="preserve">            Subtotal</t>
  </si>
  <si>
    <t>Purchase equipment</t>
  </si>
  <si>
    <t xml:space="preserve">    Opacity monitor</t>
  </si>
  <si>
    <t xml:space="preserve">    PM Monitor</t>
  </si>
  <si>
    <t xml:space="preserve">    non-Hg GAS CEM analyzer(s)</t>
  </si>
  <si>
    <t xml:space="preserve">    Sampling system(s)</t>
  </si>
  <si>
    <t xml:space="preserve">    PLC</t>
  </si>
  <si>
    <t xml:space="preserve">    DAS, including software</t>
  </si>
  <si>
    <t xml:space="preserve">    Flow monitors</t>
  </si>
  <si>
    <t xml:space="preserve">    Hg CEMS equipment (analyzer, sampling </t>
  </si>
  <si>
    <t xml:space="preserve">         line, data acquisition, software, etc)</t>
  </si>
  <si>
    <t xml:space="preserve">    Bag leak detection system</t>
  </si>
  <si>
    <t xml:space="preserve">    Taxes and shipping</t>
  </si>
  <si>
    <t>Install</t>
  </si>
  <si>
    <t xml:space="preserve">    Install equipment</t>
  </si>
  <si>
    <t xml:space="preserve">    Startup equipment</t>
  </si>
  <si>
    <t xml:space="preserve">    Training</t>
  </si>
  <si>
    <t>Performance test</t>
  </si>
  <si>
    <t xml:space="preserve">    Select test contractor</t>
  </si>
  <si>
    <t xml:space="preserve">    Pretest meeting</t>
  </si>
  <si>
    <t xml:space="preserve">    Drift tests</t>
  </si>
  <si>
    <t xml:space="preserve">    Analyzer RATA or PM ICT</t>
  </si>
  <si>
    <t xml:space="preserve">    Write PST test report</t>
  </si>
  <si>
    <t xml:space="preserve">    Review report</t>
  </si>
  <si>
    <t xml:space="preserve">    </t>
  </si>
  <si>
    <t>QA/QC plan (O&amp;M plan for BLD)</t>
  </si>
  <si>
    <t xml:space="preserve">    Review needs</t>
  </si>
  <si>
    <t xml:space="preserve">    Hire consultant</t>
  </si>
  <si>
    <t xml:space="preserve">    On-site meeting</t>
  </si>
  <si>
    <t xml:space="preserve">    Write draft plan</t>
  </si>
  <si>
    <t xml:space="preserve">    Review draft plan</t>
  </si>
  <si>
    <t xml:space="preserve">    Write final plan</t>
  </si>
  <si>
    <t xml:space="preserve">    Get Agency approval</t>
  </si>
  <si>
    <t xml:space="preserve">    Kick-off meeting</t>
  </si>
  <si>
    <t>Total first costs</t>
  </si>
  <si>
    <t>Grand total first costs</t>
  </si>
  <si>
    <t>Operation, Maintenance, and Repairs</t>
  </si>
  <si>
    <t xml:space="preserve">    Daily checks of COMS/PM/BLD</t>
  </si>
  <si>
    <t xml:space="preserve">    Daily checks of CEMS</t>
  </si>
  <si>
    <t xml:space="preserve">    Weekly checks of Beta PM monitors</t>
  </si>
  <si>
    <t xml:space="preserve">    Weekly check of CEMS</t>
  </si>
  <si>
    <t xml:space="preserve">    Monthly check of Beta PM/BLD</t>
  </si>
  <si>
    <t xml:space="preserve">    Monthly check of CEMS</t>
  </si>
  <si>
    <t xml:space="preserve">    Quarterly check of monitors</t>
  </si>
  <si>
    <t xml:space="preserve">    Consumables</t>
  </si>
  <si>
    <t>Annual RATA for gas analyzers</t>
  </si>
  <si>
    <t xml:space="preserve">    Pretest preparation</t>
  </si>
  <si>
    <t xml:space="preserve">    Hire testing team</t>
  </si>
  <si>
    <t xml:space="preserve">    Notify Agency</t>
  </si>
  <si>
    <t xml:space="preserve">    Do RATA</t>
  </si>
  <si>
    <t xml:space="preserve">    Take corrective action</t>
  </si>
  <si>
    <t xml:space="preserve">    Retest</t>
  </si>
  <si>
    <t xml:space="preserve">    Write report</t>
  </si>
  <si>
    <t xml:space="preserve">    Certify report and send</t>
  </si>
  <si>
    <t>PM Monitor RCA (every 3 years)</t>
  </si>
  <si>
    <t xml:space="preserve">    Notify agency</t>
  </si>
  <si>
    <t xml:space="preserve">    Conduct RCA</t>
  </si>
  <si>
    <t xml:space="preserve">    Recalibration calculations</t>
  </si>
  <si>
    <t xml:space="preserve">    Write test report</t>
  </si>
  <si>
    <t xml:space="preserve">    Certify and send report to agency</t>
  </si>
  <si>
    <t>PM Monitor RRA (annually)</t>
  </si>
  <si>
    <t xml:space="preserve">    Conduct RRA</t>
  </si>
  <si>
    <t>Cylinder Gas Audits (ACA/SVA for PM)</t>
  </si>
  <si>
    <t xml:space="preserve">    Do CGA's and/or ACA/SVA</t>
  </si>
  <si>
    <t xml:space="preserve">    Write, certify, and send report</t>
  </si>
  <si>
    <t>Recordkeeping and reporting</t>
  </si>
  <si>
    <t xml:space="preserve">    Daily data reduction</t>
  </si>
  <si>
    <t xml:space="preserve">    Monthly reduction and review</t>
  </si>
  <si>
    <t xml:space="preserve">    Quarterly (semiannual) emissions report</t>
  </si>
  <si>
    <t>Annual QA &amp; O&amp;M review and update</t>
  </si>
  <si>
    <t xml:space="preserve">    Meeting with plant technicians</t>
  </si>
  <si>
    <t xml:space="preserve">    Update QA plan (O&amp;M plan)</t>
  </si>
  <si>
    <t xml:space="preserve">    Update equipment inventory and repairs</t>
  </si>
  <si>
    <t xml:space="preserve">    Phone support</t>
  </si>
  <si>
    <t>Capital recovery (10 years; 7% interest rate)</t>
  </si>
  <si>
    <t>Annual costs</t>
  </si>
  <si>
    <t>Total annual costs</t>
  </si>
  <si>
    <t>Summary table</t>
  </si>
  <si>
    <t>Analyzers</t>
  </si>
  <si>
    <t>BEFORE</t>
  </si>
  <si>
    <t>AFTER</t>
  </si>
  <si>
    <t xml:space="preserve">   CO</t>
  </si>
  <si>
    <t xml:space="preserve">   SO2</t>
  </si>
  <si>
    <t xml:space="preserve">   NOX</t>
  </si>
  <si>
    <t xml:space="preserve">   HCl</t>
  </si>
  <si>
    <t xml:space="preserve">   Mercury (and CO2/O2)</t>
  </si>
  <si>
    <t xml:space="preserve">   CO2</t>
  </si>
  <si>
    <t xml:space="preserve">   O2</t>
  </si>
  <si>
    <t xml:space="preserve">   THC</t>
  </si>
  <si>
    <t>Monitors</t>
  </si>
  <si>
    <t xml:space="preserve">   OPACITY</t>
  </si>
  <si>
    <t xml:space="preserve">   FLOW</t>
  </si>
  <si>
    <t xml:space="preserve">   PM (beta gauge)</t>
  </si>
  <si>
    <t xml:space="preserve">   PM (light scattering; insitu)</t>
  </si>
  <si>
    <t xml:space="preserve">   PM (light scattering; extractive)</t>
  </si>
  <si>
    <t>Bag leak detector</t>
  </si>
  <si>
    <t xml:space="preserve">   Number of fabric filters to be monitored=</t>
  </si>
  <si>
    <t xml:space="preserve">   Number of sensors=</t>
  </si>
  <si>
    <t>Respondent Labor Rates</t>
  </si>
  <si>
    <t>Unloaded</t>
  </si>
  <si>
    <t>Cost per Test</t>
  </si>
  <si>
    <t>Number of Tests</t>
  </si>
  <si>
    <t>HCl (based on CEMS cost model)</t>
  </si>
  <si>
    <t>PM CPMS (based on CEMS cost model--combination of PM, PM beta, and PM extractive monitors)</t>
  </si>
  <si>
    <r>
      <t xml:space="preserve">Hg CEMS (combination of CEMS cost model and NESCAUM; </t>
    </r>
    <r>
      <rPr>
        <b/>
        <sz val="10"/>
        <color rgb="FF00B050"/>
        <rFont val="Arial"/>
        <family val="2"/>
      </rPr>
      <t>NESCAUM data in green</t>
    </r>
    <r>
      <rPr>
        <b/>
        <sz val="10"/>
        <rFont val="Arial"/>
        <family val="2"/>
      </rPr>
      <t>)</t>
    </r>
  </si>
  <si>
    <t>Number of Installations</t>
  </si>
  <si>
    <t>EGU Type</t>
  </si>
  <si>
    <t>Notes</t>
  </si>
  <si>
    <t>All sources must use M29 for Hg; assumed would use for total HAP metals as well; M320 required for HF and HCl; no SO2 required</t>
  </si>
  <si>
    <t>1. Applications</t>
  </si>
  <si>
    <t>N/A</t>
  </si>
  <si>
    <t>HAP</t>
  </si>
  <si>
    <t>ICR Year</t>
  </si>
  <si>
    <t>Existing Facilities</t>
  </si>
  <si>
    <t>New Facilities</t>
  </si>
  <si>
    <t>Supporting Information</t>
  </si>
  <si>
    <t>All CEMS must follow appropriate performance specifications</t>
  </si>
  <si>
    <t>CEMS daily monitoring</t>
  </si>
  <si>
    <t>Initial performance test (PM, Methods 5 and 202)</t>
  </si>
  <si>
    <t>CEMS quarterly inspections</t>
  </si>
  <si>
    <t>CEMS daily calibration drift tests</t>
  </si>
  <si>
    <t>B. Required activities</t>
  </si>
  <si>
    <t>Existing sources</t>
  </si>
  <si>
    <t>New sources</t>
  </si>
  <si>
    <t>4. Report requirements</t>
  </si>
  <si>
    <t>2. Surveys and studies</t>
  </si>
  <si>
    <t>Notification of CEMS demonstration</t>
  </si>
  <si>
    <t>Notification of initial performance test</t>
  </si>
  <si>
    <t>Semiannual compliance report</t>
  </si>
  <si>
    <t>Notification of compliance status</t>
  </si>
  <si>
    <t>Site-specific performance evaluation test plan</t>
  </si>
  <si>
    <t>Initial notification</t>
  </si>
  <si>
    <t>Quality assurance program certification</t>
  </si>
  <si>
    <t>5. Recordkeeping requirements</t>
  </si>
  <si>
    <t>D. Record data</t>
  </si>
  <si>
    <t>E. Time to transmit or disclose information</t>
  </si>
  <si>
    <t>G. Time for audits</t>
  </si>
  <si>
    <t>Records of startups, shutdowns, malfunctions, etc.</t>
  </si>
  <si>
    <t>Records of monthly fuel use</t>
  </si>
  <si>
    <t>F. Time to train personnel</t>
  </si>
  <si>
    <t>Review quality assurance program certification</t>
  </si>
  <si>
    <t>Review notification of compliance status</t>
  </si>
  <si>
    <t>Review initial notification</t>
  </si>
  <si>
    <t>Review site-specific performance evaluation test plan</t>
  </si>
  <si>
    <t>Number of Facilities Subject to ICR</t>
  </si>
  <si>
    <t>Number of CEMS/CPMS Subject to ICR</t>
  </si>
  <si>
    <t>Overview - Number of Facilities and CEMS/CPMS Subject to ICR</t>
  </si>
  <si>
    <t>Total CEMS/CPMS</t>
  </si>
  <si>
    <t>Total New CEMS/CPMS</t>
  </si>
  <si>
    <t>Total Existing CEMS/CPMS</t>
  </si>
  <si>
    <t>C. Total CEMS/CPMS in Operation</t>
  </si>
  <si>
    <t>B. New CEMS/CPMS</t>
  </si>
  <si>
    <t>A. Existing CEMS/CPMS</t>
  </si>
  <si>
    <t>Total Cost</t>
  </si>
  <si>
    <t>Test Method</t>
  </si>
  <si>
    <t>Methods 5 and 202</t>
  </si>
  <si>
    <t>Cost per Installation</t>
  </si>
  <si>
    <t>Equipment</t>
  </si>
  <si>
    <t>Costs per Monitor</t>
  </si>
  <si>
    <t>Cost per Monitor</t>
  </si>
  <si>
    <t>Burden Item</t>
  </si>
  <si>
    <t>A</t>
  </si>
  <si>
    <t>B</t>
  </si>
  <si>
    <t>C</t>
  </si>
  <si>
    <t>D</t>
  </si>
  <si>
    <t>E</t>
  </si>
  <si>
    <t>F</t>
  </si>
  <si>
    <t>G</t>
  </si>
  <si>
    <t>H</t>
  </si>
  <si>
    <t>Technical person-hours per occurrence</t>
  </si>
  <si>
    <t>No. of occurrences per respondent per year</t>
  </si>
  <si>
    <t>Technical person-hours per respondent per year (AxB)</t>
  </si>
  <si>
    <t>Technical hours per year (CxD)</t>
  </si>
  <si>
    <t>Management hours per year  (Ex0.05)</t>
  </si>
  <si>
    <t>Clerical hours per year (Ex0.10)</t>
  </si>
  <si>
    <t>Subtotal for Reporting Requirements</t>
  </si>
  <si>
    <t>Subtotal for Recordkeeping Requirements</t>
  </si>
  <si>
    <t>Table 2: Average Annual EPA Burden and Cost – NESHAP for Coal- and Oil-Fired Electric Utility Steam Generating Units (40 CFR Part 63, Subpart UUUUU) (Renewal)</t>
  </si>
  <si>
    <t>Average CEMS/CPMS per Facility</t>
  </si>
  <si>
    <t>3.  Acquisition, installation, and utilization of technology and systems</t>
  </si>
  <si>
    <t>Initial performance test (HCl, Method 320)</t>
  </si>
  <si>
    <t>See 4B</t>
  </si>
  <si>
    <t>See 4E</t>
  </si>
  <si>
    <t>C. Create information</t>
  </si>
  <si>
    <t>D. Gather existing information</t>
  </si>
  <si>
    <t>Cells highlighted in blue denote values updated by ERG. All other cells use values EPA provided from calculations for the previous ICR.</t>
  </si>
  <si>
    <t>Performance test report</t>
  </si>
  <si>
    <t>C. Implement activities</t>
  </si>
  <si>
    <t>Startup, shutdown, and malfunction report (10% of respondents)</t>
  </si>
  <si>
    <t>Request to use alternative monitoring procedure (10% of respondents)</t>
  </si>
  <si>
    <t>See 4A</t>
  </si>
  <si>
    <t>B. Plan activities</t>
  </si>
  <si>
    <t>Average Annual Capital Costs for Performance Testing</t>
  </si>
  <si>
    <t>From MATS analysis November 2011--Stef Johnson</t>
  </si>
  <si>
    <t>Average Annual Capital Costs for CEMS Installation
(Labor and Other Direct Costs)</t>
  </si>
  <si>
    <t>Average Annual Operation and Maintenance (O&amp;M) Costs</t>
  </si>
  <si>
    <t>Number of Monitors</t>
  </si>
  <si>
    <t>Total Capital Cost:</t>
  </si>
  <si>
    <t>Footnotes:</t>
  </si>
  <si>
    <r>
      <t xml:space="preserve">Respondents per year </t>
    </r>
    <r>
      <rPr>
        <b/>
        <vertAlign val="superscript"/>
        <sz val="10"/>
        <rFont val="Calibri"/>
        <family val="2"/>
        <scheme val="minor"/>
      </rPr>
      <t>a</t>
    </r>
  </si>
  <si>
    <r>
      <t xml:space="preserve">Total cost per year ($) </t>
    </r>
    <r>
      <rPr>
        <b/>
        <vertAlign val="superscript"/>
        <sz val="10"/>
        <rFont val="Calibri"/>
        <family val="2"/>
        <scheme val="minor"/>
      </rPr>
      <t>b</t>
    </r>
  </si>
  <si>
    <t>Review startup, shutdown, and malfunction report (10% of respondents)</t>
  </si>
  <si>
    <t>Review notification of CEMS demonstration</t>
  </si>
  <si>
    <t>Review request to use alternative monitoring procedure (10% of respondents)</t>
  </si>
  <si>
    <t>Review notification of initial performance test</t>
  </si>
  <si>
    <t>Review performance test report</t>
  </si>
  <si>
    <t>Review semiannual compliance report</t>
  </si>
  <si>
    <t>Agency Labor Rates</t>
  </si>
  <si>
    <t>Unloaded Labor Rate</t>
  </si>
  <si>
    <t>Multiplier</t>
  </si>
  <si>
    <t>Loaded Labor Rate</t>
  </si>
  <si>
    <t>Technical 
person-hours 
per occurrence</t>
  </si>
  <si>
    <t>No. of occurrences 
per respondent 
per year</t>
  </si>
  <si>
    <t>Technical 
person-hours 
per respondent 
per year (AxB)</t>
  </si>
  <si>
    <t>Management 
hours per year
(Ex0.05)</t>
  </si>
  <si>
    <t>Clerical hours 
per year
(Ex0.10)</t>
  </si>
  <si>
    <t>Technical hours 
per year
(CxD)</t>
  </si>
  <si>
    <r>
      <t xml:space="preserve">Respondents 
per year </t>
    </r>
    <r>
      <rPr>
        <b/>
        <vertAlign val="superscript"/>
        <sz val="10"/>
        <rFont val="Calibri"/>
        <family val="2"/>
        <scheme val="minor"/>
      </rPr>
      <t>a</t>
    </r>
  </si>
  <si>
    <r>
      <t xml:space="preserve">Total cost 
per year 
($) </t>
    </r>
    <r>
      <rPr>
        <b/>
        <vertAlign val="superscript"/>
        <sz val="10"/>
        <rFont val="Calibri"/>
        <family val="2"/>
        <scheme val="minor"/>
      </rPr>
      <t>b</t>
    </r>
  </si>
  <si>
    <t xml:space="preserve">Travel Expenses* = </t>
  </si>
  <si>
    <r>
      <t xml:space="preserve">Travel Expenses </t>
    </r>
    <r>
      <rPr>
        <vertAlign val="superscript"/>
        <sz val="10"/>
        <color theme="1"/>
        <rFont val="Calibri"/>
        <family val="2"/>
        <scheme val="minor"/>
      </rPr>
      <t>e</t>
    </r>
  </si>
  <si>
    <r>
      <t xml:space="preserve">Observe initial performance test </t>
    </r>
    <r>
      <rPr>
        <vertAlign val="superscript"/>
        <sz val="10"/>
        <color theme="1"/>
        <rFont val="Calibri"/>
        <family val="2"/>
        <scheme val="minor"/>
      </rPr>
      <t>c</t>
    </r>
  </si>
  <si>
    <r>
      <t xml:space="preserve">Observe repeat performance test </t>
    </r>
    <r>
      <rPr>
        <vertAlign val="superscript"/>
        <sz val="10"/>
        <color theme="1"/>
        <rFont val="Calibri"/>
        <family val="2"/>
        <scheme val="minor"/>
      </rPr>
      <t>d</t>
    </r>
  </si>
  <si>
    <t>e EPA estimates annual travel expenses to be $400 [(1 person x 1 plant/year x 3 days/plant x $50 per diem) + ($250 round trip/plant x 1 plant/year) = $400/year].</t>
  </si>
  <si>
    <r>
      <t xml:space="preserve">Travel Expenses* = (1 person x </t>
    </r>
    <r>
      <rPr>
        <sz val="10"/>
        <color rgb="FF00B0F0"/>
        <rFont val="Calibri"/>
        <family val="2"/>
        <scheme val="minor"/>
      </rPr>
      <t>1 plant/year</t>
    </r>
    <r>
      <rPr>
        <sz val="10"/>
        <color theme="1"/>
        <rFont val="Calibri"/>
        <family val="2"/>
        <scheme val="minor"/>
      </rPr>
      <t xml:space="preserve"> x 3 days/plant x $50 per diem) + ($250 round trip/plant x </t>
    </r>
    <r>
      <rPr>
        <sz val="10"/>
        <color rgb="FF00B0F0"/>
        <rFont val="Calibri"/>
        <family val="2"/>
        <scheme val="minor"/>
      </rPr>
      <t>1 plant/year</t>
    </r>
    <r>
      <rPr>
        <sz val="10"/>
        <color theme="1"/>
        <rFont val="Calibri"/>
        <family val="2"/>
        <scheme val="minor"/>
      </rPr>
      <t>) = $400/year</t>
    </r>
  </si>
  <si>
    <t>(B) 
Number of Respondents</t>
  </si>
  <si>
    <t>(A) 
Information Collection Activity</t>
  </si>
  <si>
    <t>(D) 
Number of Respondents That 
Keep Records But Do Not Submit Reports</t>
  </si>
  <si>
    <t>(E) 
Total Annual Responses 
E=(BxC)+D</t>
  </si>
  <si>
    <t>Hrs/Response =</t>
  </si>
  <si>
    <r>
      <t xml:space="preserve">*Assumes EPA will visit </t>
    </r>
    <r>
      <rPr>
        <sz val="10"/>
        <color rgb="FF00B0F0"/>
        <rFont val="Calibri"/>
        <family val="2"/>
        <scheme val="minor"/>
      </rPr>
      <t>1 plant per year</t>
    </r>
  </si>
  <si>
    <t>Total Annual Cost</t>
  </si>
  <si>
    <t>Initial performance test  (Hg, Method 30B)</t>
  </si>
  <si>
    <t>Calculations for 2137.08</t>
  </si>
  <si>
    <t>Updated formulas to address changes to cells E70:M87 (no new sources)</t>
  </si>
  <si>
    <t>Updated formulas to address changes to cells E70:M87 (changes to existing inventory per OAQPS)</t>
  </si>
  <si>
    <t>Updated to 0 respondents, no new sources</t>
  </si>
  <si>
    <r>
      <t xml:space="preserve">TOTAL (ROUNDED) </t>
    </r>
    <r>
      <rPr>
        <b/>
        <vertAlign val="superscript"/>
        <sz val="10"/>
        <rFont val="Calibri"/>
        <family val="2"/>
        <scheme val="minor"/>
      </rPr>
      <t>f</t>
    </r>
  </si>
  <si>
    <t>A. Familiarization with regulatory requirements</t>
  </si>
  <si>
    <t>f Totals have been rounded to 3 significant figures. Figures may not add exactly due to rounding.</t>
  </si>
  <si>
    <t>Calculations for 2137.07</t>
  </si>
  <si>
    <t>Calculations for 2137.06</t>
  </si>
  <si>
    <t>Updated existing unit counts based on data provided by OAQPS for RTR, with no new units for next 3 year prd</t>
  </si>
  <si>
    <t>Removed/revised all fields that applied only to new respondents</t>
  </si>
  <si>
    <t>Affected Sector</t>
  </si>
  <si>
    <t>Number of Responses</t>
  </si>
  <si>
    <t>Labor Hours</t>
  </si>
  <si>
    <t>Labor Cost</t>
  </si>
  <si>
    <t>Capital and O&amp;M Cost</t>
  </si>
  <si>
    <t>Reporting</t>
  </si>
  <si>
    <t>Recordkeeping</t>
  </si>
  <si>
    <t>Private</t>
  </si>
  <si>
    <t>Public (State/Local/Tribal)</t>
  </si>
  <si>
    <t>Total private sector</t>
  </si>
  <si>
    <t>Total public sector</t>
  </si>
  <si>
    <t>Total public sector:</t>
  </si>
  <si>
    <t>Total private sector:</t>
  </si>
  <si>
    <t>% by sector</t>
  </si>
  <si>
    <t>Table 1c: Annual Respondent Burden and Cost Breakdown by Affected Sector – NESHAP for Coal- and Oil-Fired Electric Utility Steam Generating Units (40 CFR Part 63, Subpart UUUUU) (Renewal)</t>
  </si>
  <si>
    <t>2011 Final Rule</t>
  </si>
  <si>
    <t>Total # facilities:</t>
  </si>
  <si>
    <t>Updated to agency rates</t>
  </si>
  <si>
    <t>Current</t>
  </si>
  <si>
    <t>Total # of facilities (May 2017 Inventory):</t>
  </si>
  <si>
    <r>
      <t xml:space="preserve">Total </t>
    </r>
    <r>
      <rPr>
        <sz val="11"/>
        <rFont val="Times New Roman"/>
        <family val="1"/>
      </rPr>
      <t>(rounded)</t>
    </r>
  </si>
  <si>
    <t>Totals have been rounded to 3 significant figures. Figures may not add exactly due to rounding.</t>
  </si>
  <si>
    <t>hrs/response</t>
  </si>
  <si>
    <t>updated - no new respondents</t>
  </si>
  <si>
    <t>Summary of CEMS (Hg)</t>
  </si>
  <si>
    <t>Summary of CEMS (HCl)</t>
  </si>
  <si>
    <t>Summary of CEMS (PM)</t>
  </si>
  <si>
    <t>updated to reference annual costs w. recovery from CEMS Cost model as applied to CEMS from existing units</t>
  </si>
  <si>
    <t>(C) 
Number of Responses per year</t>
  </si>
  <si>
    <t>Table 1a: Annual Respondent Burden and Cost for Private Facilities – NESHAP for Coal- and Oil-Fired Electric Utility Steam Generating Units (40 CFR Part 63, Subpart UUUUU) (Renewal)</t>
  </si>
  <si>
    <t>Table 1b: Annual Respondent Burden and Cost for Public Facilities – NESHAP for Coal- and Oil-Fired Electric Utility Steam Generating Units (40 CFR Part 63, Subpart UUUUU) (Renewal)</t>
  </si>
  <si>
    <t>b  This ICR uses the following labor rates: $112.98 (technical), $149.35 (managerial), and $54.81 (clerical).  These rates are from the United States Department of Labor, Bureau of Labor Statistics, June 2017, “Table 2. Civilian workers, by occupational and industry group.”  The rates are from column 1, “Total compensation.”  They have been increased by 110 percent to account for the benefit packages available to those employed by private industry.</t>
  </si>
  <si>
    <r>
      <t xml:space="preserve">a </t>
    </r>
    <r>
      <rPr>
        <sz val="10"/>
        <color theme="1"/>
        <rFont val="Calibri"/>
        <family val="2"/>
        <scheme val="minor"/>
      </rPr>
      <t>EPA estimates an average of 727</t>
    </r>
    <r>
      <rPr>
        <sz val="10"/>
        <rFont val="Calibri"/>
        <family val="2"/>
        <scheme val="minor"/>
      </rPr>
      <t xml:space="preserve"> existing facilities and </t>
    </r>
    <r>
      <rPr>
        <sz val="10"/>
        <color theme="1"/>
        <rFont val="Calibri"/>
        <family val="2"/>
        <scheme val="minor"/>
      </rPr>
      <t xml:space="preserve">no new facilities per year will be subject to the NESHAP over the next 3 years. Across all existing facilities, EPA estimates there will be a total of 727, 133, and 667 CEMS monitoring for PM, HCl, and Hg, respectively. </t>
    </r>
  </si>
  <si>
    <t>b This ICR uses the following labor rates: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</si>
  <si>
    <t>c EPA estimates it will observe 20% of initial performance tests.</t>
  </si>
  <si>
    <t>d EPA assumes 20% of initial performance tests must be repeated due to failure.</t>
  </si>
  <si>
    <t>Updated percentage of public/private to be based on number of facilities/footprints</t>
  </si>
  <si>
    <r>
      <rPr>
        <sz val="10"/>
        <color rgb="FF00B050"/>
        <rFont val="Calibri"/>
        <family val="2"/>
        <scheme val="minor"/>
      </rPr>
      <t xml:space="preserve">Updated # of respondents to # of footprints. </t>
    </r>
    <r>
      <rPr>
        <sz val="10"/>
        <color rgb="FFFF0000"/>
        <rFont val="Calibri"/>
        <family val="2"/>
        <scheme val="minor"/>
      </rPr>
      <t>Included familiarization burden since actual report submittals are due less often than quarterly</t>
    </r>
  </si>
  <si>
    <t>Updated to # of units conducting testing by pollutant</t>
  </si>
  <si>
    <r>
      <rPr>
        <sz val="10"/>
        <color rgb="FF00B050"/>
        <rFont val="Calibri"/>
        <family val="2"/>
        <scheme val="minor"/>
      </rPr>
      <t>Updated to based on 10% of footprints.</t>
    </r>
    <r>
      <rPr>
        <sz val="10"/>
        <color rgb="FFFF0000"/>
        <rFont val="Calibri"/>
        <family val="2"/>
        <scheme val="minor"/>
      </rPr>
      <t xml:space="preserve"> Updated based on revised # of respondents</t>
    </r>
  </si>
  <si>
    <r>
      <rPr>
        <sz val="10"/>
        <color rgb="FF00B050"/>
        <rFont val="Calibri"/>
        <family val="2"/>
        <scheme val="minor"/>
      </rPr>
      <t>Updated to based on # of footprints</t>
    </r>
    <r>
      <rPr>
        <sz val="10"/>
        <color rgb="FFFF0000"/>
        <rFont val="Calibri"/>
        <family val="2"/>
        <scheme val="minor"/>
      </rPr>
      <t>. Updated to revised # of respondents</t>
    </r>
  </si>
  <si>
    <r>
      <rPr>
        <sz val="10"/>
        <color rgb="FF00B050"/>
        <rFont val="Calibri"/>
        <family val="2"/>
        <scheme val="minor"/>
      </rPr>
      <t xml:space="preserve">Updated to based on # of footprints. </t>
    </r>
    <r>
      <rPr>
        <sz val="10"/>
        <color rgb="FFFF0000"/>
        <rFont val="Calibri"/>
        <family val="2"/>
        <scheme val="minor"/>
      </rPr>
      <t>Updated to revised # of respondents</t>
    </r>
  </si>
  <si>
    <r>
      <rPr>
        <strike/>
        <sz val="10"/>
        <color rgb="FFFF0000"/>
        <rFont val="Calibri"/>
        <family val="2"/>
        <scheme val="minor"/>
      </rPr>
      <t xml:space="preserve">Initial </t>
    </r>
    <r>
      <rPr>
        <sz val="10"/>
        <color rgb="FFFF0000"/>
        <rFont val="Calibri"/>
        <family val="2"/>
        <scheme val="minor"/>
      </rPr>
      <t xml:space="preserve">Annual </t>
    </r>
    <r>
      <rPr>
        <sz val="10"/>
        <color indexed="8"/>
        <rFont val="Calibri"/>
        <family val="2"/>
        <scheme val="minor"/>
      </rPr>
      <t xml:space="preserve">performance test (PM, Methods 5 and 202) </t>
    </r>
    <r>
      <rPr>
        <vertAlign val="superscript"/>
        <sz val="10"/>
        <color rgb="FFFF0000"/>
        <rFont val="Calibri"/>
        <family val="2"/>
        <scheme val="minor"/>
      </rPr>
      <t>c</t>
    </r>
  </si>
  <si>
    <r>
      <rPr>
        <strike/>
        <sz val="10"/>
        <color rgb="FFFF0000"/>
        <rFont val="Calibri"/>
        <family val="2"/>
        <scheme val="minor"/>
      </rPr>
      <t xml:space="preserve">Initial </t>
    </r>
    <r>
      <rPr>
        <sz val="10"/>
        <color rgb="FFFF0000"/>
        <rFont val="Calibri"/>
        <family val="2"/>
        <scheme val="minor"/>
      </rPr>
      <t xml:space="preserve">Annual </t>
    </r>
    <r>
      <rPr>
        <sz val="10"/>
        <color indexed="8"/>
        <rFont val="Calibri"/>
        <family val="2"/>
        <scheme val="minor"/>
      </rPr>
      <t xml:space="preserve">performance test (HCl, Method 320) </t>
    </r>
    <r>
      <rPr>
        <vertAlign val="superscript"/>
        <sz val="10"/>
        <color rgb="FFFF0000"/>
        <rFont val="Calibri"/>
        <family val="2"/>
        <scheme val="minor"/>
      </rPr>
      <t>c</t>
    </r>
  </si>
  <si>
    <r>
      <rPr>
        <strike/>
        <sz val="10"/>
        <color rgb="FFFF0000"/>
        <rFont val="Calibri"/>
        <family val="2"/>
        <scheme val="minor"/>
      </rPr>
      <t xml:space="preserve">Initial </t>
    </r>
    <r>
      <rPr>
        <sz val="10"/>
        <color rgb="FFFF0000"/>
        <rFont val="Calibri"/>
        <family val="2"/>
        <scheme val="minor"/>
      </rPr>
      <t xml:space="preserve">Annual </t>
    </r>
    <r>
      <rPr>
        <sz val="10"/>
        <color indexed="8"/>
        <rFont val="Calibri"/>
        <family val="2"/>
        <scheme val="minor"/>
      </rPr>
      <t xml:space="preserve">performance test (Hg, Method 30B) </t>
    </r>
    <r>
      <rPr>
        <vertAlign val="superscript"/>
        <sz val="10"/>
        <color rgb="FFFF0000"/>
        <rFont val="Calibri"/>
        <family val="2"/>
        <scheme val="minor"/>
      </rPr>
      <t>c</t>
    </r>
  </si>
  <si>
    <r>
      <t xml:space="preserve">CEMS quarterly inspections </t>
    </r>
    <r>
      <rPr>
        <vertAlign val="superscript"/>
        <sz val="10"/>
        <color rgb="FFFF0000"/>
        <rFont val="Calibri"/>
        <family val="2"/>
        <scheme val="minor"/>
      </rPr>
      <t>d</t>
    </r>
  </si>
  <si>
    <r>
      <t xml:space="preserve">CEMS daily calibration drift tests </t>
    </r>
    <r>
      <rPr>
        <vertAlign val="superscript"/>
        <sz val="10"/>
        <color rgb="FFFF0000"/>
        <rFont val="Calibri"/>
        <family val="2"/>
        <scheme val="minor"/>
      </rPr>
      <t>d</t>
    </r>
  </si>
  <si>
    <r>
      <t xml:space="preserve">CEMS daily monitoring </t>
    </r>
    <r>
      <rPr>
        <vertAlign val="superscript"/>
        <sz val="10"/>
        <color rgb="FFFF0000"/>
        <rFont val="Calibri"/>
        <family val="2"/>
        <scheme val="minor"/>
      </rPr>
      <t>d</t>
    </r>
  </si>
  <si>
    <r>
      <t>All CEMS must follow appropriate performance specifications</t>
    </r>
    <r>
      <rPr>
        <sz val="10"/>
        <color rgb="FFFF0000"/>
        <rFont val="Calibri"/>
        <family val="2"/>
        <scheme val="minor"/>
      </rPr>
      <t xml:space="preserve"> </t>
    </r>
    <r>
      <rPr>
        <vertAlign val="superscript"/>
        <sz val="10"/>
        <color rgb="FFFF0000"/>
        <rFont val="Calibri"/>
        <family val="2"/>
        <scheme val="minor"/>
      </rPr>
      <t>d</t>
    </r>
  </si>
  <si>
    <t>No. Release Pts</t>
  </si>
  <si>
    <t>Hg Compliance Method</t>
  </si>
  <si>
    <t>PM Compliance Method</t>
  </si>
  <si>
    <t>AG Compliance Method</t>
  </si>
  <si>
    <t>Counts</t>
  </si>
  <si>
    <t>%</t>
  </si>
  <si>
    <t>All Units</t>
  </si>
  <si>
    <t>Hg CMS*</t>
  </si>
  <si>
    <t>PM CMS**</t>
  </si>
  <si>
    <t>HCl CEMS</t>
  </si>
  <si>
    <t>SO2 CEMS</t>
  </si>
  <si>
    <t>Stack Test</t>
  </si>
  <si>
    <t xml:space="preserve">Coal: Bituminous Coal, Subbituminous Coal, Waste Coal - anthracite culm, bituminous gob, fine coal, lignite waste, waste coal
</t>
  </si>
  <si>
    <t>Lignite Coal</t>
  </si>
  <si>
    <t>L</t>
  </si>
  <si>
    <t>Oil: Oil, Diesel Oil, Residual Oil, Other Oil</t>
  </si>
  <si>
    <t>OIL</t>
  </si>
  <si>
    <t>Petroleum Coke</t>
  </si>
  <si>
    <t>PTC</t>
  </si>
  <si>
    <t xml:space="preserve">* Hg CEMS or Hg sorbent traps </t>
  </si>
  <si>
    <t>** PM CEMS or PM CPMS</t>
  </si>
  <si>
    <t>Average % Units Using CEMS</t>
  </si>
  <si>
    <r>
      <t xml:space="preserve">updated to reference annual costs w. recovery from CEMS Cost model as applied to CEMS from existing units; </t>
    </r>
    <r>
      <rPr>
        <sz val="10"/>
        <color rgb="FF00B050"/>
        <rFont val="Calibri"/>
        <family val="2"/>
        <scheme val="minor"/>
      </rPr>
      <t>Updated number of monitors based on OAQPS percentage of ERPs using CEMs by pollutant</t>
    </r>
  </si>
  <si>
    <t>Units per facility (footprint)</t>
  </si>
  <si>
    <t>Average % Units Testing</t>
  </si>
  <si>
    <t>Updated to based on # of units estimated to conduct testing, assumes 20 hrs/plan.</t>
  </si>
  <si>
    <t xml:space="preserve">d Assumes that 505 privately-owned EGUs use HCl or SO2 CEMs. </t>
  </si>
  <si>
    <t>e Totals have been rounded to 3 significant figures. Figures may not add exactly due to rounding.</t>
  </si>
  <si>
    <r>
      <t xml:space="preserve">TOTAL LABOR BURDEN AND COSTS (ROUNDED) </t>
    </r>
    <r>
      <rPr>
        <b/>
        <vertAlign val="superscript"/>
        <sz val="10"/>
        <rFont val="Calibri"/>
        <family val="2"/>
        <scheme val="minor"/>
      </rPr>
      <t>e</t>
    </r>
  </si>
  <si>
    <r>
      <t xml:space="preserve">TOTAL CAPITAL AND O&amp;M COST (ROUNDED) </t>
    </r>
    <r>
      <rPr>
        <b/>
        <vertAlign val="superscript"/>
        <sz val="10"/>
        <rFont val="Calibri"/>
        <family val="2"/>
        <scheme val="minor"/>
      </rPr>
      <t>e</t>
    </r>
  </si>
  <si>
    <r>
      <t xml:space="preserve">GRAND TOTAL (ROUNDED) </t>
    </r>
    <r>
      <rPr>
        <b/>
        <vertAlign val="superscript"/>
        <sz val="10"/>
        <rFont val="Calibri"/>
        <family val="2"/>
        <scheme val="minor"/>
      </rPr>
      <t>e</t>
    </r>
  </si>
  <si>
    <r>
      <t xml:space="preserve">TOTAL LABOR BURDEN AND COSTS (ROUNDED) </t>
    </r>
    <r>
      <rPr>
        <b/>
        <i/>
        <vertAlign val="superscript"/>
        <sz val="10"/>
        <rFont val="Calibri"/>
        <family val="2"/>
        <scheme val="minor"/>
      </rPr>
      <t>e</t>
    </r>
  </si>
  <si>
    <r>
      <t xml:space="preserve">TOTAL CAPITAL AND O&amp;M COST (ROUNDED) </t>
    </r>
    <r>
      <rPr>
        <b/>
        <i/>
        <vertAlign val="superscript"/>
        <sz val="10"/>
        <rFont val="Calibri"/>
        <family val="2"/>
        <scheme val="minor"/>
      </rPr>
      <t>e</t>
    </r>
  </si>
  <si>
    <r>
      <t xml:space="preserve">GRAND TOTAL (ROUNDED) </t>
    </r>
    <r>
      <rPr>
        <b/>
        <i/>
        <vertAlign val="superscript"/>
        <sz val="10"/>
        <rFont val="Calibri"/>
        <family val="2"/>
        <scheme val="minor"/>
      </rPr>
      <t>e</t>
    </r>
  </si>
  <si>
    <r>
      <t>a EPA estimates an average of 727 units at 322 existing facilities and no new units per year will be subject to the NESHAP over the next 3 years. Of these,</t>
    </r>
    <r>
      <rPr>
        <sz val="10"/>
        <color rgb="FFFF0000"/>
        <rFont val="Calibri"/>
        <family val="2"/>
        <scheme val="minor"/>
      </rPr>
      <t xml:space="preserve"> 54 facilities are owned by private industry. </t>
    </r>
  </si>
  <si>
    <t xml:space="preserve">c Estimates are based on the number of publicly-owned EGUs complying with annual testing requirements for PM, HCl, and Hg, in lieu of CEMS/CPMS monitoring for these pollutants and includes 82 EGUs conducting Method 5 and Method 202 testing, 20 EGUs conducting Method 320 testing, and 29 EGUs conducting Method 30B testing.   </t>
  </si>
  <si>
    <t xml:space="preserve">d Assumes that 102 publicly-owned EGUs use HCl or SO2 CEMs. </t>
  </si>
  <si>
    <t>Updated to based on # of units estimated to conduct testing, assumes 20 hrs/plan/per unit.</t>
  </si>
  <si>
    <t>updated - # of test is based on # of units testing by pollutant</t>
  </si>
  <si>
    <t>Revised # of units with CEMS/CPMS based on data provided by OAQPS, see %CEMSCPMSvstesting tab</t>
  </si>
  <si>
    <r>
      <rPr>
        <sz val="10"/>
        <color rgb="FF00B050"/>
        <rFont val="Calibri"/>
        <family val="2"/>
        <scheme val="minor"/>
      </rPr>
      <t>Updated to # of units using HCl/SO2 CEMS.</t>
    </r>
    <r>
      <rPr>
        <sz val="10"/>
        <color rgb="FFFF0000"/>
        <rFont val="Calibri"/>
        <family val="2"/>
        <scheme val="minor"/>
      </rPr>
      <t xml:space="preserve"> Updated to revised # of respondents</t>
    </r>
  </si>
  <si>
    <r>
      <t xml:space="preserve">Records of CEMS malfunctions </t>
    </r>
    <r>
      <rPr>
        <sz val="10"/>
        <color rgb="FFFF0000"/>
        <rFont val="Calibri"/>
        <family val="2"/>
        <scheme val="minor"/>
      </rPr>
      <t>(10% of respondents)</t>
    </r>
  </si>
  <si>
    <r>
      <t xml:space="preserve">a EPA estimates an average of 727 units at 322 existing facilities and no new units per year will be subject to the NESHAP over the next 3 years. Of these, </t>
    </r>
    <r>
      <rPr>
        <sz val="10"/>
        <color rgb="FFFF0000"/>
        <rFont val="Calibri"/>
        <family val="2"/>
        <scheme val="minor"/>
      </rPr>
      <t xml:space="preserve">268 facilities are owned by private industry. </t>
    </r>
  </si>
  <si>
    <t xml:space="preserve">c Estimates are based on the number of privately-owned EGUs complying with annual testing requirements for PM, HCl, and Hg, in lieu of CEMS/CPMS monitoring for these pollutants and includes 407 EGUs conducting Method 5 and Method 202 testing, 100 EGUs conducting Method 320 testing, and 143 EGUs conducting Method 30B testing.   </t>
  </si>
  <si>
    <r>
      <rPr>
        <sz val="10"/>
        <color rgb="FF00B050"/>
        <rFont val="Calibri"/>
        <family val="2"/>
        <scheme val="minor"/>
      </rPr>
      <t xml:space="preserve">Updated to based on 10% of footprints. </t>
    </r>
    <r>
      <rPr>
        <sz val="10"/>
        <color rgb="FFFF0000"/>
        <rFont val="Calibri"/>
        <family val="2"/>
        <scheme val="minor"/>
      </rPr>
      <t>Updated to revised # of respondents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</si>
</sst>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409]* #,##0_);_([$$-409]* \(#,##0\);_([$$-409]* &quot;-&quot;??_);_(@_)"/>
    <numFmt numFmtId="167" formatCode="_(* #,##0.0_);_(* \(#,##0.0\);_(* &quot;-&quot;??_);_(@_)"/>
    <numFmt numFmtId="168" formatCode="_(* #,##0_);_(* \(#,##0\);_(* &quot;-&quot;??_);_(@_)"/>
    <numFmt numFmtId="169" formatCode="_(&quot;$&quot;* #,##0_);_(&quot;$&quot;* \(#,##0\);_(&quot;$&quot;* &quot;-&quot;??_);_(@_)"/>
    <numFmt numFmtId="170" formatCode="0.0"/>
    <numFmt numFmtId="171" formatCode="#,##0.0"/>
    <numFmt numFmtId="172" formatCode="0.0%"/>
    <numFmt numFmtId="173" formatCode="0.000"/>
  </numFmts>
  <fonts count="59" x14ac:knownFonts="1">
    <font>
      <sz val="11"/>
      <color theme="1"/>
      <name val="Calibri"/>
      <family val="2"/>
      <scheme val="minor"/>
    </font>
    <font>
      <sz val="10"/>
      <name val="Arial"/>
      <family val="2"/>
    </font>
    <font>
      <sz val="11"/>
      <color indexed="8"/>
      <name val="Calibri"/>
      <family val="2"/>
    </font>
    <font>
      <sz val="10"/>
      <color indexed="8"/>
      <name val="Calibri"/>
      <family val="2"/>
    </font>
    <font>
      <sz val="8"/>
      <name val="Calibri"/>
      <family val="2"/>
    </font>
    <font>
      <b/>
      <sz val="10"/>
      <color indexed="8"/>
      <name val="Calibri"/>
      <family val="2"/>
    </font>
    <font>
      <sz val="10"/>
      <name val="Calibri"/>
      <family val="2"/>
    </font>
    <font>
      <sz val="11"/>
      <color rgb="FF006100"/>
      <name val="Calibri"/>
      <family val="2"/>
      <scheme val="minor"/>
    </font>
    <font>
      <u/>
      <sz val="8.25"/>
      <color theme="10"/>
      <name val="Calibri"/>
      <family val="2"/>
    </font>
    <font>
      <sz val="11"/>
      <name val="Calibri"/>
      <family val="2"/>
      <scheme val="minor"/>
    </font>
    <font>
      <sz val="10"/>
      <name val="Calibri"/>
      <family val="2"/>
      <scheme val="minor"/>
    </font>
    <font>
      <sz val="10"/>
      <color indexed="8"/>
      <name val="Calibri"/>
      <family val="2"/>
      <scheme val="minor"/>
    </font>
    <font>
      <sz val="10"/>
      <color rgb="FF000000"/>
      <name val="Calibri"/>
      <family val="2"/>
      <scheme val="minor"/>
    </font>
    <font>
      <sz val="10"/>
      <color theme="1"/>
      <name val="Calibri"/>
      <family val="2"/>
      <scheme val="minor"/>
    </font>
    <font>
      <sz val="11"/>
      <color theme="1"/>
      <name val="Calibri"/>
      <family val="2"/>
      <scheme val="minor"/>
    </font>
    <font>
      <u/>
      <sz val="10"/>
      <name val="Arial"/>
      <family val="2"/>
    </font>
    <font>
      <sz val="10"/>
      <color rgb="FFFF0000"/>
      <name val="Arial"/>
      <family val="2"/>
    </font>
    <font>
      <sz val="10"/>
      <color rgb="FF00B050"/>
      <name val="Arial"/>
      <family val="2"/>
    </font>
    <font>
      <b/>
      <sz val="10"/>
      <name val="Arial"/>
      <family val="2"/>
    </font>
    <font>
      <b/>
      <sz val="12"/>
      <name val="Arial"/>
      <family val="2"/>
    </font>
    <font>
      <b/>
      <sz val="10"/>
      <color rgb="FF00B050"/>
      <name val="Arial"/>
      <family val="2"/>
    </font>
    <font>
      <b/>
      <sz val="11"/>
      <name val="Calibri"/>
      <family val="2"/>
      <scheme val="minor"/>
    </font>
    <font>
      <b/>
      <sz val="10"/>
      <name val="Calibri"/>
      <family val="2"/>
      <scheme val="minor"/>
    </font>
    <font>
      <b/>
      <sz val="10"/>
      <color indexed="8"/>
      <name val="Calibri"/>
      <family val="2"/>
      <scheme val="minor"/>
    </font>
    <font>
      <b/>
      <sz val="10"/>
      <color rgb="FF000000"/>
      <name val="Calibri"/>
      <family val="2"/>
      <scheme val="minor"/>
    </font>
    <font>
      <b/>
      <i/>
      <sz val="10"/>
      <color indexed="8"/>
      <name val="Calibri"/>
      <family val="2"/>
    </font>
    <font>
      <b/>
      <sz val="12"/>
      <color theme="1"/>
      <name val="Calibri"/>
      <family val="2"/>
      <scheme val="minor"/>
    </font>
    <font>
      <b/>
      <sz val="10"/>
      <name val="Calibri"/>
      <family val="2"/>
    </font>
    <font>
      <b/>
      <u/>
      <sz val="12"/>
      <color theme="1"/>
      <name val="Calibri"/>
      <family val="2"/>
      <scheme val="minor"/>
    </font>
    <font>
      <b/>
      <sz val="10"/>
      <color theme="1"/>
      <name val="Calibri"/>
      <family val="2"/>
      <scheme val="minor"/>
    </font>
    <font>
      <i/>
      <sz val="10"/>
      <color indexed="8"/>
      <name val="Calibri"/>
      <family val="2"/>
      <scheme val="minor"/>
    </font>
    <font>
      <sz val="10"/>
      <color rgb="FFFF0000"/>
      <name val="Calibri"/>
      <family val="2"/>
      <scheme val="minor"/>
    </font>
    <font>
      <b/>
      <sz val="12"/>
      <name val="Calibri"/>
      <family val="2"/>
      <scheme val="minor"/>
    </font>
    <font>
      <b/>
      <vertAlign val="superscript"/>
      <sz val="10"/>
      <name val="Calibri"/>
      <family val="2"/>
      <scheme val="minor"/>
    </font>
    <font>
      <b/>
      <i/>
      <sz val="10"/>
      <name val="Calibri"/>
      <family val="2"/>
      <scheme val="minor"/>
    </font>
    <font>
      <b/>
      <u/>
      <sz val="10"/>
      <color indexed="8"/>
      <name val="Calibri"/>
      <family val="2"/>
      <scheme val="minor"/>
    </font>
    <font>
      <u/>
      <sz val="10"/>
      <color theme="10"/>
      <name val="Calibri"/>
      <family val="2"/>
      <scheme val="minor"/>
    </font>
    <font>
      <b/>
      <u/>
      <sz val="12"/>
      <color indexed="8"/>
      <name val="Calibri"/>
      <family val="2"/>
      <scheme val="minor"/>
    </font>
    <font>
      <sz val="12"/>
      <name val="Calibri"/>
      <family val="2"/>
      <scheme val="minor"/>
    </font>
    <font>
      <sz val="10"/>
      <color rgb="FF00B0F0"/>
      <name val="Calibri"/>
      <family val="2"/>
      <scheme val="minor"/>
    </font>
    <font>
      <vertAlign val="superscript"/>
      <sz val="10"/>
      <color theme="1"/>
      <name val="Calibri"/>
      <family val="2"/>
      <scheme val="minor"/>
    </font>
    <font>
      <sz val="11"/>
      <color rgb="FFFF0000"/>
      <name val="Calibri"/>
      <family val="2"/>
      <scheme val="minor"/>
    </font>
    <font>
      <b/>
      <sz val="9"/>
      <color indexed="81"/>
      <name val="Tahoma"/>
      <family val="2"/>
    </font>
    <font>
      <sz val="9"/>
      <color indexed="81"/>
      <name val="Tahoma"/>
      <family val="2"/>
    </font>
    <font>
      <b/>
      <i/>
      <vertAlign val="superscript"/>
      <sz val="10"/>
      <name val="Calibri"/>
      <family val="2"/>
      <scheme val="minor"/>
    </font>
    <font>
      <b/>
      <sz val="11"/>
      <color theme="1"/>
      <name val="Calibri"/>
      <family val="2"/>
      <scheme val="minor"/>
    </font>
    <font>
      <b/>
      <sz val="11"/>
      <name val="Times New Roman"/>
      <family val="1"/>
    </font>
    <font>
      <sz val="11"/>
      <name val="Times New Roman"/>
      <family val="1"/>
    </font>
    <font>
      <b/>
      <i/>
      <sz val="11"/>
      <name val="Times New Roman"/>
      <family val="1"/>
    </font>
    <font>
      <sz val="12"/>
      <color rgb="FFFF0000"/>
      <name val="Times New Roman"/>
      <family val="1"/>
    </font>
    <font>
      <u/>
      <sz val="10"/>
      <name val="Arial"/>
      <family val="2"/>
    </font>
    <font>
      <sz val="10"/>
      <name val="Arial"/>
      <family val="2"/>
    </font>
    <font>
      <sz val="11"/>
      <color rgb="FF00B050"/>
      <name val="Calibri"/>
      <family val="2"/>
      <scheme val="minor"/>
    </font>
    <font>
      <sz val="10"/>
      <color rgb="FF00B050"/>
      <name val="Calibri"/>
      <family val="2"/>
      <scheme val="minor"/>
    </font>
    <font>
      <strike/>
      <sz val="10"/>
      <color rgb="FFFF0000"/>
      <name val="Calibri"/>
      <family val="2"/>
      <scheme val="minor"/>
    </font>
    <font>
      <vertAlign val="superscript"/>
      <sz val="10"/>
      <color rgb="FFFF0000"/>
      <name val="Calibri"/>
      <family val="2"/>
      <scheme val="minor"/>
    </font>
    <font>
      <b/>
      <sz val="11"/>
      <color rgb="FF000000"/>
      <name val="Arial"/>
      <family val="2"/>
    </font>
    <font>
      <b/>
      <sz val="11"/>
      <name val="Arial"/>
      <family val="2"/>
    </font>
    <font>
      <sz val="11"/>
      <color rgb="FF000000"/>
      <name val="Arial"/>
      <family val="2"/>
    </font>
  </fonts>
  <fills count="12">
    <fill>
      <patternFill patternType="none"/>
    </fill>
    <fill>
      <patternFill patternType="gray125"/>
    </fill>
    <fill>
      <patternFill patternType="solid">
        <fgColor rgb="FFC6EFCE"/>
      </patternFill>
    </fill>
    <fill>
      <patternFill patternType="solid">
        <fgColor theme="0" tint="0.59999389629810485"/>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D9D9D9"/>
        <bgColor rgb="FF000000"/>
      </patternFill>
    </fill>
    <fill>
      <patternFill patternType="solid">
        <fgColor rgb="FFD9D9D9"/>
        <bgColor rgb="FFFFFFFF"/>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diagonal/>
    </border>
  </borders>
  <cellStyleXfs count="44">
    <xf numFmtId="0" fontId="0" fillId="0" borderId="0"/>
    <xf numFmtId="43" fontId="2" fillId="0" borderId="0" applyFont="0" applyFill="0" applyBorder="0" applyAlignment="0" applyProtection="0"/>
    <xf numFmtId="44" fontId="2" fillId="0" borderId="0" applyFont="0" applyFill="0" applyBorder="0" applyAlignment="0" applyProtection="0"/>
    <xf numFmtId="0" fontId="7" fillId="2" borderId="0" applyNumberFormat="0" applyBorder="0" applyAlignment="0" applyProtection="0"/>
    <xf numFmtId="0" fontId="8"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9" fontId="14" fillId="0" borderId="0" applyFont="0" applyFill="0" applyBorder="0" applyAlignment="0" applyProtection="0"/>
  </cellStyleXfs>
  <cellXfs count="549">
    <xf numFmtId="0" fontId="0" fillId="0" borderId="0" xfId="0"/>
    <xf numFmtId="0" fontId="3" fillId="0" borderId="0" xfId="0" applyFont="1" applyAlignment="1">
      <alignment wrapText="1"/>
    </xf>
    <xf numFmtId="0" fontId="3" fillId="0" borderId="0" xfId="0" applyFont="1" applyBorder="1" applyAlignment="1">
      <alignment wrapText="1"/>
    </xf>
    <xf numFmtId="168" fontId="3" fillId="0" borderId="0" xfId="1" applyNumberFormat="1" applyFont="1" applyBorder="1" applyAlignment="1">
      <alignment wrapText="1"/>
    </xf>
    <xf numFmtId="169" fontId="3" fillId="0" borderId="0" xfId="2" applyNumberFormat="1" applyFont="1" applyBorder="1" applyAlignment="1">
      <alignment wrapText="1"/>
    </xf>
    <xf numFmtId="0" fontId="0" fillId="0" borderId="0" xfId="0" applyBorder="1"/>
    <xf numFmtId="0" fontId="0" fillId="0" borderId="0" xfId="0" applyFont="1"/>
    <xf numFmtId="0" fontId="3" fillId="0" borderId="0" xfId="0" applyFont="1" applyFill="1" applyBorder="1" applyAlignment="1" applyProtection="1">
      <alignment wrapText="1"/>
      <protection locked="0"/>
    </xf>
    <xf numFmtId="0" fontId="3" fillId="0" borderId="0" xfId="0" applyFont="1" applyBorder="1" applyAlignment="1"/>
    <xf numFmtId="0" fontId="3" fillId="0" borderId="0" xfId="0" applyFont="1" applyAlignment="1"/>
    <xf numFmtId="0" fontId="13" fillId="0" borderId="1" xfId="0" applyFont="1" applyBorder="1"/>
    <xf numFmtId="0" fontId="13" fillId="0" borderId="0" xfId="0" applyFont="1"/>
    <xf numFmtId="166" fontId="3" fillId="0" borderId="0" xfId="1" applyNumberFormat="1" applyFont="1" applyBorder="1" applyAlignment="1">
      <alignment wrapText="1"/>
    </xf>
    <xf numFmtId="0" fontId="13" fillId="0" borderId="1" xfId="0" applyFont="1" applyBorder="1" applyAlignment="1">
      <alignment wrapText="1"/>
    </xf>
    <xf numFmtId="0" fontId="13" fillId="0" borderId="1" xfId="0" applyFont="1" applyBorder="1" applyAlignment="1">
      <alignment horizontal="right"/>
    </xf>
    <xf numFmtId="3" fontId="3" fillId="0" borderId="1" xfId="0" applyNumberFormat="1" applyFont="1" applyFill="1" applyBorder="1" applyAlignment="1" applyProtection="1">
      <alignment wrapText="1"/>
      <protection locked="0"/>
    </xf>
    <xf numFmtId="3" fontId="3" fillId="0" borderId="0" xfId="0" applyNumberFormat="1" applyFont="1" applyFill="1" applyBorder="1" applyAlignment="1" applyProtection="1">
      <alignment wrapText="1"/>
      <protection locked="0"/>
    </xf>
    <xf numFmtId="3" fontId="5" fillId="0" borderId="1" xfId="0" applyNumberFormat="1" applyFont="1" applyFill="1" applyBorder="1" applyAlignment="1" applyProtection="1">
      <alignment wrapText="1"/>
      <protection locked="0"/>
    </xf>
    <xf numFmtId="0" fontId="1" fillId="0" borderId="0" xfId="5"/>
    <xf numFmtId="0" fontId="15" fillId="0" borderId="0" xfId="5" applyFont="1"/>
    <xf numFmtId="0" fontId="1" fillId="0" borderId="0" xfId="5" applyAlignment="1">
      <alignment horizontal="right"/>
    </xf>
    <xf numFmtId="0" fontId="1" fillId="0" borderId="0" xfId="5" applyProtection="1">
      <protection locked="0"/>
    </xf>
    <xf numFmtId="0" fontId="1" fillId="0" borderId="0" xfId="5" applyAlignment="1">
      <alignment horizontal="center"/>
    </xf>
    <xf numFmtId="3" fontId="1" fillId="0" borderId="0" xfId="5" applyNumberFormat="1" applyFill="1"/>
    <xf numFmtId="3" fontId="1" fillId="0" borderId="0" xfId="5" applyNumberFormat="1"/>
    <xf numFmtId="3" fontId="15" fillId="0" borderId="0" xfId="5" applyNumberFormat="1" applyFont="1" applyFill="1"/>
    <xf numFmtId="3" fontId="15" fillId="0" borderId="0" xfId="5" applyNumberFormat="1" applyFont="1"/>
    <xf numFmtId="0" fontId="1" fillId="0" borderId="18" xfId="5" applyBorder="1"/>
    <xf numFmtId="0" fontId="1" fillId="0" borderId="0" xfId="5" applyFill="1" applyBorder="1" applyAlignment="1">
      <alignment horizontal="center"/>
    </xf>
    <xf numFmtId="0" fontId="1" fillId="0" borderId="0" xfId="5" applyBorder="1"/>
    <xf numFmtId="0" fontId="1" fillId="0" borderId="19" xfId="5" applyBorder="1"/>
    <xf numFmtId="3" fontId="1" fillId="0" borderId="0" xfId="5" applyNumberFormat="1" applyFill="1" applyBorder="1"/>
    <xf numFmtId="3" fontId="15" fillId="0" borderId="0" xfId="5" applyNumberFormat="1" applyFont="1" applyFill="1" applyBorder="1"/>
    <xf numFmtId="0" fontId="1" fillId="0" borderId="0" xfId="5" applyFill="1"/>
    <xf numFmtId="3" fontId="1" fillId="0" borderId="19" xfId="5" applyNumberFormat="1" applyFill="1" applyBorder="1"/>
    <xf numFmtId="0" fontId="1" fillId="0" borderId="0" xfId="5" applyFill="1" applyBorder="1"/>
    <xf numFmtId="0" fontId="1" fillId="0" borderId="0" xfId="6"/>
    <xf numFmtId="3" fontId="1" fillId="0" borderId="0" xfId="6" applyNumberFormat="1"/>
    <xf numFmtId="3" fontId="1" fillId="0" borderId="0" xfId="6" applyNumberFormat="1" applyFill="1"/>
    <xf numFmtId="3" fontId="1" fillId="0" borderId="0" xfId="5" applyNumberFormat="1" applyFont="1" applyFill="1" applyBorder="1"/>
    <xf numFmtId="0" fontId="5" fillId="0" borderId="1" xfId="0" applyFont="1" applyFill="1" applyBorder="1" applyAlignment="1" applyProtection="1">
      <alignment wrapText="1"/>
      <protection locked="0"/>
    </xf>
    <xf numFmtId="0" fontId="3" fillId="0" borderId="0" xfId="0" applyFont="1" applyBorder="1" applyAlignment="1" applyProtection="1">
      <alignment wrapText="1"/>
      <protection locked="0"/>
    </xf>
    <xf numFmtId="0" fontId="3" fillId="0" borderId="1" xfId="0" applyFont="1" applyFill="1" applyBorder="1" applyAlignment="1" applyProtection="1">
      <alignment wrapText="1"/>
      <protection locked="0"/>
    </xf>
    <xf numFmtId="0" fontId="5" fillId="4" borderId="1" xfId="0" applyFont="1" applyFill="1" applyBorder="1" applyAlignment="1" applyProtection="1">
      <alignment horizontal="center" wrapText="1"/>
      <protection locked="0"/>
    </xf>
    <xf numFmtId="0" fontId="10" fillId="0" borderId="0" xfId="3" applyFont="1" applyFill="1" applyBorder="1" applyAlignment="1" applyProtection="1">
      <protection locked="0"/>
    </xf>
    <xf numFmtId="0" fontId="19" fillId="0" borderId="0" xfId="5" applyFont="1"/>
    <xf numFmtId="0" fontId="16" fillId="0" borderId="0" xfId="5" applyFont="1"/>
    <xf numFmtId="0" fontId="18" fillId="4" borderId="3" xfId="5" applyFont="1" applyFill="1" applyBorder="1"/>
    <xf numFmtId="0" fontId="18" fillId="4" borderId="5" xfId="5" applyFont="1" applyFill="1" applyBorder="1"/>
    <xf numFmtId="0" fontId="18" fillId="4" borderId="4" xfId="5" applyFont="1" applyFill="1" applyBorder="1"/>
    <xf numFmtId="0" fontId="1" fillId="0" borderId="18" xfId="5" applyFill="1" applyBorder="1"/>
    <xf numFmtId="3" fontId="1" fillId="0" borderId="21" xfId="5" applyNumberFormat="1" applyFont="1" applyFill="1" applyBorder="1"/>
    <xf numFmtId="0" fontId="1" fillId="0" borderId="20" xfId="5" applyFill="1" applyBorder="1"/>
    <xf numFmtId="0" fontId="1" fillId="0" borderId="18" xfId="5" applyFont="1" applyFill="1" applyBorder="1" applyAlignment="1">
      <alignment horizontal="right"/>
    </xf>
    <xf numFmtId="0" fontId="1" fillId="0" borderId="19" xfId="5" applyFill="1" applyBorder="1" applyAlignment="1">
      <alignment horizontal="right"/>
    </xf>
    <xf numFmtId="3" fontId="15" fillId="0" borderId="19" xfId="5" applyNumberFormat="1" applyFont="1" applyFill="1" applyBorder="1"/>
    <xf numFmtId="0" fontId="1" fillId="0" borderId="19" xfId="5" applyFill="1" applyBorder="1"/>
    <xf numFmtId="0" fontId="1" fillId="0" borderId="15" xfId="5" applyFill="1" applyBorder="1"/>
    <xf numFmtId="0" fontId="1" fillId="0" borderId="16" xfId="5" applyFill="1" applyBorder="1"/>
    <xf numFmtId="0" fontId="1" fillId="0" borderId="17" xfId="5" applyFill="1" applyBorder="1"/>
    <xf numFmtId="3" fontId="1" fillId="0" borderId="21" xfId="5" applyNumberFormat="1" applyFill="1" applyBorder="1"/>
    <xf numFmtId="0" fontId="5" fillId="4" borderId="3" xfId="0" applyFont="1" applyFill="1" applyBorder="1" applyAlignment="1" applyProtection="1">
      <alignment horizontal="center" wrapText="1"/>
      <protection locked="0"/>
    </xf>
    <xf numFmtId="164" fontId="10" fillId="0" borderId="1" xfId="3" applyNumberFormat="1" applyFont="1" applyFill="1" applyBorder="1" applyAlignment="1" applyProtection="1">
      <alignment wrapText="1"/>
      <protection locked="0"/>
    </xf>
    <xf numFmtId="0" fontId="3" fillId="4" borderId="25" xfId="0" applyFont="1" applyFill="1" applyBorder="1" applyAlignment="1" applyProtection="1">
      <alignment horizontal="center"/>
      <protection locked="0"/>
    </xf>
    <xf numFmtId="0" fontId="5" fillId="4" borderId="25" xfId="0" applyFont="1" applyFill="1" applyBorder="1" applyAlignment="1" applyProtection="1">
      <alignment horizontal="center"/>
      <protection locked="0"/>
    </xf>
    <xf numFmtId="0" fontId="5" fillId="4" borderId="26" xfId="0" applyFont="1" applyFill="1" applyBorder="1" applyAlignment="1" applyProtection="1">
      <alignment horizontal="center"/>
      <protection locked="0"/>
    </xf>
    <xf numFmtId="0" fontId="5" fillId="4" borderId="2" xfId="0" applyFont="1" applyFill="1" applyBorder="1" applyAlignment="1" applyProtection="1">
      <alignment horizontal="center" wrapText="1"/>
      <protection locked="0"/>
    </xf>
    <xf numFmtId="0" fontId="22" fillId="4" borderId="1" xfId="3" applyFont="1" applyFill="1" applyBorder="1" applyAlignment="1" applyProtection="1">
      <alignment horizontal="center" wrapText="1"/>
      <protection locked="0"/>
    </xf>
    <xf numFmtId="0" fontId="5" fillId="4" borderId="4" xfId="0" applyFont="1" applyFill="1" applyBorder="1" applyAlignment="1" applyProtection="1">
      <alignment horizontal="center" wrapText="1"/>
      <protection locked="0"/>
    </xf>
    <xf numFmtId="0" fontId="5" fillId="4" borderId="16" xfId="0" applyFont="1" applyFill="1" applyBorder="1" applyAlignment="1" applyProtection="1">
      <alignment horizontal="center"/>
      <protection locked="0"/>
    </xf>
    <xf numFmtId="0" fontId="3" fillId="4" borderId="16" xfId="0" applyFont="1" applyFill="1" applyBorder="1" applyAlignment="1" applyProtection="1">
      <alignment horizontal="center"/>
      <protection locked="0"/>
    </xf>
    <xf numFmtId="0" fontId="5" fillId="4" borderId="13" xfId="0" applyFont="1" applyFill="1" applyBorder="1" applyAlignment="1" applyProtection="1">
      <alignment horizontal="center" wrapText="1"/>
      <protection locked="0"/>
    </xf>
    <xf numFmtId="0" fontId="26" fillId="0" borderId="0" xfId="0" applyFont="1"/>
    <xf numFmtId="0" fontId="22" fillId="4" borderId="3" xfId="3" applyFont="1" applyFill="1" applyBorder="1" applyAlignment="1" applyProtection="1">
      <alignment horizontal="center" wrapText="1"/>
      <protection locked="0"/>
    </xf>
    <xf numFmtId="0" fontId="5" fillId="4" borderId="14" xfId="0" applyFont="1" applyFill="1" applyBorder="1" applyAlignment="1" applyProtection="1">
      <alignment horizontal="center" wrapText="1"/>
      <protection locked="0"/>
    </xf>
    <xf numFmtId="3" fontId="0" fillId="0" borderId="0" xfId="0" applyNumberFormat="1"/>
    <xf numFmtId="0" fontId="28" fillId="0" borderId="0" xfId="0" applyFont="1"/>
    <xf numFmtId="0" fontId="0" fillId="0" borderId="0" xfId="0" applyFill="1"/>
    <xf numFmtId="3" fontId="1" fillId="5" borderId="16" xfId="5" applyNumberFormat="1" applyFill="1" applyBorder="1"/>
    <xf numFmtId="3" fontId="1" fillId="0" borderId="19" xfId="5" applyNumberFormat="1" applyFont="1" applyFill="1" applyBorder="1"/>
    <xf numFmtId="3" fontId="1" fillId="0" borderId="22" xfId="5" applyNumberFormat="1" applyFont="1" applyFill="1" applyBorder="1"/>
    <xf numFmtId="3" fontId="17" fillId="0" borderId="0" xfId="5" applyNumberFormat="1" applyFont="1" applyFill="1" applyBorder="1"/>
    <xf numFmtId="0" fontId="1" fillId="0" borderId="0" xfId="5" applyFont="1" applyFill="1"/>
    <xf numFmtId="0" fontId="1" fillId="0" borderId="21" xfId="5" applyFill="1" applyBorder="1"/>
    <xf numFmtId="3" fontId="16" fillId="0" borderId="19" xfId="5" applyNumberFormat="1" applyFont="1" applyFill="1" applyBorder="1"/>
    <xf numFmtId="0" fontId="1" fillId="0" borderId="19" xfId="5" applyFill="1" applyBorder="1" applyAlignment="1">
      <alignment horizontal="center"/>
    </xf>
    <xf numFmtId="3" fontId="1" fillId="0" borderId="22" xfId="5" applyNumberFormat="1" applyFill="1" applyBorder="1"/>
    <xf numFmtId="3" fontId="16" fillId="0" borderId="0" xfId="5" applyNumberFormat="1" applyFont="1" applyFill="1" applyBorder="1"/>
    <xf numFmtId="3" fontId="3" fillId="0" borderId="4" xfId="0" applyNumberFormat="1" applyFont="1" applyFill="1" applyBorder="1" applyAlignment="1" applyProtection="1">
      <alignment wrapText="1"/>
      <protection locked="0"/>
    </xf>
    <xf numFmtId="1" fontId="3" fillId="0" borderId="4" xfId="0" applyNumberFormat="1" applyFont="1" applyFill="1" applyBorder="1" applyAlignment="1" applyProtection="1">
      <alignment wrapText="1"/>
      <protection locked="0"/>
    </xf>
    <xf numFmtId="1" fontId="3" fillId="0" borderId="1" xfId="0" applyNumberFormat="1" applyFont="1" applyFill="1" applyBorder="1" applyAlignment="1" applyProtection="1">
      <alignment wrapText="1"/>
      <protection locked="0"/>
    </xf>
    <xf numFmtId="3" fontId="6" fillId="0" borderId="1" xfId="0" applyNumberFormat="1" applyFont="1" applyFill="1" applyBorder="1" applyAlignment="1" applyProtection="1">
      <alignment horizontal="right" wrapText="1"/>
      <protection locked="0"/>
    </xf>
    <xf numFmtId="3" fontId="27" fillId="0" borderId="1" xfId="0" applyNumberFormat="1" applyFont="1" applyFill="1" applyBorder="1" applyAlignment="1" applyProtection="1">
      <alignment horizontal="right" wrapText="1"/>
      <protection locked="0"/>
    </xf>
    <xf numFmtId="0" fontId="3" fillId="0" borderId="10" xfId="0" applyFont="1" applyFill="1" applyBorder="1" applyAlignment="1" applyProtection="1">
      <alignment horizontal="center" wrapText="1"/>
      <protection locked="0"/>
    </xf>
    <xf numFmtId="0" fontId="3" fillId="0" borderId="31" xfId="0" applyFont="1" applyFill="1" applyBorder="1" applyAlignment="1" applyProtection="1">
      <alignment horizontal="right" wrapText="1"/>
      <protection locked="0"/>
    </xf>
    <xf numFmtId="3" fontId="3" fillId="0" borderId="0" xfId="0" applyNumberFormat="1" applyFont="1" applyFill="1" applyBorder="1" applyAlignment="1" applyProtection="1">
      <alignment horizontal="right" wrapText="1"/>
      <protection locked="0"/>
    </xf>
    <xf numFmtId="3" fontId="9" fillId="0" borderId="9" xfId="3" applyNumberFormat="1" applyFont="1" applyFill="1" applyBorder="1" applyAlignment="1" applyProtection="1">
      <alignment horizontal="right" wrapText="1"/>
      <protection locked="0"/>
    </xf>
    <xf numFmtId="3" fontId="3" fillId="0" borderId="10" xfId="0" applyNumberFormat="1" applyFont="1" applyFill="1" applyBorder="1" applyAlignment="1" applyProtection="1">
      <alignment horizontal="right" wrapText="1"/>
      <protection locked="0"/>
    </xf>
    <xf numFmtId="3" fontId="3" fillId="0" borderId="31" xfId="0" applyNumberFormat="1" applyFont="1" applyFill="1" applyBorder="1" applyAlignment="1" applyProtection="1">
      <alignment horizontal="right" wrapText="1"/>
      <protection locked="0"/>
    </xf>
    <xf numFmtId="3" fontId="3" fillId="0" borderId="8" xfId="0" applyNumberFormat="1" applyFont="1" applyFill="1" applyBorder="1" applyAlignment="1" applyProtection="1">
      <alignment horizontal="right" wrapText="1"/>
      <protection locked="0"/>
    </xf>
    <xf numFmtId="0" fontId="3" fillId="0" borderId="0" xfId="0" applyFont="1" applyFill="1" applyBorder="1" applyAlignment="1" applyProtection="1">
      <alignment horizontal="center"/>
      <protection locked="0"/>
    </xf>
    <xf numFmtId="0" fontId="3" fillId="0" borderId="31" xfId="0" applyFont="1" applyFill="1" applyBorder="1" applyAlignment="1" applyProtection="1">
      <alignment horizontal="right"/>
      <protection locked="0"/>
    </xf>
    <xf numFmtId="3" fontId="3" fillId="0" borderId="0" xfId="0" applyNumberFormat="1" applyFont="1" applyFill="1" applyBorder="1" applyAlignment="1" applyProtection="1">
      <alignment horizontal="right"/>
      <protection locked="0"/>
    </xf>
    <xf numFmtId="3" fontId="9" fillId="0" borderId="24" xfId="3" applyNumberFormat="1" applyFont="1" applyFill="1" applyBorder="1" applyAlignment="1" applyProtection="1">
      <alignment horizontal="right"/>
      <protection locked="0"/>
    </xf>
    <xf numFmtId="3" fontId="3" fillId="0" borderId="31" xfId="0" applyNumberFormat="1" applyFont="1" applyFill="1" applyBorder="1" applyAlignment="1" applyProtection="1">
      <alignment horizontal="right"/>
      <protection locked="0"/>
    </xf>
    <xf numFmtId="0" fontId="3" fillId="0" borderId="0" xfId="0" applyFont="1" applyFill="1" applyBorder="1" applyAlignment="1" applyProtection="1">
      <alignment horizontal="center" wrapText="1"/>
      <protection locked="0"/>
    </xf>
    <xf numFmtId="3" fontId="9" fillId="0" borderId="24" xfId="3" applyNumberFormat="1" applyFont="1" applyFill="1" applyBorder="1" applyAlignment="1" applyProtection="1">
      <alignment horizontal="right" wrapText="1"/>
      <protection locked="0"/>
    </xf>
    <xf numFmtId="0" fontId="5" fillId="0" borderId="37" xfId="0" applyFont="1" applyFill="1" applyBorder="1" applyAlignment="1" applyProtection="1">
      <alignment horizontal="center" wrapText="1"/>
      <protection locked="0"/>
    </xf>
    <xf numFmtId="0" fontId="5" fillId="0" borderId="6" xfId="0" applyFont="1" applyFill="1" applyBorder="1" applyAlignment="1" applyProtection="1">
      <alignment horizontal="right" wrapText="1"/>
      <protection locked="0"/>
    </xf>
    <xf numFmtId="3" fontId="21" fillId="0" borderId="37" xfId="3" applyNumberFormat="1" applyFont="1" applyFill="1" applyBorder="1" applyAlignment="1" applyProtection="1">
      <alignment horizontal="right" wrapText="1"/>
      <protection locked="0"/>
    </xf>
    <xf numFmtId="3" fontId="21" fillId="0" borderId="33" xfId="3" applyNumberFormat="1" applyFont="1" applyFill="1" applyBorder="1" applyAlignment="1" applyProtection="1">
      <alignment horizontal="right" wrapText="1"/>
      <protection locked="0"/>
    </xf>
    <xf numFmtId="3" fontId="21" fillId="0" borderId="6" xfId="3" applyNumberFormat="1" applyFont="1" applyFill="1" applyBorder="1" applyAlignment="1" applyProtection="1">
      <alignment horizontal="right" wrapText="1"/>
      <protection locked="0"/>
    </xf>
    <xf numFmtId="3" fontId="3" fillId="0" borderId="30" xfId="0" applyNumberFormat="1" applyFont="1" applyFill="1" applyBorder="1" applyAlignment="1" applyProtection="1">
      <alignment horizontal="right" wrapText="1"/>
      <protection locked="0"/>
    </xf>
    <xf numFmtId="3" fontId="9" fillId="0" borderId="0" xfId="3" applyNumberFormat="1" applyFont="1" applyFill="1" applyBorder="1" applyAlignment="1" applyProtection="1">
      <alignment horizontal="right" wrapText="1"/>
      <protection locked="0"/>
    </xf>
    <xf numFmtId="3" fontId="3" fillId="0" borderId="30" xfId="0" applyNumberFormat="1" applyFont="1" applyFill="1" applyBorder="1" applyAlignment="1" applyProtection="1">
      <alignment horizontal="right"/>
      <protection locked="0"/>
    </xf>
    <xf numFmtId="3" fontId="9" fillId="0" borderId="0" xfId="3" applyNumberFormat="1" applyFont="1" applyFill="1" applyBorder="1" applyAlignment="1" applyProtection="1">
      <alignment horizontal="right"/>
      <protection locked="0"/>
    </xf>
    <xf numFmtId="3" fontId="21" fillId="0" borderId="34" xfId="3" applyNumberFormat="1" applyFont="1" applyFill="1" applyBorder="1" applyAlignment="1" applyProtection="1">
      <alignment horizontal="right" wrapText="1"/>
      <protection locked="0"/>
    </xf>
    <xf numFmtId="3" fontId="3" fillId="0" borderId="24" xfId="0" applyNumberFormat="1" applyFont="1" applyFill="1" applyBorder="1" applyAlignment="1" applyProtection="1">
      <alignment horizontal="right" wrapText="1"/>
      <protection locked="0"/>
    </xf>
    <xf numFmtId="3" fontId="3" fillId="0" borderId="30" xfId="0" applyNumberFormat="1" applyFont="1" applyFill="1" applyBorder="1" applyAlignment="1" applyProtection="1">
      <alignment horizontal="center" wrapText="1"/>
      <protection locked="0"/>
    </xf>
    <xf numFmtId="0" fontId="3" fillId="0" borderId="38" xfId="0" applyFont="1" applyFill="1" applyBorder="1" applyAlignment="1" applyProtection="1">
      <protection locked="0"/>
    </xf>
    <xf numFmtId="3" fontId="3" fillId="0" borderId="24" xfId="0" applyNumberFormat="1" applyFont="1" applyFill="1" applyBorder="1" applyAlignment="1" applyProtection="1">
      <alignment horizontal="right"/>
      <protection locked="0"/>
    </xf>
    <xf numFmtId="3" fontId="3" fillId="0" borderId="30" xfId="0" applyNumberFormat="1" applyFont="1" applyFill="1" applyBorder="1" applyAlignment="1" applyProtection="1">
      <alignment horizontal="center"/>
      <protection locked="0"/>
    </xf>
    <xf numFmtId="3" fontId="3" fillId="0" borderId="24" xfId="0" quotePrefix="1" applyNumberFormat="1" applyFont="1" applyFill="1" applyBorder="1" applyAlignment="1" applyProtection="1">
      <alignment horizontal="right" wrapText="1"/>
      <protection locked="0"/>
    </xf>
    <xf numFmtId="3" fontId="3" fillId="0" borderId="30" xfId="0" quotePrefix="1" applyNumberFormat="1" applyFont="1" applyFill="1" applyBorder="1" applyAlignment="1" applyProtection="1">
      <alignment horizontal="center" wrapText="1"/>
      <protection locked="0"/>
    </xf>
    <xf numFmtId="3" fontId="21" fillId="0" borderId="34" xfId="3" applyNumberFormat="1" applyFont="1" applyFill="1" applyBorder="1" applyAlignment="1" applyProtection="1">
      <alignment horizontal="center" wrapText="1"/>
      <protection locked="0"/>
    </xf>
    <xf numFmtId="0" fontId="5" fillId="0" borderId="7" xfId="0" applyFont="1" applyFill="1" applyBorder="1" applyAlignment="1" applyProtection="1">
      <alignment wrapText="1"/>
      <protection locked="0"/>
    </xf>
    <xf numFmtId="3" fontId="3" fillId="0" borderId="0" xfId="0" applyNumberFormat="1" applyFont="1" applyFill="1" applyBorder="1" applyAlignment="1" applyProtection="1">
      <alignment horizontal="center" wrapText="1"/>
      <protection locked="0"/>
    </xf>
    <xf numFmtId="3" fontId="3" fillId="0" borderId="0" xfId="0" applyNumberFormat="1" applyFont="1" applyFill="1" applyBorder="1" applyAlignment="1" applyProtection="1">
      <alignment horizontal="center"/>
      <protection locked="0"/>
    </xf>
    <xf numFmtId="3" fontId="3" fillId="0" borderId="0" xfId="0" quotePrefix="1" applyNumberFormat="1" applyFont="1" applyFill="1" applyBorder="1" applyAlignment="1" applyProtection="1">
      <alignment horizontal="center" wrapText="1"/>
      <protection locked="0"/>
    </xf>
    <xf numFmtId="3" fontId="21" fillId="0" borderId="37" xfId="3" applyNumberFormat="1" applyFont="1" applyFill="1" applyBorder="1" applyAlignment="1" applyProtection="1">
      <alignment horizontal="center" wrapText="1"/>
      <protection locked="0"/>
    </xf>
    <xf numFmtId="0" fontId="3" fillId="5" borderId="10" xfId="0" applyFont="1" applyFill="1" applyBorder="1" applyAlignment="1" applyProtection="1">
      <alignment horizontal="center" wrapText="1"/>
      <protection locked="0"/>
    </xf>
    <xf numFmtId="0" fontId="3" fillId="5" borderId="31" xfId="0" applyFont="1" applyFill="1" applyBorder="1" applyAlignment="1" applyProtection="1">
      <alignment horizontal="right" wrapText="1"/>
      <protection locked="0"/>
    </xf>
    <xf numFmtId="3" fontId="3" fillId="5" borderId="0" xfId="0" applyNumberFormat="1" applyFont="1" applyFill="1" applyBorder="1" applyAlignment="1" applyProtection="1">
      <alignment horizontal="right" wrapText="1"/>
      <protection locked="0"/>
    </xf>
    <xf numFmtId="3" fontId="3" fillId="5" borderId="10" xfId="0" applyNumberFormat="1" applyFont="1" applyFill="1" applyBorder="1" applyAlignment="1" applyProtection="1">
      <alignment horizontal="right" wrapText="1"/>
      <protection locked="0"/>
    </xf>
    <xf numFmtId="0" fontId="3" fillId="5" borderId="0" xfId="0" applyFont="1" applyFill="1" applyBorder="1" applyAlignment="1" applyProtection="1">
      <alignment horizontal="center"/>
      <protection locked="0"/>
    </xf>
    <xf numFmtId="0" fontId="3" fillId="5" borderId="31" xfId="0" applyFont="1" applyFill="1" applyBorder="1" applyAlignment="1" applyProtection="1">
      <alignment horizontal="right"/>
      <protection locked="0"/>
    </xf>
    <xf numFmtId="3" fontId="3" fillId="5" borderId="0" xfId="0" applyNumberFormat="1" applyFont="1" applyFill="1" applyBorder="1" applyAlignment="1" applyProtection="1">
      <alignment horizontal="right"/>
      <protection locked="0"/>
    </xf>
    <xf numFmtId="0" fontId="3" fillId="5" borderId="0" xfId="0" applyFont="1" applyFill="1" applyBorder="1" applyAlignment="1" applyProtection="1">
      <alignment horizontal="center" wrapText="1"/>
      <protection locked="0"/>
    </xf>
    <xf numFmtId="0" fontId="5" fillId="5" borderId="37" xfId="0" applyFont="1" applyFill="1" applyBorder="1" applyAlignment="1" applyProtection="1">
      <alignment horizontal="center" wrapText="1"/>
      <protection locked="0"/>
    </xf>
    <xf numFmtId="0" fontId="5" fillId="5" borderId="6" xfId="0" applyFont="1" applyFill="1" applyBorder="1" applyAlignment="1" applyProtection="1">
      <alignment horizontal="right" wrapText="1"/>
      <protection locked="0"/>
    </xf>
    <xf numFmtId="3" fontId="21" fillId="5" borderId="37" xfId="3" applyNumberFormat="1" applyFont="1" applyFill="1" applyBorder="1" applyAlignment="1" applyProtection="1">
      <alignment horizontal="right" wrapText="1"/>
      <protection locked="0"/>
    </xf>
    <xf numFmtId="3" fontId="3" fillId="5" borderId="30" xfId="0" applyNumberFormat="1" applyFont="1" applyFill="1" applyBorder="1" applyAlignment="1" applyProtection="1">
      <alignment horizontal="right"/>
      <protection locked="0"/>
    </xf>
    <xf numFmtId="3" fontId="3" fillId="5" borderId="30" xfId="0" applyNumberFormat="1" applyFont="1" applyFill="1" applyBorder="1" applyAlignment="1" applyProtection="1">
      <alignment horizontal="right" wrapText="1"/>
      <protection locked="0"/>
    </xf>
    <xf numFmtId="3" fontId="21" fillId="5" borderId="34" xfId="3" applyNumberFormat="1" applyFont="1" applyFill="1" applyBorder="1" applyAlignment="1" applyProtection="1">
      <alignment horizontal="right" wrapText="1"/>
      <protection locked="0"/>
    </xf>
    <xf numFmtId="3" fontId="6" fillId="5" borderId="1" xfId="0" applyNumberFormat="1" applyFont="1" applyFill="1" applyBorder="1" applyAlignment="1" applyProtection="1">
      <alignment horizontal="right" wrapText="1"/>
      <protection locked="0"/>
    </xf>
    <xf numFmtId="3" fontId="27" fillId="5" borderId="1" xfId="0" applyNumberFormat="1" applyFont="1" applyFill="1" applyBorder="1" applyAlignment="1" applyProtection="1">
      <alignment horizontal="right" wrapText="1"/>
      <protection locked="0"/>
    </xf>
    <xf numFmtId="3" fontId="6" fillId="5" borderId="1" xfId="0" applyNumberFormat="1" applyFont="1" applyFill="1" applyBorder="1" applyAlignment="1" applyProtection="1">
      <alignment wrapText="1"/>
      <protection locked="0"/>
    </xf>
    <xf numFmtId="3" fontId="27" fillId="5" borderId="1" xfId="0" applyNumberFormat="1" applyFont="1" applyFill="1" applyBorder="1" applyAlignment="1" applyProtection="1">
      <alignment wrapText="1"/>
      <protection locked="0"/>
    </xf>
    <xf numFmtId="2" fontId="3" fillId="0" borderId="4" xfId="0" applyNumberFormat="1" applyFont="1" applyFill="1" applyBorder="1" applyAlignment="1" applyProtection="1">
      <alignment wrapText="1"/>
      <protection locked="0"/>
    </xf>
    <xf numFmtId="0" fontId="13" fillId="5" borderId="0" xfId="0" applyFont="1" applyFill="1"/>
    <xf numFmtId="0" fontId="0" fillId="5" borderId="0" xfId="0" applyFill="1"/>
    <xf numFmtId="3" fontId="10" fillId="5" borderId="1" xfId="3" applyNumberFormat="1" applyFont="1" applyFill="1" applyBorder="1" applyAlignment="1" applyProtection="1">
      <alignment wrapText="1"/>
      <protection locked="0"/>
    </xf>
    <xf numFmtId="3" fontId="10" fillId="0" borderId="1" xfId="3" applyNumberFormat="1" applyFont="1" applyFill="1" applyBorder="1" applyAlignment="1" applyProtection="1">
      <alignment wrapText="1"/>
      <protection locked="0"/>
    </xf>
    <xf numFmtId="0" fontId="1" fillId="5" borderId="0" xfId="5" applyFill="1"/>
    <xf numFmtId="0" fontId="30" fillId="0" borderId="0" xfId="0" applyFont="1" applyBorder="1" applyAlignment="1" applyProtection="1">
      <protection locked="0"/>
    </xf>
    <xf numFmtId="0" fontId="11" fillId="0" borderId="0" xfId="0" applyFont="1" applyBorder="1" applyAlignment="1" applyProtection="1">
      <alignment wrapText="1"/>
      <protection locked="0"/>
    </xf>
    <xf numFmtId="0" fontId="24" fillId="4" borderId="1" xfId="0" applyFont="1" applyFill="1" applyBorder="1" applyAlignment="1" applyProtection="1">
      <alignment horizontal="center" wrapText="1"/>
      <protection locked="0"/>
    </xf>
    <xf numFmtId="3" fontId="24" fillId="4" borderId="1" xfId="0" applyNumberFormat="1" applyFont="1" applyFill="1" applyBorder="1" applyAlignment="1" applyProtection="1">
      <alignment horizontal="center" wrapText="1"/>
      <protection locked="0"/>
    </xf>
    <xf numFmtId="0" fontId="24" fillId="0" borderId="1" xfId="0" applyFont="1" applyFill="1" applyBorder="1" applyAlignment="1" applyProtection="1">
      <alignment vertical="top" wrapText="1"/>
      <protection locked="0"/>
    </xf>
    <xf numFmtId="164" fontId="24" fillId="0" borderId="1" xfId="0" applyNumberFormat="1" applyFont="1" applyFill="1" applyBorder="1" applyAlignment="1" applyProtection="1">
      <alignment horizontal="right" vertical="top" wrapText="1"/>
      <protection locked="0"/>
    </xf>
    <xf numFmtId="169" fontId="11" fillId="0" borderId="0" xfId="0" applyNumberFormat="1" applyFont="1" applyBorder="1" applyAlignment="1" applyProtection="1">
      <alignment wrapText="1"/>
      <protection locked="0"/>
    </xf>
    <xf numFmtId="3" fontId="11" fillId="0" borderId="0" xfId="0" applyNumberFormat="1" applyFont="1" applyFill="1" applyBorder="1" applyAlignment="1" applyProtection="1">
      <alignment wrapText="1"/>
      <protection locked="0"/>
    </xf>
    <xf numFmtId="0" fontId="12" fillId="0" borderId="1" xfId="0" applyFont="1" applyFill="1" applyBorder="1" applyAlignment="1" applyProtection="1">
      <alignment vertical="top" wrapText="1"/>
      <protection locked="0"/>
    </xf>
    <xf numFmtId="169" fontId="11" fillId="0" borderId="0" xfId="0" applyNumberFormat="1" applyFont="1" applyFill="1" applyBorder="1" applyAlignment="1" applyProtection="1">
      <alignment wrapText="1"/>
      <protection locked="0"/>
    </xf>
    <xf numFmtId="164" fontId="22" fillId="0" borderId="1" xfId="0" applyNumberFormat="1" applyFont="1" applyFill="1" applyBorder="1" applyAlignment="1" applyProtection="1">
      <alignment horizontal="right" vertical="top" wrapText="1"/>
      <protection locked="0"/>
    </xf>
    <xf numFmtId="164" fontId="22" fillId="5" borderId="1" xfId="0" applyNumberFormat="1" applyFont="1" applyFill="1" applyBorder="1" applyAlignment="1" applyProtection="1">
      <alignment horizontal="right" vertical="top" wrapText="1"/>
      <protection locked="0"/>
    </xf>
    <xf numFmtId="0" fontId="22" fillId="4" borderId="1" xfId="0" applyFont="1" applyFill="1" applyBorder="1" applyAlignment="1" applyProtection="1">
      <alignment horizontal="center" wrapText="1"/>
      <protection locked="0"/>
    </xf>
    <xf numFmtId="3" fontId="24" fillId="5" borderId="1" xfId="0" applyNumberFormat="1" applyFont="1" applyFill="1" applyBorder="1" applyAlignment="1" applyProtection="1">
      <alignment horizontal="right" vertical="top" wrapText="1"/>
      <protection locked="0"/>
    </xf>
    <xf numFmtId="0" fontId="32" fillId="0" borderId="0" xfId="0" applyFont="1" applyFill="1"/>
    <xf numFmtId="0" fontId="10" fillId="0" borderId="0" xfId="0" applyFont="1"/>
    <xf numFmtId="0" fontId="10" fillId="0" borderId="0" xfId="0" applyFont="1" applyFill="1"/>
    <xf numFmtId="4" fontId="10" fillId="0" borderId="0" xfId="0" applyNumberFormat="1" applyFont="1" applyFill="1"/>
    <xf numFmtId="0" fontId="10" fillId="5" borderId="0" xfId="0" applyFont="1" applyFill="1"/>
    <xf numFmtId="4" fontId="10" fillId="5" borderId="0" xfId="0" applyNumberFormat="1" applyFont="1" applyFill="1"/>
    <xf numFmtId="0" fontId="22" fillId="0" borderId="1" xfId="0" applyNumberFormat="1" applyFont="1" applyFill="1" applyBorder="1" applyAlignment="1">
      <alignment horizontal="center"/>
    </xf>
    <xf numFmtId="4" fontId="22" fillId="0" borderId="1" xfId="0" applyNumberFormat="1" applyFont="1" applyFill="1" applyBorder="1" applyAlignment="1">
      <alignment horizontal="center"/>
    </xf>
    <xf numFmtId="0" fontId="10" fillId="0" borderId="0" xfId="0" applyNumberFormat="1" applyFont="1" applyAlignment="1"/>
    <xf numFmtId="0" fontId="22" fillId="0" borderId="1" xfId="0" applyNumberFormat="1" applyFont="1" applyFill="1" applyBorder="1" applyAlignment="1">
      <alignment horizontal="center" wrapText="1"/>
    </xf>
    <xf numFmtId="4" fontId="22" fillId="0" borderId="1" xfId="0" applyNumberFormat="1" applyFont="1" applyFill="1" applyBorder="1" applyAlignment="1">
      <alignment horizontal="center" wrapText="1"/>
    </xf>
    <xf numFmtId="0" fontId="10" fillId="0" borderId="0" xfId="0" applyNumberFormat="1" applyFont="1" applyAlignment="1">
      <alignment wrapText="1"/>
    </xf>
    <xf numFmtId="0" fontId="11" fillId="0" borderId="1" xfId="0" applyFont="1" applyFill="1" applyBorder="1" applyAlignment="1" applyProtection="1">
      <alignment horizontal="center" wrapText="1"/>
      <protection locked="0"/>
    </xf>
    <xf numFmtId="0" fontId="11" fillId="0" borderId="1" xfId="0" applyFont="1" applyFill="1" applyBorder="1" applyAlignment="1" applyProtection="1">
      <alignment wrapText="1"/>
      <protection locked="0"/>
    </xf>
    <xf numFmtId="3" fontId="11" fillId="0" borderId="1" xfId="0" applyNumberFormat="1" applyFont="1" applyFill="1" applyBorder="1" applyAlignment="1" applyProtection="1">
      <alignment wrapText="1"/>
      <protection locked="0"/>
    </xf>
    <xf numFmtId="167" fontId="11" fillId="0" borderId="1" xfId="1" applyNumberFormat="1" applyFont="1" applyFill="1" applyBorder="1" applyAlignment="1" applyProtection="1">
      <alignment wrapText="1"/>
      <protection locked="0"/>
    </xf>
    <xf numFmtId="170" fontId="11" fillId="0" borderId="1" xfId="0" applyNumberFormat="1" applyFont="1" applyFill="1" applyBorder="1" applyAlignment="1" applyProtection="1">
      <alignment wrapText="1"/>
      <protection locked="0"/>
    </xf>
    <xf numFmtId="3" fontId="10" fillId="5" borderId="1" xfId="0" applyNumberFormat="1" applyFont="1" applyFill="1" applyBorder="1" applyAlignment="1" applyProtection="1">
      <alignment wrapText="1"/>
      <protection locked="0"/>
    </xf>
    <xf numFmtId="171" fontId="11" fillId="5" borderId="1" xfId="1" applyNumberFormat="1" applyFont="1" applyFill="1" applyBorder="1" applyAlignment="1" applyProtection="1">
      <alignment wrapText="1"/>
      <protection locked="0"/>
    </xf>
    <xf numFmtId="4" fontId="11" fillId="5" borderId="1" xfId="1" applyNumberFormat="1" applyFont="1" applyFill="1" applyBorder="1" applyAlignment="1" applyProtection="1">
      <alignment wrapText="1"/>
      <protection locked="0"/>
    </xf>
    <xf numFmtId="0" fontId="11" fillId="0" borderId="3" xfId="0" applyFont="1" applyFill="1" applyBorder="1" applyAlignment="1" applyProtection="1">
      <alignment wrapText="1"/>
      <protection locked="0"/>
    </xf>
    <xf numFmtId="3" fontId="11" fillId="0" borderId="1" xfId="1" applyNumberFormat="1" applyFont="1" applyFill="1" applyBorder="1" applyAlignment="1" applyProtection="1">
      <alignment wrapText="1"/>
      <protection locked="0"/>
    </xf>
    <xf numFmtId="0" fontId="11" fillId="0" borderId="5" xfId="0" applyFont="1" applyFill="1" applyBorder="1" applyAlignment="1" applyProtection="1">
      <alignment wrapText="1"/>
      <protection locked="0"/>
    </xf>
    <xf numFmtId="0" fontId="11" fillId="0" borderId="4" xfId="0" applyFont="1" applyFill="1" applyBorder="1" applyAlignment="1" applyProtection="1">
      <protection locked="0"/>
    </xf>
    <xf numFmtId="0" fontId="11" fillId="0" borderId="0" xfId="0" applyFont="1" applyFill="1" applyBorder="1" applyAlignment="1" applyProtection="1">
      <alignment wrapText="1"/>
      <protection locked="0"/>
    </xf>
    <xf numFmtId="0" fontId="11" fillId="0" borderId="4" xfId="0" applyFont="1" applyFill="1" applyBorder="1" applyAlignment="1" applyProtection="1">
      <alignment wrapText="1"/>
      <protection locked="0"/>
    </xf>
    <xf numFmtId="3" fontId="11" fillId="5" borderId="1" xfId="1" applyNumberFormat="1" applyFont="1" applyFill="1" applyBorder="1" applyAlignment="1" applyProtection="1">
      <alignment wrapText="1"/>
      <protection locked="0"/>
    </xf>
    <xf numFmtId="0" fontId="10" fillId="0" borderId="3" xfId="0" applyFont="1" applyFill="1" applyBorder="1" applyAlignment="1" applyProtection="1">
      <alignment wrapText="1"/>
      <protection locked="0"/>
    </xf>
    <xf numFmtId="0" fontId="10" fillId="0" borderId="5" xfId="0" applyFont="1" applyFill="1" applyBorder="1" applyAlignment="1" applyProtection="1">
      <alignment wrapText="1"/>
      <protection locked="0"/>
    </xf>
    <xf numFmtId="0" fontId="10" fillId="0" borderId="4" xfId="0" applyFont="1" applyFill="1" applyBorder="1" applyAlignment="1" applyProtection="1">
      <alignment wrapText="1"/>
      <protection locked="0"/>
    </xf>
    <xf numFmtId="0" fontId="10" fillId="0" borderId="1" xfId="0" applyFont="1" applyFill="1" applyBorder="1" applyAlignment="1" applyProtection="1">
      <alignment wrapText="1"/>
      <protection locked="0"/>
    </xf>
    <xf numFmtId="1" fontId="11" fillId="0" borderId="1" xfId="0" applyNumberFormat="1" applyFont="1" applyFill="1" applyBorder="1" applyAlignment="1" applyProtection="1">
      <alignment wrapText="1"/>
      <protection locked="0"/>
    </xf>
    <xf numFmtId="2" fontId="11" fillId="0" borderId="1" xfId="0" applyNumberFormat="1" applyFont="1" applyFill="1" applyBorder="1" applyAlignment="1" applyProtection="1">
      <alignment wrapText="1"/>
      <protection locked="0"/>
    </xf>
    <xf numFmtId="170" fontId="10" fillId="0" borderId="1" xfId="0" applyNumberFormat="1" applyFont="1" applyFill="1" applyBorder="1" applyAlignment="1" applyProtection="1">
      <alignment wrapText="1"/>
      <protection locked="0"/>
    </xf>
    <xf numFmtId="2" fontId="10" fillId="0" borderId="1" xfId="0" applyNumberFormat="1" applyFont="1" applyFill="1" applyBorder="1" applyAlignment="1" applyProtection="1">
      <alignment wrapText="1"/>
      <protection locked="0"/>
    </xf>
    <xf numFmtId="1" fontId="10" fillId="0" borderId="1" xfId="0" applyNumberFormat="1" applyFont="1" applyFill="1" applyBorder="1" applyAlignment="1" applyProtection="1">
      <alignment wrapText="1"/>
      <protection locked="0"/>
    </xf>
    <xf numFmtId="3" fontId="11" fillId="5" borderId="1" xfId="0" applyNumberFormat="1" applyFont="1" applyFill="1" applyBorder="1" applyAlignment="1" applyProtection="1">
      <alignment wrapText="1"/>
      <protection locked="0"/>
    </xf>
    <xf numFmtId="171" fontId="11" fillId="5" borderId="1" xfId="0" applyNumberFormat="1" applyFont="1" applyFill="1" applyBorder="1" applyAlignment="1" applyProtection="1">
      <alignment wrapText="1"/>
      <protection locked="0"/>
    </xf>
    <xf numFmtId="0" fontId="34" fillId="0" borderId="1" xfId="0" applyFont="1" applyFill="1" applyBorder="1" applyAlignment="1">
      <alignment vertical="top"/>
    </xf>
    <xf numFmtId="0" fontId="34" fillId="0" borderId="0" xfId="0" applyFont="1" applyFill="1"/>
    <xf numFmtId="0" fontId="34" fillId="0" borderId="1" xfId="0" applyFont="1" applyFill="1" applyBorder="1" applyAlignment="1">
      <alignment horizontal="center" vertical="top" wrapText="1"/>
    </xf>
    <xf numFmtId="3" fontId="34" fillId="0" borderId="1" xfId="0" applyNumberFormat="1" applyFont="1" applyFill="1" applyBorder="1" applyAlignment="1">
      <alignment horizontal="center" vertical="top" wrapText="1"/>
    </xf>
    <xf numFmtId="0" fontId="34" fillId="0" borderId="1" xfId="0" applyFont="1" applyFill="1" applyBorder="1"/>
    <xf numFmtId="0" fontId="34" fillId="0" borderId="5" xfId="0" applyFont="1" applyFill="1" applyBorder="1"/>
    <xf numFmtId="0" fontId="11" fillId="0" borderId="0" xfId="0" applyFont="1" applyFill="1" applyBorder="1" applyAlignment="1" applyProtection="1">
      <protection locked="0"/>
    </xf>
    <xf numFmtId="0" fontId="11" fillId="0" borderId="0" xfId="0" applyFont="1" applyBorder="1" applyAlignment="1" applyProtection="1">
      <protection locked="0"/>
    </xf>
    <xf numFmtId="3" fontId="11" fillId="0" borderId="0" xfId="0" applyNumberFormat="1" applyFont="1" applyFill="1" applyBorder="1" applyAlignment="1" applyProtection="1">
      <protection locked="0"/>
    </xf>
    <xf numFmtId="0" fontId="10" fillId="0" borderId="0" xfId="0" applyNumberFormat="1" applyFont="1" applyFill="1" applyAlignment="1">
      <alignment horizontal="left"/>
    </xf>
    <xf numFmtId="0" fontId="23" fillId="0" borderId="0" xfId="0" applyFont="1" applyFill="1" applyBorder="1" applyAlignment="1" applyProtection="1">
      <alignment wrapText="1"/>
      <protection locked="0"/>
    </xf>
    <xf numFmtId="0" fontId="23" fillId="4" borderId="1" xfId="0" applyFont="1" applyFill="1" applyBorder="1" applyAlignment="1" applyProtection="1">
      <alignment horizontal="center" wrapText="1"/>
      <protection locked="0"/>
    </xf>
    <xf numFmtId="3" fontId="23" fillId="4" borderId="1" xfId="0" applyNumberFormat="1" applyFont="1" applyFill="1" applyBorder="1" applyAlignment="1" applyProtection="1">
      <alignment horizontal="center" wrapText="1"/>
      <protection locked="0"/>
    </xf>
    <xf numFmtId="44" fontId="11" fillId="0" borderId="0" xfId="2" applyFont="1" applyBorder="1" applyAlignment="1" applyProtection="1">
      <alignment wrapText="1"/>
      <protection locked="0"/>
    </xf>
    <xf numFmtId="0" fontId="10" fillId="3" borderId="1" xfId="0" applyFont="1" applyFill="1" applyBorder="1" applyAlignment="1" applyProtection="1">
      <alignment wrapText="1"/>
      <protection locked="0"/>
    </xf>
    <xf numFmtId="44" fontId="11" fillId="0" borderId="0" xfId="2" applyFont="1" applyFill="1" applyBorder="1" applyAlignment="1" applyProtection="1">
      <alignment wrapText="1"/>
      <protection locked="0"/>
    </xf>
    <xf numFmtId="2" fontId="11" fillId="0" borderId="0" xfId="0" applyNumberFormat="1" applyFont="1" applyFill="1" applyBorder="1" applyAlignment="1" applyProtection="1">
      <alignment wrapText="1"/>
      <protection locked="0"/>
    </xf>
    <xf numFmtId="165" fontId="11" fillId="0" borderId="0" xfId="0" applyNumberFormat="1" applyFont="1" applyFill="1" applyBorder="1" applyAlignment="1" applyProtection="1">
      <alignment wrapText="1"/>
      <protection locked="0"/>
    </xf>
    <xf numFmtId="168" fontId="11" fillId="0" borderId="0" xfId="1" applyNumberFormat="1" applyFont="1" applyFill="1" applyBorder="1" applyAlignment="1" applyProtection="1">
      <alignment wrapText="1"/>
      <protection locked="0"/>
    </xf>
    <xf numFmtId="0" fontId="30" fillId="0" borderId="0" xfId="0" applyFont="1" applyFill="1" applyBorder="1" applyAlignment="1" applyProtection="1">
      <alignment horizontal="left"/>
      <protection locked="0"/>
    </xf>
    <xf numFmtId="168" fontId="11" fillId="0" borderId="0" xfId="1" applyNumberFormat="1" applyFont="1" applyFill="1" applyBorder="1" applyAlignment="1" applyProtection="1">
      <protection locked="0"/>
    </xf>
    <xf numFmtId="0" fontId="23" fillId="0" borderId="0" xfId="0" applyFont="1" applyBorder="1" applyAlignment="1" applyProtection="1">
      <alignment wrapText="1"/>
      <protection locked="0"/>
    </xf>
    <xf numFmtId="0" fontId="11" fillId="0" borderId="0" xfId="0" applyFont="1" applyBorder="1" applyAlignment="1" applyProtection="1">
      <alignment horizontal="left"/>
      <protection locked="0"/>
    </xf>
    <xf numFmtId="0" fontId="23" fillId="0" borderId="0" xfId="0" applyFont="1" applyBorder="1" applyAlignment="1" applyProtection="1">
      <alignment horizontal="right" wrapText="1"/>
      <protection locked="0"/>
    </xf>
    <xf numFmtId="0" fontId="31" fillId="0" borderId="0" xfId="0" applyFont="1" applyFill="1" applyBorder="1" applyAlignment="1" applyProtection="1">
      <protection locked="0"/>
    </xf>
    <xf numFmtId="0" fontId="11" fillId="0" borderId="0" xfId="0" applyFont="1" applyBorder="1" applyAlignment="1" applyProtection="1">
      <alignment horizontal="right" wrapText="1"/>
      <protection locked="0"/>
    </xf>
    <xf numFmtId="164" fontId="11" fillId="5" borderId="1" xfId="1" applyNumberFormat="1" applyFont="1" applyFill="1" applyBorder="1" applyAlignment="1" applyProtection="1">
      <protection locked="0"/>
    </xf>
    <xf numFmtId="5" fontId="11" fillId="0" borderId="1" xfId="2" applyNumberFormat="1" applyFont="1" applyFill="1" applyBorder="1" applyAlignment="1" applyProtection="1">
      <alignment wrapText="1"/>
      <protection locked="0"/>
    </xf>
    <xf numFmtId="0" fontId="23" fillId="0" borderId="1" xfId="0" applyFont="1" applyFill="1" applyBorder="1" applyAlignment="1" applyProtection="1">
      <alignment wrapText="1"/>
      <protection locked="0"/>
    </xf>
    <xf numFmtId="5" fontId="23" fillId="0" borderId="1" xfId="0" applyNumberFormat="1" applyFont="1" applyFill="1" applyBorder="1" applyAlignment="1" applyProtection="1">
      <alignment wrapText="1"/>
      <protection locked="0"/>
    </xf>
    <xf numFmtId="168" fontId="23" fillId="5" borderId="1" xfId="0" applyNumberFormat="1" applyFont="1" applyFill="1" applyBorder="1" applyAlignment="1" applyProtection="1">
      <alignment wrapText="1"/>
      <protection locked="0"/>
    </xf>
    <xf numFmtId="164" fontId="23" fillId="5" borderId="1" xfId="0" applyNumberFormat="1" applyFont="1" applyFill="1" applyBorder="1" applyAlignment="1" applyProtection="1">
      <alignment wrapText="1"/>
      <protection locked="0"/>
    </xf>
    <xf numFmtId="0" fontId="30" fillId="0" borderId="24" xfId="0" applyFont="1" applyFill="1" applyBorder="1" applyAlignment="1" applyProtection="1">
      <alignment horizontal="left"/>
      <protection locked="0"/>
    </xf>
    <xf numFmtId="3" fontId="11" fillId="0" borderId="30" xfId="0" applyNumberFormat="1" applyFont="1" applyFill="1" applyBorder="1" applyAlignment="1" applyProtection="1">
      <alignment wrapText="1"/>
      <protection locked="0"/>
    </xf>
    <xf numFmtId="37" fontId="11" fillId="5" borderId="1" xfId="1" applyNumberFormat="1" applyFont="1" applyFill="1" applyBorder="1" applyAlignment="1" applyProtection="1">
      <alignment wrapText="1"/>
      <protection locked="0"/>
    </xf>
    <xf numFmtId="164" fontId="23" fillId="0" borderId="1" xfId="0" applyNumberFormat="1" applyFont="1" applyFill="1" applyBorder="1" applyAlignment="1" applyProtection="1">
      <alignment wrapText="1"/>
      <protection locked="0"/>
    </xf>
    <xf numFmtId="37" fontId="23" fillId="5" borderId="1" xfId="0" applyNumberFormat="1" applyFont="1" applyFill="1" applyBorder="1" applyAlignment="1" applyProtection="1">
      <alignment wrapText="1"/>
      <protection locked="0"/>
    </xf>
    <xf numFmtId="0" fontId="11" fillId="0" borderId="24" xfId="0" applyFont="1" applyFill="1" applyBorder="1" applyAlignment="1" applyProtection="1">
      <alignment wrapText="1"/>
      <protection locked="0"/>
    </xf>
    <xf numFmtId="168" fontId="11" fillId="0" borderId="0" xfId="0" applyNumberFormat="1" applyFont="1" applyFill="1" applyBorder="1" applyAlignment="1" applyProtection="1">
      <alignment wrapText="1"/>
      <protection locked="0"/>
    </xf>
    <xf numFmtId="0" fontId="11" fillId="0" borderId="3" xfId="0" applyFont="1" applyBorder="1" applyAlignment="1" applyProtection="1">
      <alignment wrapText="1"/>
      <protection locked="0"/>
    </xf>
    <xf numFmtId="164" fontId="23" fillId="0" borderId="4" xfId="0" applyNumberFormat="1" applyFont="1" applyFill="1" applyBorder="1" applyAlignment="1" applyProtection="1">
      <alignment wrapText="1"/>
      <protection locked="0"/>
    </xf>
    <xf numFmtId="0" fontId="22" fillId="0" borderId="0" xfId="0" applyFont="1" applyFill="1"/>
    <xf numFmtId="3" fontId="13" fillId="0" borderId="1" xfId="0" applyNumberFormat="1" applyFont="1" applyFill="1" applyBorder="1"/>
    <xf numFmtId="0" fontId="13" fillId="0" borderId="1" xfId="0" applyFont="1" applyFill="1" applyBorder="1"/>
    <xf numFmtId="166" fontId="10" fillId="0" borderId="0" xfId="3" applyNumberFormat="1" applyFont="1" applyFill="1" applyBorder="1" applyAlignment="1" applyProtection="1">
      <protection locked="0"/>
    </xf>
    <xf numFmtId="0" fontId="35" fillId="0" borderId="0" xfId="0" applyFont="1" applyBorder="1" applyAlignment="1" applyProtection="1">
      <alignment horizontal="right"/>
      <protection locked="0"/>
    </xf>
    <xf numFmtId="0" fontId="35" fillId="0" borderId="0" xfId="0" applyFont="1" applyBorder="1" applyAlignment="1" applyProtection="1">
      <protection locked="0"/>
    </xf>
    <xf numFmtId="166" fontId="10" fillId="0" borderId="0" xfId="3" applyNumberFormat="1" applyFont="1" applyFill="1" applyBorder="1" applyAlignment="1" applyProtection="1">
      <alignment wrapText="1"/>
      <protection locked="0"/>
    </xf>
    <xf numFmtId="0" fontId="10" fillId="0" borderId="0" xfId="3" applyFont="1" applyFill="1" applyBorder="1" applyAlignment="1" applyProtection="1">
      <alignment wrapText="1"/>
      <protection locked="0"/>
    </xf>
    <xf numFmtId="0" fontId="36" fillId="0" borderId="0" xfId="4" applyFont="1" applyFill="1" applyBorder="1" applyAlignment="1" applyProtection="1">
      <alignment wrapText="1"/>
      <protection locked="0"/>
    </xf>
    <xf numFmtId="0" fontId="23" fillId="0" borderId="0" xfId="0" applyFont="1" applyFill="1" applyBorder="1" applyAlignment="1" applyProtection="1">
      <protection locked="0"/>
    </xf>
    <xf numFmtId="3" fontId="1" fillId="0" borderId="16" xfId="5" applyNumberFormat="1" applyFill="1" applyBorder="1"/>
    <xf numFmtId="3" fontId="3" fillId="0" borderId="0" xfId="0" applyNumberFormat="1" applyFont="1" applyAlignment="1">
      <alignment wrapText="1"/>
    </xf>
    <xf numFmtId="0" fontId="13" fillId="0" borderId="2" xfId="0" applyFont="1" applyFill="1" applyBorder="1"/>
    <xf numFmtId="4" fontId="13" fillId="5" borderId="2" xfId="0" applyNumberFormat="1" applyFont="1" applyFill="1" applyBorder="1"/>
    <xf numFmtId="3" fontId="13" fillId="5" borderId="2" xfId="0" applyNumberFormat="1" applyFont="1" applyFill="1" applyBorder="1"/>
    <xf numFmtId="171" fontId="13" fillId="5" borderId="2" xfId="0" applyNumberFormat="1" applyFont="1" applyFill="1" applyBorder="1"/>
    <xf numFmtId="0" fontId="22" fillId="0" borderId="1" xfId="0" applyNumberFormat="1" applyFont="1" applyFill="1" applyBorder="1" applyAlignment="1">
      <alignment horizontal="center" vertical="center"/>
    </xf>
    <xf numFmtId="169" fontId="11" fillId="0" borderId="1" xfId="2" applyNumberFormat="1" applyFont="1" applyFill="1" applyBorder="1" applyAlignment="1">
      <alignment wrapText="1"/>
    </xf>
    <xf numFmtId="0" fontId="37" fillId="0" borderId="0" xfId="0" applyFont="1" applyBorder="1" applyAlignment="1" applyProtection="1">
      <alignment horizontal="right"/>
      <protection locked="0"/>
    </xf>
    <xf numFmtId="0" fontId="38" fillId="0" borderId="0" xfId="0" applyFont="1"/>
    <xf numFmtId="0" fontId="38" fillId="0" borderId="0" xfId="0" applyFont="1" applyFill="1"/>
    <xf numFmtId="4" fontId="38" fillId="0" borderId="0" xfId="0" applyNumberFormat="1" applyFont="1" applyFill="1"/>
    <xf numFmtId="0" fontId="13" fillId="0" borderId="0" xfId="0" applyFont="1" applyFill="1"/>
    <xf numFmtId="0" fontId="36" fillId="0" borderId="1" xfId="4" applyFont="1" applyBorder="1" applyAlignment="1" applyProtection="1"/>
    <xf numFmtId="1" fontId="13" fillId="5" borderId="2" xfId="0" applyNumberFormat="1" applyFont="1" applyFill="1" applyBorder="1"/>
    <xf numFmtId="1" fontId="13" fillId="5" borderId="1" xfId="0" applyNumberFormat="1" applyFont="1" applyFill="1" applyBorder="1"/>
    <xf numFmtId="170" fontId="13" fillId="5" borderId="1" xfId="0" applyNumberFormat="1" applyFont="1" applyFill="1" applyBorder="1"/>
    <xf numFmtId="3" fontId="13" fillId="5" borderId="1" xfId="0" applyNumberFormat="1" applyFont="1" applyFill="1" applyBorder="1"/>
    <xf numFmtId="0" fontId="13" fillId="0" borderId="0" xfId="0" applyFont="1" applyAlignment="1"/>
    <xf numFmtId="0" fontId="3" fillId="0" borderId="0" xfId="0" applyFont="1" applyFill="1" applyAlignment="1">
      <alignment horizontal="right" wrapText="1"/>
    </xf>
    <xf numFmtId="0" fontId="5" fillId="4" borderId="1" xfId="0" applyFont="1" applyFill="1" applyBorder="1" applyAlignment="1">
      <alignment horizontal="center" wrapText="1"/>
    </xf>
    <xf numFmtId="166" fontId="5" fillId="4" borderId="1" xfId="0" applyNumberFormat="1" applyFont="1" applyFill="1" applyBorder="1" applyAlignment="1">
      <alignment horizontal="center" wrapText="1"/>
    </xf>
    <xf numFmtId="164" fontId="10" fillId="5" borderId="1" xfId="0" applyNumberFormat="1" applyFont="1" applyFill="1" applyBorder="1" applyAlignment="1" applyProtection="1">
      <alignment horizontal="right" vertical="top" wrapText="1"/>
      <protection locked="0"/>
    </xf>
    <xf numFmtId="164" fontId="10" fillId="0" borderId="1" xfId="0" applyNumberFormat="1" applyFont="1" applyFill="1" applyBorder="1" applyAlignment="1" applyProtection="1">
      <alignment horizontal="right" vertical="top" wrapText="1"/>
      <protection locked="0"/>
    </xf>
    <xf numFmtId="164" fontId="11" fillId="0" borderId="1" xfId="2" applyNumberFormat="1" applyFont="1" applyFill="1" applyBorder="1" applyAlignment="1" applyProtection="1">
      <alignment wrapText="1"/>
      <protection locked="0"/>
    </xf>
    <xf numFmtId="164" fontId="11" fillId="5" borderId="1" xfId="1" applyNumberFormat="1" applyFont="1" applyFill="1" applyBorder="1" applyAlignment="1" applyProtection="1">
      <alignment wrapText="1"/>
      <protection locked="0"/>
    </xf>
    <xf numFmtId="5" fontId="10" fillId="0" borderId="1" xfId="2" applyNumberFormat="1" applyFont="1" applyFill="1" applyBorder="1" applyAlignment="1" applyProtection="1">
      <alignment wrapText="1"/>
      <protection locked="0"/>
    </xf>
    <xf numFmtId="164" fontId="11" fillId="0" borderId="0" xfId="0" applyNumberFormat="1" applyFont="1" applyBorder="1" applyAlignment="1" applyProtection="1">
      <alignment wrapText="1"/>
      <protection locked="0"/>
    </xf>
    <xf numFmtId="0" fontId="11" fillId="0" borderId="4" xfId="0" applyFont="1" applyFill="1" applyBorder="1" applyAlignment="1" applyProtection="1">
      <alignment wrapText="1"/>
      <protection locked="0"/>
    </xf>
    <xf numFmtId="0" fontId="11" fillId="0" borderId="1" xfId="0" applyFont="1" applyFill="1" applyBorder="1" applyAlignment="1" applyProtection="1">
      <alignment wrapText="1"/>
      <protection locked="0"/>
    </xf>
    <xf numFmtId="0" fontId="34" fillId="0" borderId="3" xfId="0" applyFont="1" applyFill="1" applyBorder="1" applyAlignment="1">
      <alignment vertical="top"/>
    </xf>
    <xf numFmtId="0" fontId="34" fillId="0" borderId="5" xfId="0" applyFont="1" applyFill="1" applyBorder="1" applyAlignment="1">
      <alignment horizontal="center" vertical="top" wrapText="1"/>
    </xf>
    <xf numFmtId="0" fontId="11" fillId="0" borderId="1" xfId="0" applyFont="1" applyFill="1" applyBorder="1" applyAlignment="1" applyProtection="1">
      <alignment wrapText="1"/>
      <protection locked="0"/>
    </xf>
    <xf numFmtId="0" fontId="11" fillId="0" borderId="3" xfId="0" applyFont="1" applyFill="1" applyBorder="1" applyAlignment="1" applyProtection="1">
      <alignment wrapText="1"/>
      <protection locked="0"/>
    </xf>
    <xf numFmtId="0" fontId="11" fillId="0" borderId="5" xfId="0" applyFont="1" applyFill="1" applyBorder="1" applyAlignment="1" applyProtection="1">
      <alignment wrapText="1"/>
      <protection locked="0"/>
    </xf>
    <xf numFmtId="0" fontId="5" fillId="4" borderId="1" xfId="0" applyFont="1" applyFill="1" applyBorder="1" applyAlignment="1" applyProtection="1">
      <alignment horizontal="center" wrapText="1"/>
      <protection locked="0"/>
    </xf>
    <xf numFmtId="3" fontId="10" fillId="0" borderId="0" xfId="3" applyNumberFormat="1" applyFont="1" applyFill="1" applyBorder="1" applyAlignment="1" applyProtection="1">
      <protection locked="0"/>
    </xf>
    <xf numFmtId="6" fontId="11" fillId="0" borderId="0" xfId="0" applyNumberFormat="1" applyFont="1" applyFill="1" applyBorder="1" applyAlignment="1" applyProtection="1">
      <alignment wrapText="1"/>
      <protection locked="0"/>
    </xf>
    <xf numFmtId="0" fontId="11" fillId="0" borderId="4" xfId="0" applyFont="1" applyFill="1" applyBorder="1" applyAlignment="1" applyProtection="1">
      <alignment wrapText="1"/>
      <protection locked="0"/>
    </xf>
    <xf numFmtId="0" fontId="11" fillId="0" borderId="1" xfId="0" applyFont="1" applyFill="1" applyBorder="1" applyAlignment="1" applyProtection="1">
      <alignment wrapText="1"/>
      <protection locked="0"/>
    </xf>
    <xf numFmtId="0" fontId="24" fillId="4" borderId="1" xfId="0" applyFont="1" applyFill="1" applyBorder="1" applyAlignment="1" applyProtection="1">
      <alignment horizontal="center" wrapText="1"/>
      <protection locked="0"/>
    </xf>
    <xf numFmtId="0" fontId="11" fillId="0" borderId="3" xfId="0" applyFont="1" applyFill="1" applyBorder="1" applyAlignment="1" applyProtection="1">
      <alignment wrapText="1"/>
      <protection locked="0"/>
    </xf>
    <xf numFmtId="0" fontId="11" fillId="0" borderId="5" xfId="0" applyFont="1" applyFill="1" applyBorder="1" applyAlignment="1" applyProtection="1">
      <alignment wrapText="1"/>
      <protection locked="0"/>
    </xf>
    <xf numFmtId="3" fontId="3" fillId="5" borderId="4" xfId="0" applyNumberFormat="1" applyFont="1" applyFill="1" applyBorder="1" applyAlignment="1" applyProtection="1">
      <alignment wrapText="1"/>
      <protection locked="0"/>
    </xf>
    <xf numFmtId="1" fontId="3" fillId="5" borderId="1" xfId="0" applyNumberFormat="1" applyFont="1" applyFill="1" applyBorder="1" applyAlignment="1" applyProtection="1">
      <alignment wrapText="1"/>
      <protection locked="0"/>
    </xf>
    <xf numFmtId="0" fontId="41" fillId="0" borderId="0" xfId="0" applyFont="1"/>
    <xf numFmtId="2" fontId="0" fillId="5" borderId="1" xfId="0" applyNumberFormat="1" applyFill="1" applyBorder="1"/>
    <xf numFmtId="3" fontId="6" fillId="0" borderId="1" xfId="0" applyNumberFormat="1" applyFont="1" applyFill="1" applyBorder="1" applyAlignment="1" applyProtection="1">
      <alignment wrapText="1"/>
      <protection locked="0"/>
    </xf>
    <xf numFmtId="3" fontId="27" fillId="0" borderId="1" xfId="0" applyNumberFormat="1" applyFont="1" applyFill="1" applyBorder="1" applyAlignment="1" applyProtection="1">
      <alignment wrapText="1"/>
      <protection locked="0"/>
    </xf>
    <xf numFmtId="2" fontId="3" fillId="0" borderId="1" xfId="0" applyNumberFormat="1" applyFont="1" applyFill="1" applyBorder="1" applyAlignment="1" applyProtection="1">
      <alignment wrapText="1"/>
      <protection locked="0"/>
    </xf>
    <xf numFmtId="165" fontId="11" fillId="5" borderId="1" xfId="0" applyNumberFormat="1" applyFont="1" applyFill="1" applyBorder="1" applyAlignment="1" applyProtection="1">
      <alignment wrapText="1"/>
      <protection locked="0"/>
    </xf>
    <xf numFmtId="0" fontId="31" fillId="0" borderId="0" xfId="0" applyFont="1"/>
    <xf numFmtId="3" fontId="11" fillId="5" borderId="2" xfId="2" applyNumberFormat="1" applyFont="1" applyFill="1" applyBorder="1"/>
    <xf numFmtId="1" fontId="11" fillId="5" borderId="2" xfId="2" applyNumberFormat="1" applyFont="1" applyFill="1" applyBorder="1"/>
    <xf numFmtId="164" fontId="13" fillId="0" borderId="0" xfId="0" applyNumberFormat="1" applyFont="1" applyFill="1"/>
    <xf numFmtId="165" fontId="13" fillId="5" borderId="1" xfId="0" applyNumberFormat="1" applyFont="1" applyFill="1" applyBorder="1" applyAlignment="1">
      <alignment wrapText="1"/>
    </xf>
    <xf numFmtId="164" fontId="34" fillId="5" borderId="1" xfId="0" applyNumberFormat="1" applyFont="1" applyFill="1" applyBorder="1" applyAlignment="1">
      <alignment horizontal="right" vertical="top" wrapText="1"/>
    </xf>
    <xf numFmtId="165" fontId="10" fillId="5" borderId="1" xfId="3" applyNumberFormat="1" applyFont="1" applyFill="1" applyBorder="1" applyAlignment="1" applyProtection="1">
      <alignment wrapText="1"/>
      <protection locked="0"/>
    </xf>
    <xf numFmtId="0" fontId="10" fillId="0" borderId="0" xfId="0" applyNumberFormat="1" applyFont="1" applyFill="1" applyAlignment="1">
      <alignment vertical="top" wrapText="1"/>
    </xf>
    <xf numFmtId="0" fontId="22" fillId="5" borderId="1" xfId="0" applyFont="1" applyFill="1" applyBorder="1" applyAlignment="1">
      <alignment vertical="top" wrapText="1"/>
    </xf>
    <xf numFmtId="165" fontId="11" fillId="5" borderId="2" xfId="2" applyNumberFormat="1" applyFont="1" applyFill="1" applyBorder="1"/>
    <xf numFmtId="164" fontId="11" fillId="0" borderId="2" xfId="2" applyNumberFormat="1" applyFont="1" applyFill="1" applyBorder="1"/>
    <xf numFmtId="164" fontId="23" fillId="5" borderId="2" xfId="2" applyNumberFormat="1" applyFont="1" applyFill="1" applyBorder="1"/>
    <xf numFmtId="165" fontId="10" fillId="5" borderId="1" xfId="0" applyNumberFormat="1" applyFont="1" applyFill="1" applyBorder="1" applyAlignment="1" applyProtection="1">
      <alignment wrapText="1"/>
      <protection locked="0"/>
    </xf>
    <xf numFmtId="0" fontId="31" fillId="0" borderId="0" xfId="0" applyFont="1" applyBorder="1" applyAlignment="1" applyProtection="1">
      <protection locked="0"/>
    </xf>
    <xf numFmtId="0" fontId="38" fillId="0" borderId="0" xfId="0" applyFont="1" applyAlignment="1"/>
    <xf numFmtId="0" fontId="10" fillId="0" borderId="0" xfId="0" applyFont="1" applyAlignment="1"/>
    <xf numFmtId="0" fontId="10" fillId="0" borderId="0" xfId="0" applyFont="1" applyFill="1" applyAlignment="1"/>
    <xf numFmtId="0" fontId="31" fillId="0" borderId="24" xfId="0" applyFont="1" applyBorder="1" applyAlignment="1" applyProtection="1">
      <protection locked="0"/>
    </xf>
    <xf numFmtId="0" fontId="45" fillId="0" borderId="0" xfId="0" applyFont="1"/>
    <xf numFmtId="0" fontId="46" fillId="6" borderId="22" xfId="0" applyFont="1" applyFill="1" applyBorder="1" applyAlignment="1">
      <alignment horizontal="center" vertical="center"/>
    </xf>
    <xf numFmtId="0" fontId="47" fillId="0" borderId="23" xfId="0" applyFont="1" applyBorder="1" applyAlignment="1">
      <alignment vertical="center"/>
    </xf>
    <xf numFmtId="3" fontId="47" fillId="0" borderId="22" xfId="0" applyNumberFormat="1" applyFont="1" applyBorder="1" applyAlignment="1">
      <alignment horizontal="right" vertical="center"/>
    </xf>
    <xf numFmtId="0" fontId="48" fillId="0" borderId="23" xfId="0" applyFont="1" applyBorder="1" applyAlignment="1">
      <alignment vertical="center"/>
    </xf>
    <xf numFmtId="3" fontId="48" fillId="0" borderId="22" xfId="0" applyNumberFormat="1" applyFont="1" applyBorder="1" applyAlignment="1">
      <alignment horizontal="right" vertical="center"/>
    </xf>
    <xf numFmtId="0" fontId="0" fillId="0" borderId="1" xfId="0" applyBorder="1"/>
    <xf numFmtId="3" fontId="0" fillId="0" borderId="1" xfId="0" applyNumberFormat="1" applyBorder="1"/>
    <xf numFmtId="172" fontId="0" fillId="0" borderId="1" xfId="43" applyNumberFormat="1" applyFont="1" applyBorder="1"/>
    <xf numFmtId="1" fontId="0" fillId="0" borderId="1" xfId="0" applyNumberFormat="1" applyBorder="1"/>
    <xf numFmtId="3" fontId="47" fillId="0" borderId="22" xfId="0" applyNumberFormat="1" applyFont="1" applyFill="1" applyBorder="1" applyAlignment="1">
      <alignment horizontal="right" vertical="center"/>
    </xf>
    <xf numFmtId="6" fontId="47" fillId="0" borderId="22" xfId="0" applyNumberFormat="1" applyFont="1" applyFill="1" applyBorder="1" applyAlignment="1">
      <alignment horizontal="right" vertical="center"/>
    </xf>
    <xf numFmtId="3" fontId="48" fillId="0" borderId="22" xfId="0" applyNumberFormat="1" applyFont="1" applyFill="1" applyBorder="1" applyAlignment="1">
      <alignment horizontal="right" vertical="center"/>
    </xf>
    <xf numFmtId="6" fontId="48" fillId="0" borderId="22" xfId="0" applyNumberFormat="1" applyFont="1" applyFill="1" applyBorder="1" applyAlignment="1">
      <alignment horizontal="right" vertical="center"/>
    </xf>
    <xf numFmtId="1" fontId="48" fillId="0" borderId="22" xfId="0" applyNumberFormat="1" applyFont="1" applyBorder="1" applyAlignment="1">
      <alignment horizontal="right" vertical="center"/>
    </xf>
    <xf numFmtId="44" fontId="31" fillId="0" borderId="0" xfId="2" applyFont="1" applyBorder="1" applyAlignment="1" applyProtection="1">
      <alignment wrapText="1"/>
      <protection locked="0"/>
    </xf>
    <xf numFmtId="171" fontId="11" fillId="0" borderId="1" xfId="0" applyNumberFormat="1" applyFont="1" applyFill="1" applyBorder="1" applyAlignment="1" applyProtection="1">
      <alignment wrapText="1"/>
      <protection locked="0"/>
    </xf>
    <xf numFmtId="1" fontId="47" fillId="0" borderId="22" xfId="0" applyNumberFormat="1" applyFont="1" applyBorder="1" applyAlignment="1">
      <alignment horizontal="right" vertical="center"/>
    </xf>
    <xf numFmtId="0" fontId="0" fillId="7" borderId="1" xfId="0" applyFill="1" applyBorder="1"/>
    <xf numFmtId="0" fontId="0" fillId="7" borderId="1" xfId="0" applyFill="1" applyBorder="1" applyAlignment="1">
      <alignment wrapText="1"/>
    </xf>
    <xf numFmtId="172" fontId="0" fillId="7" borderId="1" xfId="43" applyNumberFormat="1" applyFont="1" applyFill="1" applyBorder="1"/>
    <xf numFmtId="0" fontId="45" fillId="0" borderId="1" xfId="0" applyFont="1" applyBorder="1"/>
    <xf numFmtId="0" fontId="45" fillId="0" borderId="1" xfId="0" applyFont="1" applyBorder="1" applyAlignment="1">
      <alignment wrapText="1"/>
    </xf>
    <xf numFmtId="0" fontId="45" fillId="0" borderId="1" xfId="0" applyFont="1" applyFill="1" applyBorder="1"/>
    <xf numFmtId="2" fontId="10" fillId="0" borderId="0" xfId="3" applyNumberFormat="1" applyFont="1" applyFill="1" applyBorder="1" applyAlignment="1" applyProtection="1">
      <protection locked="0"/>
    </xf>
    <xf numFmtId="1" fontId="0" fillId="0" borderId="0" xfId="0" applyNumberFormat="1"/>
    <xf numFmtId="3" fontId="11" fillId="0" borderId="0" xfId="0" applyNumberFormat="1" applyFont="1" applyBorder="1" applyAlignment="1" applyProtection="1">
      <protection locked="0"/>
    </xf>
    <xf numFmtId="164" fontId="12" fillId="5" borderId="1" xfId="0" applyNumberFormat="1" applyFont="1" applyFill="1" applyBorder="1" applyAlignment="1" applyProtection="1">
      <alignment horizontal="right" vertical="top" wrapText="1"/>
      <protection locked="0"/>
    </xf>
    <xf numFmtId="169" fontId="31" fillId="0" borderId="0" xfId="0" applyNumberFormat="1" applyFont="1" applyBorder="1" applyAlignment="1" applyProtection="1">
      <protection locked="0"/>
    </xf>
    <xf numFmtId="44" fontId="10" fillId="0" borderId="0" xfId="3" applyNumberFormat="1" applyFont="1" applyFill="1" applyBorder="1" applyAlignment="1" applyProtection="1">
      <alignment wrapText="1"/>
      <protection locked="0"/>
    </xf>
    <xf numFmtId="44" fontId="11" fillId="0" borderId="0" xfId="0" applyNumberFormat="1" applyFont="1" applyBorder="1" applyAlignment="1" applyProtection="1">
      <protection locked="0"/>
    </xf>
    <xf numFmtId="3" fontId="1" fillId="8" borderId="21" xfId="5" applyNumberFormat="1" applyFont="1" applyFill="1" applyBorder="1"/>
    <xf numFmtId="3" fontId="1" fillId="8" borderId="0" xfId="6" applyNumberFormat="1" applyFill="1"/>
    <xf numFmtId="0" fontId="49" fillId="0" borderId="0" xfId="0" applyFont="1"/>
    <xf numFmtId="3" fontId="1" fillId="8" borderId="21" xfId="5" applyNumberFormat="1" applyFill="1" applyBorder="1"/>
    <xf numFmtId="3" fontId="1" fillId="8" borderId="22" xfId="5" applyNumberFormat="1" applyFill="1" applyBorder="1"/>
    <xf numFmtId="0" fontId="51" fillId="0" borderId="0" xfId="0" applyFont="1" applyFill="1" applyBorder="1"/>
    <xf numFmtId="0" fontId="15" fillId="0" borderId="0" xfId="0" applyFont="1" applyFill="1" applyBorder="1"/>
    <xf numFmtId="0" fontId="51" fillId="0" borderId="0" xfId="0" applyFont="1" applyFill="1" applyBorder="1" applyAlignment="1">
      <alignment horizontal="right"/>
    </xf>
    <xf numFmtId="0" fontId="51" fillId="0" borderId="0" xfId="0" applyFont="1" applyFill="1" applyBorder="1" applyProtection="1">
      <protection locked="0"/>
    </xf>
    <xf numFmtId="0" fontId="50" fillId="0" borderId="0" xfId="0" applyFont="1" applyFill="1" applyBorder="1"/>
    <xf numFmtId="0" fontId="51" fillId="0" borderId="0" xfId="0" applyFont="1" applyFill="1" applyBorder="1" applyAlignment="1">
      <alignment horizontal="center"/>
    </xf>
    <xf numFmtId="3" fontId="51" fillId="0" borderId="0" xfId="0" applyNumberFormat="1" applyFont="1" applyFill="1" applyBorder="1"/>
    <xf numFmtId="3" fontId="15" fillId="0" borderId="0" xfId="0" applyNumberFormat="1" applyFont="1" applyFill="1" applyBorder="1"/>
    <xf numFmtId="0" fontId="51" fillId="0" borderId="49" xfId="0" applyFont="1" applyFill="1" applyBorder="1"/>
    <xf numFmtId="0" fontId="51" fillId="0" borderId="49" xfId="0" applyFont="1" applyFill="1" applyBorder="1" applyAlignment="1">
      <alignment horizontal="right"/>
    </xf>
    <xf numFmtId="3" fontId="51" fillId="0" borderId="49" xfId="0" applyNumberFormat="1" applyFont="1" applyFill="1" applyBorder="1"/>
    <xf numFmtId="3" fontId="15" fillId="0" borderId="49" xfId="0" applyNumberFormat="1" applyFont="1" applyFill="1" applyBorder="1"/>
    <xf numFmtId="0" fontId="1" fillId="0" borderId="0" xfId="0" applyFont="1" applyFill="1" applyBorder="1"/>
    <xf numFmtId="0" fontId="22" fillId="0" borderId="4" xfId="0" applyFont="1" applyFill="1" applyBorder="1" applyAlignment="1">
      <alignment horizontal="center" vertical="top" wrapText="1"/>
    </xf>
    <xf numFmtId="0" fontId="22" fillId="0" borderId="1" xfId="0" applyFont="1" applyFill="1" applyBorder="1" applyAlignment="1">
      <alignment horizontal="center" vertical="top" wrapText="1"/>
    </xf>
    <xf numFmtId="3" fontId="22" fillId="0" borderId="1" xfId="0" applyNumberFormat="1" applyFont="1" applyFill="1" applyBorder="1" applyAlignment="1">
      <alignment horizontal="center" vertical="top" wrapText="1"/>
    </xf>
    <xf numFmtId="0" fontId="22" fillId="0" borderId="1" xfId="0" applyFont="1" applyFill="1" applyBorder="1"/>
    <xf numFmtId="164" fontId="22" fillId="5" borderId="1" xfId="0" applyNumberFormat="1" applyFont="1" applyFill="1" applyBorder="1" applyAlignment="1">
      <alignment horizontal="right" vertical="top" wrapText="1"/>
    </xf>
    <xf numFmtId="0" fontId="22" fillId="0" borderId="3" xfId="0" applyFont="1" applyFill="1" applyBorder="1" applyAlignment="1">
      <alignment vertical="top"/>
    </xf>
    <xf numFmtId="0" fontId="22" fillId="0" borderId="5" xfId="0" applyFont="1" applyFill="1" applyBorder="1"/>
    <xf numFmtId="0" fontId="22" fillId="0" borderId="5" xfId="0" applyFont="1" applyFill="1" applyBorder="1" applyAlignment="1">
      <alignment horizontal="center" vertical="top" wrapText="1"/>
    </xf>
    <xf numFmtId="0" fontId="13" fillId="0" borderId="0" xfId="0" applyFont="1" applyFill="1" applyAlignment="1"/>
    <xf numFmtId="0" fontId="22" fillId="0" borderId="1" xfId="0" applyFont="1" applyFill="1" applyBorder="1" applyAlignment="1">
      <alignment vertical="top"/>
    </xf>
    <xf numFmtId="0" fontId="3" fillId="0" borderId="1" xfId="0" applyFont="1" applyFill="1" applyBorder="1" applyAlignment="1">
      <alignment horizontal="left" wrapText="1"/>
    </xf>
    <xf numFmtId="3" fontId="3" fillId="0" borderId="1" xfId="0" applyNumberFormat="1" applyFont="1" applyFill="1" applyBorder="1" applyAlignment="1">
      <alignment horizontal="right" wrapText="1"/>
    </xf>
    <xf numFmtId="171" fontId="3" fillId="0" borderId="1" xfId="0" applyNumberFormat="1" applyFont="1" applyFill="1" applyBorder="1" applyAlignment="1">
      <alignment horizontal="right" wrapText="1"/>
    </xf>
    <xf numFmtId="0" fontId="6" fillId="0" borderId="1" xfId="0" applyFont="1" applyFill="1" applyBorder="1" applyAlignment="1" applyProtection="1">
      <alignment wrapText="1"/>
      <protection locked="0"/>
    </xf>
    <xf numFmtId="168" fontId="3" fillId="0" borderId="1" xfId="1" applyNumberFormat="1" applyFont="1" applyFill="1" applyBorder="1" applyAlignment="1">
      <alignment horizontal="center" wrapText="1"/>
    </xf>
    <xf numFmtId="1" fontId="3" fillId="0" borderId="0" xfId="0" applyNumberFormat="1" applyFont="1" applyFill="1" applyAlignment="1">
      <alignment wrapText="1"/>
    </xf>
    <xf numFmtId="0" fontId="11" fillId="0" borderId="4" xfId="0" applyFont="1" applyFill="1" applyBorder="1" applyAlignment="1" applyProtection="1">
      <alignment wrapText="1"/>
      <protection locked="0"/>
    </xf>
    <xf numFmtId="3" fontId="11" fillId="9" borderId="1" xfId="0" applyNumberFormat="1" applyFont="1" applyFill="1" applyBorder="1" applyAlignment="1" applyProtection="1">
      <alignment wrapText="1"/>
      <protection locked="0"/>
    </xf>
    <xf numFmtId="3" fontId="45" fillId="9" borderId="1" xfId="0" applyNumberFormat="1" applyFont="1" applyFill="1" applyBorder="1"/>
    <xf numFmtId="0" fontId="52" fillId="0" borderId="0" xfId="0" applyFont="1" applyFill="1"/>
    <xf numFmtId="3" fontId="11" fillId="0" borderId="0" xfId="0" applyNumberFormat="1" applyFont="1" applyBorder="1" applyAlignment="1" applyProtection="1">
      <alignment wrapText="1"/>
      <protection locked="0"/>
    </xf>
    <xf numFmtId="3" fontId="10" fillId="9" borderId="1" xfId="0" applyNumberFormat="1" applyFont="1" applyFill="1" applyBorder="1"/>
    <xf numFmtId="0" fontId="53" fillId="0" borderId="0" xfId="0" applyFont="1" applyBorder="1" applyAlignment="1" applyProtection="1">
      <protection locked="0"/>
    </xf>
    <xf numFmtId="171" fontId="11" fillId="9" borderId="1" xfId="0" applyNumberFormat="1" applyFont="1" applyFill="1" applyBorder="1" applyAlignment="1" applyProtection="1">
      <alignment wrapText="1"/>
      <protection locked="0"/>
    </xf>
    <xf numFmtId="4" fontId="11" fillId="0" borderId="0" xfId="0" applyNumberFormat="1" applyFont="1" applyBorder="1" applyAlignment="1" applyProtection="1">
      <alignment wrapText="1"/>
      <protection locked="0"/>
    </xf>
    <xf numFmtId="0" fontId="11" fillId="9" borderId="4" xfId="0" applyFont="1" applyFill="1" applyBorder="1" applyAlignment="1" applyProtection="1">
      <alignment wrapText="1"/>
      <protection locked="0"/>
    </xf>
    <xf numFmtId="165" fontId="10" fillId="5" borderId="1" xfId="0" applyNumberFormat="1" applyFont="1" applyFill="1" applyBorder="1" applyAlignment="1" applyProtection="1">
      <alignment horizontal="right" vertical="top" wrapText="1"/>
      <protection locked="0"/>
    </xf>
    <xf numFmtId="3" fontId="12" fillId="9" borderId="1" xfId="0" applyNumberFormat="1" applyFont="1" applyFill="1" applyBorder="1" applyAlignment="1" applyProtection="1">
      <alignment horizontal="right" vertical="top" wrapText="1"/>
      <protection locked="0"/>
    </xf>
    <xf numFmtId="168" fontId="10" fillId="9" borderId="1" xfId="1" applyNumberFormat="1" applyFont="1" applyFill="1" applyBorder="1" applyAlignment="1" applyProtection="1">
      <protection locked="0"/>
    </xf>
    <xf numFmtId="0" fontId="10" fillId="9" borderId="4" xfId="0" applyFont="1" applyFill="1" applyBorder="1" applyAlignment="1" applyProtection="1">
      <alignment wrapText="1"/>
      <protection locked="0"/>
    </xf>
    <xf numFmtId="0" fontId="0" fillId="0" borderId="0" xfId="0" applyFill="1" applyBorder="1"/>
    <xf numFmtId="0" fontId="5" fillId="0" borderId="0" xfId="0" applyFont="1" applyFill="1" applyBorder="1" applyAlignment="1" applyProtection="1">
      <alignment horizontal="center" wrapText="1"/>
      <protection locked="0"/>
    </xf>
    <xf numFmtId="0" fontId="56" fillId="10" borderId="1" xfId="0" applyFont="1" applyFill="1" applyBorder="1" applyAlignment="1">
      <alignment horizontal="center"/>
    </xf>
    <xf numFmtId="0" fontId="58" fillId="0" borderId="0" xfId="0" applyFont="1" applyFill="1" applyBorder="1"/>
    <xf numFmtId="3" fontId="57" fillId="11" borderId="1" xfId="0" applyNumberFormat="1" applyFont="1" applyFill="1" applyBorder="1" applyAlignment="1">
      <alignment horizontal="center" wrapText="1"/>
    </xf>
    <xf numFmtId="0" fontId="56" fillId="0" borderId="0" xfId="0" applyFont="1" applyFill="1" applyBorder="1" applyAlignment="1">
      <alignment horizontal="center"/>
    </xf>
    <xf numFmtId="0" fontId="58" fillId="0" borderId="1" xfId="0" applyFont="1" applyFill="1" applyBorder="1"/>
    <xf numFmtId="0" fontId="58" fillId="0" borderId="1" xfId="0" applyFont="1" applyFill="1" applyBorder="1" applyAlignment="1">
      <alignment horizontal="center"/>
    </xf>
    <xf numFmtId="1" fontId="58" fillId="0" borderId="1" xfId="0" applyNumberFormat="1" applyFont="1" applyFill="1" applyBorder="1" applyAlignment="1">
      <alignment horizontal="center"/>
    </xf>
    <xf numFmtId="0" fontId="58" fillId="0" borderId="4" xfId="0" applyFont="1" applyFill="1" applyBorder="1" applyAlignment="1">
      <alignment horizontal="center"/>
    </xf>
    <xf numFmtId="0" fontId="58" fillId="0" borderId="0" xfId="0" applyFont="1" applyFill="1" applyBorder="1" applyAlignment="1">
      <alignment horizontal="center"/>
    </xf>
    <xf numFmtId="3" fontId="57" fillId="11" borderId="2" xfId="0" applyNumberFormat="1" applyFont="1" applyFill="1" applyBorder="1" applyAlignment="1">
      <alignment horizontal="center" wrapText="1"/>
    </xf>
    <xf numFmtId="0" fontId="58" fillId="0" borderId="3" xfId="0" applyFont="1" applyFill="1" applyBorder="1"/>
    <xf numFmtId="0" fontId="58" fillId="0" borderId="5" xfId="0" applyFont="1" applyFill="1" applyBorder="1" applyAlignment="1">
      <alignment horizontal="center"/>
    </xf>
    <xf numFmtId="1" fontId="58" fillId="0" borderId="5" xfId="0" applyNumberFormat="1" applyFont="1" applyFill="1" applyBorder="1" applyAlignment="1">
      <alignment horizontal="center"/>
    </xf>
    <xf numFmtId="0" fontId="58" fillId="0" borderId="5" xfId="0" applyFont="1" applyFill="1" applyBorder="1"/>
    <xf numFmtId="1" fontId="58" fillId="0" borderId="4" xfId="0" applyNumberFormat="1" applyFont="1" applyFill="1" applyBorder="1" applyAlignment="1">
      <alignment horizontal="center"/>
    </xf>
    <xf numFmtId="3" fontId="10" fillId="9" borderId="1" xfId="0" applyNumberFormat="1" applyFont="1" applyFill="1" applyBorder="1" applyAlignment="1" applyProtection="1">
      <alignment wrapText="1"/>
      <protection locked="0"/>
    </xf>
    <xf numFmtId="168" fontId="11" fillId="0" borderId="0" xfId="0" applyNumberFormat="1" applyFont="1" applyBorder="1" applyAlignment="1" applyProtection="1">
      <alignment wrapText="1"/>
      <protection locked="0"/>
    </xf>
    <xf numFmtId="173" fontId="0" fillId="0" borderId="0" xfId="0" applyNumberFormat="1"/>
    <xf numFmtId="0" fontId="13" fillId="9" borderId="0" xfId="0" applyFont="1" applyFill="1" applyAlignment="1"/>
    <xf numFmtId="2" fontId="13" fillId="9" borderId="0" xfId="0" applyNumberFormat="1" applyFont="1" applyFill="1" applyAlignment="1">
      <alignment horizontal="left" vertical="top" wrapText="1"/>
    </xf>
    <xf numFmtId="0" fontId="10" fillId="9" borderId="0" xfId="0" applyNumberFormat="1" applyFont="1" applyFill="1" applyAlignment="1">
      <alignment horizontal="left"/>
    </xf>
    <xf numFmtId="0" fontId="11" fillId="9" borderId="0" xfId="0" applyFont="1" applyFill="1" applyBorder="1" applyAlignment="1" applyProtection="1">
      <protection locked="0"/>
    </xf>
    <xf numFmtId="166" fontId="10" fillId="9" borderId="0" xfId="3" applyNumberFormat="1" applyFont="1" applyFill="1" applyBorder="1" applyAlignment="1" applyProtection="1">
      <protection locked="0"/>
    </xf>
    <xf numFmtId="2" fontId="10" fillId="9" borderId="0" xfId="3" applyNumberFormat="1" applyFont="1" applyFill="1" applyBorder="1" applyAlignment="1" applyProtection="1">
      <protection locked="0"/>
    </xf>
    <xf numFmtId="0" fontId="53" fillId="0" borderId="0" xfId="0" applyFont="1" applyFill="1" applyBorder="1" applyAlignment="1" applyProtection="1">
      <protection locked="0"/>
    </xf>
    <xf numFmtId="1" fontId="13" fillId="9" borderId="1" xfId="0" applyNumberFormat="1" applyFont="1" applyFill="1" applyBorder="1"/>
    <xf numFmtId="3" fontId="3" fillId="9" borderId="1" xfId="0" applyNumberFormat="1" applyFont="1" applyFill="1" applyBorder="1" applyAlignment="1">
      <alignment horizontal="right" wrapText="1"/>
    </xf>
    <xf numFmtId="0" fontId="11" fillId="0" borderId="4" xfId="0" applyFont="1" applyFill="1" applyBorder="1" applyAlignment="1" applyProtection="1">
      <alignment wrapText="1"/>
      <protection locked="0"/>
    </xf>
    <xf numFmtId="0" fontId="52" fillId="0" borderId="0" xfId="0" applyFont="1"/>
    <xf numFmtId="3" fontId="9" fillId="9" borderId="9" xfId="3" applyNumberFormat="1" applyFont="1" applyFill="1" applyBorder="1" applyAlignment="1" applyProtection="1">
      <alignment horizontal="right" wrapText="1"/>
      <protection locked="0"/>
    </xf>
    <xf numFmtId="3" fontId="3" fillId="9" borderId="10" xfId="0" applyNumberFormat="1" applyFont="1" applyFill="1" applyBorder="1" applyAlignment="1" applyProtection="1">
      <alignment horizontal="right" wrapText="1"/>
      <protection locked="0"/>
    </xf>
    <xf numFmtId="3" fontId="9" fillId="9" borderId="24" xfId="3" applyNumberFormat="1" applyFont="1" applyFill="1" applyBorder="1" applyAlignment="1" applyProtection="1">
      <alignment horizontal="right"/>
      <protection locked="0"/>
    </xf>
    <xf numFmtId="3" fontId="3" fillId="9" borderId="0" xfId="0" applyNumberFormat="1" applyFont="1" applyFill="1" applyBorder="1" applyAlignment="1" applyProtection="1">
      <alignment horizontal="right"/>
      <protection locked="0"/>
    </xf>
    <xf numFmtId="3" fontId="9" fillId="9" borderId="24" xfId="3" applyNumberFormat="1" applyFont="1" applyFill="1" applyBorder="1" applyAlignment="1" applyProtection="1">
      <alignment horizontal="right" wrapText="1"/>
      <protection locked="0"/>
    </xf>
    <xf numFmtId="3" fontId="3" fillId="9" borderId="0" xfId="0" applyNumberFormat="1" applyFont="1" applyFill="1" applyBorder="1" applyAlignment="1" applyProtection="1">
      <alignment horizontal="right" wrapText="1"/>
      <protection locked="0"/>
    </xf>
    <xf numFmtId="3" fontId="21" fillId="9" borderId="33" xfId="3" applyNumberFormat="1" applyFont="1" applyFill="1" applyBorder="1" applyAlignment="1" applyProtection="1">
      <alignment horizontal="right" wrapText="1"/>
      <protection locked="0"/>
    </xf>
    <xf numFmtId="3" fontId="21" fillId="9" borderId="37" xfId="3" applyNumberFormat="1" applyFont="1" applyFill="1" applyBorder="1" applyAlignment="1" applyProtection="1">
      <alignment horizontal="right" wrapText="1"/>
      <protection locked="0"/>
    </xf>
    <xf numFmtId="3" fontId="9" fillId="9" borderId="0" xfId="3" applyNumberFormat="1" applyFont="1" applyFill="1" applyBorder="1" applyAlignment="1" applyProtection="1">
      <alignment horizontal="right" wrapText="1"/>
      <protection locked="0"/>
    </xf>
    <xf numFmtId="3" fontId="3" fillId="9" borderId="31" xfId="0" applyNumberFormat="1" applyFont="1" applyFill="1" applyBorder="1" applyAlignment="1" applyProtection="1">
      <alignment horizontal="right" wrapText="1"/>
      <protection locked="0"/>
    </xf>
    <xf numFmtId="3" fontId="3" fillId="9" borderId="31" xfId="0" applyNumberFormat="1" applyFont="1" applyFill="1" applyBorder="1" applyAlignment="1" applyProtection="1">
      <alignment horizontal="right"/>
      <protection locked="0"/>
    </xf>
    <xf numFmtId="3" fontId="21" fillId="9" borderId="6" xfId="3" applyNumberFormat="1" applyFont="1" applyFill="1" applyBorder="1" applyAlignment="1" applyProtection="1">
      <alignment horizontal="right" wrapText="1"/>
      <protection locked="0"/>
    </xf>
    <xf numFmtId="0" fontId="5" fillId="5" borderId="39" xfId="0" applyFont="1" applyFill="1" applyBorder="1" applyAlignment="1" applyProtection="1">
      <alignment horizontal="center" vertical="top" wrapText="1"/>
      <protection locked="0"/>
    </xf>
    <xf numFmtId="0" fontId="5" fillId="5" borderId="40" xfId="0" applyFont="1" applyFill="1" applyBorder="1" applyAlignment="1" applyProtection="1">
      <alignment horizontal="center" vertical="top" wrapText="1"/>
      <protection locked="0"/>
    </xf>
    <xf numFmtId="0" fontId="5" fillId="5" borderId="23" xfId="0" applyFont="1" applyFill="1" applyBorder="1" applyAlignment="1" applyProtection="1">
      <alignment horizontal="center" vertical="top" wrapText="1"/>
      <protection locked="0"/>
    </xf>
    <xf numFmtId="0" fontId="5" fillId="5" borderId="41" xfId="0" applyFont="1" applyFill="1" applyBorder="1" applyAlignment="1" applyProtection="1">
      <alignment horizontal="center" vertical="top" wrapText="1"/>
      <protection locked="0"/>
    </xf>
    <xf numFmtId="0" fontId="5" fillId="5" borderId="42" xfId="0" applyFont="1" applyFill="1" applyBorder="1" applyAlignment="1" applyProtection="1">
      <alignment horizontal="center" vertical="top" wrapText="1"/>
      <protection locked="0"/>
    </xf>
    <xf numFmtId="0" fontId="5" fillId="5" borderId="32" xfId="0" applyFont="1" applyFill="1" applyBorder="1" applyAlignment="1" applyProtection="1">
      <alignment horizontal="center" vertical="top" wrapText="1"/>
      <protection locked="0"/>
    </xf>
    <xf numFmtId="0" fontId="5" fillId="5" borderId="44" xfId="0" applyFont="1" applyFill="1" applyBorder="1" applyAlignment="1" applyProtection="1">
      <alignment horizontal="center" vertical="top" wrapText="1"/>
      <protection locked="0"/>
    </xf>
    <xf numFmtId="0" fontId="5" fillId="4" borderId="3" xfId="0" applyFont="1" applyFill="1" applyBorder="1" applyAlignment="1" applyProtection="1">
      <alignment horizontal="center" wrapText="1"/>
      <protection locked="0"/>
    </xf>
    <xf numFmtId="0" fontId="5" fillId="4" borderId="5" xfId="0" applyFont="1" applyFill="1" applyBorder="1" applyAlignment="1" applyProtection="1">
      <alignment horizontal="center" wrapText="1"/>
      <protection locked="0"/>
    </xf>
    <xf numFmtId="0" fontId="5" fillId="4" borderId="4" xfId="0" applyFont="1" applyFill="1" applyBorder="1" applyAlignment="1" applyProtection="1">
      <alignment horizontal="center" wrapText="1"/>
      <protection locked="0"/>
    </xf>
    <xf numFmtId="0" fontId="5" fillId="0" borderId="41" xfId="0" applyFont="1" applyFill="1" applyBorder="1" applyAlignment="1" applyProtection="1">
      <alignment horizontal="center" vertical="top" wrapText="1"/>
      <protection locked="0"/>
    </xf>
    <xf numFmtId="0" fontId="5" fillId="0" borderId="42" xfId="0" applyFont="1" applyFill="1" applyBorder="1" applyAlignment="1" applyProtection="1">
      <alignment horizontal="center" vertical="top" wrapText="1"/>
      <protection locked="0"/>
    </xf>
    <xf numFmtId="0" fontId="5" fillId="0" borderId="32" xfId="0" applyFont="1" applyFill="1" applyBorder="1" applyAlignment="1" applyProtection="1">
      <alignment horizontal="center" vertical="top" wrapText="1"/>
      <protection locked="0"/>
    </xf>
    <xf numFmtId="0" fontId="5" fillId="0" borderId="8"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4" borderId="8" xfId="0" applyFont="1" applyFill="1" applyBorder="1" applyAlignment="1" applyProtection="1">
      <alignment horizontal="center" wrapText="1"/>
      <protection locked="0"/>
    </xf>
    <xf numFmtId="0" fontId="5" fillId="4" borderId="2" xfId="0" applyFont="1" applyFill="1" applyBorder="1" applyAlignment="1" applyProtection="1">
      <alignment horizontal="center" wrapText="1"/>
      <protection locked="0"/>
    </xf>
    <xf numFmtId="0" fontId="5" fillId="0" borderId="44" xfId="0" applyFont="1" applyFill="1" applyBorder="1" applyAlignment="1" applyProtection="1">
      <alignment horizontal="center" vertical="top" wrapText="1"/>
      <protection locked="0"/>
    </xf>
    <xf numFmtId="0" fontId="5" fillId="0" borderId="39" xfId="0" applyFont="1" applyFill="1" applyBorder="1" applyAlignment="1" applyProtection="1">
      <alignment horizontal="center" vertical="top" wrapText="1"/>
      <protection locked="0"/>
    </xf>
    <xf numFmtId="0" fontId="5" fillId="0" borderId="4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5" fillId="4" borderId="1" xfId="0" applyFont="1" applyFill="1" applyBorder="1" applyAlignment="1" applyProtection="1">
      <alignment horizontal="left" wrapText="1"/>
      <protection locked="0"/>
    </xf>
    <xf numFmtId="0" fontId="5" fillId="4" borderId="27" xfId="0" applyFont="1" applyFill="1" applyBorder="1" applyAlignment="1" applyProtection="1">
      <alignment horizontal="center"/>
      <protection locked="0"/>
    </xf>
    <xf numFmtId="0" fontId="5" fillId="4" borderId="29" xfId="0" applyFont="1" applyFill="1" applyBorder="1" applyAlignment="1" applyProtection="1">
      <alignment horizontal="center"/>
      <protection locked="0"/>
    </xf>
    <xf numFmtId="0" fontId="22" fillId="4" borderId="27" xfId="3" applyFont="1" applyFill="1" applyBorder="1" applyAlignment="1" applyProtection="1">
      <alignment horizontal="center"/>
      <protection locked="0"/>
    </xf>
    <xf numFmtId="0" fontId="22" fillId="4" borderId="28" xfId="3" applyFont="1" applyFill="1" applyBorder="1" applyAlignment="1" applyProtection="1">
      <alignment horizontal="center"/>
      <protection locked="0"/>
    </xf>
    <xf numFmtId="0" fontId="22" fillId="4" borderId="29" xfId="3" applyFont="1" applyFill="1" applyBorder="1" applyAlignment="1" applyProtection="1">
      <alignment horizontal="center"/>
      <protection locked="0"/>
    </xf>
    <xf numFmtId="0" fontId="5" fillId="4" borderId="35" xfId="0" applyFont="1" applyFill="1" applyBorder="1" applyAlignment="1" applyProtection="1">
      <alignment horizontal="left" wrapText="1"/>
      <protection locked="0"/>
    </xf>
    <xf numFmtId="0" fontId="5" fillId="4" borderId="36" xfId="0" applyFont="1" applyFill="1" applyBorder="1" applyAlignment="1" applyProtection="1">
      <alignment horizontal="left" wrapText="1"/>
      <protection locked="0"/>
    </xf>
    <xf numFmtId="0" fontId="5" fillId="4" borderId="8" xfId="0" applyFont="1" applyFill="1" applyBorder="1" applyAlignment="1" applyProtection="1">
      <alignment horizontal="left" wrapText="1"/>
      <protection locked="0"/>
    </xf>
    <xf numFmtId="0" fontId="5" fillId="4" borderId="2" xfId="0" applyFont="1" applyFill="1" applyBorder="1" applyAlignment="1" applyProtection="1">
      <alignment horizontal="left" wrapText="1"/>
      <protection locked="0"/>
    </xf>
    <xf numFmtId="0" fontId="5" fillId="4" borderId="43" xfId="0" applyFont="1" applyFill="1" applyBorder="1" applyAlignment="1" applyProtection="1">
      <alignment horizontal="center"/>
      <protection locked="0"/>
    </xf>
    <xf numFmtId="0" fontId="5" fillId="4" borderId="32" xfId="0" applyFont="1" applyFill="1" applyBorder="1" applyAlignment="1" applyProtection="1">
      <alignment horizontal="center"/>
      <protection locked="0"/>
    </xf>
    <xf numFmtId="3" fontId="34" fillId="5" borderId="1" xfId="0" applyNumberFormat="1" applyFont="1" applyFill="1" applyBorder="1" applyAlignment="1">
      <alignment horizontal="center" vertical="top" wrapText="1"/>
    </xf>
    <xf numFmtId="3" fontId="22" fillId="5" borderId="3" xfId="0" applyNumberFormat="1" applyFont="1" applyFill="1" applyBorder="1" applyAlignment="1">
      <alignment horizontal="center" vertical="top" wrapText="1"/>
    </xf>
    <xf numFmtId="3" fontId="22" fillId="5" borderId="5" xfId="0" applyNumberFormat="1" applyFont="1" applyFill="1" applyBorder="1" applyAlignment="1">
      <alignment horizontal="center" vertical="top" wrapText="1"/>
    </xf>
    <xf numFmtId="3" fontId="22" fillId="5" borderId="4" xfId="0" applyNumberFormat="1" applyFont="1" applyFill="1" applyBorder="1" applyAlignment="1">
      <alignment horizontal="center" vertical="top" wrapText="1"/>
    </xf>
    <xf numFmtId="0" fontId="22" fillId="0" borderId="9" xfId="0" applyNumberFormat="1" applyFont="1" applyFill="1" applyBorder="1" applyAlignment="1">
      <alignment horizontal="left" wrapText="1"/>
    </xf>
    <xf numFmtId="0" fontId="22" fillId="0" borderId="10" xfId="0" applyNumberFormat="1" applyFont="1" applyFill="1" applyBorder="1" applyAlignment="1">
      <alignment horizontal="left" wrapText="1"/>
    </xf>
    <xf numFmtId="0" fontId="22" fillId="0" borderId="11" xfId="0" applyNumberFormat="1" applyFont="1" applyFill="1" applyBorder="1" applyAlignment="1">
      <alignment horizontal="left" wrapText="1"/>
    </xf>
    <xf numFmtId="0" fontId="22" fillId="0" borderId="12" xfId="0" applyNumberFormat="1" applyFont="1" applyFill="1" applyBorder="1" applyAlignment="1">
      <alignment horizontal="left" wrapText="1"/>
    </xf>
    <xf numFmtId="0" fontId="22" fillId="0" borderId="13" xfId="0" applyNumberFormat="1" applyFont="1" applyFill="1" applyBorder="1" applyAlignment="1">
      <alignment horizontal="left" wrapText="1"/>
    </xf>
    <xf numFmtId="0" fontId="22" fillId="0" borderId="14" xfId="0" applyNumberFormat="1" applyFont="1" applyFill="1" applyBorder="1" applyAlignment="1">
      <alignment horizontal="left" wrapText="1"/>
    </xf>
    <xf numFmtId="2" fontId="13" fillId="0" borderId="0" xfId="0" applyNumberFormat="1" applyFont="1" applyFill="1" applyAlignment="1">
      <alignment horizontal="left" vertical="top" wrapText="1"/>
    </xf>
    <xf numFmtId="0" fontId="13" fillId="9" borderId="0" xfId="0" applyNumberFormat="1" applyFont="1" applyFill="1" applyAlignment="1">
      <alignment horizontal="left" vertical="top" wrapText="1"/>
    </xf>
    <xf numFmtId="0" fontId="11" fillId="0" borderId="3" xfId="0" applyFont="1" applyFill="1" applyBorder="1" applyAlignment="1" applyProtection="1">
      <alignment wrapText="1"/>
      <protection locked="0"/>
    </xf>
    <xf numFmtId="0" fontId="11" fillId="0" borderId="5" xfId="0" applyFont="1" applyFill="1" applyBorder="1" applyAlignment="1" applyProtection="1">
      <alignment wrapText="1"/>
      <protection locked="0"/>
    </xf>
    <xf numFmtId="0" fontId="11" fillId="0" borderId="4" xfId="0" applyFont="1" applyFill="1" applyBorder="1" applyAlignment="1" applyProtection="1">
      <alignment wrapText="1"/>
      <protection locked="0"/>
    </xf>
    <xf numFmtId="0" fontId="11" fillId="0" borderId="1" xfId="0" applyFont="1" applyFill="1" applyBorder="1" applyAlignment="1" applyProtection="1">
      <alignment wrapText="1"/>
      <protection locked="0"/>
    </xf>
    <xf numFmtId="0" fontId="31" fillId="0" borderId="4" xfId="0" applyFont="1" applyFill="1" applyBorder="1" applyAlignment="1" applyProtection="1">
      <alignment wrapText="1"/>
      <protection locked="0"/>
    </xf>
    <xf numFmtId="0" fontId="31" fillId="0" borderId="1" xfId="0" applyFont="1" applyFill="1" applyBorder="1" applyAlignment="1" applyProtection="1">
      <alignment wrapText="1"/>
      <protection locked="0"/>
    </xf>
    <xf numFmtId="0" fontId="23" fillId="4" borderId="3" xfId="0" applyFont="1" applyFill="1" applyBorder="1" applyAlignment="1" applyProtection="1">
      <alignment horizontal="center" wrapText="1"/>
      <protection locked="0"/>
    </xf>
    <xf numFmtId="0" fontId="23" fillId="4" borderId="5" xfId="0" applyFont="1" applyFill="1" applyBorder="1" applyAlignment="1" applyProtection="1">
      <alignment horizontal="center" wrapText="1"/>
      <protection locked="0"/>
    </xf>
    <xf numFmtId="0" fontId="23" fillId="4" borderId="4" xfId="0" applyFont="1" applyFill="1" applyBorder="1" applyAlignment="1" applyProtection="1">
      <alignment horizontal="center" wrapText="1"/>
      <protection locked="0"/>
    </xf>
    <xf numFmtId="0" fontId="24" fillId="4" borderId="3" xfId="0" applyFont="1" applyFill="1" applyBorder="1" applyAlignment="1" applyProtection="1">
      <alignment horizontal="center" wrapText="1"/>
      <protection locked="0"/>
    </xf>
    <xf numFmtId="0" fontId="0" fillId="0" borderId="5" xfId="0" applyBorder="1"/>
    <xf numFmtId="0" fontId="0" fillId="0" borderId="4" xfId="0" applyBorder="1"/>
    <xf numFmtId="0" fontId="24" fillId="4" borderId="8" xfId="0" applyFont="1" applyFill="1" applyBorder="1" applyAlignment="1" applyProtection="1">
      <alignment horizontal="center" wrapText="1"/>
      <protection locked="0"/>
    </xf>
    <xf numFmtId="0" fontId="24" fillId="4" borderId="2" xfId="0" applyFont="1" applyFill="1" applyBorder="1" applyAlignment="1" applyProtection="1">
      <alignment horizontal="center" wrapText="1"/>
      <protection locked="0"/>
    </xf>
    <xf numFmtId="0" fontId="23" fillId="0" borderId="5" xfId="0" applyFont="1" applyFill="1" applyBorder="1" applyAlignment="1" applyProtection="1">
      <alignment horizontal="right"/>
      <protection locked="0"/>
    </xf>
    <xf numFmtId="0" fontId="24" fillId="4" borderId="9" xfId="0" applyFont="1" applyFill="1" applyBorder="1" applyAlignment="1" applyProtection="1">
      <alignment horizontal="center" wrapText="1"/>
      <protection locked="0"/>
    </xf>
    <xf numFmtId="0" fontId="24" fillId="4" borderId="12" xfId="0" applyFont="1" applyFill="1" applyBorder="1" applyAlignment="1" applyProtection="1">
      <alignment horizontal="center" wrapText="1"/>
      <protection locked="0"/>
    </xf>
    <xf numFmtId="0" fontId="24" fillId="4" borderId="1" xfId="0" applyFont="1" applyFill="1" applyBorder="1" applyAlignment="1" applyProtection="1">
      <alignment horizontal="center" wrapText="1"/>
      <protection locked="0"/>
    </xf>
    <xf numFmtId="0" fontId="11" fillId="0" borderId="1" xfId="0" applyFont="1" applyFill="1" applyBorder="1" applyAlignment="1" applyProtection="1">
      <alignment horizontal="left" wrapText="1"/>
      <protection locked="0"/>
    </xf>
    <xf numFmtId="0" fontId="46" fillId="6" borderId="45" xfId="0" applyFont="1" applyFill="1" applyBorder="1" applyAlignment="1">
      <alignment horizontal="center" vertical="center" wrapText="1"/>
    </xf>
    <xf numFmtId="0" fontId="46" fillId="6" borderId="23" xfId="0" applyFont="1" applyFill="1" applyBorder="1" applyAlignment="1">
      <alignment horizontal="center" vertical="center" wrapText="1"/>
    </xf>
    <xf numFmtId="0" fontId="46" fillId="6" borderId="45" xfId="0" applyFont="1" applyFill="1" applyBorder="1" applyAlignment="1">
      <alignment horizontal="center" vertical="center"/>
    </xf>
    <xf numFmtId="0" fontId="46" fillId="6" borderId="23" xfId="0" applyFont="1" applyFill="1" applyBorder="1" applyAlignment="1">
      <alignment horizontal="center" vertical="center"/>
    </xf>
    <xf numFmtId="0" fontId="0" fillId="7" borderId="3" xfId="0" applyFill="1" applyBorder="1" applyAlignment="1">
      <alignment horizontal="center"/>
    </xf>
    <xf numFmtId="0" fontId="0" fillId="7" borderId="4" xfId="0" applyFill="1" applyBorder="1" applyAlignment="1">
      <alignment horizontal="center"/>
    </xf>
    <xf numFmtId="0" fontId="45" fillId="0" borderId="3" xfId="0" applyFont="1" applyBorder="1" applyAlignment="1">
      <alignment horizontal="center"/>
    </xf>
    <xf numFmtId="0" fontId="45" fillId="0" borderId="4" xfId="0" applyFont="1" applyBorder="1" applyAlignment="1">
      <alignment horizontal="center"/>
    </xf>
    <xf numFmtId="0" fontId="46" fillId="6" borderId="46" xfId="0" applyFont="1" applyFill="1" applyBorder="1" applyAlignment="1">
      <alignment horizontal="center" vertical="center"/>
    </xf>
    <xf numFmtId="0" fontId="46" fillId="6" borderId="47" xfId="0" applyFont="1" applyFill="1" applyBorder="1" applyAlignment="1">
      <alignment horizontal="center" vertical="center"/>
    </xf>
    <xf numFmtId="0" fontId="46" fillId="6" borderId="48" xfId="0" applyFont="1" applyFill="1" applyBorder="1" applyAlignment="1">
      <alignment horizontal="center" vertical="center"/>
    </xf>
    <xf numFmtId="0" fontId="22" fillId="0" borderId="1" xfId="0" applyNumberFormat="1" applyFont="1" applyFill="1" applyBorder="1" applyAlignment="1">
      <alignment horizontal="left" wrapText="1"/>
    </xf>
    <xf numFmtId="3" fontId="29" fillId="5" borderId="3" xfId="0" applyNumberFormat="1" applyFont="1" applyFill="1" applyBorder="1" applyAlignment="1">
      <alignment horizontal="center"/>
    </xf>
    <xf numFmtId="3" fontId="29" fillId="5" borderId="5" xfId="0" applyNumberFormat="1" applyFont="1" applyFill="1" applyBorder="1" applyAlignment="1">
      <alignment horizontal="center"/>
    </xf>
    <xf numFmtId="3" fontId="29" fillId="5" borderId="4" xfId="0" applyNumberFormat="1" applyFont="1" applyFill="1" applyBorder="1" applyAlignment="1">
      <alignment horizontal="center"/>
    </xf>
    <xf numFmtId="0" fontId="13" fillId="0" borderId="0" xfId="0" applyFont="1" applyAlignment="1">
      <alignment horizontal="right"/>
    </xf>
    <xf numFmtId="0" fontId="29" fillId="4" borderId="1" xfId="0" applyFont="1" applyFill="1" applyBorder="1" applyAlignment="1">
      <alignment horizontal="center"/>
    </xf>
    <xf numFmtId="0" fontId="10" fillId="0" borderId="0" xfId="0" applyFont="1" applyFill="1" applyAlignment="1">
      <alignment horizontal="left" vertical="top" wrapText="1"/>
    </xf>
    <xf numFmtId="0" fontId="10" fillId="0" borderId="0" xfId="0" applyNumberFormat="1" applyFont="1" applyFill="1" applyAlignment="1">
      <alignment horizontal="left" vertical="top" wrapText="1"/>
    </xf>
    <xf numFmtId="0" fontId="13" fillId="0" borderId="0" xfId="0" applyFont="1" applyFill="1" applyAlignment="1">
      <alignment horizontal="left" vertical="top" wrapText="1"/>
    </xf>
    <xf numFmtId="0" fontId="25" fillId="0" borderId="3" xfId="0" applyFont="1" applyFill="1" applyBorder="1" applyAlignment="1">
      <alignment horizontal="left" wrapText="1"/>
    </xf>
    <xf numFmtId="0" fontId="25" fillId="0" borderId="5" xfId="0" applyFont="1" applyFill="1" applyBorder="1" applyAlignment="1">
      <alignment horizontal="left" wrapText="1"/>
    </xf>
    <xf numFmtId="0" fontId="25" fillId="0" borderId="4" xfId="0" applyFont="1" applyFill="1" applyBorder="1" applyAlignment="1">
      <alignment horizontal="left" wrapText="1"/>
    </xf>
    <xf numFmtId="168" fontId="5" fillId="4" borderId="3" xfId="1" applyNumberFormat="1" applyFont="1" applyFill="1" applyBorder="1" applyAlignment="1">
      <alignment horizontal="center" wrapText="1"/>
    </xf>
    <xf numFmtId="168" fontId="5" fillId="4" borderId="5" xfId="1" applyNumberFormat="1" applyFont="1" applyFill="1" applyBorder="1" applyAlignment="1">
      <alignment horizontal="center" wrapText="1"/>
    </xf>
    <xf numFmtId="168" fontId="5" fillId="4" borderId="4" xfId="1" applyNumberFormat="1" applyFont="1" applyFill="1" applyBorder="1" applyAlignment="1">
      <alignment horizontal="center" wrapText="1"/>
    </xf>
    <xf numFmtId="0" fontId="5" fillId="0" borderId="3" xfId="0" applyFont="1" applyFill="1" applyBorder="1" applyAlignment="1">
      <alignment horizontal="left" wrapText="1"/>
    </xf>
    <xf numFmtId="0" fontId="5" fillId="0" borderId="5" xfId="0" applyFont="1" applyFill="1" applyBorder="1" applyAlignment="1">
      <alignment horizontal="left" wrapText="1"/>
    </xf>
    <xf numFmtId="0" fontId="5" fillId="0" borderId="4" xfId="0" applyFont="1" applyFill="1" applyBorder="1" applyAlignment="1">
      <alignment horizontal="left" wrapText="1"/>
    </xf>
    <xf numFmtId="0" fontId="56" fillId="10" borderId="1" xfId="0" applyFont="1" applyFill="1" applyBorder="1" applyAlignment="1">
      <alignment horizontal="left"/>
    </xf>
    <xf numFmtId="3" fontId="57" fillId="11" borderId="1" xfId="0" applyNumberFormat="1" applyFont="1" applyFill="1" applyBorder="1" applyAlignment="1">
      <alignment horizontal="center" wrapText="1"/>
    </xf>
    <xf numFmtId="0" fontId="56" fillId="10" borderId="3" xfId="0" applyFont="1" applyFill="1" applyBorder="1" applyAlignment="1">
      <alignment horizontal="left"/>
    </xf>
    <xf numFmtId="0" fontId="56" fillId="10" borderId="5" xfId="0" applyFont="1" applyFill="1" applyBorder="1" applyAlignment="1">
      <alignment horizontal="left"/>
    </xf>
    <xf numFmtId="0" fontId="56" fillId="10" borderId="4" xfId="0" applyFont="1" applyFill="1" applyBorder="1" applyAlignment="1">
      <alignment horizontal="left"/>
    </xf>
  </cellXfs>
  <cellStyles count="44">
    <cellStyle name="Comma" xfId="1" builtinId="3"/>
    <cellStyle name="Currency" xfId="2" builtinId="4"/>
    <cellStyle name="Good" xfId="3" builtinId="26"/>
    <cellStyle name="Hyperlink" xfId="4" builtinId="8"/>
    <cellStyle name="Normal" xfId="0" builtinId="0"/>
    <cellStyle name="Normal 10" xfId="6" xr:uid="{00000000-0005-0000-0000-000005000000}"/>
    <cellStyle name="Normal 11" xfId="7" xr:uid="{00000000-0005-0000-0000-000006000000}"/>
    <cellStyle name="Normal 12" xfId="8" xr:uid="{00000000-0005-0000-0000-000007000000}"/>
    <cellStyle name="Normal 13" xfId="9" xr:uid="{00000000-0005-0000-0000-000008000000}"/>
    <cellStyle name="Normal 14" xfId="10" xr:uid="{00000000-0005-0000-0000-000009000000}"/>
    <cellStyle name="Normal 15" xfId="11" xr:uid="{00000000-0005-0000-0000-00000A000000}"/>
    <cellStyle name="Normal 16" xfId="12" xr:uid="{00000000-0005-0000-0000-00000B000000}"/>
    <cellStyle name="Normal 17" xfId="13" xr:uid="{00000000-0005-0000-0000-00000C000000}"/>
    <cellStyle name="Normal 18" xfId="14" xr:uid="{00000000-0005-0000-0000-00000D000000}"/>
    <cellStyle name="Normal 19" xfId="15" xr:uid="{00000000-0005-0000-0000-00000E000000}"/>
    <cellStyle name="Normal 2" xfId="5" xr:uid="{00000000-0005-0000-0000-00000F000000}"/>
    <cellStyle name="Normal 2 2" xfId="16" xr:uid="{00000000-0005-0000-0000-000010000000}"/>
    <cellStyle name="Normal 2 3" xfId="17" xr:uid="{00000000-0005-0000-0000-000011000000}"/>
    <cellStyle name="Normal 2 4" xfId="18" xr:uid="{00000000-0005-0000-0000-000012000000}"/>
    <cellStyle name="Normal 2 5" xfId="19" xr:uid="{00000000-0005-0000-0000-000013000000}"/>
    <cellStyle name="Normal 20" xfId="20" xr:uid="{00000000-0005-0000-0000-000014000000}"/>
    <cellStyle name="Normal 21" xfId="21" xr:uid="{00000000-0005-0000-0000-000015000000}"/>
    <cellStyle name="Normal 22" xfId="22" xr:uid="{00000000-0005-0000-0000-000016000000}"/>
    <cellStyle name="Normal 23" xfId="23" xr:uid="{00000000-0005-0000-0000-000017000000}"/>
    <cellStyle name="Normal 24" xfId="24" xr:uid="{00000000-0005-0000-0000-000018000000}"/>
    <cellStyle name="Normal 25" xfId="25" xr:uid="{00000000-0005-0000-0000-000019000000}"/>
    <cellStyle name="Normal 26" xfId="26" xr:uid="{00000000-0005-0000-0000-00001A000000}"/>
    <cellStyle name="Normal 27" xfId="27" xr:uid="{00000000-0005-0000-0000-00001B000000}"/>
    <cellStyle name="Normal 28" xfId="28" xr:uid="{00000000-0005-0000-0000-00001C000000}"/>
    <cellStyle name="Normal 29" xfId="29" xr:uid="{00000000-0005-0000-0000-00001D000000}"/>
    <cellStyle name="Normal 3" xfId="30" xr:uid="{00000000-0005-0000-0000-00001E000000}"/>
    <cellStyle name="Normal 30" xfId="31" xr:uid="{00000000-0005-0000-0000-00001F000000}"/>
    <cellStyle name="Normal 31" xfId="32" xr:uid="{00000000-0005-0000-0000-000020000000}"/>
    <cellStyle name="Normal 32" xfId="33" xr:uid="{00000000-0005-0000-0000-000021000000}"/>
    <cellStyle name="Normal 33" xfId="34" xr:uid="{00000000-0005-0000-0000-000022000000}"/>
    <cellStyle name="Normal 34" xfId="35" xr:uid="{00000000-0005-0000-0000-000023000000}"/>
    <cellStyle name="Normal 36" xfId="42" xr:uid="{00000000-0005-0000-0000-000024000000}"/>
    <cellStyle name="Normal 4" xfId="36" xr:uid="{00000000-0005-0000-0000-000025000000}"/>
    <cellStyle name="Normal 5" xfId="37" xr:uid="{00000000-0005-0000-0000-000026000000}"/>
    <cellStyle name="Normal 6" xfId="38" xr:uid="{00000000-0005-0000-0000-000027000000}"/>
    <cellStyle name="Normal 7" xfId="39" xr:uid="{00000000-0005-0000-0000-000028000000}"/>
    <cellStyle name="Normal 8" xfId="40" xr:uid="{00000000-0005-0000-0000-000029000000}"/>
    <cellStyle name="Normal 9" xfId="41" xr:uid="{00000000-0005-0000-0000-00002A000000}"/>
    <cellStyle name="Percent" xfId="43" builtinId="5"/>
  </cellStyles>
  <dxfs count="0"/>
  <tableStyles count="0" defaultTableStyle="TableStyleMedium9" defaultPivotStyle="PivotStyleLight16"/>
  <colors>
    <mruColors>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7"/>
  <sheetViews>
    <sheetView tabSelected="1" zoomScale="69" zoomScaleNormal="69" workbookViewId="0">
      <selection activeCell="J81" sqref="J81"/>
    </sheetView>
  </sheetViews>
  <sheetFormatPr defaultRowHeight="15" x14ac:dyDescent="0.25"/>
  <cols>
    <col min="1" max="1" width="1.140625" customWidth="1"/>
    <col min="2" max="2" width="19.7109375" customWidth="1"/>
    <col min="3" max="3" width="10.5703125" customWidth="1"/>
    <col min="4" max="4" width="15.28515625" customWidth="1"/>
    <col min="5" max="6" width="12.7109375" customWidth="1"/>
    <col min="7" max="8" width="8.7109375" customWidth="1"/>
    <col min="9" max="9" width="10" customWidth="1"/>
    <col min="10" max="10" width="9.85546875" customWidth="1"/>
    <col min="11" max="11" width="10.85546875" customWidth="1"/>
    <col min="12" max="12" width="9" customWidth="1"/>
    <col min="13" max="13" width="7.140625" customWidth="1"/>
    <col min="14" max="14" width="9" hidden="1" customWidth="1"/>
    <col min="15" max="15" width="8.85546875" hidden="1" customWidth="1"/>
    <col min="16" max="16" width="8.140625" hidden="1" customWidth="1"/>
    <col min="17" max="17" width="11.85546875" hidden="1" customWidth="1"/>
    <col min="18" max="18" width="103.5703125" customWidth="1"/>
  </cols>
  <sheetData>
    <row r="1" spans="1:18" s="6" customFormat="1" ht="15.75" x14ac:dyDescent="0.25">
      <c r="A1" s="72" t="s">
        <v>250</v>
      </c>
    </row>
    <row r="2" spans="1:18" x14ac:dyDescent="0.25">
      <c r="A2" s="149" t="s">
        <v>289</v>
      </c>
      <c r="B2" s="150"/>
      <c r="C2" s="150"/>
      <c r="D2" s="150"/>
      <c r="E2" s="150"/>
      <c r="F2" s="150"/>
      <c r="G2" s="150"/>
      <c r="H2" s="150"/>
      <c r="I2" s="150"/>
      <c r="J2" s="150"/>
      <c r="K2" s="150"/>
      <c r="L2" s="150"/>
      <c r="M2" s="77"/>
    </row>
    <row r="3" spans="1:18" s="77" customFormat="1" x14ac:dyDescent="0.25">
      <c r="A3" s="269"/>
    </row>
    <row r="4" spans="1:18" ht="15" customHeight="1" x14ac:dyDescent="0.25">
      <c r="B4" s="472" t="s">
        <v>248</v>
      </c>
      <c r="C4" s="472"/>
      <c r="D4" s="455">
        <v>2137.06</v>
      </c>
      <c r="E4" s="456"/>
      <c r="F4" s="457"/>
      <c r="G4" s="455">
        <v>2137.0700000000002</v>
      </c>
      <c r="H4" s="456"/>
      <c r="I4" s="457"/>
      <c r="J4" s="455">
        <v>2137.08</v>
      </c>
      <c r="K4" s="456"/>
      <c r="L4" s="457"/>
    </row>
    <row r="5" spans="1:18" x14ac:dyDescent="0.25">
      <c r="B5" s="472"/>
      <c r="C5" s="472"/>
      <c r="D5" s="43" t="s">
        <v>7</v>
      </c>
      <c r="E5" s="43" t="s">
        <v>8</v>
      </c>
      <c r="F5" s="43" t="s">
        <v>9</v>
      </c>
      <c r="G5" s="43" t="s">
        <v>7</v>
      </c>
      <c r="H5" s="43" t="s">
        <v>8</v>
      </c>
      <c r="I5" s="43" t="s">
        <v>9</v>
      </c>
      <c r="J5" s="292" t="s">
        <v>7</v>
      </c>
      <c r="K5" s="292" t="s">
        <v>8</v>
      </c>
      <c r="L5" s="292" t="s">
        <v>9</v>
      </c>
    </row>
    <row r="6" spans="1:18" x14ac:dyDescent="0.25">
      <c r="B6" s="464" t="s">
        <v>217</v>
      </c>
      <c r="C6" s="465"/>
      <c r="D6" s="88">
        <f>F39</f>
        <v>1244</v>
      </c>
      <c r="E6" s="88">
        <f>F45</f>
        <v>1246</v>
      </c>
      <c r="F6" s="88">
        <f>F51</f>
        <v>1248</v>
      </c>
      <c r="G6" s="88">
        <f>F57</f>
        <v>1250</v>
      </c>
      <c r="H6" s="88">
        <f>F63</f>
        <v>1252</v>
      </c>
      <c r="I6" s="88">
        <f>F69</f>
        <v>1254</v>
      </c>
      <c r="J6" s="300">
        <f>F75</f>
        <v>727</v>
      </c>
      <c r="K6" s="300">
        <f>F81</f>
        <v>727</v>
      </c>
      <c r="L6" s="300">
        <f>F87</f>
        <v>727</v>
      </c>
      <c r="M6" s="75"/>
      <c r="N6" s="75"/>
    </row>
    <row r="7" spans="1:18" x14ac:dyDescent="0.25">
      <c r="B7" s="464" t="s">
        <v>218</v>
      </c>
      <c r="C7" s="465"/>
      <c r="D7" s="89">
        <f>E39</f>
        <v>2</v>
      </c>
      <c r="E7" s="90">
        <f>E45</f>
        <v>2</v>
      </c>
      <c r="F7" s="90">
        <f>E51</f>
        <v>2</v>
      </c>
      <c r="G7" s="90">
        <f>E57</f>
        <v>2</v>
      </c>
      <c r="H7" s="90">
        <f>E63</f>
        <v>2</v>
      </c>
      <c r="I7" s="90">
        <f>E69</f>
        <v>2</v>
      </c>
      <c r="J7" s="301">
        <f>E75</f>
        <v>0</v>
      </c>
      <c r="K7" s="301">
        <f>E81</f>
        <v>0</v>
      </c>
      <c r="L7" s="301">
        <f>E87</f>
        <v>0</v>
      </c>
    </row>
    <row r="9" spans="1:18" ht="15" customHeight="1" x14ac:dyDescent="0.25">
      <c r="B9" s="480" t="s">
        <v>249</v>
      </c>
      <c r="C9" s="466" t="s">
        <v>215</v>
      </c>
      <c r="D9" s="455">
        <v>2137.06</v>
      </c>
      <c r="E9" s="456"/>
      <c r="F9" s="457"/>
      <c r="G9" s="455">
        <v>2137.0700000000002</v>
      </c>
      <c r="H9" s="456"/>
      <c r="I9" s="457"/>
      <c r="J9" s="455">
        <v>2137.08</v>
      </c>
      <c r="K9" s="456"/>
      <c r="L9" s="457"/>
    </row>
    <row r="10" spans="1:18" ht="33.75" customHeight="1" x14ac:dyDescent="0.25">
      <c r="B10" s="481"/>
      <c r="C10" s="467"/>
      <c r="D10" s="43" t="s">
        <v>7</v>
      </c>
      <c r="E10" s="43" t="s">
        <v>8</v>
      </c>
      <c r="F10" s="43" t="s">
        <v>9</v>
      </c>
      <c r="G10" s="43" t="s">
        <v>7</v>
      </c>
      <c r="H10" s="43" t="s">
        <v>8</v>
      </c>
      <c r="I10" s="43" t="s">
        <v>9</v>
      </c>
      <c r="J10" s="292" t="s">
        <v>7</v>
      </c>
      <c r="K10" s="292" t="s">
        <v>8</v>
      </c>
      <c r="L10" s="292" t="s">
        <v>9</v>
      </c>
    </row>
    <row r="11" spans="1:18" ht="26.25" customHeight="1" x14ac:dyDescent="0.25">
      <c r="B11" s="461" t="s">
        <v>256</v>
      </c>
      <c r="C11" s="42" t="s">
        <v>19</v>
      </c>
      <c r="D11" s="91" t="s">
        <v>214</v>
      </c>
      <c r="E11" s="91" t="s">
        <v>214</v>
      </c>
      <c r="F11" s="91" t="s">
        <v>214</v>
      </c>
      <c r="G11" s="91">
        <f>F21</f>
        <v>1250</v>
      </c>
      <c r="H11" s="91">
        <f>G21</f>
        <v>1252</v>
      </c>
      <c r="I11" s="91">
        <f>H21</f>
        <v>1254</v>
      </c>
      <c r="J11" s="144">
        <f>G75</f>
        <v>253.94</v>
      </c>
      <c r="K11" s="144">
        <f>G81</f>
        <v>253.94</v>
      </c>
      <c r="L11" s="144">
        <f>G87</f>
        <v>253.94</v>
      </c>
      <c r="R11" s="302" t="s">
        <v>339</v>
      </c>
    </row>
    <row r="12" spans="1:18" x14ac:dyDescent="0.25">
      <c r="B12" s="462"/>
      <c r="C12" s="42" t="s">
        <v>16</v>
      </c>
      <c r="D12" s="91" t="s">
        <v>214</v>
      </c>
      <c r="E12" s="91" t="s">
        <v>214</v>
      </c>
      <c r="F12" s="91" t="s">
        <v>214</v>
      </c>
      <c r="G12" s="91">
        <f t="shared" ref="G12:G14" si="0">F22</f>
        <v>259</v>
      </c>
      <c r="H12" s="91">
        <f t="shared" ref="H12:I14" si="1">G22</f>
        <v>261</v>
      </c>
      <c r="I12" s="91">
        <f t="shared" si="1"/>
        <v>263</v>
      </c>
      <c r="J12" s="144">
        <f>J75</f>
        <v>606.52</v>
      </c>
      <c r="K12" s="144">
        <f>J81</f>
        <v>606.52</v>
      </c>
      <c r="L12" s="144">
        <f>J87</f>
        <v>606.52</v>
      </c>
      <c r="R12" s="302" t="s">
        <v>339</v>
      </c>
    </row>
    <row r="13" spans="1:18" x14ac:dyDescent="0.25">
      <c r="B13" s="462"/>
      <c r="C13" s="42" t="s">
        <v>45</v>
      </c>
      <c r="D13" s="15">
        <v>700</v>
      </c>
      <c r="E13" s="15">
        <f>D13</f>
        <v>700</v>
      </c>
      <c r="F13" s="15">
        <f>D13</f>
        <v>700</v>
      </c>
      <c r="G13" s="91">
        <f t="shared" si="0"/>
        <v>1101</v>
      </c>
      <c r="H13" s="91">
        <f>G23</f>
        <v>1103</v>
      </c>
      <c r="I13" s="91">
        <f t="shared" si="1"/>
        <v>1105</v>
      </c>
      <c r="J13" s="144">
        <f>L75</f>
        <v>554.78000000000009</v>
      </c>
      <c r="K13" s="144">
        <f>L81</f>
        <v>554.78000000000009</v>
      </c>
      <c r="L13" s="144">
        <f>L87</f>
        <v>554.78000000000009</v>
      </c>
      <c r="R13" s="302" t="s">
        <v>339</v>
      </c>
    </row>
    <row r="14" spans="1:18" x14ac:dyDescent="0.25">
      <c r="B14" s="462"/>
      <c r="C14" s="42" t="s">
        <v>35</v>
      </c>
      <c r="D14" s="91" t="s">
        <v>214</v>
      </c>
      <c r="E14" s="91" t="s">
        <v>214</v>
      </c>
      <c r="F14" s="91" t="s">
        <v>214</v>
      </c>
      <c r="G14" s="91">
        <f t="shared" si="0"/>
        <v>0</v>
      </c>
      <c r="H14" s="91">
        <f t="shared" si="1"/>
        <v>0</v>
      </c>
      <c r="I14" s="91">
        <f t="shared" si="1"/>
        <v>0</v>
      </c>
      <c r="J14" s="144">
        <f>M75</f>
        <v>0</v>
      </c>
      <c r="K14" s="144">
        <f>M81</f>
        <v>0</v>
      </c>
      <c r="L14" s="144">
        <f>M87</f>
        <v>0</v>
      </c>
      <c r="R14" s="302" t="s">
        <v>339</v>
      </c>
    </row>
    <row r="15" spans="1:18" ht="39" x14ac:dyDescent="0.25">
      <c r="B15" s="463"/>
      <c r="C15" s="40" t="s">
        <v>253</v>
      </c>
      <c r="D15" s="92">
        <f>D13</f>
        <v>700</v>
      </c>
      <c r="E15" s="92">
        <f t="shared" ref="E15:F15" si="2">E13</f>
        <v>700</v>
      </c>
      <c r="F15" s="92">
        <f t="shared" si="2"/>
        <v>700</v>
      </c>
      <c r="G15" s="92">
        <f>SUM(G11:G14)</f>
        <v>2610</v>
      </c>
      <c r="H15" s="92">
        <f t="shared" ref="H15:I15" si="3">SUM(H11:H14)</f>
        <v>2616</v>
      </c>
      <c r="I15" s="92">
        <f t="shared" si="3"/>
        <v>2622</v>
      </c>
      <c r="J15" s="145">
        <f>SUM(J11:J14)</f>
        <v>1415.2400000000002</v>
      </c>
      <c r="K15" s="145">
        <f t="shared" ref="K15:L15" si="4">SUM(K11:K14)</f>
        <v>1415.2400000000002</v>
      </c>
      <c r="L15" s="145">
        <f t="shared" si="4"/>
        <v>1415.2400000000002</v>
      </c>
    </row>
    <row r="16" spans="1:18" x14ac:dyDescent="0.25">
      <c r="B16" s="461" t="s">
        <v>255</v>
      </c>
      <c r="C16" s="42" t="s">
        <v>19</v>
      </c>
      <c r="D16" s="15">
        <f>G39</f>
        <v>1246</v>
      </c>
      <c r="E16" s="15">
        <f>G45</f>
        <v>1248</v>
      </c>
      <c r="F16" s="15">
        <f>G51</f>
        <v>1250</v>
      </c>
      <c r="G16" s="304">
        <f>G57-G51</f>
        <v>2</v>
      </c>
      <c r="H16" s="304">
        <f>G63-G57</f>
        <v>2</v>
      </c>
      <c r="I16" s="304">
        <f>G69-G63</f>
        <v>2</v>
      </c>
      <c r="J16" s="146">
        <f>E75</f>
        <v>0</v>
      </c>
      <c r="K16" s="146">
        <f>E81</f>
        <v>0</v>
      </c>
      <c r="L16" s="146">
        <f>E87</f>
        <v>0</v>
      </c>
      <c r="R16" s="302" t="s">
        <v>338</v>
      </c>
    </row>
    <row r="17" spans="2:18" x14ac:dyDescent="0.25">
      <c r="B17" s="462"/>
      <c r="C17" s="42" t="s">
        <v>16</v>
      </c>
      <c r="D17" s="15">
        <f>J39</f>
        <v>255</v>
      </c>
      <c r="E17" s="15">
        <f>J45</f>
        <v>257</v>
      </c>
      <c r="F17" s="15">
        <f>J51</f>
        <v>259</v>
      </c>
      <c r="G17" s="304">
        <f>J57-J51</f>
        <v>2</v>
      </c>
      <c r="H17" s="304">
        <f>J63-J57</f>
        <v>2</v>
      </c>
      <c r="I17" s="304">
        <f>J69-J63</f>
        <v>2</v>
      </c>
      <c r="J17" s="146">
        <f>E75</f>
        <v>0</v>
      </c>
      <c r="K17" s="146">
        <f>E81</f>
        <v>0</v>
      </c>
      <c r="L17" s="146">
        <f>E87</f>
        <v>0</v>
      </c>
      <c r="R17" s="302" t="s">
        <v>338</v>
      </c>
    </row>
    <row r="18" spans="2:18" x14ac:dyDescent="0.25">
      <c r="B18" s="462"/>
      <c r="C18" s="42" t="s">
        <v>17</v>
      </c>
      <c r="D18" s="15">
        <f>L39-D13</f>
        <v>397</v>
      </c>
      <c r="E18" s="15">
        <f>L45-E13</f>
        <v>399</v>
      </c>
      <c r="F18" s="15">
        <f>L51-F13</f>
        <v>401</v>
      </c>
      <c r="G18" s="304">
        <f>L57-L51</f>
        <v>2</v>
      </c>
      <c r="H18" s="304">
        <f>L63-L57</f>
        <v>2</v>
      </c>
      <c r="I18" s="304">
        <f>L69-L63</f>
        <v>2</v>
      </c>
      <c r="J18" s="146">
        <f>E75</f>
        <v>0</v>
      </c>
      <c r="K18" s="146">
        <f>E81</f>
        <v>0</v>
      </c>
      <c r="L18" s="146">
        <f>E87</f>
        <v>0</v>
      </c>
      <c r="R18" s="302" t="s">
        <v>338</v>
      </c>
    </row>
    <row r="19" spans="2:18" x14ac:dyDescent="0.25">
      <c r="B19" s="462"/>
      <c r="C19" s="42" t="s">
        <v>35</v>
      </c>
      <c r="D19" s="15">
        <f>M39</f>
        <v>0</v>
      </c>
      <c r="E19" s="15">
        <f>M45</f>
        <v>0</v>
      </c>
      <c r="F19" s="15">
        <f>M51</f>
        <v>0</v>
      </c>
      <c r="G19" s="304">
        <f>M57-M51</f>
        <v>0</v>
      </c>
      <c r="H19" s="304">
        <f>M63-M57</f>
        <v>0</v>
      </c>
      <c r="I19" s="304">
        <f>M69-M63</f>
        <v>0</v>
      </c>
      <c r="J19" s="146">
        <f>E75</f>
        <v>0</v>
      </c>
      <c r="K19" s="146">
        <f>E81</f>
        <v>0</v>
      </c>
      <c r="L19" s="146">
        <f>E87</f>
        <v>0</v>
      </c>
      <c r="R19" s="302" t="s">
        <v>338</v>
      </c>
    </row>
    <row r="20" spans="2:18" ht="26.25" x14ac:dyDescent="0.25">
      <c r="B20" s="463"/>
      <c r="C20" s="40" t="s">
        <v>252</v>
      </c>
      <c r="D20" s="17">
        <f t="shared" ref="D20:L20" si="5">SUM(D16:D19)</f>
        <v>1898</v>
      </c>
      <c r="E20" s="17">
        <f t="shared" si="5"/>
        <v>1904</v>
      </c>
      <c r="F20" s="17">
        <f t="shared" si="5"/>
        <v>1910</v>
      </c>
      <c r="G20" s="305">
        <f t="shared" si="5"/>
        <v>6</v>
      </c>
      <c r="H20" s="305">
        <f t="shared" si="5"/>
        <v>6</v>
      </c>
      <c r="I20" s="305">
        <f t="shared" si="5"/>
        <v>6</v>
      </c>
      <c r="J20" s="147">
        <f t="shared" si="5"/>
        <v>0</v>
      </c>
      <c r="K20" s="147">
        <f t="shared" si="5"/>
        <v>0</v>
      </c>
      <c r="L20" s="147">
        <f t="shared" si="5"/>
        <v>0</v>
      </c>
    </row>
    <row r="21" spans="2:18" x14ac:dyDescent="0.25">
      <c r="B21" s="461" t="s">
        <v>254</v>
      </c>
      <c r="C21" s="42" t="s">
        <v>19</v>
      </c>
      <c r="D21" s="15">
        <f t="shared" ref="D21:F22" si="6">D16</f>
        <v>1246</v>
      </c>
      <c r="E21" s="15">
        <f t="shared" si="6"/>
        <v>1248</v>
      </c>
      <c r="F21" s="15">
        <f t="shared" si="6"/>
        <v>1250</v>
      </c>
      <c r="G21" s="304">
        <f t="shared" ref="G21:L24" si="7">G11+G16</f>
        <v>1252</v>
      </c>
      <c r="H21" s="304">
        <f t="shared" si="7"/>
        <v>1254</v>
      </c>
      <c r="I21" s="304">
        <f t="shared" si="7"/>
        <v>1256</v>
      </c>
      <c r="J21" s="146">
        <f>J11+J16</f>
        <v>253.94</v>
      </c>
      <c r="K21" s="146">
        <f t="shared" si="7"/>
        <v>253.94</v>
      </c>
      <c r="L21" s="146">
        <f t="shared" si="7"/>
        <v>253.94</v>
      </c>
      <c r="M21" s="77"/>
      <c r="N21" s="77"/>
      <c r="O21" s="77"/>
    </row>
    <row r="22" spans="2:18" x14ac:dyDescent="0.25">
      <c r="B22" s="462"/>
      <c r="C22" s="42" t="s">
        <v>16</v>
      </c>
      <c r="D22" s="15">
        <f t="shared" si="6"/>
        <v>255</v>
      </c>
      <c r="E22" s="15">
        <f t="shared" si="6"/>
        <v>257</v>
      </c>
      <c r="F22" s="15">
        <f t="shared" si="6"/>
        <v>259</v>
      </c>
      <c r="G22" s="304">
        <f t="shared" si="7"/>
        <v>261</v>
      </c>
      <c r="H22" s="304">
        <f t="shared" si="7"/>
        <v>263</v>
      </c>
      <c r="I22" s="304">
        <f t="shared" si="7"/>
        <v>265</v>
      </c>
      <c r="J22" s="146">
        <f t="shared" si="7"/>
        <v>606.52</v>
      </c>
      <c r="K22" s="146">
        <f t="shared" si="7"/>
        <v>606.52</v>
      </c>
      <c r="L22" s="146">
        <f t="shared" si="7"/>
        <v>606.52</v>
      </c>
    </row>
    <row r="23" spans="2:18" x14ac:dyDescent="0.25">
      <c r="B23" s="462"/>
      <c r="C23" s="42" t="s">
        <v>17</v>
      </c>
      <c r="D23" s="15">
        <f>D18+D13</f>
        <v>1097</v>
      </c>
      <c r="E23" s="15">
        <f>E18+E13</f>
        <v>1099</v>
      </c>
      <c r="F23" s="15">
        <f>F18+F13</f>
        <v>1101</v>
      </c>
      <c r="G23" s="304">
        <f t="shared" si="7"/>
        <v>1103</v>
      </c>
      <c r="H23" s="304">
        <f t="shared" si="7"/>
        <v>1105</v>
      </c>
      <c r="I23" s="304">
        <f t="shared" si="7"/>
        <v>1107</v>
      </c>
      <c r="J23" s="146">
        <f t="shared" si="7"/>
        <v>554.78000000000009</v>
      </c>
      <c r="K23" s="146">
        <f t="shared" si="7"/>
        <v>554.78000000000009</v>
      </c>
      <c r="L23" s="146">
        <f t="shared" si="7"/>
        <v>554.78000000000009</v>
      </c>
    </row>
    <row r="24" spans="2:18" x14ac:dyDescent="0.25">
      <c r="B24" s="462"/>
      <c r="C24" s="42" t="s">
        <v>35</v>
      </c>
      <c r="D24" s="15">
        <f>D19</f>
        <v>0</v>
      </c>
      <c r="E24" s="15">
        <f>E19</f>
        <v>0</v>
      </c>
      <c r="F24" s="15">
        <f>M51</f>
        <v>0</v>
      </c>
      <c r="G24" s="304">
        <f t="shared" si="7"/>
        <v>0</v>
      </c>
      <c r="H24" s="304">
        <f t="shared" si="7"/>
        <v>0</v>
      </c>
      <c r="I24" s="304">
        <f t="shared" si="7"/>
        <v>0</v>
      </c>
      <c r="J24" s="146">
        <f t="shared" si="7"/>
        <v>0</v>
      </c>
      <c r="K24" s="146">
        <f t="shared" si="7"/>
        <v>0</v>
      </c>
      <c r="L24" s="146">
        <f t="shared" si="7"/>
        <v>0</v>
      </c>
    </row>
    <row r="25" spans="2:18" ht="31.5" customHeight="1" x14ac:dyDescent="0.25">
      <c r="B25" s="463"/>
      <c r="C25" s="40" t="s">
        <v>251</v>
      </c>
      <c r="D25" s="17">
        <f>SUM(D21:D24)</f>
        <v>2598</v>
      </c>
      <c r="E25" s="17">
        <f t="shared" ref="E25:F25" si="8">SUM(E21:E24)</f>
        <v>2604</v>
      </c>
      <c r="F25" s="17">
        <f t="shared" si="8"/>
        <v>2610</v>
      </c>
      <c r="G25" s="305">
        <f>SUM(G21:G24)</f>
        <v>2616</v>
      </c>
      <c r="H25" s="305">
        <f t="shared" ref="H25" si="9">SUM(H21:H24)</f>
        <v>2622</v>
      </c>
      <c r="I25" s="305">
        <f t="shared" ref="I25" si="10">SUM(I21:I24)</f>
        <v>2628</v>
      </c>
      <c r="J25" s="147">
        <f>SUM(J21:J24)</f>
        <v>1415.2400000000002</v>
      </c>
      <c r="K25" s="147">
        <f t="shared" ref="K25:L25" si="11">SUM(K21:K24)</f>
        <v>1415.2400000000002</v>
      </c>
      <c r="L25" s="147">
        <f t="shared" si="11"/>
        <v>1415.2400000000002</v>
      </c>
    </row>
    <row r="26" spans="2:18" x14ac:dyDescent="0.25">
      <c r="B26" s="41"/>
      <c r="C26" s="41"/>
      <c r="D26" s="41"/>
      <c r="E26" s="7"/>
      <c r="F26" s="16"/>
      <c r="G26" s="77"/>
      <c r="H26" s="77"/>
      <c r="I26" s="77"/>
    </row>
    <row r="27" spans="2:18" ht="31.5" customHeight="1" x14ac:dyDescent="0.25">
      <c r="B27" s="464" t="s">
        <v>282</v>
      </c>
      <c r="C27" s="465"/>
      <c r="D27" s="148">
        <f t="shared" ref="D27:I27" si="12">ROUND(D25/SUM(D6:D7),2)</f>
        <v>2.09</v>
      </c>
      <c r="E27" s="148">
        <f t="shared" si="12"/>
        <v>2.09</v>
      </c>
      <c r="F27" s="148">
        <f t="shared" si="12"/>
        <v>2.09</v>
      </c>
      <c r="G27" s="306">
        <f t="shared" si="12"/>
        <v>2.09</v>
      </c>
      <c r="H27" s="306">
        <f t="shared" si="12"/>
        <v>2.09</v>
      </c>
      <c r="I27" s="306">
        <f t="shared" si="12"/>
        <v>2.09</v>
      </c>
      <c r="J27" s="303">
        <f>ROUND(J25/SUM(J6:J7),2)</f>
        <v>1.95</v>
      </c>
      <c r="K27" s="303">
        <f>ROUND(K25/SUM(K6:K7),2)</f>
        <v>1.95</v>
      </c>
      <c r="L27" s="303">
        <f>ROUND(L25/SUM(L6:L7),2)</f>
        <v>1.95</v>
      </c>
    </row>
    <row r="30" spans="2:18" ht="15.75" x14ac:dyDescent="0.25">
      <c r="B30" s="76" t="s">
        <v>219</v>
      </c>
    </row>
    <row r="31" spans="2:18" ht="15.75" thickBot="1" x14ac:dyDescent="0.3"/>
    <row r="32" spans="2:18" x14ac:dyDescent="0.25">
      <c r="C32" s="482" t="s">
        <v>216</v>
      </c>
      <c r="D32" s="70"/>
      <c r="E32" s="63"/>
      <c r="F32" s="63"/>
      <c r="G32" s="475" t="s">
        <v>19</v>
      </c>
      <c r="H32" s="476"/>
      <c r="I32" s="477"/>
      <c r="J32" s="64" t="s">
        <v>16</v>
      </c>
      <c r="K32" s="64" t="s">
        <v>34</v>
      </c>
      <c r="L32" s="64" t="s">
        <v>17</v>
      </c>
      <c r="M32" s="69" t="s">
        <v>35</v>
      </c>
      <c r="N32" s="473" t="s">
        <v>19</v>
      </c>
      <c r="O32" s="474"/>
      <c r="P32" s="65" t="s">
        <v>16</v>
      </c>
      <c r="Q32" s="65" t="s">
        <v>34</v>
      </c>
      <c r="R32" s="478" t="s">
        <v>211</v>
      </c>
    </row>
    <row r="33" spans="1:18" ht="26.25" x14ac:dyDescent="0.25">
      <c r="C33" s="483"/>
      <c r="D33" s="71" t="s">
        <v>210</v>
      </c>
      <c r="E33" s="66" t="s">
        <v>37</v>
      </c>
      <c r="F33" s="74" t="s">
        <v>33</v>
      </c>
      <c r="G33" s="67" t="s">
        <v>29</v>
      </c>
      <c r="H33" s="67" t="s">
        <v>30</v>
      </c>
      <c r="I33" s="61" t="s">
        <v>30</v>
      </c>
      <c r="J33" s="43" t="s">
        <v>31</v>
      </c>
      <c r="K33" s="68" t="s">
        <v>32</v>
      </c>
      <c r="L33" s="43" t="s">
        <v>44</v>
      </c>
      <c r="M33" s="61" t="s">
        <v>31</v>
      </c>
      <c r="N33" s="73" t="s">
        <v>29</v>
      </c>
      <c r="O33" s="67" t="s">
        <v>30</v>
      </c>
      <c r="P33" s="68" t="s">
        <v>31</v>
      </c>
      <c r="Q33" s="68" t="s">
        <v>32</v>
      </c>
      <c r="R33" s="479"/>
    </row>
    <row r="34" spans="1:18" x14ac:dyDescent="0.25">
      <c r="A34" s="5"/>
      <c r="B34" s="469" t="s">
        <v>345</v>
      </c>
      <c r="C34" s="458" t="s">
        <v>7</v>
      </c>
      <c r="D34" s="93" t="s">
        <v>25</v>
      </c>
      <c r="E34" s="94">
        <v>2</v>
      </c>
      <c r="F34" s="95">
        <v>1046</v>
      </c>
      <c r="G34" s="96">
        <f>F34+E34</f>
        <v>1048</v>
      </c>
      <c r="H34" s="97">
        <f>G34</f>
        <v>1048</v>
      </c>
      <c r="I34" s="97">
        <v>0</v>
      </c>
      <c r="J34" s="98">
        <f>253+E34</f>
        <v>255</v>
      </c>
      <c r="K34" s="95">
        <v>0</v>
      </c>
      <c r="L34" s="99">
        <f>H34</f>
        <v>1048</v>
      </c>
      <c r="M34" s="95"/>
      <c r="N34" s="117">
        <v>1061</v>
      </c>
      <c r="O34" s="98">
        <v>1061</v>
      </c>
      <c r="P34" s="99">
        <v>1061</v>
      </c>
      <c r="Q34" s="118">
        <v>0</v>
      </c>
      <c r="R34" s="119" t="s">
        <v>41</v>
      </c>
    </row>
    <row r="35" spans="1:18" x14ac:dyDescent="0.25">
      <c r="A35" s="5"/>
      <c r="B35" s="470"/>
      <c r="C35" s="459"/>
      <c r="D35" s="100" t="s">
        <v>24</v>
      </c>
      <c r="E35" s="101">
        <v>0</v>
      </c>
      <c r="F35" s="102">
        <v>36</v>
      </c>
      <c r="G35" s="103">
        <f>F35</f>
        <v>36</v>
      </c>
      <c r="H35" s="102">
        <f>G35</f>
        <v>36</v>
      </c>
      <c r="I35" s="102">
        <v>0</v>
      </c>
      <c r="J35" s="104">
        <v>0</v>
      </c>
      <c r="K35" s="102">
        <v>0</v>
      </c>
      <c r="L35" s="104">
        <f>H35</f>
        <v>36</v>
      </c>
      <c r="M35" s="102"/>
      <c r="N35" s="120">
        <v>30</v>
      </c>
      <c r="O35" s="104">
        <v>30</v>
      </c>
      <c r="P35" s="104">
        <v>30</v>
      </c>
      <c r="Q35" s="121">
        <v>0</v>
      </c>
      <c r="R35" s="119" t="s">
        <v>41</v>
      </c>
    </row>
    <row r="36" spans="1:18" x14ac:dyDescent="0.25">
      <c r="A36" s="5"/>
      <c r="B36" s="470"/>
      <c r="C36" s="459"/>
      <c r="D36" s="105" t="s">
        <v>26</v>
      </c>
      <c r="E36" s="94">
        <v>0</v>
      </c>
      <c r="F36" s="95">
        <v>2</v>
      </c>
      <c r="G36" s="106">
        <f>F36</f>
        <v>2</v>
      </c>
      <c r="H36" s="95">
        <f>G36</f>
        <v>2</v>
      </c>
      <c r="I36" s="95"/>
      <c r="J36" s="98">
        <v>0</v>
      </c>
      <c r="K36" s="95"/>
      <c r="L36" s="98">
        <f>H36</f>
        <v>2</v>
      </c>
      <c r="M36" s="95"/>
      <c r="N36" s="117">
        <v>2</v>
      </c>
      <c r="O36" s="98">
        <v>2</v>
      </c>
      <c r="P36" s="98">
        <v>2</v>
      </c>
      <c r="Q36" s="118">
        <v>0</v>
      </c>
      <c r="R36" s="119" t="s">
        <v>41</v>
      </c>
    </row>
    <row r="37" spans="1:18" x14ac:dyDescent="0.25">
      <c r="A37" s="5"/>
      <c r="B37" s="470"/>
      <c r="C37" s="459"/>
      <c r="D37" s="105" t="s">
        <v>27</v>
      </c>
      <c r="E37" s="94">
        <v>0</v>
      </c>
      <c r="F37" s="95">
        <v>149</v>
      </c>
      <c r="G37" s="106">
        <f>F37</f>
        <v>149</v>
      </c>
      <c r="H37" s="95">
        <v>0</v>
      </c>
      <c r="I37" s="95">
        <v>0</v>
      </c>
      <c r="J37" s="98">
        <v>0</v>
      </c>
      <c r="K37" s="95"/>
      <c r="L37" s="98">
        <v>0</v>
      </c>
      <c r="M37" s="95"/>
      <c r="N37" s="122">
        <v>0</v>
      </c>
      <c r="O37" s="98">
        <v>154</v>
      </c>
      <c r="P37" s="98">
        <v>154</v>
      </c>
      <c r="Q37" s="123">
        <v>0</v>
      </c>
      <c r="R37" s="119" t="s">
        <v>212</v>
      </c>
    </row>
    <row r="38" spans="1:18" x14ac:dyDescent="0.25">
      <c r="A38" s="5"/>
      <c r="B38" s="470"/>
      <c r="C38" s="459"/>
      <c r="D38" s="105" t="s">
        <v>28</v>
      </c>
      <c r="E38" s="94">
        <v>0</v>
      </c>
      <c r="F38" s="95">
        <v>11</v>
      </c>
      <c r="G38" s="106">
        <f>F38</f>
        <v>11</v>
      </c>
      <c r="H38" s="95">
        <f>G38</f>
        <v>11</v>
      </c>
      <c r="I38" s="95">
        <v>0</v>
      </c>
      <c r="J38" s="98">
        <v>0</v>
      </c>
      <c r="K38" s="95">
        <v>0</v>
      </c>
      <c r="L38" s="98">
        <f>H38</f>
        <v>11</v>
      </c>
      <c r="M38" s="95"/>
      <c r="N38" s="117">
        <v>10</v>
      </c>
      <c r="O38" s="98">
        <v>10</v>
      </c>
      <c r="P38" s="98">
        <v>10</v>
      </c>
      <c r="Q38" s="118">
        <v>0</v>
      </c>
      <c r="R38" s="119" t="s">
        <v>41</v>
      </c>
    </row>
    <row r="39" spans="1:18" ht="15.75" thickBot="1" x14ac:dyDescent="0.3">
      <c r="A39" s="5"/>
      <c r="B39" s="470"/>
      <c r="C39" s="460"/>
      <c r="D39" s="107" t="s">
        <v>1</v>
      </c>
      <c r="E39" s="108">
        <f t="shared" ref="E39:P39" si="13">SUM(E34:E38)</f>
        <v>2</v>
      </c>
      <c r="F39" s="109">
        <f t="shared" si="13"/>
        <v>1244</v>
      </c>
      <c r="G39" s="110">
        <f t="shared" si="13"/>
        <v>1246</v>
      </c>
      <c r="H39" s="109">
        <f t="shared" si="13"/>
        <v>1097</v>
      </c>
      <c r="I39" s="109">
        <f t="shared" si="13"/>
        <v>0</v>
      </c>
      <c r="J39" s="111">
        <f t="shared" si="13"/>
        <v>255</v>
      </c>
      <c r="K39" s="109">
        <f t="shared" si="13"/>
        <v>0</v>
      </c>
      <c r="L39" s="111">
        <f t="shared" si="13"/>
        <v>1097</v>
      </c>
      <c r="M39" s="109">
        <f t="shared" si="13"/>
        <v>0</v>
      </c>
      <c r="N39" s="110">
        <f t="shared" si="13"/>
        <v>1103</v>
      </c>
      <c r="O39" s="111">
        <f t="shared" si="13"/>
        <v>1257</v>
      </c>
      <c r="P39" s="111">
        <f t="shared" si="13"/>
        <v>1257</v>
      </c>
      <c r="Q39" s="124">
        <f t="shared" ref="Q39" si="14">SUM(Q34:Q38)</f>
        <v>0</v>
      </c>
      <c r="R39" s="125"/>
    </row>
    <row r="40" spans="1:18" x14ac:dyDescent="0.25">
      <c r="A40" s="5"/>
      <c r="B40" s="470"/>
      <c r="C40" s="458" t="s">
        <v>8</v>
      </c>
      <c r="D40" s="105" t="s">
        <v>25</v>
      </c>
      <c r="E40" s="94">
        <v>2</v>
      </c>
      <c r="F40" s="112">
        <f>F34+E40</f>
        <v>1048</v>
      </c>
      <c r="G40" s="113">
        <f>F40+E40</f>
        <v>1050</v>
      </c>
      <c r="H40" s="95">
        <f t="shared" ref="G40:H42" si="15">G40</f>
        <v>1050</v>
      </c>
      <c r="I40" s="95">
        <v>0</v>
      </c>
      <c r="J40" s="98">
        <f>J34+E40</f>
        <v>257</v>
      </c>
      <c r="K40" s="95">
        <v>0</v>
      </c>
      <c r="L40" s="98">
        <f>H40</f>
        <v>1050</v>
      </c>
      <c r="M40" s="95"/>
      <c r="N40" s="117">
        <v>1061</v>
      </c>
      <c r="O40" s="98">
        <v>1061</v>
      </c>
      <c r="P40" s="98">
        <v>1061</v>
      </c>
      <c r="Q40" s="126">
        <v>0</v>
      </c>
      <c r="R40" s="119" t="s">
        <v>41</v>
      </c>
    </row>
    <row r="41" spans="1:18" x14ac:dyDescent="0.25">
      <c r="A41" s="5"/>
      <c r="B41" s="470"/>
      <c r="C41" s="459"/>
      <c r="D41" s="100" t="s">
        <v>24</v>
      </c>
      <c r="E41" s="101">
        <v>0</v>
      </c>
      <c r="F41" s="114">
        <f>F35</f>
        <v>36</v>
      </c>
      <c r="G41" s="115">
        <f t="shared" si="15"/>
        <v>36</v>
      </c>
      <c r="H41" s="102">
        <f t="shared" si="15"/>
        <v>36</v>
      </c>
      <c r="I41" s="102">
        <v>0</v>
      </c>
      <c r="J41" s="104">
        <v>0</v>
      </c>
      <c r="K41" s="102">
        <v>0</v>
      </c>
      <c r="L41" s="104">
        <f>H41</f>
        <v>36</v>
      </c>
      <c r="M41" s="102"/>
      <c r="N41" s="120">
        <v>30</v>
      </c>
      <c r="O41" s="104">
        <v>30</v>
      </c>
      <c r="P41" s="104">
        <v>30</v>
      </c>
      <c r="Q41" s="127">
        <v>0</v>
      </c>
      <c r="R41" s="119" t="s">
        <v>41</v>
      </c>
    </row>
    <row r="42" spans="1:18" x14ac:dyDescent="0.25">
      <c r="A42" s="5"/>
      <c r="B42" s="470"/>
      <c r="C42" s="459"/>
      <c r="D42" s="105" t="s">
        <v>26</v>
      </c>
      <c r="E42" s="94">
        <v>0</v>
      </c>
      <c r="F42" s="112">
        <f>F36</f>
        <v>2</v>
      </c>
      <c r="G42" s="113">
        <f t="shared" si="15"/>
        <v>2</v>
      </c>
      <c r="H42" s="95">
        <f t="shared" si="15"/>
        <v>2</v>
      </c>
      <c r="I42" s="95"/>
      <c r="J42" s="98">
        <v>0</v>
      </c>
      <c r="K42" s="95"/>
      <c r="L42" s="98">
        <f>H42</f>
        <v>2</v>
      </c>
      <c r="M42" s="95"/>
      <c r="N42" s="117">
        <v>2</v>
      </c>
      <c r="O42" s="98">
        <v>2</v>
      </c>
      <c r="P42" s="98">
        <v>2</v>
      </c>
      <c r="Q42" s="126">
        <v>0</v>
      </c>
      <c r="R42" s="119" t="s">
        <v>41</v>
      </c>
    </row>
    <row r="43" spans="1:18" x14ac:dyDescent="0.25">
      <c r="A43" s="5"/>
      <c r="B43" s="470"/>
      <c r="C43" s="459"/>
      <c r="D43" s="105" t="s">
        <v>27</v>
      </c>
      <c r="E43" s="94">
        <v>0</v>
      </c>
      <c r="F43" s="112">
        <f>F37</f>
        <v>149</v>
      </c>
      <c r="G43" s="113">
        <f>F43</f>
        <v>149</v>
      </c>
      <c r="H43" s="95">
        <v>0</v>
      </c>
      <c r="I43" s="95">
        <v>0</v>
      </c>
      <c r="J43" s="98">
        <v>0</v>
      </c>
      <c r="K43" s="95"/>
      <c r="L43" s="98">
        <v>0</v>
      </c>
      <c r="M43" s="95"/>
      <c r="N43" s="122">
        <v>0</v>
      </c>
      <c r="O43" s="98">
        <v>154</v>
      </c>
      <c r="P43" s="98">
        <v>154</v>
      </c>
      <c r="Q43" s="128">
        <v>0</v>
      </c>
      <c r="R43" s="119" t="s">
        <v>212</v>
      </c>
    </row>
    <row r="44" spans="1:18" x14ac:dyDescent="0.25">
      <c r="A44" s="5"/>
      <c r="B44" s="470"/>
      <c r="C44" s="459"/>
      <c r="D44" s="105" t="s">
        <v>28</v>
      </c>
      <c r="E44" s="94">
        <v>0</v>
      </c>
      <c r="F44" s="112">
        <f>F38</f>
        <v>11</v>
      </c>
      <c r="G44" s="113">
        <f>F44</f>
        <v>11</v>
      </c>
      <c r="H44" s="95">
        <f>G44</f>
        <v>11</v>
      </c>
      <c r="I44" s="95">
        <v>0</v>
      </c>
      <c r="J44" s="98">
        <v>0</v>
      </c>
      <c r="K44" s="95">
        <v>0</v>
      </c>
      <c r="L44" s="98">
        <f>H44</f>
        <v>11</v>
      </c>
      <c r="M44" s="95"/>
      <c r="N44" s="117">
        <v>10</v>
      </c>
      <c r="O44" s="98">
        <v>10</v>
      </c>
      <c r="P44" s="98">
        <v>10</v>
      </c>
      <c r="Q44" s="126">
        <v>0</v>
      </c>
      <c r="R44" s="119" t="s">
        <v>41</v>
      </c>
    </row>
    <row r="45" spans="1:18" ht="15.75" thickBot="1" x14ac:dyDescent="0.3">
      <c r="A45" s="5"/>
      <c r="B45" s="470"/>
      <c r="C45" s="460"/>
      <c r="D45" s="107" t="s">
        <v>1</v>
      </c>
      <c r="E45" s="108">
        <f>SUM(E40:E44)</f>
        <v>2</v>
      </c>
      <c r="F45" s="116">
        <f t="shared" ref="F45:Q45" si="16">SUM(F40:F44)</f>
        <v>1246</v>
      </c>
      <c r="G45" s="109">
        <f t="shared" si="16"/>
        <v>1248</v>
      </c>
      <c r="H45" s="109">
        <f t="shared" si="16"/>
        <v>1099</v>
      </c>
      <c r="I45" s="109">
        <f t="shared" si="16"/>
        <v>0</v>
      </c>
      <c r="J45" s="111">
        <f>SUM(J40:J44)</f>
        <v>257</v>
      </c>
      <c r="K45" s="109">
        <f t="shared" si="16"/>
        <v>0</v>
      </c>
      <c r="L45" s="111">
        <f t="shared" si="16"/>
        <v>1099</v>
      </c>
      <c r="M45" s="109">
        <f t="shared" si="16"/>
        <v>0</v>
      </c>
      <c r="N45" s="110">
        <f t="shared" si="16"/>
        <v>1103</v>
      </c>
      <c r="O45" s="111">
        <f t="shared" si="16"/>
        <v>1257</v>
      </c>
      <c r="P45" s="111">
        <f t="shared" si="16"/>
        <v>1257</v>
      </c>
      <c r="Q45" s="129">
        <f t="shared" si="16"/>
        <v>0</v>
      </c>
      <c r="R45" s="125"/>
    </row>
    <row r="46" spans="1:18" x14ac:dyDescent="0.25">
      <c r="A46" s="5"/>
      <c r="B46" s="470"/>
      <c r="C46" s="458" t="s">
        <v>9</v>
      </c>
      <c r="D46" s="105" t="s">
        <v>25</v>
      </c>
      <c r="E46" s="94">
        <v>2</v>
      </c>
      <c r="F46" s="112">
        <f>F40+E46</f>
        <v>1050</v>
      </c>
      <c r="G46" s="113">
        <f>F46+E46</f>
        <v>1052</v>
      </c>
      <c r="H46" s="95">
        <f t="shared" ref="G46:H48" si="17">G46</f>
        <v>1052</v>
      </c>
      <c r="I46" s="95">
        <v>0</v>
      </c>
      <c r="J46" s="98">
        <f>J40+E46</f>
        <v>259</v>
      </c>
      <c r="K46" s="95">
        <v>0</v>
      </c>
      <c r="L46" s="98">
        <f>H46</f>
        <v>1052</v>
      </c>
      <c r="M46" s="95"/>
      <c r="N46" s="117">
        <v>1061</v>
      </c>
      <c r="O46" s="98">
        <v>1061</v>
      </c>
      <c r="P46" s="98">
        <v>1061</v>
      </c>
      <c r="Q46" s="126">
        <v>0</v>
      </c>
      <c r="R46" s="119" t="s">
        <v>41</v>
      </c>
    </row>
    <row r="47" spans="1:18" x14ac:dyDescent="0.25">
      <c r="A47" s="5"/>
      <c r="B47" s="470"/>
      <c r="C47" s="459"/>
      <c r="D47" s="100" t="s">
        <v>24</v>
      </c>
      <c r="E47" s="101">
        <v>0</v>
      </c>
      <c r="F47" s="114">
        <f>F35</f>
        <v>36</v>
      </c>
      <c r="G47" s="115">
        <f t="shared" si="17"/>
        <v>36</v>
      </c>
      <c r="H47" s="102">
        <f t="shared" si="17"/>
        <v>36</v>
      </c>
      <c r="I47" s="102">
        <v>0</v>
      </c>
      <c r="J47" s="104">
        <v>0</v>
      </c>
      <c r="K47" s="102">
        <v>0</v>
      </c>
      <c r="L47" s="104">
        <f>H47</f>
        <v>36</v>
      </c>
      <c r="M47" s="102"/>
      <c r="N47" s="120">
        <v>30</v>
      </c>
      <c r="O47" s="104">
        <v>30</v>
      </c>
      <c r="P47" s="104">
        <v>30</v>
      </c>
      <c r="Q47" s="127">
        <v>0</v>
      </c>
      <c r="R47" s="119" t="s">
        <v>41</v>
      </c>
    </row>
    <row r="48" spans="1:18" x14ac:dyDescent="0.25">
      <c r="A48" s="5"/>
      <c r="B48" s="470"/>
      <c r="C48" s="459"/>
      <c r="D48" s="105" t="s">
        <v>26</v>
      </c>
      <c r="E48" s="94">
        <v>0</v>
      </c>
      <c r="F48" s="112">
        <f>F36</f>
        <v>2</v>
      </c>
      <c r="G48" s="113">
        <f t="shared" si="17"/>
        <v>2</v>
      </c>
      <c r="H48" s="95">
        <f t="shared" si="17"/>
        <v>2</v>
      </c>
      <c r="I48" s="95"/>
      <c r="J48" s="98">
        <v>0</v>
      </c>
      <c r="K48" s="95"/>
      <c r="L48" s="98">
        <f>H48</f>
        <v>2</v>
      </c>
      <c r="M48" s="95"/>
      <c r="N48" s="117">
        <v>2</v>
      </c>
      <c r="O48" s="98">
        <v>2</v>
      </c>
      <c r="P48" s="98">
        <v>2</v>
      </c>
      <c r="Q48" s="126">
        <v>0</v>
      </c>
      <c r="R48" s="119" t="s">
        <v>41</v>
      </c>
    </row>
    <row r="49" spans="1:18" x14ac:dyDescent="0.25">
      <c r="A49" s="5"/>
      <c r="B49" s="470"/>
      <c r="C49" s="459"/>
      <c r="D49" s="105" t="s">
        <v>27</v>
      </c>
      <c r="E49" s="94">
        <v>0</v>
      </c>
      <c r="F49" s="112">
        <f>F37</f>
        <v>149</v>
      </c>
      <c r="G49" s="113">
        <f>F49</f>
        <v>149</v>
      </c>
      <c r="H49" s="95">
        <v>0</v>
      </c>
      <c r="I49" s="95">
        <v>0</v>
      </c>
      <c r="J49" s="98">
        <v>0</v>
      </c>
      <c r="K49" s="95"/>
      <c r="L49" s="98">
        <v>0</v>
      </c>
      <c r="M49" s="95"/>
      <c r="N49" s="122">
        <v>0</v>
      </c>
      <c r="O49" s="98">
        <v>154</v>
      </c>
      <c r="P49" s="98">
        <v>154</v>
      </c>
      <c r="Q49" s="128">
        <v>0</v>
      </c>
      <c r="R49" s="119" t="s">
        <v>212</v>
      </c>
    </row>
    <row r="50" spans="1:18" x14ac:dyDescent="0.25">
      <c r="A50" s="5"/>
      <c r="B50" s="470"/>
      <c r="C50" s="459"/>
      <c r="D50" s="105" t="s">
        <v>28</v>
      </c>
      <c r="E50" s="94">
        <v>0</v>
      </c>
      <c r="F50" s="112">
        <f>F38</f>
        <v>11</v>
      </c>
      <c r="G50" s="113">
        <f>F50</f>
        <v>11</v>
      </c>
      <c r="H50" s="95">
        <f>G50</f>
        <v>11</v>
      </c>
      <c r="I50" s="95">
        <v>0</v>
      </c>
      <c r="J50" s="98">
        <v>0</v>
      </c>
      <c r="K50" s="95">
        <v>0</v>
      </c>
      <c r="L50" s="98">
        <f>H50</f>
        <v>11</v>
      </c>
      <c r="M50" s="95"/>
      <c r="N50" s="117">
        <v>10</v>
      </c>
      <c r="O50" s="98">
        <v>10</v>
      </c>
      <c r="P50" s="98">
        <v>10</v>
      </c>
      <c r="Q50" s="126">
        <v>0</v>
      </c>
      <c r="R50" s="119" t="s">
        <v>41</v>
      </c>
    </row>
    <row r="51" spans="1:18" ht="15.75" thickBot="1" x14ac:dyDescent="0.3">
      <c r="A51" s="5"/>
      <c r="B51" s="471"/>
      <c r="C51" s="468"/>
      <c r="D51" s="107" t="s">
        <v>1</v>
      </c>
      <c r="E51" s="108">
        <f>SUM(E46:E50)</f>
        <v>2</v>
      </c>
      <c r="F51" s="116">
        <f t="shared" ref="F51:Q51" si="18">SUM(F46:F50)</f>
        <v>1248</v>
      </c>
      <c r="G51" s="110">
        <f t="shared" si="18"/>
        <v>1250</v>
      </c>
      <c r="H51" s="109">
        <f t="shared" si="18"/>
        <v>1101</v>
      </c>
      <c r="I51" s="109">
        <f t="shared" si="18"/>
        <v>0</v>
      </c>
      <c r="J51" s="111">
        <f>SUM(J46:J50)</f>
        <v>259</v>
      </c>
      <c r="K51" s="109">
        <f t="shared" si="18"/>
        <v>0</v>
      </c>
      <c r="L51" s="111">
        <f t="shared" si="18"/>
        <v>1101</v>
      </c>
      <c r="M51" s="109">
        <f t="shared" si="18"/>
        <v>0</v>
      </c>
      <c r="N51" s="110">
        <f t="shared" si="18"/>
        <v>1103</v>
      </c>
      <c r="O51" s="111">
        <f t="shared" si="18"/>
        <v>1257</v>
      </c>
      <c r="P51" s="111">
        <f t="shared" si="18"/>
        <v>1257</v>
      </c>
      <c r="Q51" s="129">
        <f t="shared" si="18"/>
        <v>0</v>
      </c>
      <c r="R51" s="125"/>
    </row>
    <row r="52" spans="1:18" ht="15" customHeight="1" x14ac:dyDescent="0.25">
      <c r="B52" s="469" t="s">
        <v>344</v>
      </c>
      <c r="C52" s="458" t="s">
        <v>7</v>
      </c>
      <c r="D52" s="93" t="s">
        <v>25</v>
      </c>
      <c r="E52" s="94">
        <v>2</v>
      </c>
      <c r="F52" s="95">
        <f>F46+E52</f>
        <v>1052</v>
      </c>
      <c r="G52" s="96">
        <f>F52+E52</f>
        <v>1054</v>
      </c>
      <c r="H52" s="97">
        <f>G52</f>
        <v>1054</v>
      </c>
      <c r="I52" s="97">
        <v>0</v>
      </c>
      <c r="J52" s="98">
        <f>J46+E52</f>
        <v>261</v>
      </c>
      <c r="K52" s="95">
        <v>0</v>
      </c>
      <c r="L52" s="98">
        <f>H52</f>
        <v>1054</v>
      </c>
      <c r="M52" s="95"/>
      <c r="N52" s="117"/>
      <c r="O52" s="98"/>
      <c r="P52" s="98"/>
      <c r="Q52" s="118"/>
      <c r="R52" s="119"/>
    </row>
    <row r="53" spans="1:18" x14ac:dyDescent="0.25">
      <c r="B53" s="470"/>
      <c r="C53" s="459"/>
      <c r="D53" s="100" t="s">
        <v>24</v>
      </c>
      <c r="E53" s="101">
        <v>0</v>
      </c>
      <c r="F53" s="102">
        <v>36</v>
      </c>
      <c r="G53" s="103">
        <f>F53</f>
        <v>36</v>
      </c>
      <c r="H53" s="102">
        <f>G53</f>
        <v>36</v>
      </c>
      <c r="I53" s="102">
        <v>0</v>
      </c>
      <c r="J53" s="104">
        <v>0</v>
      </c>
      <c r="K53" s="102">
        <v>0</v>
      </c>
      <c r="L53" s="104">
        <f>H53</f>
        <v>36</v>
      </c>
      <c r="M53" s="102"/>
      <c r="N53" s="120"/>
      <c r="O53" s="104"/>
      <c r="P53" s="104"/>
      <c r="Q53" s="121"/>
      <c r="R53" s="119"/>
    </row>
    <row r="54" spans="1:18" x14ac:dyDescent="0.25">
      <c r="B54" s="470"/>
      <c r="C54" s="459"/>
      <c r="D54" s="105" t="s">
        <v>26</v>
      </c>
      <c r="E54" s="94">
        <v>0</v>
      </c>
      <c r="F54" s="95">
        <v>2</v>
      </c>
      <c r="G54" s="106">
        <f>F54</f>
        <v>2</v>
      </c>
      <c r="H54" s="95">
        <f>G54</f>
        <v>2</v>
      </c>
      <c r="I54" s="95"/>
      <c r="J54" s="98">
        <v>0</v>
      </c>
      <c r="K54" s="95"/>
      <c r="L54" s="98">
        <f>H54</f>
        <v>2</v>
      </c>
      <c r="M54" s="95"/>
      <c r="N54" s="117"/>
      <c r="O54" s="98"/>
      <c r="P54" s="98"/>
      <c r="Q54" s="118"/>
      <c r="R54" s="119"/>
    </row>
    <row r="55" spans="1:18" x14ac:dyDescent="0.25">
      <c r="B55" s="470"/>
      <c r="C55" s="459"/>
      <c r="D55" s="105" t="s">
        <v>27</v>
      </c>
      <c r="E55" s="94">
        <v>0</v>
      </c>
      <c r="F55" s="95">
        <v>149</v>
      </c>
      <c r="G55" s="106">
        <f>F55</f>
        <v>149</v>
      </c>
      <c r="H55" s="95">
        <v>0</v>
      </c>
      <c r="I55" s="95">
        <v>0</v>
      </c>
      <c r="J55" s="98">
        <v>0</v>
      </c>
      <c r="K55" s="95"/>
      <c r="L55" s="98">
        <v>0</v>
      </c>
      <c r="M55" s="95"/>
      <c r="N55" s="122"/>
      <c r="O55" s="98"/>
      <c r="P55" s="98"/>
      <c r="Q55" s="123"/>
      <c r="R55" s="119"/>
    </row>
    <row r="56" spans="1:18" x14ac:dyDescent="0.25">
      <c r="B56" s="470"/>
      <c r="C56" s="459"/>
      <c r="D56" s="105" t="s">
        <v>28</v>
      </c>
      <c r="E56" s="94">
        <v>0</v>
      </c>
      <c r="F56" s="95">
        <v>11</v>
      </c>
      <c r="G56" s="106">
        <f>F56</f>
        <v>11</v>
      </c>
      <c r="H56" s="95">
        <f>G56</f>
        <v>11</v>
      </c>
      <c r="I56" s="95">
        <v>0</v>
      </c>
      <c r="J56" s="98">
        <v>0</v>
      </c>
      <c r="K56" s="95">
        <v>0</v>
      </c>
      <c r="L56" s="98">
        <f>H56</f>
        <v>11</v>
      </c>
      <c r="M56" s="95"/>
      <c r="N56" s="117"/>
      <c r="O56" s="98"/>
      <c r="P56" s="98"/>
      <c r="Q56" s="118"/>
      <c r="R56" s="119"/>
    </row>
    <row r="57" spans="1:18" ht="15.75" thickBot="1" x14ac:dyDescent="0.3">
      <c r="B57" s="470"/>
      <c r="C57" s="460"/>
      <c r="D57" s="107" t="s">
        <v>1</v>
      </c>
      <c r="E57" s="108">
        <f t="shared" ref="E57:M57" si="19">SUM(E52:E56)</f>
        <v>2</v>
      </c>
      <c r="F57" s="109">
        <f t="shared" si="19"/>
        <v>1250</v>
      </c>
      <c r="G57" s="110">
        <f t="shared" si="19"/>
        <v>1252</v>
      </c>
      <c r="H57" s="109">
        <f t="shared" si="19"/>
        <v>1103</v>
      </c>
      <c r="I57" s="109">
        <f t="shared" si="19"/>
        <v>0</v>
      </c>
      <c r="J57" s="111">
        <f t="shared" si="19"/>
        <v>261</v>
      </c>
      <c r="K57" s="109">
        <f t="shared" si="19"/>
        <v>0</v>
      </c>
      <c r="L57" s="111">
        <f t="shared" si="19"/>
        <v>1103</v>
      </c>
      <c r="M57" s="109">
        <f t="shared" si="19"/>
        <v>0</v>
      </c>
      <c r="N57" s="110"/>
      <c r="O57" s="111"/>
      <c r="P57" s="111"/>
      <c r="Q57" s="124"/>
      <c r="R57" s="125"/>
    </row>
    <row r="58" spans="1:18" x14ac:dyDescent="0.25">
      <c r="B58" s="470"/>
      <c r="C58" s="458" t="s">
        <v>8</v>
      </c>
      <c r="D58" s="105" t="s">
        <v>25</v>
      </c>
      <c r="E58" s="94">
        <v>2</v>
      </c>
      <c r="F58" s="95">
        <f>F52+E58</f>
        <v>1054</v>
      </c>
      <c r="G58" s="113">
        <f>F58+E58</f>
        <v>1056</v>
      </c>
      <c r="H58" s="95">
        <f t="shared" ref="H58:H60" si="20">G58</f>
        <v>1056</v>
      </c>
      <c r="I58" s="95">
        <v>0</v>
      </c>
      <c r="J58" s="98">
        <f>J52+E58</f>
        <v>263</v>
      </c>
      <c r="K58" s="95">
        <v>0</v>
      </c>
      <c r="L58" s="98">
        <f>H58</f>
        <v>1056</v>
      </c>
      <c r="M58" s="95"/>
      <c r="N58" s="117"/>
      <c r="O58" s="98"/>
      <c r="P58" s="98"/>
      <c r="Q58" s="126"/>
      <c r="R58" s="119"/>
    </row>
    <row r="59" spans="1:18" x14ac:dyDescent="0.25">
      <c r="B59" s="470"/>
      <c r="C59" s="459"/>
      <c r="D59" s="100" t="s">
        <v>24</v>
      </c>
      <c r="E59" s="101">
        <v>0</v>
      </c>
      <c r="F59" s="114">
        <f>F53</f>
        <v>36</v>
      </c>
      <c r="G59" s="115">
        <f t="shared" ref="G59:G60" si="21">F59</f>
        <v>36</v>
      </c>
      <c r="H59" s="102">
        <f t="shared" si="20"/>
        <v>36</v>
      </c>
      <c r="I59" s="102">
        <v>0</v>
      </c>
      <c r="J59" s="104">
        <v>0</v>
      </c>
      <c r="K59" s="102">
        <v>0</v>
      </c>
      <c r="L59" s="104">
        <f>H59</f>
        <v>36</v>
      </c>
      <c r="M59" s="102"/>
      <c r="N59" s="120"/>
      <c r="O59" s="104"/>
      <c r="P59" s="104"/>
      <c r="Q59" s="127"/>
      <c r="R59" s="119"/>
    </row>
    <row r="60" spans="1:18" x14ac:dyDescent="0.25">
      <c r="B60" s="470"/>
      <c r="C60" s="459"/>
      <c r="D60" s="105" t="s">
        <v>26</v>
      </c>
      <c r="E60" s="94">
        <v>0</v>
      </c>
      <c r="F60" s="112">
        <f>F54</f>
        <v>2</v>
      </c>
      <c r="G60" s="113">
        <f t="shared" si="21"/>
        <v>2</v>
      </c>
      <c r="H60" s="95">
        <f t="shared" si="20"/>
        <v>2</v>
      </c>
      <c r="I60" s="95"/>
      <c r="J60" s="98">
        <v>0</v>
      </c>
      <c r="K60" s="95"/>
      <c r="L60" s="98">
        <f>H60</f>
        <v>2</v>
      </c>
      <c r="M60" s="95"/>
      <c r="N60" s="117"/>
      <c r="O60" s="98"/>
      <c r="P60" s="98"/>
      <c r="Q60" s="126"/>
      <c r="R60" s="119"/>
    </row>
    <row r="61" spans="1:18" x14ac:dyDescent="0.25">
      <c r="B61" s="470"/>
      <c r="C61" s="459"/>
      <c r="D61" s="105" t="s">
        <v>27</v>
      </c>
      <c r="E61" s="94">
        <v>0</v>
      </c>
      <c r="F61" s="112">
        <f>F55</f>
        <v>149</v>
      </c>
      <c r="G61" s="113">
        <f>F61</f>
        <v>149</v>
      </c>
      <c r="H61" s="95">
        <v>0</v>
      </c>
      <c r="I61" s="95">
        <v>0</v>
      </c>
      <c r="J61" s="98">
        <v>0</v>
      </c>
      <c r="K61" s="95"/>
      <c r="L61" s="98">
        <v>0</v>
      </c>
      <c r="M61" s="95"/>
      <c r="N61" s="122"/>
      <c r="O61" s="98"/>
      <c r="P61" s="98"/>
      <c r="Q61" s="128"/>
      <c r="R61" s="119"/>
    </row>
    <row r="62" spans="1:18" x14ac:dyDescent="0.25">
      <c r="B62" s="470"/>
      <c r="C62" s="459"/>
      <c r="D62" s="105" t="s">
        <v>28</v>
      </c>
      <c r="E62" s="94">
        <v>0</v>
      </c>
      <c r="F62" s="112">
        <f>F56</f>
        <v>11</v>
      </c>
      <c r="G62" s="113">
        <f>F62</f>
        <v>11</v>
      </c>
      <c r="H62" s="95">
        <f>G62</f>
        <v>11</v>
      </c>
      <c r="I62" s="95">
        <v>0</v>
      </c>
      <c r="J62" s="98">
        <v>0</v>
      </c>
      <c r="K62" s="95">
        <v>0</v>
      </c>
      <c r="L62" s="98">
        <f>H62</f>
        <v>11</v>
      </c>
      <c r="M62" s="95"/>
      <c r="N62" s="117"/>
      <c r="O62" s="98"/>
      <c r="P62" s="98"/>
      <c r="Q62" s="126"/>
      <c r="R62" s="119"/>
    </row>
    <row r="63" spans="1:18" ht="15.75" thickBot="1" x14ac:dyDescent="0.3">
      <c r="B63" s="470"/>
      <c r="C63" s="460"/>
      <c r="D63" s="107" t="s">
        <v>1</v>
      </c>
      <c r="E63" s="108">
        <f>SUM(E58:E62)</f>
        <v>2</v>
      </c>
      <c r="F63" s="116">
        <f t="shared" ref="F63:M63" si="22">SUM(F58:F62)</f>
        <v>1252</v>
      </c>
      <c r="G63" s="109">
        <f>SUM(G58:G62)</f>
        <v>1254</v>
      </c>
      <c r="H63" s="109">
        <f t="shared" si="22"/>
        <v>1105</v>
      </c>
      <c r="I63" s="109">
        <f t="shared" si="22"/>
        <v>0</v>
      </c>
      <c r="J63" s="111">
        <f t="shared" si="22"/>
        <v>263</v>
      </c>
      <c r="K63" s="109">
        <f t="shared" si="22"/>
        <v>0</v>
      </c>
      <c r="L63" s="111">
        <f t="shared" si="22"/>
        <v>1105</v>
      </c>
      <c r="M63" s="109">
        <f t="shared" si="22"/>
        <v>0</v>
      </c>
      <c r="N63" s="110"/>
      <c r="O63" s="111"/>
      <c r="P63" s="111"/>
      <c r="Q63" s="129"/>
      <c r="R63" s="125"/>
    </row>
    <row r="64" spans="1:18" x14ac:dyDescent="0.25">
      <c r="B64" s="470"/>
      <c r="C64" s="458" t="s">
        <v>9</v>
      </c>
      <c r="D64" s="105" t="s">
        <v>25</v>
      </c>
      <c r="E64" s="94">
        <v>2</v>
      </c>
      <c r="F64" s="112">
        <f>F58+E64</f>
        <v>1056</v>
      </c>
      <c r="G64" s="113">
        <f>F64+E64</f>
        <v>1058</v>
      </c>
      <c r="H64" s="95">
        <f t="shared" ref="H64:H66" si="23">G64</f>
        <v>1058</v>
      </c>
      <c r="I64" s="95">
        <v>0</v>
      </c>
      <c r="J64" s="98">
        <f>J58+E64</f>
        <v>265</v>
      </c>
      <c r="K64" s="95">
        <v>0</v>
      </c>
      <c r="L64" s="98">
        <f>H64</f>
        <v>1058</v>
      </c>
      <c r="M64" s="95"/>
      <c r="N64" s="117"/>
      <c r="O64" s="98"/>
      <c r="P64" s="98"/>
      <c r="Q64" s="126"/>
      <c r="R64" s="119"/>
    </row>
    <row r="65" spans="2:18" x14ac:dyDescent="0.25">
      <c r="B65" s="470"/>
      <c r="C65" s="459"/>
      <c r="D65" s="100" t="s">
        <v>24</v>
      </c>
      <c r="E65" s="101">
        <v>0</v>
      </c>
      <c r="F65" s="114">
        <f>F53</f>
        <v>36</v>
      </c>
      <c r="G65" s="115">
        <f t="shared" ref="G65:G66" si="24">F65</f>
        <v>36</v>
      </c>
      <c r="H65" s="102">
        <f t="shared" si="23"/>
        <v>36</v>
      </c>
      <c r="I65" s="102">
        <v>0</v>
      </c>
      <c r="J65" s="104">
        <v>0</v>
      </c>
      <c r="K65" s="102">
        <v>0</v>
      </c>
      <c r="L65" s="104">
        <f>H65</f>
        <v>36</v>
      </c>
      <c r="M65" s="102"/>
      <c r="N65" s="120"/>
      <c r="O65" s="104"/>
      <c r="P65" s="104"/>
      <c r="Q65" s="127"/>
      <c r="R65" s="119"/>
    </row>
    <row r="66" spans="2:18" x14ac:dyDescent="0.25">
      <c r="B66" s="470"/>
      <c r="C66" s="459"/>
      <c r="D66" s="105" t="s">
        <v>26</v>
      </c>
      <c r="E66" s="94">
        <v>0</v>
      </c>
      <c r="F66" s="112">
        <f>F54</f>
        <v>2</v>
      </c>
      <c r="G66" s="113">
        <f t="shared" si="24"/>
        <v>2</v>
      </c>
      <c r="H66" s="95">
        <f t="shared" si="23"/>
        <v>2</v>
      </c>
      <c r="I66" s="95"/>
      <c r="J66" s="98">
        <v>0</v>
      </c>
      <c r="K66" s="95"/>
      <c r="L66" s="98">
        <f>H66</f>
        <v>2</v>
      </c>
      <c r="M66" s="95"/>
      <c r="N66" s="117"/>
      <c r="O66" s="98"/>
      <c r="P66" s="98"/>
      <c r="Q66" s="126"/>
      <c r="R66" s="119"/>
    </row>
    <row r="67" spans="2:18" x14ac:dyDescent="0.25">
      <c r="B67" s="470"/>
      <c r="C67" s="459"/>
      <c r="D67" s="105" t="s">
        <v>27</v>
      </c>
      <c r="E67" s="94">
        <v>0</v>
      </c>
      <c r="F67" s="112">
        <f>F55</f>
        <v>149</v>
      </c>
      <c r="G67" s="113">
        <f>F67</f>
        <v>149</v>
      </c>
      <c r="H67" s="95">
        <v>0</v>
      </c>
      <c r="I67" s="95">
        <v>0</v>
      </c>
      <c r="J67" s="98">
        <v>0</v>
      </c>
      <c r="K67" s="95"/>
      <c r="L67" s="98">
        <v>0</v>
      </c>
      <c r="M67" s="95"/>
      <c r="N67" s="122"/>
      <c r="O67" s="98"/>
      <c r="P67" s="98"/>
      <c r="Q67" s="128"/>
      <c r="R67" s="119"/>
    </row>
    <row r="68" spans="2:18" x14ac:dyDescent="0.25">
      <c r="B68" s="470"/>
      <c r="C68" s="459"/>
      <c r="D68" s="105" t="s">
        <v>28</v>
      </c>
      <c r="E68" s="94">
        <v>0</v>
      </c>
      <c r="F68" s="112">
        <f>F56</f>
        <v>11</v>
      </c>
      <c r="G68" s="113">
        <f>F68</f>
        <v>11</v>
      </c>
      <c r="H68" s="95">
        <f>G68</f>
        <v>11</v>
      </c>
      <c r="I68" s="95">
        <v>0</v>
      </c>
      <c r="J68" s="98">
        <v>0</v>
      </c>
      <c r="K68" s="95">
        <v>0</v>
      </c>
      <c r="L68" s="98">
        <f>H68</f>
        <v>11</v>
      </c>
      <c r="M68" s="95"/>
      <c r="N68" s="117"/>
      <c r="O68" s="98"/>
      <c r="P68" s="98"/>
      <c r="Q68" s="126"/>
      <c r="R68" s="119"/>
    </row>
    <row r="69" spans="2:18" ht="15.75" thickBot="1" x14ac:dyDescent="0.3">
      <c r="B69" s="471"/>
      <c r="C69" s="468"/>
      <c r="D69" s="107" t="s">
        <v>1</v>
      </c>
      <c r="E69" s="108">
        <f>SUM(E64:E68)</f>
        <v>2</v>
      </c>
      <c r="F69" s="116">
        <f t="shared" ref="F69:M69" si="25">SUM(F64:F68)</f>
        <v>1254</v>
      </c>
      <c r="G69" s="110">
        <f t="shared" si="25"/>
        <v>1256</v>
      </c>
      <c r="H69" s="109">
        <f t="shared" si="25"/>
        <v>1107</v>
      </c>
      <c r="I69" s="109">
        <f t="shared" si="25"/>
        <v>0</v>
      </c>
      <c r="J69" s="111">
        <f t="shared" si="25"/>
        <v>265</v>
      </c>
      <c r="K69" s="109">
        <f t="shared" si="25"/>
        <v>0</v>
      </c>
      <c r="L69" s="111">
        <f t="shared" si="25"/>
        <v>1107</v>
      </c>
      <c r="M69" s="109">
        <f t="shared" si="25"/>
        <v>0</v>
      </c>
      <c r="N69" s="110"/>
      <c r="O69" s="111"/>
      <c r="P69" s="111"/>
      <c r="Q69" s="129"/>
      <c r="R69" s="125"/>
    </row>
    <row r="70" spans="2:18" x14ac:dyDescent="0.25">
      <c r="B70" s="448" t="s">
        <v>337</v>
      </c>
      <c r="C70" s="451" t="s">
        <v>7</v>
      </c>
      <c r="D70" s="130" t="s">
        <v>25</v>
      </c>
      <c r="E70" s="131">
        <v>0</v>
      </c>
      <c r="F70" s="132">
        <v>630</v>
      </c>
      <c r="G70" s="436">
        <f>(F70+E70)*'%CEMSCPMSvs.testing'!H9/100</f>
        <v>226.8</v>
      </c>
      <c r="H70" s="437">
        <f>G70</f>
        <v>226.8</v>
      </c>
      <c r="I70" s="133">
        <v>0</v>
      </c>
      <c r="J70" s="445">
        <f>(F70+E70)*('%CEMSCPMSvs.testing'!L9+'%CEMSCPMSvs.testing'!L10)/100</f>
        <v>579.6</v>
      </c>
      <c r="K70" s="132">
        <v>0</v>
      </c>
      <c r="L70" s="445">
        <f>(F70+E70)*'%CEMSCPMSvs.testing'!D9/100</f>
        <v>529.20000000000005</v>
      </c>
      <c r="M70" s="132"/>
      <c r="R70" s="302" t="s">
        <v>346</v>
      </c>
    </row>
    <row r="71" spans="2:18" x14ac:dyDescent="0.25">
      <c r="B71" s="449"/>
      <c r="C71" s="452"/>
      <c r="D71" s="134" t="s">
        <v>24</v>
      </c>
      <c r="E71" s="135">
        <v>0</v>
      </c>
      <c r="F71" s="136">
        <v>26</v>
      </c>
      <c r="G71" s="438">
        <f>F71*'%CEMSCPMSvs.testing'!D15/100</f>
        <v>21.58</v>
      </c>
      <c r="H71" s="439">
        <f>G71</f>
        <v>21.58</v>
      </c>
      <c r="I71" s="136">
        <v>0</v>
      </c>
      <c r="J71" s="446">
        <f>F71*'%CEMSCPMSvs.testing'!L16/100</f>
        <v>20.28</v>
      </c>
      <c r="K71" s="136">
        <v>0</v>
      </c>
      <c r="L71" s="446">
        <f>F71*'%CEMSCPMSvs.testing'!D15/100</f>
        <v>21.58</v>
      </c>
      <c r="M71" s="136"/>
      <c r="R71" s="435" t="s">
        <v>436</v>
      </c>
    </row>
    <row r="72" spans="2:18" x14ac:dyDescent="0.25">
      <c r="B72" s="449"/>
      <c r="C72" s="452"/>
      <c r="D72" s="137" t="s">
        <v>26</v>
      </c>
      <c r="E72" s="131">
        <v>0</v>
      </c>
      <c r="F72" s="132">
        <v>3</v>
      </c>
      <c r="G72" s="440">
        <f>F72*'%CEMSCPMSvs.testing'!H21/100</f>
        <v>0</v>
      </c>
      <c r="H72" s="441">
        <f>G72</f>
        <v>0</v>
      </c>
      <c r="I72" s="132"/>
      <c r="J72" s="445">
        <f>F72*'%CEMSCPMSvs.testing'!L21/100</f>
        <v>0</v>
      </c>
      <c r="K72" s="132"/>
      <c r="L72" s="445">
        <f>F72*'%CEMSCPMSvs.testing'!D21/100</f>
        <v>0</v>
      </c>
      <c r="M72" s="132"/>
    </row>
    <row r="73" spans="2:18" x14ac:dyDescent="0.25">
      <c r="B73" s="449"/>
      <c r="C73" s="452"/>
      <c r="D73" s="137" t="s">
        <v>27</v>
      </c>
      <c r="E73" s="131">
        <v>0</v>
      </c>
      <c r="F73" s="132">
        <v>60</v>
      </c>
      <c r="G73" s="440">
        <f>F73*'%CEMSCPMSvs.testing'!H27/100</f>
        <v>4.2</v>
      </c>
      <c r="H73" s="441">
        <v>0</v>
      </c>
      <c r="I73" s="132">
        <v>0</v>
      </c>
      <c r="J73" s="445">
        <f>F73*('%CEMSCPMSvs.testing'!L27/100)</f>
        <v>0</v>
      </c>
      <c r="K73" s="132"/>
      <c r="L73" s="445">
        <f>F73*'%CEMSCPMSvs.testing'!D27/100</f>
        <v>0</v>
      </c>
      <c r="M73" s="132"/>
    </row>
    <row r="74" spans="2:18" x14ac:dyDescent="0.25">
      <c r="B74" s="449"/>
      <c r="C74" s="452"/>
      <c r="D74" s="137" t="s">
        <v>28</v>
      </c>
      <c r="E74" s="131">
        <v>0</v>
      </c>
      <c r="F74" s="132">
        <v>8</v>
      </c>
      <c r="G74" s="440">
        <f>F74*'%CEMSCPMSvs.testing'!H33/100</f>
        <v>1.36</v>
      </c>
      <c r="H74" s="441">
        <f>G74</f>
        <v>1.36</v>
      </c>
      <c r="I74" s="132">
        <v>0</v>
      </c>
      <c r="J74" s="445">
        <f>F74*('%CEMSCPMSvs.testing'!L33+'%CEMSCPMSvs.testing'!L34)/100</f>
        <v>6.64</v>
      </c>
      <c r="K74" s="132">
        <v>0</v>
      </c>
      <c r="L74" s="445">
        <f>F74*'%CEMSCPMSvs.testing'!D33/100</f>
        <v>4</v>
      </c>
      <c r="M74" s="132"/>
    </row>
    <row r="75" spans="2:18" ht="15.75" thickBot="1" x14ac:dyDescent="0.3">
      <c r="B75" s="449"/>
      <c r="C75" s="453"/>
      <c r="D75" s="138" t="s">
        <v>1</v>
      </c>
      <c r="E75" s="139">
        <f t="shared" ref="E75:M75" si="26">SUM(E70:E74)</f>
        <v>0</v>
      </c>
      <c r="F75" s="140">
        <f t="shared" si="26"/>
        <v>727</v>
      </c>
      <c r="G75" s="442">
        <f t="shared" si="26"/>
        <v>253.94</v>
      </c>
      <c r="H75" s="443">
        <f t="shared" si="26"/>
        <v>249.74</v>
      </c>
      <c r="I75" s="140">
        <f t="shared" si="26"/>
        <v>0</v>
      </c>
      <c r="J75" s="447">
        <f t="shared" si="26"/>
        <v>606.52</v>
      </c>
      <c r="K75" s="140">
        <f t="shared" si="26"/>
        <v>0</v>
      </c>
      <c r="L75" s="447">
        <f t="shared" si="26"/>
        <v>554.78000000000009</v>
      </c>
      <c r="M75" s="140">
        <f t="shared" si="26"/>
        <v>0</v>
      </c>
    </row>
    <row r="76" spans="2:18" x14ac:dyDescent="0.25">
      <c r="B76" s="449"/>
      <c r="C76" s="451" t="s">
        <v>8</v>
      </c>
      <c r="D76" s="137" t="s">
        <v>25</v>
      </c>
      <c r="E76" s="131">
        <v>0</v>
      </c>
      <c r="F76" s="132">
        <f>F70+E76</f>
        <v>630</v>
      </c>
      <c r="G76" s="444">
        <f>G70+E76</f>
        <v>226.8</v>
      </c>
      <c r="H76" s="441">
        <f t="shared" ref="H76:H80" si="27">G76</f>
        <v>226.8</v>
      </c>
      <c r="I76" s="132">
        <v>0</v>
      </c>
      <c r="J76" s="445">
        <f>J70+E76</f>
        <v>579.6</v>
      </c>
      <c r="K76" s="132">
        <v>0</v>
      </c>
      <c r="L76" s="445">
        <f>L70+E76</f>
        <v>529.20000000000005</v>
      </c>
      <c r="M76" s="132"/>
    </row>
    <row r="77" spans="2:18" x14ac:dyDescent="0.25">
      <c r="B77" s="449"/>
      <c r="C77" s="452"/>
      <c r="D77" s="134" t="s">
        <v>24</v>
      </c>
      <c r="E77" s="135">
        <v>0</v>
      </c>
      <c r="F77" s="141">
        <f>F71</f>
        <v>26</v>
      </c>
      <c r="G77" s="444">
        <f>G71+E77</f>
        <v>21.58</v>
      </c>
      <c r="H77" s="439">
        <f t="shared" si="27"/>
        <v>21.58</v>
      </c>
      <c r="I77" s="136">
        <v>0</v>
      </c>
      <c r="J77" s="445">
        <f>J71+E77</f>
        <v>20.28</v>
      </c>
      <c r="K77" s="136">
        <v>0</v>
      </c>
      <c r="L77" s="445">
        <f>L71+E77</f>
        <v>21.58</v>
      </c>
      <c r="M77" s="136"/>
    </row>
    <row r="78" spans="2:18" x14ac:dyDescent="0.25">
      <c r="B78" s="449"/>
      <c r="C78" s="452"/>
      <c r="D78" s="137" t="s">
        <v>26</v>
      </c>
      <c r="E78" s="131">
        <v>0</v>
      </c>
      <c r="F78" s="142">
        <f>F72</f>
        <v>3</v>
      </c>
      <c r="G78" s="444">
        <f>G72+E78</f>
        <v>0</v>
      </c>
      <c r="H78" s="439">
        <f t="shared" si="27"/>
        <v>0</v>
      </c>
      <c r="I78" s="136">
        <v>0</v>
      </c>
      <c r="J78" s="445">
        <f>J72+E78</f>
        <v>0</v>
      </c>
      <c r="K78" s="132"/>
      <c r="L78" s="445">
        <f>L72+E78</f>
        <v>0</v>
      </c>
      <c r="M78" s="132"/>
    </row>
    <row r="79" spans="2:18" x14ac:dyDescent="0.25">
      <c r="B79" s="449"/>
      <c r="C79" s="452"/>
      <c r="D79" s="137" t="s">
        <v>27</v>
      </c>
      <c r="E79" s="131">
        <v>0</v>
      </c>
      <c r="F79" s="142">
        <f>F73</f>
        <v>60</v>
      </c>
      <c r="G79" s="444">
        <f>G73+E79</f>
        <v>4.2</v>
      </c>
      <c r="H79" s="439">
        <f t="shared" si="27"/>
        <v>4.2</v>
      </c>
      <c r="I79" s="132">
        <v>0</v>
      </c>
      <c r="J79" s="445">
        <f>J73+E79</f>
        <v>0</v>
      </c>
      <c r="K79" s="132"/>
      <c r="L79" s="445">
        <f>L73+E79</f>
        <v>0</v>
      </c>
      <c r="M79" s="132"/>
    </row>
    <row r="80" spans="2:18" x14ac:dyDescent="0.25">
      <c r="B80" s="449"/>
      <c r="C80" s="452"/>
      <c r="D80" s="137" t="s">
        <v>28</v>
      </c>
      <c r="E80" s="131">
        <v>0</v>
      </c>
      <c r="F80" s="142">
        <f>F74</f>
        <v>8</v>
      </c>
      <c r="G80" s="444">
        <f>G74+E80</f>
        <v>1.36</v>
      </c>
      <c r="H80" s="439">
        <f t="shared" si="27"/>
        <v>1.36</v>
      </c>
      <c r="I80" s="132">
        <v>0</v>
      </c>
      <c r="J80" s="445">
        <f>J74+E80</f>
        <v>6.64</v>
      </c>
      <c r="K80" s="132">
        <v>0</v>
      </c>
      <c r="L80" s="445">
        <f>L74+E80</f>
        <v>4</v>
      </c>
      <c r="M80" s="132"/>
    </row>
    <row r="81" spans="2:13" ht="15.75" thickBot="1" x14ac:dyDescent="0.3">
      <c r="B81" s="449"/>
      <c r="C81" s="453"/>
      <c r="D81" s="138" t="s">
        <v>1</v>
      </c>
      <c r="E81" s="139">
        <f>SUM(E76:E80)</f>
        <v>0</v>
      </c>
      <c r="F81" s="143">
        <f t="shared" ref="F81" si="28">SUM(F76:F80)</f>
        <v>727</v>
      </c>
      <c r="G81" s="443">
        <f>SUM(G76:G80)</f>
        <v>253.94</v>
      </c>
      <c r="H81" s="443">
        <f t="shared" ref="H81:M81" si="29">SUM(H76:H80)</f>
        <v>253.94</v>
      </c>
      <c r="I81" s="140">
        <f t="shared" si="29"/>
        <v>0</v>
      </c>
      <c r="J81" s="447">
        <f t="shared" si="29"/>
        <v>606.52</v>
      </c>
      <c r="K81" s="140">
        <f t="shared" si="29"/>
        <v>0</v>
      </c>
      <c r="L81" s="447">
        <f t="shared" si="29"/>
        <v>554.78000000000009</v>
      </c>
      <c r="M81" s="140">
        <f t="shared" si="29"/>
        <v>0</v>
      </c>
    </row>
    <row r="82" spans="2:13" x14ac:dyDescent="0.25">
      <c r="B82" s="449"/>
      <c r="C82" s="451" t="s">
        <v>9</v>
      </c>
      <c r="D82" s="137" t="s">
        <v>25</v>
      </c>
      <c r="E82" s="131">
        <v>0</v>
      </c>
      <c r="F82" s="142">
        <f>F76+E82</f>
        <v>630</v>
      </c>
      <c r="G82" s="444">
        <f>G76+E82</f>
        <v>226.8</v>
      </c>
      <c r="H82" s="441">
        <f t="shared" ref="H82:H86" si="30">G82</f>
        <v>226.8</v>
      </c>
      <c r="I82" s="132">
        <v>0</v>
      </c>
      <c r="J82" s="445">
        <f>J76+E82</f>
        <v>579.6</v>
      </c>
      <c r="K82" s="132">
        <v>0</v>
      </c>
      <c r="L82" s="445">
        <f>L76+E82</f>
        <v>529.20000000000005</v>
      </c>
      <c r="M82" s="132"/>
    </row>
    <row r="83" spans="2:13" x14ac:dyDescent="0.25">
      <c r="B83" s="449"/>
      <c r="C83" s="452"/>
      <c r="D83" s="134" t="s">
        <v>24</v>
      </c>
      <c r="E83" s="135">
        <v>0</v>
      </c>
      <c r="F83" s="141">
        <f>F71</f>
        <v>26</v>
      </c>
      <c r="G83" s="444">
        <f>G77+E83</f>
        <v>21.58</v>
      </c>
      <c r="H83" s="441">
        <f t="shared" si="30"/>
        <v>21.58</v>
      </c>
      <c r="I83" s="136">
        <v>0</v>
      </c>
      <c r="J83" s="445">
        <f>J77+E83</f>
        <v>20.28</v>
      </c>
      <c r="K83" s="136">
        <v>0</v>
      </c>
      <c r="L83" s="445">
        <f>L77+E83</f>
        <v>21.58</v>
      </c>
      <c r="M83" s="136"/>
    </row>
    <row r="84" spans="2:13" x14ac:dyDescent="0.25">
      <c r="B84" s="449"/>
      <c r="C84" s="452"/>
      <c r="D84" s="137" t="s">
        <v>26</v>
      </c>
      <c r="E84" s="131">
        <v>0</v>
      </c>
      <c r="F84" s="142">
        <f>F72</f>
        <v>3</v>
      </c>
      <c r="G84" s="444">
        <f>G78+E84</f>
        <v>0</v>
      </c>
      <c r="H84" s="441">
        <f t="shared" si="30"/>
        <v>0</v>
      </c>
      <c r="I84" s="132"/>
      <c r="J84" s="445">
        <f>J78+E84</f>
        <v>0</v>
      </c>
      <c r="K84" s="132"/>
      <c r="L84" s="445">
        <f>L78+E84</f>
        <v>0</v>
      </c>
      <c r="M84" s="132"/>
    </row>
    <row r="85" spans="2:13" x14ac:dyDescent="0.25">
      <c r="B85" s="449"/>
      <c r="C85" s="452"/>
      <c r="D85" s="137" t="s">
        <v>27</v>
      </c>
      <c r="E85" s="131">
        <v>0</v>
      </c>
      <c r="F85" s="142">
        <f>F73</f>
        <v>60</v>
      </c>
      <c r="G85" s="444">
        <f>G79+E85</f>
        <v>4.2</v>
      </c>
      <c r="H85" s="441">
        <f t="shared" si="30"/>
        <v>4.2</v>
      </c>
      <c r="I85" s="132">
        <v>0</v>
      </c>
      <c r="J85" s="445">
        <f>J79+E85</f>
        <v>0</v>
      </c>
      <c r="K85" s="132"/>
      <c r="L85" s="445">
        <f>L79+E85</f>
        <v>0</v>
      </c>
      <c r="M85" s="132"/>
    </row>
    <row r="86" spans="2:13" x14ac:dyDescent="0.25">
      <c r="B86" s="449"/>
      <c r="C86" s="452"/>
      <c r="D86" s="137" t="s">
        <v>28</v>
      </c>
      <c r="E86" s="131">
        <v>0</v>
      </c>
      <c r="F86" s="142">
        <f>F74</f>
        <v>8</v>
      </c>
      <c r="G86" s="444">
        <f>G80+E86</f>
        <v>1.36</v>
      </c>
      <c r="H86" s="441">
        <f t="shared" si="30"/>
        <v>1.36</v>
      </c>
      <c r="I86" s="132">
        <v>0</v>
      </c>
      <c r="J86" s="445">
        <f>J80+E86</f>
        <v>6.64</v>
      </c>
      <c r="K86" s="132">
        <v>0</v>
      </c>
      <c r="L86" s="445">
        <f>L80+E86</f>
        <v>4</v>
      </c>
      <c r="M86" s="132"/>
    </row>
    <row r="87" spans="2:13" ht="15.75" thickBot="1" x14ac:dyDescent="0.3">
      <c r="B87" s="450"/>
      <c r="C87" s="454"/>
      <c r="D87" s="138" t="s">
        <v>1</v>
      </c>
      <c r="E87" s="139">
        <f>SUM(E82:E86)</f>
        <v>0</v>
      </c>
      <c r="F87" s="143">
        <f t="shared" ref="F87:M87" si="31">SUM(F82:F86)</f>
        <v>727</v>
      </c>
      <c r="G87" s="442">
        <f t="shared" si="31"/>
        <v>253.94</v>
      </c>
      <c r="H87" s="443">
        <f t="shared" si="31"/>
        <v>253.94</v>
      </c>
      <c r="I87" s="140">
        <f t="shared" si="31"/>
        <v>0</v>
      </c>
      <c r="J87" s="447">
        <f t="shared" si="31"/>
        <v>606.52</v>
      </c>
      <c r="K87" s="140">
        <f t="shared" si="31"/>
        <v>0</v>
      </c>
      <c r="L87" s="447">
        <f t="shared" si="31"/>
        <v>554.78000000000009</v>
      </c>
      <c r="M87" s="140">
        <f t="shared" si="31"/>
        <v>0</v>
      </c>
    </row>
  </sheetData>
  <mergeCells count="31">
    <mergeCell ref="R32:R33"/>
    <mergeCell ref="B9:B10"/>
    <mergeCell ref="B16:B20"/>
    <mergeCell ref="C32:C33"/>
    <mergeCell ref="G9:I9"/>
    <mergeCell ref="B7:C7"/>
    <mergeCell ref="C46:C51"/>
    <mergeCell ref="C34:C39"/>
    <mergeCell ref="C40:C45"/>
    <mergeCell ref="N32:O32"/>
    <mergeCell ref="G32:I32"/>
    <mergeCell ref="J4:L4"/>
    <mergeCell ref="G4:I4"/>
    <mergeCell ref="D4:F4"/>
    <mergeCell ref="B4:C5"/>
    <mergeCell ref="B6:C6"/>
    <mergeCell ref="B70:B87"/>
    <mergeCell ref="C70:C75"/>
    <mergeCell ref="C76:C81"/>
    <mergeCell ref="C82:C87"/>
    <mergeCell ref="J9:L9"/>
    <mergeCell ref="C52:C57"/>
    <mergeCell ref="B21:B25"/>
    <mergeCell ref="B27:C27"/>
    <mergeCell ref="D9:F9"/>
    <mergeCell ref="C9:C10"/>
    <mergeCell ref="B11:B15"/>
    <mergeCell ref="C58:C63"/>
    <mergeCell ref="C64:C69"/>
    <mergeCell ref="B34:B51"/>
    <mergeCell ref="B52:B6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sheetPr>
  <dimension ref="A1:E184"/>
  <sheetViews>
    <sheetView workbookViewId="0">
      <pane ySplit="1" topLeftCell="A178" activePane="bottomLeft" state="frozen"/>
      <selection activeCell="I65" sqref="I65"/>
      <selection pane="bottomLeft" activeCell="I65" sqref="I65"/>
    </sheetView>
  </sheetViews>
  <sheetFormatPr defaultColWidth="9.140625" defaultRowHeight="12.75" x14ac:dyDescent="0.2"/>
  <cols>
    <col min="1" max="1" width="39" style="36" bestFit="1" customWidth="1"/>
    <col min="2" max="5" width="9.140625" style="36"/>
    <col min="6" max="6" width="1.5703125" style="36" customWidth="1"/>
    <col min="7" max="16384" width="9.140625" style="36"/>
  </cols>
  <sheetData>
    <row r="1" spans="1:4" x14ac:dyDescent="0.2">
      <c r="B1" s="36" t="s">
        <v>50</v>
      </c>
      <c r="C1" s="36" t="s">
        <v>51</v>
      </c>
      <c r="D1" s="36" t="s">
        <v>80</v>
      </c>
    </row>
    <row r="2" spans="1:4" x14ac:dyDescent="0.2">
      <c r="A2" s="36" t="s">
        <v>81</v>
      </c>
    </row>
    <row r="3" spans="1:4" x14ac:dyDescent="0.2">
      <c r="A3" s="36" t="s">
        <v>82</v>
      </c>
      <c r="B3" s="37">
        <v>230.40000000000003</v>
      </c>
      <c r="C3" s="37"/>
      <c r="D3" s="37"/>
    </row>
    <row r="4" spans="1:4" x14ac:dyDescent="0.2">
      <c r="A4" s="36" t="s">
        <v>83</v>
      </c>
      <c r="B4" s="37">
        <v>441.6</v>
      </c>
      <c r="C4" s="37"/>
      <c r="D4" s="37">
        <v>284</v>
      </c>
    </row>
    <row r="5" spans="1:4" x14ac:dyDescent="0.2">
      <c r="A5" s="36" t="s">
        <v>84</v>
      </c>
      <c r="B5" s="37">
        <v>240</v>
      </c>
      <c r="C5" s="37"/>
      <c r="D5" s="37"/>
    </row>
    <row r="6" spans="1:4" x14ac:dyDescent="0.2">
      <c r="A6" s="36" t="s">
        <v>85</v>
      </c>
      <c r="B6" s="37">
        <v>278.39999999999998</v>
      </c>
      <c r="C6" s="37"/>
      <c r="D6" s="37">
        <v>68</v>
      </c>
    </row>
    <row r="7" spans="1:4" x14ac:dyDescent="0.2">
      <c r="A7" s="36" t="s">
        <v>86</v>
      </c>
      <c r="B7" s="37">
        <v>576</v>
      </c>
      <c r="C7" s="37"/>
      <c r="D7" s="37"/>
    </row>
    <row r="8" spans="1:4" x14ac:dyDescent="0.2">
      <c r="A8" s="36" t="s">
        <v>87</v>
      </c>
      <c r="B8" s="37">
        <v>768</v>
      </c>
      <c r="C8" s="37"/>
      <c r="D8" s="37"/>
    </row>
    <row r="10" spans="1:4" x14ac:dyDescent="0.2">
      <c r="A10" s="36" t="s">
        <v>88</v>
      </c>
      <c r="B10" s="37">
        <v>2534.4</v>
      </c>
      <c r="C10" s="37">
        <v>0</v>
      </c>
      <c r="D10" s="37">
        <v>352</v>
      </c>
    </row>
    <row r="12" spans="1:4" x14ac:dyDescent="0.2">
      <c r="A12" s="36" t="s">
        <v>89</v>
      </c>
    </row>
    <row r="13" spans="1:4" x14ac:dyDescent="0.2">
      <c r="A13" s="36" t="s">
        <v>90</v>
      </c>
      <c r="B13" s="37">
        <v>288</v>
      </c>
    </row>
    <row r="14" spans="1:4" x14ac:dyDescent="0.2">
      <c r="A14" s="36" t="s">
        <v>91</v>
      </c>
      <c r="B14" s="37">
        <v>1907.2</v>
      </c>
    </row>
    <row r="15" spans="1:4" x14ac:dyDescent="0.2">
      <c r="A15" s="36" t="s">
        <v>92</v>
      </c>
      <c r="B15" s="37">
        <v>288</v>
      </c>
    </row>
    <row r="16" spans="1:4" x14ac:dyDescent="0.2">
      <c r="A16" s="36" t="s">
        <v>93</v>
      </c>
      <c r="B16" s="37">
        <v>1382.3999999999999</v>
      </c>
    </row>
    <row r="17" spans="1:4" x14ac:dyDescent="0.2">
      <c r="A17" s="36" t="s">
        <v>94</v>
      </c>
      <c r="B17" s="37">
        <v>144</v>
      </c>
      <c r="D17" s="37">
        <v>73.335999999999999</v>
      </c>
    </row>
    <row r="18" spans="1:4" x14ac:dyDescent="0.2">
      <c r="A18" s="36" t="s">
        <v>95</v>
      </c>
      <c r="B18" s="37">
        <v>364.8</v>
      </c>
      <c r="D18" s="37">
        <v>50</v>
      </c>
    </row>
    <row r="19" spans="1:4" x14ac:dyDescent="0.2">
      <c r="A19" s="36" t="s">
        <v>96</v>
      </c>
      <c r="B19" s="37">
        <v>1632</v>
      </c>
      <c r="D19" s="37">
        <v>20</v>
      </c>
    </row>
    <row r="20" spans="1:4" x14ac:dyDescent="0.2">
      <c r="A20" s="36" t="s">
        <v>97</v>
      </c>
      <c r="B20" s="37">
        <v>720</v>
      </c>
      <c r="D20" s="37"/>
    </row>
    <row r="21" spans="1:4" x14ac:dyDescent="0.2">
      <c r="A21" s="36" t="s">
        <v>98</v>
      </c>
      <c r="B21" s="37">
        <v>1545.6</v>
      </c>
      <c r="D21" s="37">
        <v>200</v>
      </c>
    </row>
    <row r="23" spans="1:4" x14ac:dyDescent="0.2">
      <c r="A23" s="36" t="s">
        <v>88</v>
      </c>
      <c r="B23" s="37">
        <v>8272</v>
      </c>
      <c r="C23" s="37">
        <v>0</v>
      </c>
      <c r="D23" s="37">
        <v>343.33600000000001</v>
      </c>
    </row>
    <row r="25" spans="1:4" x14ac:dyDescent="0.2">
      <c r="A25" s="36" t="s">
        <v>99</v>
      </c>
    </row>
    <row r="26" spans="1:4" x14ac:dyDescent="0.2">
      <c r="A26" s="36" t="s">
        <v>100</v>
      </c>
      <c r="D26" s="37">
        <v>365</v>
      </c>
    </row>
    <row r="27" spans="1:4" x14ac:dyDescent="0.2">
      <c r="A27" s="36" t="s">
        <v>101</v>
      </c>
      <c r="D27" s="37">
        <v>0</v>
      </c>
    </row>
    <row r="28" spans="1:4" x14ac:dyDescent="0.2">
      <c r="A28" s="36" t="s">
        <v>102</v>
      </c>
      <c r="D28" s="37">
        <v>0</v>
      </c>
    </row>
    <row r="29" spans="1:4" x14ac:dyDescent="0.2">
      <c r="A29" s="36" t="s">
        <v>103</v>
      </c>
      <c r="D29" s="37">
        <v>17500</v>
      </c>
    </row>
    <row r="31" spans="1:4" x14ac:dyDescent="0.2">
      <c r="A31" s="36" t="s">
        <v>104</v>
      </c>
      <c r="B31" s="37">
        <v>0</v>
      </c>
      <c r="C31" s="37">
        <v>0</v>
      </c>
      <c r="D31" s="37">
        <v>17865</v>
      </c>
    </row>
    <row r="32" spans="1:4" x14ac:dyDescent="0.2">
      <c r="C32" s="37"/>
      <c r="D32" s="37"/>
    </row>
    <row r="33" spans="1:4" x14ac:dyDescent="0.2">
      <c r="A33" s="36" t="s">
        <v>105</v>
      </c>
    </row>
    <row r="34" spans="1:4" x14ac:dyDescent="0.2">
      <c r="A34" s="36" t="s">
        <v>106</v>
      </c>
      <c r="D34" s="37">
        <v>0</v>
      </c>
    </row>
    <row r="35" spans="1:4" x14ac:dyDescent="0.2">
      <c r="A35" s="36" t="s">
        <v>107</v>
      </c>
      <c r="D35" s="37">
        <v>0</v>
      </c>
    </row>
    <row r="36" spans="1:4" x14ac:dyDescent="0.2">
      <c r="A36" s="36" t="s">
        <v>108</v>
      </c>
      <c r="D36" s="37">
        <v>0</v>
      </c>
    </row>
    <row r="37" spans="1:4" x14ac:dyDescent="0.2">
      <c r="A37" s="36" t="s">
        <v>109</v>
      </c>
      <c r="D37" s="37">
        <v>0</v>
      </c>
    </row>
    <row r="38" spans="1:4" x14ac:dyDescent="0.2">
      <c r="A38" s="36" t="s">
        <v>110</v>
      </c>
      <c r="D38" s="37">
        <v>0</v>
      </c>
    </row>
    <row r="39" spans="1:4" x14ac:dyDescent="0.2">
      <c r="A39" s="36" t="s">
        <v>111</v>
      </c>
      <c r="D39" s="37">
        <v>0</v>
      </c>
    </row>
    <row r="40" spans="1:4" x14ac:dyDescent="0.2">
      <c r="A40" s="36" t="s">
        <v>112</v>
      </c>
      <c r="D40" s="37">
        <v>0</v>
      </c>
    </row>
    <row r="41" spans="1:4" x14ac:dyDescent="0.2">
      <c r="A41" s="36" t="s">
        <v>113</v>
      </c>
      <c r="D41" s="37">
        <v>90000</v>
      </c>
    </row>
    <row r="42" spans="1:4" x14ac:dyDescent="0.2">
      <c r="A42" s="36" t="s">
        <v>114</v>
      </c>
      <c r="D42" s="37"/>
    </row>
    <row r="43" spans="1:4" x14ac:dyDescent="0.2">
      <c r="A43" s="36" t="s">
        <v>115</v>
      </c>
      <c r="D43" s="37">
        <v>0</v>
      </c>
    </row>
    <row r="44" spans="1:4" x14ac:dyDescent="0.2">
      <c r="A44" s="36" t="s">
        <v>116</v>
      </c>
      <c r="D44" s="37">
        <v>5400</v>
      </c>
    </row>
    <row r="46" spans="1:4" x14ac:dyDescent="0.2">
      <c r="A46" s="36" t="s">
        <v>104</v>
      </c>
      <c r="B46" s="37"/>
      <c r="C46" s="37"/>
      <c r="D46" s="37">
        <v>95400</v>
      </c>
    </row>
    <row r="48" spans="1:4" x14ac:dyDescent="0.2">
      <c r="A48" s="36" t="s">
        <v>117</v>
      </c>
    </row>
    <row r="49" spans="1:4" x14ac:dyDescent="0.2">
      <c r="A49" s="36" t="s">
        <v>118</v>
      </c>
      <c r="B49" s="37">
        <v>4320</v>
      </c>
      <c r="C49" s="37"/>
      <c r="D49" s="37">
        <v>0</v>
      </c>
    </row>
    <row r="50" spans="1:4" x14ac:dyDescent="0.2">
      <c r="A50" s="36" t="s">
        <v>119</v>
      </c>
      <c r="B50" s="37">
        <v>230.4</v>
      </c>
      <c r="C50" s="37"/>
      <c r="D50" s="37">
        <v>7250</v>
      </c>
    </row>
    <row r="51" spans="1:4" x14ac:dyDescent="0.2">
      <c r="A51" s="36" t="s">
        <v>120</v>
      </c>
      <c r="B51" s="37">
        <v>2211.84</v>
      </c>
      <c r="C51" s="37"/>
      <c r="D51" s="37">
        <v>4728.5</v>
      </c>
    </row>
    <row r="53" spans="1:4" x14ac:dyDescent="0.2">
      <c r="A53" s="36" t="s">
        <v>104</v>
      </c>
      <c r="B53" s="37">
        <v>6762.24</v>
      </c>
      <c r="C53" s="37">
        <v>0</v>
      </c>
      <c r="D53" s="37">
        <v>11978.5</v>
      </c>
    </row>
    <row r="55" spans="1:4" x14ac:dyDescent="0.2">
      <c r="A55" s="36" t="s">
        <v>121</v>
      </c>
    </row>
    <row r="56" spans="1:4" x14ac:dyDescent="0.2">
      <c r="A56" s="36" t="s">
        <v>122</v>
      </c>
      <c r="B56" s="37">
        <v>768</v>
      </c>
      <c r="C56" s="37"/>
      <c r="D56" s="37">
        <v>50</v>
      </c>
    </row>
    <row r="57" spans="1:4" x14ac:dyDescent="0.2">
      <c r="A57" s="36" t="s">
        <v>123</v>
      </c>
      <c r="B57" s="37">
        <v>630.72</v>
      </c>
      <c r="C57" s="37">
        <v>369.495</v>
      </c>
      <c r="D57" s="37">
        <v>292.5</v>
      </c>
    </row>
    <row r="58" spans="1:4" x14ac:dyDescent="0.2">
      <c r="A58" s="36" t="s">
        <v>124</v>
      </c>
      <c r="B58" s="37">
        <v>90</v>
      </c>
      <c r="C58" s="37"/>
      <c r="D58" s="37">
        <v>200</v>
      </c>
    </row>
    <row r="59" spans="1:4" x14ac:dyDescent="0.2">
      <c r="A59" s="36" t="s">
        <v>125</v>
      </c>
      <c r="B59" s="37">
        <v>614.4</v>
      </c>
      <c r="C59" s="37">
        <v>32283.949999999997</v>
      </c>
      <c r="D59" s="37">
        <v>85</v>
      </c>
    </row>
    <row r="60" spans="1:4" x14ac:dyDescent="0.2">
      <c r="A60" s="36" t="s">
        <v>126</v>
      </c>
      <c r="B60" s="37"/>
      <c r="C60" s="37">
        <v>1201.175</v>
      </c>
      <c r="D60" s="37"/>
    </row>
    <row r="61" spans="1:4" x14ac:dyDescent="0.2">
      <c r="A61" s="36" t="s">
        <v>127</v>
      </c>
      <c r="B61" s="37">
        <v>141.12</v>
      </c>
      <c r="C61" s="37"/>
      <c r="D61" s="37"/>
    </row>
    <row r="62" spans="1:4" x14ac:dyDescent="0.2">
      <c r="A62" s="36" t="s">
        <v>128</v>
      </c>
    </row>
    <row r="63" spans="1:4" x14ac:dyDescent="0.2">
      <c r="A63" s="36" t="s">
        <v>104</v>
      </c>
      <c r="B63" s="38">
        <v>2244.2399999999998</v>
      </c>
      <c r="C63" s="38">
        <v>33854.619999999995</v>
      </c>
      <c r="D63" s="38">
        <v>627.5</v>
      </c>
    </row>
    <row r="65" spans="1:4" x14ac:dyDescent="0.2">
      <c r="A65" s="36" t="s">
        <v>129</v>
      </c>
    </row>
    <row r="66" spans="1:4" x14ac:dyDescent="0.2">
      <c r="A66" s="36" t="s">
        <v>130</v>
      </c>
      <c r="B66" s="37">
        <v>172.8</v>
      </c>
      <c r="C66" s="37"/>
      <c r="D66" s="37"/>
    </row>
    <row r="67" spans="1:4" x14ac:dyDescent="0.2">
      <c r="A67" s="36" t="s">
        <v>131</v>
      </c>
      <c r="B67" s="37">
        <v>614.40000000000009</v>
      </c>
      <c r="C67" s="37"/>
      <c r="D67" s="37">
        <v>50</v>
      </c>
    </row>
    <row r="68" spans="1:4" x14ac:dyDescent="0.2">
      <c r="A68" s="36" t="s">
        <v>132</v>
      </c>
      <c r="B68" s="37">
        <v>575.23199999999997</v>
      </c>
      <c r="C68" s="37">
        <v>2697.279</v>
      </c>
      <c r="D68" s="37">
        <v>290</v>
      </c>
    </row>
    <row r="69" spans="1:4" x14ac:dyDescent="0.2">
      <c r="A69" s="36" t="s">
        <v>133</v>
      </c>
      <c r="B69" s="37">
        <v>0</v>
      </c>
      <c r="C69" s="37">
        <v>5273.9</v>
      </c>
      <c r="D69" s="37"/>
    </row>
    <row r="70" spans="1:4" x14ac:dyDescent="0.2">
      <c r="A70" s="36" t="s">
        <v>134</v>
      </c>
      <c r="B70" s="37">
        <v>322.56</v>
      </c>
      <c r="C70" s="37"/>
      <c r="D70" s="37"/>
    </row>
    <row r="71" spans="1:4" x14ac:dyDescent="0.2">
      <c r="A71" s="36" t="s">
        <v>135</v>
      </c>
      <c r="B71" s="37">
        <v>0</v>
      </c>
      <c r="C71" s="37">
        <v>1558.8249999999998</v>
      </c>
      <c r="D71" s="37"/>
    </row>
    <row r="72" spans="1:4" x14ac:dyDescent="0.2">
      <c r="A72" s="36" t="s">
        <v>136</v>
      </c>
      <c r="B72" s="37">
        <v>130.56</v>
      </c>
      <c r="C72" s="37"/>
      <c r="D72" s="37"/>
    </row>
    <row r="73" spans="1:4" x14ac:dyDescent="0.2">
      <c r="A73" s="36" t="s">
        <v>137</v>
      </c>
      <c r="B73" s="37">
        <v>754.94400000000007</v>
      </c>
      <c r="C73" s="37">
        <v>2451.0639999999999</v>
      </c>
      <c r="D73" s="37">
        <v>352</v>
      </c>
    </row>
    <row r="75" spans="1:4" x14ac:dyDescent="0.2">
      <c r="A75" s="36" t="s">
        <v>104</v>
      </c>
      <c r="B75" s="37">
        <v>2570.4960000000001</v>
      </c>
      <c r="C75" s="37">
        <v>11981.068000000001</v>
      </c>
      <c r="D75" s="37">
        <v>692</v>
      </c>
    </row>
    <row r="77" spans="1:4" x14ac:dyDescent="0.2">
      <c r="A77" s="36" t="s">
        <v>138</v>
      </c>
      <c r="B77" s="37">
        <v>22383.375999999997</v>
      </c>
      <c r="C77" s="37">
        <v>45835.687999999995</v>
      </c>
      <c r="D77" s="37">
        <v>127258.336</v>
      </c>
    </row>
    <row r="79" spans="1:4" x14ac:dyDescent="0.2">
      <c r="A79" s="36" t="s">
        <v>139</v>
      </c>
      <c r="D79" s="37">
        <v>195477.39999999997</v>
      </c>
    </row>
    <row r="83" spans="1:4" x14ac:dyDescent="0.2">
      <c r="A83" s="36" t="s">
        <v>140</v>
      </c>
    </row>
    <row r="84" spans="1:4" x14ac:dyDescent="0.2">
      <c r="A84" s="36" t="s">
        <v>141</v>
      </c>
      <c r="B84" s="37">
        <v>0</v>
      </c>
      <c r="C84" s="37"/>
      <c r="D84" s="37"/>
    </row>
    <row r="85" spans="1:4" x14ac:dyDescent="0.2">
      <c r="A85" s="36" t="s">
        <v>142</v>
      </c>
      <c r="B85" s="37">
        <v>4608</v>
      </c>
      <c r="C85" s="37"/>
    </row>
    <row r="86" spans="1:4" x14ac:dyDescent="0.2">
      <c r="A86" s="36" t="s">
        <v>143</v>
      </c>
      <c r="B86" s="37">
        <v>0</v>
      </c>
      <c r="C86" s="37"/>
      <c r="D86" s="37"/>
    </row>
    <row r="87" spans="1:4" x14ac:dyDescent="0.2">
      <c r="A87" s="36" t="s">
        <v>144</v>
      </c>
      <c r="B87" s="37">
        <v>2937.6</v>
      </c>
      <c r="C87" s="37"/>
      <c r="D87" s="37"/>
    </row>
    <row r="88" spans="1:4" x14ac:dyDescent="0.2">
      <c r="A88" s="36" t="s">
        <v>145</v>
      </c>
      <c r="B88" s="37">
        <v>0</v>
      </c>
      <c r="C88" s="37"/>
      <c r="D88" s="37"/>
    </row>
    <row r="89" spans="1:4" x14ac:dyDescent="0.2">
      <c r="A89" s="36" t="s">
        <v>146</v>
      </c>
      <c r="B89" s="37">
        <v>2764.8</v>
      </c>
      <c r="C89" s="37"/>
    </row>
    <row r="90" spans="1:4" x14ac:dyDescent="0.2">
      <c r="A90" s="36" t="s">
        <v>147</v>
      </c>
      <c r="B90" s="37">
        <v>0</v>
      </c>
      <c r="C90" s="37"/>
      <c r="D90" s="37">
        <v>0</v>
      </c>
    </row>
    <row r="91" spans="1:4" x14ac:dyDescent="0.2">
      <c r="A91" s="36" t="s">
        <v>148</v>
      </c>
      <c r="B91" s="37"/>
      <c r="C91" s="37"/>
      <c r="D91" s="37">
        <v>999.99999999999977</v>
      </c>
    </row>
    <row r="93" spans="1:4" x14ac:dyDescent="0.2">
      <c r="A93" s="36" t="s">
        <v>104</v>
      </c>
      <c r="B93" s="37">
        <v>10310.400000000001</v>
      </c>
      <c r="C93" s="37">
        <v>0</v>
      </c>
      <c r="D93" s="37">
        <v>999.99999999999977</v>
      </c>
    </row>
    <row r="95" spans="1:4" x14ac:dyDescent="0.2">
      <c r="A95" s="36" t="s">
        <v>149</v>
      </c>
    </row>
    <row r="96" spans="1:4" x14ac:dyDescent="0.2">
      <c r="A96" s="36" t="s">
        <v>150</v>
      </c>
      <c r="B96" s="37">
        <v>288</v>
      </c>
      <c r="C96" s="37"/>
      <c r="D96" s="37"/>
    </row>
    <row r="97" spans="1:4" x14ac:dyDescent="0.2">
      <c r="A97" s="36" t="s">
        <v>151</v>
      </c>
      <c r="B97" s="37">
        <v>96</v>
      </c>
      <c r="C97" s="37"/>
      <c r="D97" s="37"/>
    </row>
    <row r="98" spans="1:4" x14ac:dyDescent="0.2">
      <c r="A98" s="36" t="s">
        <v>152</v>
      </c>
      <c r="B98" s="37">
        <v>48</v>
      </c>
      <c r="C98" s="37"/>
      <c r="D98" s="37"/>
    </row>
    <row r="99" spans="1:4" x14ac:dyDescent="0.2">
      <c r="A99" s="36" t="s">
        <v>153</v>
      </c>
      <c r="B99" s="37">
        <v>288</v>
      </c>
      <c r="C99" s="37">
        <v>32283.949999999997</v>
      </c>
      <c r="D99" s="37"/>
    </row>
    <row r="100" spans="1:4" x14ac:dyDescent="0.2">
      <c r="A100" s="36" t="s">
        <v>154</v>
      </c>
      <c r="B100" s="37">
        <v>34.024608000000001</v>
      </c>
      <c r="C100" s="37">
        <v>171.18630899999999</v>
      </c>
      <c r="D100" s="37"/>
    </row>
    <row r="101" spans="1:4" x14ac:dyDescent="0.2">
      <c r="A101" s="36" t="s">
        <v>155</v>
      </c>
      <c r="B101" s="37">
        <v>35.122176000000003</v>
      </c>
      <c r="C101" s="37">
        <v>210.67398550000001</v>
      </c>
      <c r="D101" s="37"/>
    </row>
    <row r="102" spans="1:4" x14ac:dyDescent="0.2">
      <c r="A102" s="36" t="s">
        <v>156</v>
      </c>
      <c r="B102" s="37"/>
      <c r="C102" s="37">
        <v>818.74249999999984</v>
      </c>
      <c r="D102" s="37"/>
    </row>
    <row r="103" spans="1:4" x14ac:dyDescent="0.2">
      <c r="A103" s="36" t="s">
        <v>157</v>
      </c>
      <c r="B103" s="37">
        <v>96</v>
      </c>
      <c r="C103" s="37"/>
      <c r="D103" s="37"/>
    </row>
    <row r="105" spans="1:4" x14ac:dyDescent="0.2">
      <c r="A105" s="36" t="s">
        <v>104</v>
      </c>
      <c r="B105" s="37">
        <v>885.14678399999991</v>
      </c>
      <c r="C105" s="37">
        <v>33484.552794499999</v>
      </c>
      <c r="D105" s="37">
        <v>0</v>
      </c>
    </row>
    <row r="107" spans="1:4" x14ac:dyDescent="0.2">
      <c r="A107" s="36" t="s">
        <v>158</v>
      </c>
    </row>
    <row r="108" spans="1:4" x14ac:dyDescent="0.2">
      <c r="A108" s="36" t="s">
        <v>150</v>
      </c>
      <c r="B108" s="37">
        <v>0</v>
      </c>
      <c r="C108" s="37"/>
      <c r="D108" s="37"/>
    </row>
    <row r="109" spans="1:4" x14ac:dyDescent="0.2">
      <c r="A109" s="36" t="s">
        <v>151</v>
      </c>
      <c r="B109" s="37">
        <v>0</v>
      </c>
      <c r="C109" s="37"/>
      <c r="D109" s="37"/>
    </row>
    <row r="110" spans="1:4" x14ac:dyDescent="0.2">
      <c r="A110" s="36" t="s">
        <v>159</v>
      </c>
      <c r="B110" s="37">
        <v>0</v>
      </c>
      <c r="C110" s="37"/>
      <c r="D110" s="37"/>
    </row>
    <row r="111" spans="1:4" x14ac:dyDescent="0.2">
      <c r="A111" s="36" t="s">
        <v>160</v>
      </c>
      <c r="B111" s="37">
        <v>0</v>
      </c>
      <c r="C111" s="37">
        <v>0</v>
      </c>
      <c r="D111" s="37"/>
    </row>
    <row r="112" spans="1:4" x14ac:dyDescent="0.2">
      <c r="A112" s="36" t="s">
        <v>161</v>
      </c>
      <c r="B112" s="37">
        <v>0</v>
      </c>
      <c r="C112" s="37">
        <v>0</v>
      </c>
      <c r="D112" s="37"/>
    </row>
    <row r="113" spans="1:4" x14ac:dyDescent="0.2">
      <c r="A113" s="36" t="s">
        <v>162</v>
      </c>
      <c r="B113" s="37"/>
      <c r="C113" s="37">
        <v>0</v>
      </c>
      <c r="D113" s="37">
        <v>0</v>
      </c>
    </row>
    <row r="114" spans="1:4" x14ac:dyDescent="0.2">
      <c r="A114" s="36" t="s">
        <v>163</v>
      </c>
      <c r="B114" s="37">
        <v>0</v>
      </c>
      <c r="C114" s="37"/>
      <c r="D114" s="37"/>
    </row>
    <row r="116" spans="1:4" x14ac:dyDescent="0.2">
      <c r="A116" s="36" t="s">
        <v>104</v>
      </c>
      <c r="B116" s="37">
        <v>0</v>
      </c>
      <c r="C116" s="37">
        <v>0</v>
      </c>
      <c r="D116" s="37">
        <v>0</v>
      </c>
    </row>
    <row r="117" spans="1:4" x14ac:dyDescent="0.2">
      <c r="B117" s="37"/>
      <c r="C117" s="37"/>
      <c r="D117" s="37"/>
    </row>
    <row r="118" spans="1:4" x14ac:dyDescent="0.2">
      <c r="A118" s="36" t="s">
        <v>164</v>
      </c>
      <c r="B118" s="37"/>
      <c r="C118" s="37"/>
      <c r="D118" s="37"/>
    </row>
    <row r="119" spans="1:4" x14ac:dyDescent="0.2">
      <c r="A119" s="36" t="s">
        <v>150</v>
      </c>
      <c r="B119" s="37">
        <v>0</v>
      </c>
      <c r="C119" s="37"/>
      <c r="D119" s="37"/>
    </row>
    <row r="120" spans="1:4" x14ac:dyDescent="0.2">
      <c r="A120" s="36" t="s">
        <v>151</v>
      </c>
      <c r="B120" s="37">
        <v>0</v>
      </c>
      <c r="C120" s="37"/>
      <c r="D120" s="37"/>
    </row>
    <row r="121" spans="1:4" x14ac:dyDescent="0.2">
      <c r="A121" s="36" t="s">
        <v>159</v>
      </c>
      <c r="B121" s="37">
        <v>0</v>
      </c>
      <c r="C121" s="37"/>
      <c r="D121" s="37"/>
    </row>
    <row r="122" spans="1:4" x14ac:dyDescent="0.2">
      <c r="A122" s="36" t="s">
        <v>165</v>
      </c>
      <c r="B122" s="37">
        <v>0</v>
      </c>
      <c r="C122" s="37">
        <v>0</v>
      </c>
      <c r="D122" s="37"/>
    </row>
    <row r="123" spans="1:4" x14ac:dyDescent="0.2">
      <c r="A123" s="36" t="s">
        <v>162</v>
      </c>
      <c r="B123" s="37"/>
      <c r="C123" s="37">
        <v>0</v>
      </c>
      <c r="D123" s="37">
        <v>0</v>
      </c>
    </row>
    <row r="124" spans="1:4" x14ac:dyDescent="0.2">
      <c r="A124" s="36" t="s">
        <v>163</v>
      </c>
      <c r="B124" s="37">
        <v>0</v>
      </c>
      <c r="C124" s="37"/>
      <c r="D124" s="37"/>
    </row>
    <row r="125" spans="1:4" x14ac:dyDescent="0.2">
      <c r="B125" s="37"/>
      <c r="C125" s="37"/>
      <c r="D125" s="37"/>
    </row>
    <row r="126" spans="1:4" x14ac:dyDescent="0.2">
      <c r="A126" s="36" t="s">
        <v>104</v>
      </c>
      <c r="B126" s="37">
        <v>0</v>
      </c>
      <c r="C126" s="37">
        <v>0</v>
      </c>
      <c r="D126" s="37">
        <v>0</v>
      </c>
    </row>
    <row r="128" spans="1:4" x14ac:dyDescent="0.2">
      <c r="A128" s="36" t="s">
        <v>166</v>
      </c>
    </row>
    <row r="129" spans="1:4" x14ac:dyDescent="0.2">
      <c r="A129" s="36" t="s">
        <v>152</v>
      </c>
      <c r="B129" s="37">
        <v>144</v>
      </c>
      <c r="C129" s="37"/>
      <c r="D129" s="37"/>
    </row>
    <row r="130" spans="1:4" x14ac:dyDescent="0.2">
      <c r="A130" s="36" t="s">
        <v>167</v>
      </c>
      <c r="B130" s="37">
        <v>172.8</v>
      </c>
      <c r="C130" s="37"/>
      <c r="D130" s="37">
        <v>15750</v>
      </c>
    </row>
    <row r="131" spans="1:4" x14ac:dyDescent="0.2">
      <c r="A131" s="36" t="s">
        <v>154</v>
      </c>
      <c r="B131" s="37">
        <v>164.16000000000003</v>
      </c>
      <c r="C131" s="37"/>
      <c r="D131" s="37"/>
    </row>
    <row r="132" spans="1:4" x14ac:dyDescent="0.2">
      <c r="A132" s="36" t="s">
        <v>155</v>
      </c>
      <c r="B132" s="37">
        <v>95.04</v>
      </c>
      <c r="C132" s="37"/>
      <c r="D132" s="37">
        <v>93.75</v>
      </c>
    </row>
    <row r="133" spans="1:4" x14ac:dyDescent="0.2">
      <c r="A133" s="36" t="s">
        <v>168</v>
      </c>
      <c r="B133" s="37">
        <v>587.52</v>
      </c>
      <c r="C133" s="37"/>
      <c r="D133" s="37">
        <v>37.5</v>
      </c>
    </row>
    <row r="135" spans="1:4" x14ac:dyDescent="0.2">
      <c r="A135" s="36" t="s">
        <v>104</v>
      </c>
      <c r="B135" s="37">
        <v>1163.52</v>
      </c>
      <c r="C135" s="37">
        <v>0</v>
      </c>
      <c r="D135" s="37">
        <v>15881.25</v>
      </c>
    </row>
    <row r="137" spans="1:4" x14ac:dyDescent="0.2">
      <c r="A137" s="36" t="s">
        <v>169</v>
      </c>
    </row>
    <row r="138" spans="1:4" x14ac:dyDescent="0.2">
      <c r="A138" s="36" t="s">
        <v>170</v>
      </c>
      <c r="B138" s="37">
        <v>576</v>
      </c>
      <c r="C138" s="37"/>
      <c r="D138" s="37"/>
    </row>
    <row r="139" spans="1:4" x14ac:dyDescent="0.2">
      <c r="A139" s="36" t="s">
        <v>171</v>
      </c>
      <c r="B139" s="37">
        <v>489.6</v>
      </c>
      <c r="C139" s="37"/>
      <c r="D139" s="37"/>
    </row>
    <row r="140" spans="1:4" x14ac:dyDescent="0.2">
      <c r="A140" s="36" t="s">
        <v>172</v>
      </c>
      <c r="B140" s="37">
        <v>187.2</v>
      </c>
      <c r="C140" s="37"/>
      <c r="D140" s="37">
        <v>160</v>
      </c>
    </row>
    <row r="142" spans="1:4" x14ac:dyDescent="0.2">
      <c r="A142" s="36" t="s">
        <v>104</v>
      </c>
      <c r="B142" s="37">
        <v>1252.8</v>
      </c>
      <c r="C142" s="37">
        <v>0</v>
      </c>
      <c r="D142" s="37">
        <v>160</v>
      </c>
    </row>
    <row r="144" spans="1:4" x14ac:dyDescent="0.2">
      <c r="A144" s="36" t="s">
        <v>173</v>
      </c>
    </row>
    <row r="145" spans="1:4" x14ac:dyDescent="0.2">
      <c r="A145" s="36" t="s">
        <v>174</v>
      </c>
      <c r="B145" s="37">
        <v>994.31999999999994</v>
      </c>
      <c r="C145" s="37"/>
      <c r="D145" s="37">
        <v>230</v>
      </c>
    </row>
    <row r="146" spans="1:4" x14ac:dyDescent="0.2">
      <c r="A146" s="36" t="s">
        <v>175</v>
      </c>
      <c r="B146" s="37">
        <v>503.99999999999994</v>
      </c>
      <c r="C146" s="37"/>
      <c r="D146" s="37">
        <v>50</v>
      </c>
    </row>
    <row r="147" spans="1:4" x14ac:dyDescent="0.2">
      <c r="A147" s="36" t="s">
        <v>176</v>
      </c>
      <c r="B147" s="37">
        <v>184.31999999999996</v>
      </c>
      <c r="C147" s="37"/>
      <c r="D147" s="37">
        <v>2700</v>
      </c>
    </row>
    <row r="148" spans="1:4" x14ac:dyDescent="0.2">
      <c r="A148" s="36" t="s">
        <v>177</v>
      </c>
      <c r="B148" s="37">
        <v>391.67999999999995</v>
      </c>
      <c r="C148" s="37"/>
      <c r="D148" s="37"/>
    </row>
    <row r="149" spans="1:4" x14ac:dyDescent="0.2">
      <c r="B149" s="37"/>
      <c r="C149" s="37"/>
      <c r="D149" s="37"/>
    </row>
    <row r="150" spans="1:4" x14ac:dyDescent="0.2">
      <c r="A150" s="36" t="s">
        <v>104</v>
      </c>
      <c r="B150" s="37">
        <v>2074.3199999999997</v>
      </c>
      <c r="C150" s="37">
        <v>0</v>
      </c>
      <c r="D150" s="37">
        <v>2980</v>
      </c>
    </row>
    <row r="151" spans="1:4" x14ac:dyDescent="0.2">
      <c r="B151" s="37"/>
      <c r="C151" s="37"/>
      <c r="D151" s="37"/>
    </row>
    <row r="152" spans="1:4" x14ac:dyDescent="0.2">
      <c r="A152" s="36" t="s">
        <v>178</v>
      </c>
      <c r="B152" s="37">
        <v>3187.3927423999994</v>
      </c>
      <c r="C152" s="37">
        <v>6527.0019711999994</v>
      </c>
      <c r="D152" s="37">
        <v>18121.5870464</v>
      </c>
    </row>
    <row r="154" spans="1:4" x14ac:dyDescent="0.2">
      <c r="A154" s="36" t="s">
        <v>179</v>
      </c>
      <c r="B154" s="37">
        <v>18873.579526400001</v>
      </c>
      <c r="C154" s="37">
        <v>40011.554765699999</v>
      </c>
      <c r="D154" s="37">
        <v>38142.837046400004</v>
      </c>
    </row>
    <row r="156" spans="1:4" x14ac:dyDescent="0.2">
      <c r="A156" s="36" t="s">
        <v>180</v>
      </c>
      <c r="C156" s="37"/>
      <c r="D156" s="37">
        <v>97027.971338500007</v>
      </c>
    </row>
    <row r="161" spans="1:5" x14ac:dyDescent="0.2">
      <c r="A161" s="36" t="s">
        <v>181</v>
      </c>
    </row>
    <row r="163" spans="1:5" x14ac:dyDescent="0.2">
      <c r="A163" s="36" t="s">
        <v>49</v>
      </c>
      <c r="B163" s="36" t="s">
        <v>50</v>
      </c>
      <c r="C163" s="36" t="s">
        <v>51</v>
      </c>
      <c r="D163" s="36" t="s">
        <v>52</v>
      </c>
      <c r="E163" s="36" t="s">
        <v>1</v>
      </c>
    </row>
    <row r="164" spans="1:5" x14ac:dyDescent="0.2">
      <c r="A164" s="36" t="s">
        <v>53</v>
      </c>
      <c r="B164" s="37">
        <v>2534.4</v>
      </c>
      <c r="C164" s="37">
        <v>0</v>
      </c>
      <c r="D164" s="37">
        <v>352</v>
      </c>
      <c r="E164" s="37">
        <v>2886.4</v>
      </c>
    </row>
    <row r="165" spans="1:5" x14ac:dyDescent="0.2">
      <c r="A165" s="36" t="s">
        <v>54</v>
      </c>
      <c r="B165" s="37">
        <v>8272</v>
      </c>
      <c r="C165" s="37">
        <v>0</v>
      </c>
      <c r="D165" s="37">
        <v>343.33600000000001</v>
      </c>
      <c r="E165" s="37">
        <v>8615.3359999999993</v>
      </c>
    </row>
    <row r="166" spans="1:5" x14ac:dyDescent="0.2">
      <c r="A166" s="36" t="s">
        <v>55</v>
      </c>
      <c r="B166" s="37">
        <v>0</v>
      </c>
      <c r="C166" s="37">
        <v>0</v>
      </c>
      <c r="D166" s="37">
        <v>17865</v>
      </c>
      <c r="E166" s="37">
        <v>17865</v>
      </c>
    </row>
    <row r="167" spans="1:5" x14ac:dyDescent="0.2">
      <c r="A167" s="36" t="s">
        <v>56</v>
      </c>
      <c r="B167" s="37">
        <v>0</v>
      </c>
      <c r="C167" s="37">
        <v>0</v>
      </c>
      <c r="D167" s="37">
        <v>95400</v>
      </c>
      <c r="E167" s="37">
        <v>95400</v>
      </c>
    </row>
    <row r="168" spans="1:5" x14ac:dyDescent="0.2">
      <c r="A168" s="36" t="s">
        <v>57</v>
      </c>
      <c r="B168" s="37">
        <v>6762.24</v>
      </c>
      <c r="C168" s="37">
        <v>0</v>
      </c>
      <c r="D168" s="37">
        <v>11978.5</v>
      </c>
      <c r="E168" s="37">
        <v>18740.739999999998</v>
      </c>
    </row>
    <row r="169" spans="1:5" x14ac:dyDescent="0.2">
      <c r="A169" s="36" t="s">
        <v>58</v>
      </c>
      <c r="B169" s="37">
        <v>2244.2399999999998</v>
      </c>
      <c r="C169" s="37">
        <v>33854.619999999995</v>
      </c>
      <c r="D169" s="37">
        <v>627.5</v>
      </c>
      <c r="E169" s="37">
        <v>36726.359999999993</v>
      </c>
    </row>
    <row r="170" spans="1:5" x14ac:dyDescent="0.2">
      <c r="A170" s="36" t="s">
        <v>59</v>
      </c>
      <c r="B170" s="37">
        <v>2570.4960000000001</v>
      </c>
      <c r="C170" s="37">
        <v>11981.068000000001</v>
      </c>
      <c r="D170" s="37">
        <v>692</v>
      </c>
      <c r="E170" s="37">
        <v>15243.564000000002</v>
      </c>
    </row>
    <row r="171" spans="1:5" x14ac:dyDescent="0.2">
      <c r="B171" s="37">
        <v>22383.375999999997</v>
      </c>
      <c r="C171" s="37">
        <v>45835.687999999995</v>
      </c>
      <c r="D171" s="37">
        <v>127258.336</v>
      </c>
      <c r="E171" s="37">
        <v>195477.39999999997</v>
      </c>
    </row>
    <row r="173" spans="1:5" x14ac:dyDescent="0.2">
      <c r="A173" s="36" t="s">
        <v>62</v>
      </c>
    </row>
    <row r="174" spans="1:5" x14ac:dyDescent="0.2">
      <c r="A174" s="36" t="s">
        <v>64</v>
      </c>
      <c r="B174" s="37">
        <v>10310.400000000001</v>
      </c>
      <c r="C174" s="37">
        <v>0</v>
      </c>
      <c r="D174" s="37">
        <v>999.99999999999977</v>
      </c>
      <c r="E174" s="37">
        <v>11310.400000000001</v>
      </c>
    </row>
    <row r="175" spans="1:5" x14ac:dyDescent="0.2">
      <c r="A175" s="36" t="s">
        <v>65</v>
      </c>
      <c r="B175" s="37">
        <v>885.14678399999991</v>
      </c>
      <c r="C175" s="37">
        <v>33484.552794499999</v>
      </c>
      <c r="D175" s="37">
        <v>0</v>
      </c>
      <c r="E175" s="37">
        <v>34369.699578499996</v>
      </c>
    </row>
    <row r="176" spans="1:5" x14ac:dyDescent="0.2">
      <c r="A176" s="36" t="s">
        <v>66</v>
      </c>
      <c r="B176" s="37">
        <v>0</v>
      </c>
      <c r="C176" s="37">
        <v>0</v>
      </c>
      <c r="D176" s="37">
        <v>0</v>
      </c>
      <c r="E176" s="37">
        <v>0</v>
      </c>
    </row>
    <row r="177" spans="1:5" x14ac:dyDescent="0.2">
      <c r="A177" s="36" t="s">
        <v>67</v>
      </c>
      <c r="B177" s="37">
        <v>0</v>
      </c>
      <c r="C177" s="37">
        <v>0</v>
      </c>
      <c r="D177" s="37">
        <v>0</v>
      </c>
      <c r="E177" s="37">
        <v>0</v>
      </c>
    </row>
    <row r="178" spans="1:5" x14ac:dyDescent="0.2">
      <c r="A178" s="36" t="s">
        <v>68</v>
      </c>
      <c r="B178" s="37">
        <v>1163.52</v>
      </c>
      <c r="C178" s="37">
        <v>0</v>
      </c>
      <c r="D178" s="37">
        <v>15881.25</v>
      </c>
      <c r="E178" s="37">
        <v>17044.77</v>
      </c>
    </row>
    <row r="179" spans="1:5" x14ac:dyDescent="0.2">
      <c r="A179" s="36" t="s">
        <v>69</v>
      </c>
      <c r="B179" s="37">
        <v>1252.8</v>
      </c>
      <c r="C179" s="37">
        <v>0</v>
      </c>
      <c r="D179" s="37">
        <v>160</v>
      </c>
      <c r="E179" s="37">
        <v>1412.8</v>
      </c>
    </row>
    <row r="180" spans="1:5" x14ac:dyDescent="0.2">
      <c r="A180" s="36" t="s">
        <v>70</v>
      </c>
      <c r="B180" s="37">
        <v>2074.3199999999997</v>
      </c>
      <c r="C180" s="37">
        <v>0</v>
      </c>
      <c r="D180" s="37">
        <v>2980</v>
      </c>
      <c r="E180" s="37">
        <v>5054.32</v>
      </c>
    </row>
    <row r="181" spans="1:5" x14ac:dyDescent="0.2">
      <c r="A181" s="36" t="s">
        <v>71</v>
      </c>
      <c r="B181" s="37">
        <v>3187.3927423999994</v>
      </c>
      <c r="C181" s="37">
        <v>6527.0019711999994</v>
      </c>
      <c r="D181" s="37">
        <v>18121.5870464</v>
      </c>
      <c r="E181" s="37">
        <v>27835.981759999999</v>
      </c>
    </row>
    <row r="183" spans="1:5" x14ac:dyDescent="0.2">
      <c r="A183" s="36" t="s">
        <v>72</v>
      </c>
      <c r="B183" s="37">
        <v>15686.186784000001</v>
      </c>
      <c r="C183" s="37">
        <v>33484.552794499999</v>
      </c>
      <c r="D183" s="37">
        <v>20021.25</v>
      </c>
      <c r="E183" s="37">
        <v>69191.989578500012</v>
      </c>
    </row>
    <row r="184" spans="1:5" x14ac:dyDescent="0.2">
      <c r="A184" s="36" t="s">
        <v>73</v>
      </c>
      <c r="B184" s="37">
        <v>18873.579526400001</v>
      </c>
      <c r="C184" s="37">
        <v>40011.554765699999</v>
      </c>
      <c r="D184" s="37">
        <v>38142.837046400004</v>
      </c>
      <c r="E184" s="37">
        <v>97027.971338500007</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sheetPr>
  <dimension ref="A1:F186"/>
  <sheetViews>
    <sheetView topLeftCell="A165" workbookViewId="0">
      <selection activeCell="I65" sqref="I65"/>
    </sheetView>
  </sheetViews>
  <sheetFormatPr defaultColWidth="9.140625" defaultRowHeight="12.75" x14ac:dyDescent="0.2"/>
  <cols>
    <col min="1" max="1" width="39" style="36" bestFit="1" customWidth="1"/>
    <col min="2" max="3" width="6.5703125" style="36" bestFit="1" customWidth="1"/>
    <col min="4" max="5" width="7.5703125" style="36" bestFit="1" customWidth="1"/>
    <col min="6" max="16384" width="9.140625" style="36"/>
  </cols>
  <sheetData>
    <row r="1" spans="1:4" x14ac:dyDescent="0.2">
      <c r="B1" s="36" t="s">
        <v>50</v>
      </c>
      <c r="C1" s="36" t="s">
        <v>51</v>
      </c>
      <c r="D1" s="36" t="s">
        <v>80</v>
      </c>
    </row>
    <row r="2" spans="1:4" x14ac:dyDescent="0.2">
      <c r="A2" s="36" t="s">
        <v>81</v>
      </c>
    </row>
    <row r="3" spans="1:4" x14ac:dyDescent="0.2">
      <c r="A3" s="36" t="s">
        <v>82</v>
      </c>
      <c r="B3" s="37">
        <v>230.40000000000003</v>
      </c>
      <c r="C3" s="37"/>
      <c r="D3" s="37"/>
    </row>
    <row r="4" spans="1:4" x14ac:dyDescent="0.2">
      <c r="A4" s="36" t="s">
        <v>83</v>
      </c>
      <c r="B4" s="37">
        <v>441.6</v>
      </c>
      <c r="C4" s="37"/>
      <c r="D4" s="37">
        <v>284</v>
      </c>
    </row>
    <row r="5" spans="1:4" x14ac:dyDescent="0.2">
      <c r="A5" s="36" t="s">
        <v>84</v>
      </c>
      <c r="B5" s="37">
        <v>240</v>
      </c>
      <c r="C5" s="37"/>
      <c r="D5" s="37"/>
    </row>
    <row r="6" spans="1:4" x14ac:dyDescent="0.2">
      <c r="A6" s="36" t="s">
        <v>85</v>
      </c>
      <c r="B6" s="37">
        <v>278.39999999999998</v>
      </c>
      <c r="C6" s="37"/>
      <c r="D6" s="37">
        <v>68</v>
      </c>
    </row>
    <row r="7" spans="1:4" x14ac:dyDescent="0.2">
      <c r="A7" s="36" t="s">
        <v>86</v>
      </c>
      <c r="B7" s="37">
        <v>576</v>
      </c>
      <c r="C7" s="37"/>
      <c r="D7" s="37"/>
    </row>
    <row r="8" spans="1:4" x14ac:dyDescent="0.2">
      <c r="A8" s="36" t="s">
        <v>87</v>
      </c>
      <c r="B8" s="37">
        <v>768</v>
      </c>
      <c r="C8" s="37"/>
      <c r="D8" s="37"/>
    </row>
    <row r="10" spans="1:4" x14ac:dyDescent="0.2">
      <c r="A10" s="36" t="s">
        <v>88</v>
      </c>
      <c r="B10" s="37">
        <v>2534.4</v>
      </c>
      <c r="C10" s="37">
        <v>0</v>
      </c>
      <c r="D10" s="37">
        <v>352</v>
      </c>
    </row>
    <row r="12" spans="1:4" x14ac:dyDescent="0.2">
      <c r="A12" s="36" t="s">
        <v>89</v>
      </c>
    </row>
    <row r="13" spans="1:4" x14ac:dyDescent="0.2">
      <c r="A13" s="36" t="s">
        <v>90</v>
      </c>
      <c r="B13" s="37">
        <v>288</v>
      </c>
    </row>
    <row r="14" spans="1:4" x14ac:dyDescent="0.2">
      <c r="A14" s="36" t="s">
        <v>91</v>
      </c>
      <c r="B14" s="37">
        <v>1907.2</v>
      </c>
    </row>
    <row r="15" spans="1:4" x14ac:dyDescent="0.2">
      <c r="A15" s="36" t="s">
        <v>92</v>
      </c>
      <c r="B15" s="37">
        <v>288</v>
      </c>
    </row>
    <row r="16" spans="1:4" x14ac:dyDescent="0.2">
      <c r="A16" s="36" t="s">
        <v>93</v>
      </c>
      <c r="B16" s="37">
        <v>1382.3999999999999</v>
      </c>
    </row>
    <row r="17" spans="1:4" x14ac:dyDescent="0.2">
      <c r="A17" s="36" t="s">
        <v>94</v>
      </c>
      <c r="B17" s="37">
        <v>144</v>
      </c>
      <c r="D17" s="37">
        <v>73.335999999999999</v>
      </c>
    </row>
    <row r="18" spans="1:4" x14ac:dyDescent="0.2">
      <c r="A18" s="36" t="s">
        <v>95</v>
      </c>
      <c r="B18" s="37">
        <v>364.8</v>
      </c>
      <c r="D18" s="37">
        <v>50</v>
      </c>
    </row>
    <row r="19" spans="1:4" x14ac:dyDescent="0.2">
      <c r="A19" s="36" t="s">
        <v>96</v>
      </c>
      <c r="B19" s="37">
        <v>1632</v>
      </c>
      <c r="D19" s="37">
        <v>20</v>
      </c>
    </row>
    <row r="20" spans="1:4" x14ac:dyDescent="0.2">
      <c r="A20" s="36" t="s">
        <v>97</v>
      </c>
      <c r="B20" s="37">
        <v>720</v>
      </c>
      <c r="D20" s="37"/>
    </row>
    <row r="21" spans="1:4" x14ac:dyDescent="0.2">
      <c r="A21" s="36" t="s">
        <v>98</v>
      </c>
      <c r="B21" s="37">
        <v>1545.6</v>
      </c>
      <c r="D21" s="37">
        <v>200</v>
      </c>
    </row>
    <row r="23" spans="1:4" x14ac:dyDescent="0.2">
      <c r="A23" s="36" t="s">
        <v>88</v>
      </c>
      <c r="B23" s="37">
        <v>8272</v>
      </c>
      <c r="C23" s="37">
        <v>0</v>
      </c>
      <c r="D23" s="37">
        <v>343.33600000000001</v>
      </c>
    </row>
    <row r="25" spans="1:4" x14ac:dyDescent="0.2">
      <c r="A25" s="36" t="s">
        <v>99</v>
      </c>
    </row>
    <row r="26" spans="1:4" x14ac:dyDescent="0.2">
      <c r="A26" s="36" t="s">
        <v>100</v>
      </c>
      <c r="D26" s="37">
        <v>365</v>
      </c>
    </row>
    <row r="27" spans="1:4" x14ac:dyDescent="0.2">
      <c r="A27" s="36" t="s">
        <v>101</v>
      </c>
      <c r="D27" s="37">
        <v>0</v>
      </c>
    </row>
    <row r="28" spans="1:4" x14ac:dyDescent="0.2">
      <c r="A28" s="36" t="s">
        <v>102</v>
      </c>
      <c r="D28" s="37">
        <v>0</v>
      </c>
    </row>
    <row r="29" spans="1:4" x14ac:dyDescent="0.2">
      <c r="A29" s="36" t="s">
        <v>103</v>
      </c>
      <c r="D29" s="37">
        <v>17500</v>
      </c>
    </row>
    <row r="31" spans="1:4" x14ac:dyDescent="0.2">
      <c r="A31" s="36" t="s">
        <v>104</v>
      </c>
      <c r="B31" s="37">
        <v>0</v>
      </c>
      <c r="C31" s="37">
        <v>0</v>
      </c>
      <c r="D31" s="37">
        <v>17865</v>
      </c>
    </row>
    <row r="32" spans="1:4" x14ac:dyDescent="0.2">
      <c r="C32" s="37"/>
      <c r="D32" s="37"/>
    </row>
    <row r="33" spans="1:4" x14ac:dyDescent="0.2">
      <c r="A33" s="36" t="s">
        <v>105</v>
      </c>
    </row>
    <row r="34" spans="1:4" x14ac:dyDescent="0.2">
      <c r="A34" s="36" t="s">
        <v>106</v>
      </c>
      <c r="D34" s="37">
        <v>0</v>
      </c>
    </row>
    <row r="35" spans="1:4" x14ac:dyDescent="0.2">
      <c r="A35" s="36" t="s">
        <v>107</v>
      </c>
      <c r="D35" s="37">
        <v>0</v>
      </c>
    </row>
    <row r="36" spans="1:4" x14ac:dyDescent="0.2">
      <c r="A36" s="36" t="s">
        <v>108</v>
      </c>
      <c r="D36" s="37">
        <v>12390</v>
      </c>
    </row>
    <row r="37" spans="1:4" x14ac:dyDescent="0.2">
      <c r="A37" s="36" t="s">
        <v>109</v>
      </c>
      <c r="D37" s="37">
        <v>21000</v>
      </c>
    </row>
    <row r="38" spans="1:4" x14ac:dyDescent="0.2">
      <c r="A38" s="36" t="s">
        <v>110</v>
      </c>
      <c r="D38" s="37">
        <v>6800</v>
      </c>
    </row>
    <row r="39" spans="1:4" x14ac:dyDescent="0.2">
      <c r="A39" s="36" t="s">
        <v>111</v>
      </c>
      <c r="D39" s="37">
        <v>2400</v>
      </c>
    </row>
    <row r="40" spans="1:4" x14ac:dyDescent="0.2">
      <c r="A40" s="36" t="s">
        <v>112</v>
      </c>
      <c r="D40" s="37">
        <v>0</v>
      </c>
    </row>
    <row r="41" spans="1:4" x14ac:dyDescent="0.2">
      <c r="A41" s="36" t="s">
        <v>113</v>
      </c>
      <c r="D41" s="37">
        <v>0</v>
      </c>
    </row>
    <row r="42" spans="1:4" x14ac:dyDescent="0.2">
      <c r="A42" s="36" t="s">
        <v>114</v>
      </c>
      <c r="D42" s="37"/>
    </row>
    <row r="43" spans="1:4" x14ac:dyDescent="0.2">
      <c r="A43" s="36" t="s">
        <v>115</v>
      </c>
      <c r="D43" s="37">
        <v>0</v>
      </c>
    </row>
    <row r="44" spans="1:4" x14ac:dyDescent="0.2">
      <c r="A44" s="36" t="s">
        <v>116</v>
      </c>
      <c r="D44" s="37">
        <v>2555.4</v>
      </c>
    </row>
    <row r="46" spans="1:4" x14ac:dyDescent="0.2">
      <c r="A46" s="36" t="s">
        <v>104</v>
      </c>
      <c r="B46" s="37"/>
      <c r="C46" s="37"/>
      <c r="D46" s="37">
        <v>45145.4</v>
      </c>
    </row>
    <row r="48" spans="1:4" x14ac:dyDescent="0.2">
      <c r="A48" s="36" t="s">
        <v>117</v>
      </c>
    </row>
    <row r="49" spans="1:4" x14ac:dyDescent="0.2">
      <c r="A49" s="36" t="s">
        <v>118</v>
      </c>
      <c r="B49" s="37">
        <v>2376</v>
      </c>
      <c r="C49" s="37"/>
      <c r="D49" s="37">
        <v>0</v>
      </c>
    </row>
    <row r="50" spans="1:4" x14ac:dyDescent="0.2">
      <c r="A50" s="36" t="s">
        <v>119</v>
      </c>
      <c r="B50" s="37">
        <v>230.4</v>
      </c>
      <c r="C50" s="37"/>
      <c r="D50" s="37">
        <v>7250</v>
      </c>
    </row>
    <row r="51" spans="1:4" x14ac:dyDescent="0.2">
      <c r="A51" s="36" t="s">
        <v>120</v>
      </c>
      <c r="B51" s="37">
        <v>2211.84</v>
      </c>
      <c r="C51" s="37"/>
      <c r="D51" s="37">
        <v>4728.5</v>
      </c>
    </row>
    <row r="53" spans="1:4" x14ac:dyDescent="0.2">
      <c r="A53" s="36" t="s">
        <v>104</v>
      </c>
      <c r="B53" s="37">
        <v>4818.24</v>
      </c>
      <c r="C53" s="37">
        <v>0</v>
      </c>
      <c r="D53" s="37">
        <v>11978.5</v>
      </c>
    </row>
    <row r="55" spans="1:4" x14ac:dyDescent="0.2">
      <c r="A55" s="36" t="s">
        <v>121</v>
      </c>
    </row>
    <row r="56" spans="1:4" x14ac:dyDescent="0.2">
      <c r="A56" s="36" t="s">
        <v>122</v>
      </c>
      <c r="B56" s="37">
        <v>768</v>
      </c>
      <c r="C56" s="37"/>
      <c r="D56" s="37">
        <v>50</v>
      </c>
    </row>
    <row r="57" spans="1:4" x14ac:dyDescent="0.2">
      <c r="A57" s="36" t="s">
        <v>123</v>
      </c>
      <c r="B57" s="37">
        <v>630.72</v>
      </c>
      <c r="C57" s="37">
        <v>369.495</v>
      </c>
      <c r="D57" s="37">
        <v>292.5</v>
      </c>
    </row>
    <row r="58" spans="1:4" x14ac:dyDescent="0.2">
      <c r="A58" s="36" t="s">
        <v>124</v>
      </c>
      <c r="B58" s="37">
        <v>90</v>
      </c>
      <c r="C58" s="37"/>
      <c r="D58" s="37">
        <v>75</v>
      </c>
    </row>
    <row r="59" spans="1:4" x14ac:dyDescent="0.2">
      <c r="A59" s="36" t="s">
        <v>125</v>
      </c>
      <c r="B59" s="37">
        <v>499.2</v>
      </c>
      <c r="C59" s="37">
        <v>6892.5249999999996</v>
      </c>
      <c r="D59" s="37">
        <v>85</v>
      </c>
    </row>
    <row r="60" spans="1:4" x14ac:dyDescent="0.2">
      <c r="A60" s="36" t="s">
        <v>126</v>
      </c>
      <c r="B60" s="37"/>
      <c r="C60" s="37">
        <v>1201.175</v>
      </c>
      <c r="D60" s="37"/>
    </row>
    <row r="61" spans="1:4" x14ac:dyDescent="0.2">
      <c r="A61" s="36" t="s">
        <v>127</v>
      </c>
      <c r="B61" s="37">
        <v>141.12</v>
      </c>
      <c r="C61" s="37"/>
      <c r="D61" s="37"/>
    </row>
    <row r="62" spans="1:4" x14ac:dyDescent="0.2">
      <c r="A62" s="36" t="s">
        <v>128</v>
      </c>
    </row>
    <row r="63" spans="1:4" x14ac:dyDescent="0.2">
      <c r="A63" s="36" t="s">
        <v>104</v>
      </c>
      <c r="B63" s="37">
        <v>2129.04</v>
      </c>
      <c r="C63" s="37">
        <v>8463.1949999999997</v>
      </c>
      <c r="D63" s="37">
        <v>502.5</v>
      </c>
    </row>
    <row r="65" spans="1:4" x14ac:dyDescent="0.2">
      <c r="A65" s="36" t="s">
        <v>129</v>
      </c>
    </row>
    <row r="66" spans="1:4" x14ac:dyDescent="0.2">
      <c r="A66" s="36" t="s">
        <v>130</v>
      </c>
      <c r="B66" s="37">
        <v>172.8</v>
      </c>
      <c r="C66" s="37"/>
      <c r="D66" s="37"/>
    </row>
    <row r="67" spans="1:4" x14ac:dyDescent="0.2">
      <c r="A67" s="36" t="s">
        <v>131</v>
      </c>
      <c r="B67" s="37">
        <v>614.40000000000009</v>
      </c>
      <c r="C67" s="37"/>
      <c r="D67" s="37">
        <v>50</v>
      </c>
    </row>
    <row r="68" spans="1:4" x14ac:dyDescent="0.2">
      <c r="A68" s="36" t="s">
        <v>132</v>
      </c>
      <c r="B68" s="37">
        <v>575.23199999999997</v>
      </c>
      <c r="C68" s="37">
        <v>2697.279</v>
      </c>
      <c r="D68" s="37">
        <v>290</v>
      </c>
    </row>
    <row r="69" spans="1:4" x14ac:dyDescent="0.2">
      <c r="A69" s="36" t="s">
        <v>133</v>
      </c>
      <c r="B69" s="37">
        <v>0</v>
      </c>
      <c r="C69" s="37">
        <v>5273.9</v>
      </c>
      <c r="D69" s="37"/>
    </row>
    <row r="70" spans="1:4" x14ac:dyDescent="0.2">
      <c r="A70" s="36" t="s">
        <v>134</v>
      </c>
      <c r="B70" s="37">
        <v>322.56</v>
      </c>
      <c r="C70" s="37"/>
      <c r="D70" s="37"/>
    </row>
    <row r="71" spans="1:4" x14ac:dyDescent="0.2">
      <c r="A71" s="36" t="s">
        <v>135</v>
      </c>
      <c r="B71" s="37">
        <v>0</v>
      </c>
      <c r="C71" s="37">
        <v>1558.8249999999998</v>
      </c>
      <c r="D71" s="37"/>
    </row>
    <row r="72" spans="1:4" x14ac:dyDescent="0.2">
      <c r="A72" s="36" t="s">
        <v>136</v>
      </c>
      <c r="B72" s="37">
        <v>130.56</v>
      </c>
      <c r="C72" s="37"/>
      <c r="D72" s="37"/>
    </row>
    <row r="73" spans="1:4" x14ac:dyDescent="0.2">
      <c r="A73" s="36" t="s">
        <v>137</v>
      </c>
      <c r="B73" s="37">
        <v>754.94400000000007</v>
      </c>
      <c r="C73" s="37">
        <v>2451.0639999999999</v>
      </c>
      <c r="D73" s="37">
        <v>352</v>
      </c>
    </row>
    <row r="75" spans="1:4" x14ac:dyDescent="0.2">
      <c r="A75" s="36" t="s">
        <v>104</v>
      </c>
      <c r="B75" s="37">
        <v>2570.4960000000001</v>
      </c>
      <c r="C75" s="37">
        <v>11981.068000000001</v>
      </c>
      <c r="D75" s="37">
        <v>692</v>
      </c>
    </row>
    <row r="77" spans="1:4" x14ac:dyDescent="0.2">
      <c r="A77" s="36" t="s">
        <v>138</v>
      </c>
      <c r="B77" s="37">
        <v>20324.175999999999</v>
      </c>
      <c r="C77" s="37">
        <v>20444.262999999999</v>
      </c>
      <c r="D77" s="37">
        <v>76878.736000000004</v>
      </c>
    </row>
    <row r="79" spans="1:4" x14ac:dyDescent="0.2">
      <c r="A79" s="36" t="s">
        <v>139</v>
      </c>
      <c r="D79" s="37">
        <v>117647.175</v>
      </c>
    </row>
    <row r="83" spans="1:4" x14ac:dyDescent="0.2">
      <c r="A83" s="36" t="s">
        <v>140</v>
      </c>
    </row>
    <row r="84" spans="1:4" x14ac:dyDescent="0.2">
      <c r="A84" s="36" t="s">
        <v>141</v>
      </c>
      <c r="B84" s="37">
        <v>0</v>
      </c>
      <c r="C84" s="37"/>
      <c r="D84" s="37"/>
    </row>
    <row r="85" spans="1:4" x14ac:dyDescent="0.2">
      <c r="A85" s="36" t="s">
        <v>142</v>
      </c>
      <c r="B85" s="37">
        <v>3225.6</v>
      </c>
      <c r="C85" s="37"/>
    </row>
    <row r="86" spans="1:4" x14ac:dyDescent="0.2">
      <c r="A86" s="36" t="s">
        <v>143</v>
      </c>
      <c r="B86" s="37">
        <v>0</v>
      </c>
      <c r="C86" s="37"/>
      <c r="D86" s="37"/>
    </row>
    <row r="87" spans="1:4" x14ac:dyDescent="0.2">
      <c r="A87" s="36" t="s">
        <v>144</v>
      </c>
      <c r="B87" s="37">
        <v>1615.68</v>
      </c>
      <c r="C87" s="37"/>
      <c r="D87" s="37"/>
    </row>
    <row r="88" spans="1:4" x14ac:dyDescent="0.2">
      <c r="A88" s="36" t="s">
        <v>145</v>
      </c>
      <c r="B88" s="37">
        <v>0</v>
      </c>
      <c r="C88" s="37"/>
      <c r="D88" s="37"/>
    </row>
    <row r="89" spans="1:4" x14ac:dyDescent="0.2">
      <c r="A89" s="36" t="s">
        <v>146</v>
      </c>
      <c r="B89" s="37">
        <v>691.19999999999982</v>
      </c>
      <c r="C89" s="37"/>
    </row>
    <row r="90" spans="1:4" x14ac:dyDescent="0.2">
      <c r="A90" s="36" t="s">
        <v>147</v>
      </c>
      <c r="B90" s="37">
        <v>0</v>
      </c>
      <c r="C90" s="37"/>
      <c r="D90" s="37">
        <v>0</v>
      </c>
    </row>
    <row r="91" spans="1:4" x14ac:dyDescent="0.2">
      <c r="A91" s="36" t="s">
        <v>148</v>
      </c>
      <c r="B91" s="37"/>
      <c r="C91" s="37"/>
      <c r="D91" s="37">
        <v>999.99999999999977</v>
      </c>
    </row>
    <row r="93" spans="1:4" x14ac:dyDescent="0.2">
      <c r="A93" s="36" t="s">
        <v>104</v>
      </c>
      <c r="B93" s="37">
        <v>5532.48</v>
      </c>
      <c r="C93" s="37">
        <v>0</v>
      </c>
      <c r="D93" s="37">
        <v>999.99999999999977</v>
      </c>
    </row>
    <row r="95" spans="1:4" x14ac:dyDescent="0.2">
      <c r="A95" s="36" t="s">
        <v>149</v>
      </c>
    </row>
    <row r="96" spans="1:4" x14ac:dyDescent="0.2">
      <c r="A96" s="36" t="s">
        <v>150</v>
      </c>
      <c r="B96" s="37">
        <v>288</v>
      </c>
      <c r="C96" s="37"/>
      <c r="D96" s="37"/>
    </row>
    <row r="97" spans="1:4" x14ac:dyDescent="0.2">
      <c r="A97" s="36" t="s">
        <v>151</v>
      </c>
      <c r="B97" s="37">
        <v>96</v>
      </c>
      <c r="C97" s="37"/>
      <c r="D97" s="37"/>
    </row>
    <row r="98" spans="1:4" x14ac:dyDescent="0.2">
      <c r="A98" s="36" t="s">
        <v>152</v>
      </c>
      <c r="B98" s="37">
        <v>48</v>
      </c>
      <c r="C98" s="37"/>
      <c r="D98" s="37"/>
    </row>
    <row r="99" spans="1:4" x14ac:dyDescent="0.2">
      <c r="A99" s="36" t="s">
        <v>153</v>
      </c>
      <c r="B99" s="37">
        <v>288</v>
      </c>
      <c r="C99" s="37">
        <v>6820.0749999999998</v>
      </c>
      <c r="D99" s="37"/>
    </row>
    <row r="100" spans="1:4" x14ac:dyDescent="0.2">
      <c r="A100" s="36" t="s">
        <v>154</v>
      </c>
      <c r="B100" s="37">
        <v>34.024608000000001</v>
      </c>
      <c r="C100" s="37">
        <v>171.18630899999999</v>
      </c>
      <c r="D100" s="37"/>
    </row>
    <row r="101" spans="1:4" x14ac:dyDescent="0.2">
      <c r="A101" s="36" t="s">
        <v>155</v>
      </c>
      <c r="B101" s="37">
        <v>35.122176000000003</v>
      </c>
      <c r="C101" s="37">
        <v>210.67398550000001</v>
      </c>
      <c r="D101" s="37"/>
    </row>
    <row r="102" spans="1:4" x14ac:dyDescent="0.2">
      <c r="A102" s="36" t="s">
        <v>156</v>
      </c>
      <c r="B102" s="37"/>
      <c r="C102" s="37">
        <v>818.74249999999984</v>
      </c>
      <c r="D102" s="37"/>
    </row>
    <row r="103" spans="1:4" x14ac:dyDescent="0.2">
      <c r="A103" s="36" t="s">
        <v>157</v>
      </c>
      <c r="B103" s="37">
        <v>96</v>
      </c>
      <c r="C103" s="37"/>
      <c r="D103" s="37"/>
    </row>
    <row r="105" spans="1:4" x14ac:dyDescent="0.2">
      <c r="A105" s="36" t="s">
        <v>104</v>
      </c>
      <c r="B105" s="37">
        <v>885.14678399999991</v>
      </c>
      <c r="C105" s="37">
        <v>8020.6777944999994</v>
      </c>
      <c r="D105" s="37">
        <v>0</v>
      </c>
    </row>
    <row r="107" spans="1:4" x14ac:dyDescent="0.2">
      <c r="A107" s="36" t="s">
        <v>158</v>
      </c>
    </row>
    <row r="108" spans="1:4" x14ac:dyDescent="0.2">
      <c r="A108" s="36" t="s">
        <v>150</v>
      </c>
      <c r="B108" s="37">
        <v>0</v>
      </c>
      <c r="C108" s="37"/>
      <c r="D108" s="37"/>
    </row>
    <row r="109" spans="1:4" x14ac:dyDescent="0.2">
      <c r="A109" s="36" t="s">
        <v>151</v>
      </c>
      <c r="B109" s="37">
        <v>0</v>
      </c>
      <c r="C109" s="37"/>
      <c r="D109" s="37"/>
    </row>
    <row r="110" spans="1:4" x14ac:dyDescent="0.2">
      <c r="A110" s="36" t="s">
        <v>159</v>
      </c>
      <c r="B110" s="37">
        <v>0</v>
      </c>
      <c r="C110" s="37"/>
      <c r="D110" s="37"/>
    </row>
    <row r="111" spans="1:4" x14ac:dyDescent="0.2">
      <c r="A111" s="36" t="s">
        <v>160</v>
      </c>
      <c r="B111" s="37">
        <v>0</v>
      </c>
      <c r="C111" s="37">
        <v>0</v>
      </c>
      <c r="D111" s="37"/>
    </row>
    <row r="112" spans="1:4" x14ac:dyDescent="0.2">
      <c r="A112" s="36" t="s">
        <v>161</v>
      </c>
      <c r="B112" s="37">
        <v>0</v>
      </c>
      <c r="C112" s="37">
        <v>0</v>
      </c>
      <c r="D112" s="37"/>
    </row>
    <row r="113" spans="1:4" x14ac:dyDescent="0.2">
      <c r="A113" s="36" t="s">
        <v>162</v>
      </c>
      <c r="B113" s="37"/>
      <c r="C113" s="37">
        <v>0</v>
      </c>
      <c r="D113" s="37">
        <v>0</v>
      </c>
    </row>
    <row r="114" spans="1:4" x14ac:dyDescent="0.2">
      <c r="A114" s="36" t="s">
        <v>163</v>
      </c>
      <c r="B114" s="37">
        <v>0</v>
      </c>
      <c r="C114" s="37"/>
      <c r="D114" s="37"/>
    </row>
    <row r="116" spans="1:4" x14ac:dyDescent="0.2">
      <c r="A116" s="36" t="s">
        <v>104</v>
      </c>
      <c r="B116" s="37">
        <v>0</v>
      </c>
      <c r="C116" s="37">
        <v>0</v>
      </c>
      <c r="D116" s="37">
        <v>0</v>
      </c>
    </row>
    <row r="117" spans="1:4" x14ac:dyDescent="0.2">
      <c r="B117" s="37"/>
      <c r="C117" s="37"/>
      <c r="D117" s="37"/>
    </row>
    <row r="118" spans="1:4" x14ac:dyDescent="0.2">
      <c r="A118" s="36" t="s">
        <v>164</v>
      </c>
      <c r="B118" s="37"/>
      <c r="C118" s="37"/>
      <c r="D118" s="37"/>
    </row>
    <row r="119" spans="1:4" x14ac:dyDescent="0.2">
      <c r="A119" s="36" t="s">
        <v>150</v>
      </c>
      <c r="B119" s="37">
        <v>0</v>
      </c>
      <c r="C119" s="37"/>
      <c r="D119" s="37"/>
    </row>
    <row r="120" spans="1:4" x14ac:dyDescent="0.2">
      <c r="A120" s="36" t="s">
        <v>151</v>
      </c>
      <c r="B120" s="37">
        <v>0</v>
      </c>
      <c r="C120" s="37"/>
      <c r="D120" s="37"/>
    </row>
    <row r="121" spans="1:4" x14ac:dyDescent="0.2">
      <c r="A121" s="36" t="s">
        <v>159</v>
      </c>
      <c r="B121" s="37">
        <v>0</v>
      </c>
      <c r="C121" s="37"/>
      <c r="D121" s="37"/>
    </row>
    <row r="122" spans="1:4" x14ac:dyDescent="0.2">
      <c r="A122" s="36" t="s">
        <v>165</v>
      </c>
      <c r="B122" s="37">
        <v>0</v>
      </c>
      <c r="C122" s="37">
        <v>0</v>
      </c>
      <c r="D122" s="37"/>
    </row>
    <row r="123" spans="1:4" x14ac:dyDescent="0.2">
      <c r="A123" s="36" t="s">
        <v>162</v>
      </c>
      <c r="B123" s="37"/>
      <c r="C123" s="37">
        <v>0</v>
      </c>
      <c r="D123" s="37">
        <v>0</v>
      </c>
    </row>
    <row r="124" spans="1:4" x14ac:dyDescent="0.2">
      <c r="A124" s="36" t="s">
        <v>163</v>
      </c>
      <c r="B124" s="37">
        <v>0</v>
      </c>
      <c r="C124" s="37"/>
      <c r="D124" s="37"/>
    </row>
    <row r="125" spans="1:4" x14ac:dyDescent="0.2">
      <c r="B125" s="37"/>
      <c r="C125" s="37"/>
      <c r="D125" s="37"/>
    </row>
    <row r="126" spans="1:4" x14ac:dyDescent="0.2">
      <c r="A126" s="36" t="s">
        <v>104</v>
      </c>
      <c r="B126" s="37">
        <v>0</v>
      </c>
      <c r="C126" s="37">
        <v>0</v>
      </c>
      <c r="D126" s="37">
        <v>0</v>
      </c>
    </row>
    <row r="128" spans="1:4" x14ac:dyDescent="0.2">
      <c r="A128" s="36" t="s">
        <v>166</v>
      </c>
    </row>
    <row r="129" spans="1:4" x14ac:dyDescent="0.2">
      <c r="A129" s="36" t="s">
        <v>152</v>
      </c>
      <c r="B129" s="37">
        <v>144</v>
      </c>
      <c r="C129" s="37"/>
      <c r="D129" s="37"/>
    </row>
    <row r="130" spans="1:4" x14ac:dyDescent="0.2">
      <c r="A130" s="36" t="s">
        <v>167</v>
      </c>
      <c r="B130" s="37">
        <v>293.76</v>
      </c>
      <c r="C130" s="37"/>
      <c r="D130" s="37">
        <v>937.5</v>
      </c>
    </row>
    <row r="131" spans="1:4" x14ac:dyDescent="0.2">
      <c r="A131" s="36" t="s">
        <v>154</v>
      </c>
      <c r="B131" s="37">
        <v>164.16000000000003</v>
      </c>
      <c r="C131" s="37"/>
      <c r="D131" s="37"/>
    </row>
    <row r="132" spans="1:4" x14ac:dyDescent="0.2">
      <c r="A132" s="36" t="s">
        <v>155</v>
      </c>
      <c r="B132" s="37">
        <v>95.04</v>
      </c>
      <c r="C132" s="37"/>
      <c r="D132" s="37">
        <v>93.75</v>
      </c>
    </row>
    <row r="133" spans="1:4" x14ac:dyDescent="0.2">
      <c r="A133" s="36" t="s">
        <v>168</v>
      </c>
      <c r="B133" s="37">
        <v>587.52</v>
      </c>
      <c r="C133" s="37"/>
      <c r="D133" s="37">
        <v>37.5</v>
      </c>
    </row>
    <row r="135" spans="1:4" x14ac:dyDescent="0.2">
      <c r="A135" s="36" t="s">
        <v>104</v>
      </c>
      <c r="B135" s="37">
        <v>1284.48</v>
      </c>
      <c r="C135" s="37">
        <v>0</v>
      </c>
      <c r="D135" s="37">
        <v>1068.75</v>
      </c>
    </row>
    <row r="137" spans="1:4" x14ac:dyDescent="0.2">
      <c r="A137" s="36" t="s">
        <v>169</v>
      </c>
    </row>
    <row r="138" spans="1:4" x14ac:dyDescent="0.2">
      <c r="A138" s="36" t="s">
        <v>170</v>
      </c>
      <c r="B138" s="37">
        <v>576</v>
      </c>
      <c r="C138" s="37"/>
      <c r="D138" s="37"/>
    </row>
    <row r="139" spans="1:4" x14ac:dyDescent="0.2">
      <c r="A139" s="36" t="s">
        <v>171</v>
      </c>
      <c r="B139" s="37">
        <v>489.6</v>
      </c>
      <c r="C139" s="37"/>
      <c r="D139" s="37"/>
    </row>
    <row r="140" spans="1:4" x14ac:dyDescent="0.2">
      <c r="A140" s="36" t="s">
        <v>172</v>
      </c>
      <c r="B140" s="37">
        <v>187.2</v>
      </c>
      <c r="C140" s="37"/>
      <c r="D140" s="37">
        <v>160</v>
      </c>
    </row>
    <row r="142" spans="1:4" x14ac:dyDescent="0.2">
      <c r="A142" s="36" t="s">
        <v>104</v>
      </c>
      <c r="B142" s="37">
        <v>1252.8</v>
      </c>
      <c r="C142" s="37">
        <v>0</v>
      </c>
      <c r="D142" s="37">
        <v>160</v>
      </c>
    </row>
    <row r="144" spans="1:4" x14ac:dyDescent="0.2">
      <c r="A144" s="36" t="s">
        <v>173</v>
      </c>
    </row>
    <row r="145" spans="1:6" x14ac:dyDescent="0.2">
      <c r="A145" s="36" t="s">
        <v>174</v>
      </c>
      <c r="B145" s="37">
        <v>994.31999999999994</v>
      </c>
      <c r="C145" s="37"/>
      <c r="D145" s="37">
        <v>230</v>
      </c>
    </row>
    <row r="146" spans="1:6" x14ac:dyDescent="0.2">
      <c r="A146" s="36" t="s">
        <v>175</v>
      </c>
      <c r="B146" s="37">
        <v>503.99999999999994</v>
      </c>
      <c r="C146" s="37"/>
      <c r="D146" s="37">
        <v>50</v>
      </c>
    </row>
    <row r="147" spans="1:6" x14ac:dyDescent="0.2">
      <c r="A147" s="36" t="s">
        <v>176</v>
      </c>
      <c r="B147" s="37">
        <v>184.31999999999996</v>
      </c>
      <c r="C147" s="37"/>
      <c r="D147" s="37">
        <v>1239</v>
      </c>
    </row>
    <row r="148" spans="1:6" x14ac:dyDescent="0.2">
      <c r="A148" s="36" t="s">
        <v>177</v>
      </c>
      <c r="B148" s="37">
        <v>391.67999999999995</v>
      </c>
      <c r="C148" s="37"/>
      <c r="D148" s="37"/>
    </row>
    <row r="149" spans="1:6" x14ac:dyDescent="0.2">
      <c r="B149" s="37"/>
      <c r="C149" s="37"/>
      <c r="D149" s="37"/>
    </row>
    <row r="150" spans="1:6" x14ac:dyDescent="0.2">
      <c r="A150" s="36" t="s">
        <v>104</v>
      </c>
      <c r="B150" s="37">
        <v>2074.3199999999997</v>
      </c>
      <c r="C150" s="37">
        <v>0</v>
      </c>
      <c r="D150" s="37">
        <v>1519</v>
      </c>
    </row>
    <row r="151" spans="1:6" x14ac:dyDescent="0.2">
      <c r="B151" s="37"/>
      <c r="C151" s="37"/>
      <c r="D151" s="37"/>
    </row>
    <row r="152" spans="1:6" x14ac:dyDescent="0.2">
      <c r="A152" s="36" t="s">
        <v>178</v>
      </c>
      <c r="B152" s="37">
        <v>2894.1626624</v>
      </c>
      <c r="C152" s="37">
        <v>2911.2630511999996</v>
      </c>
      <c r="D152" s="37">
        <v>10947.532006400001</v>
      </c>
    </row>
    <row r="154" spans="1:6" x14ac:dyDescent="0.2">
      <c r="A154" s="36" t="s">
        <v>179</v>
      </c>
      <c r="B154" s="37">
        <v>13923.389446399999</v>
      </c>
      <c r="C154" s="37">
        <v>10931.940845699999</v>
      </c>
      <c r="D154" s="37">
        <v>14695.282006400001</v>
      </c>
    </row>
    <row r="156" spans="1:6" x14ac:dyDescent="0.2">
      <c r="A156" s="36" t="s">
        <v>180</v>
      </c>
      <c r="C156" s="37"/>
      <c r="D156" s="37">
        <v>39550.612298499997</v>
      </c>
      <c r="F156" s="37"/>
    </row>
    <row r="161" spans="1:5" x14ac:dyDescent="0.2">
      <c r="A161" s="36" t="s">
        <v>181</v>
      </c>
    </row>
    <row r="163" spans="1:5" x14ac:dyDescent="0.2">
      <c r="A163" s="36" t="s">
        <v>49</v>
      </c>
      <c r="B163" s="36" t="s">
        <v>50</v>
      </c>
      <c r="C163" s="36" t="s">
        <v>51</v>
      </c>
      <c r="D163" s="36" t="s">
        <v>52</v>
      </c>
      <c r="E163" s="36" t="s">
        <v>1</v>
      </c>
    </row>
    <row r="164" spans="1:5" x14ac:dyDescent="0.2">
      <c r="A164" s="36" t="s">
        <v>53</v>
      </c>
      <c r="B164" s="37">
        <v>2534.4</v>
      </c>
      <c r="C164" s="37">
        <v>0</v>
      </c>
      <c r="D164" s="37">
        <v>352</v>
      </c>
      <c r="E164" s="37">
        <v>2886.4</v>
      </c>
    </row>
    <row r="165" spans="1:5" x14ac:dyDescent="0.2">
      <c r="A165" s="36" t="s">
        <v>54</v>
      </c>
      <c r="B165" s="37">
        <v>8272</v>
      </c>
      <c r="C165" s="37">
        <v>0</v>
      </c>
      <c r="D165" s="37">
        <v>343.33600000000001</v>
      </c>
      <c r="E165" s="37">
        <v>8615.3359999999993</v>
      </c>
    </row>
    <row r="166" spans="1:5" x14ac:dyDescent="0.2">
      <c r="A166" s="36" t="s">
        <v>55</v>
      </c>
      <c r="B166" s="37">
        <v>0</v>
      </c>
      <c r="C166" s="37">
        <v>0</v>
      </c>
      <c r="D166" s="37">
        <v>17865</v>
      </c>
      <c r="E166" s="37">
        <v>17865</v>
      </c>
    </row>
    <row r="167" spans="1:5" x14ac:dyDescent="0.2">
      <c r="A167" s="36" t="s">
        <v>56</v>
      </c>
      <c r="B167" s="37">
        <v>0</v>
      </c>
      <c r="C167" s="37">
        <v>0</v>
      </c>
      <c r="D167" s="37">
        <v>45145.4</v>
      </c>
      <c r="E167" s="37">
        <v>45145.4</v>
      </c>
    </row>
    <row r="168" spans="1:5" x14ac:dyDescent="0.2">
      <c r="A168" s="36" t="s">
        <v>57</v>
      </c>
      <c r="B168" s="37">
        <v>4818.24</v>
      </c>
      <c r="C168" s="37">
        <v>0</v>
      </c>
      <c r="D168" s="37">
        <v>11978.5</v>
      </c>
      <c r="E168" s="37">
        <v>16796.739999999998</v>
      </c>
    </row>
    <row r="169" spans="1:5" x14ac:dyDescent="0.2">
      <c r="A169" s="36" t="s">
        <v>58</v>
      </c>
      <c r="B169" s="37">
        <v>2129.04</v>
      </c>
      <c r="C169" s="37">
        <v>8463.1949999999997</v>
      </c>
      <c r="D169" s="37">
        <v>502.5</v>
      </c>
      <c r="E169" s="37">
        <v>11094.735000000001</v>
      </c>
    </row>
    <row r="170" spans="1:5" x14ac:dyDescent="0.2">
      <c r="A170" s="36" t="s">
        <v>59</v>
      </c>
      <c r="B170" s="37">
        <v>2570.4960000000001</v>
      </c>
      <c r="C170" s="37">
        <v>11981.068000000001</v>
      </c>
      <c r="D170" s="37">
        <v>692</v>
      </c>
      <c r="E170" s="37">
        <v>15243.564000000002</v>
      </c>
    </row>
    <row r="171" spans="1:5" x14ac:dyDescent="0.2">
      <c r="B171" s="358">
        <v>20324.175999999999</v>
      </c>
      <c r="C171" s="358">
        <v>20444.262999999999</v>
      </c>
      <c r="D171" s="358">
        <v>76878.736000000004</v>
      </c>
      <c r="E171" s="37">
        <v>117647.175</v>
      </c>
    </row>
    <row r="173" spans="1:5" x14ac:dyDescent="0.2">
      <c r="A173" s="36" t="s">
        <v>62</v>
      </c>
    </row>
    <row r="174" spans="1:5" x14ac:dyDescent="0.2">
      <c r="A174" s="36" t="s">
        <v>64</v>
      </c>
      <c r="B174" s="37">
        <v>5532.48</v>
      </c>
      <c r="C174" s="37">
        <v>0</v>
      </c>
      <c r="D174" s="37">
        <v>999.99999999999977</v>
      </c>
      <c r="E174" s="37">
        <v>6532.48</v>
      </c>
    </row>
    <row r="175" spans="1:5" x14ac:dyDescent="0.2">
      <c r="A175" s="36" t="s">
        <v>65</v>
      </c>
      <c r="B175" s="37">
        <v>885.14678399999991</v>
      </c>
      <c r="C175" s="37">
        <v>8020.6777944999994</v>
      </c>
      <c r="D175" s="37">
        <v>0</v>
      </c>
      <c r="E175" s="37">
        <v>8905.8245784999999</v>
      </c>
    </row>
    <row r="176" spans="1:5" x14ac:dyDescent="0.2">
      <c r="A176" s="36" t="s">
        <v>66</v>
      </c>
      <c r="B176" s="37">
        <v>0</v>
      </c>
      <c r="C176" s="37">
        <v>0</v>
      </c>
      <c r="D176" s="37">
        <v>0</v>
      </c>
      <c r="E176" s="37">
        <v>0</v>
      </c>
    </row>
    <row r="177" spans="1:5" x14ac:dyDescent="0.2">
      <c r="A177" s="36" t="s">
        <v>67</v>
      </c>
      <c r="B177" s="37">
        <v>0</v>
      </c>
      <c r="C177" s="37">
        <v>0</v>
      </c>
      <c r="D177" s="37">
        <v>0</v>
      </c>
      <c r="E177" s="37">
        <v>0</v>
      </c>
    </row>
    <row r="178" spans="1:5" x14ac:dyDescent="0.2">
      <c r="A178" s="36" t="s">
        <v>68</v>
      </c>
      <c r="B178" s="37">
        <v>1284.48</v>
      </c>
      <c r="C178" s="37">
        <v>0</v>
      </c>
      <c r="D178" s="37">
        <v>1068.75</v>
      </c>
      <c r="E178" s="37">
        <v>2353.23</v>
      </c>
    </row>
    <row r="179" spans="1:5" x14ac:dyDescent="0.2">
      <c r="A179" s="36" t="s">
        <v>69</v>
      </c>
      <c r="B179" s="37">
        <v>1252.8</v>
      </c>
      <c r="C179" s="37">
        <v>0</v>
      </c>
      <c r="D179" s="37">
        <v>160</v>
      </c>
      <c r="E179" s="37">
        <v>1412.8</v>
      </c>
    </row>
    <row r="180" spans="1:5" x14ac:dyDescent="0.2">
      <c r="A180" s="36" t="s">
        <v>70</v>
      </c>
      <c r="B180" s="37">
        <v>2074.3199999999997</v>
      </c>
      <c r="C180" s="37">
        <v>0</v>
      </c>
      <c r="D180" s="37">
        <v>1519</v>
      </c>
      <c r="E180" s="37">
        <v>3593.3199999999997</v>
      </c>
    </row>
    <row r="181" spans="1:5" x14ac:dyDescent="0.2">
      <c r="A181" s="36" t="s">
        <v>71</v>
      </c>
      <c r="B181" s="358">
        <v>2894.1626624</v>
      </c>
      <c r="C181" s="358">
        <v>2911.2630511999996</v>
      </c>
      <c r="D181" s="358">
        <v>10947.532006400001</v>
      </c>
      <c r="E181" s="37">
        <v>16752.957719999999</v>
      </c>
    </row>
    <row r="183" spans="1:5" x14ac:dyDescent="0.2">
      <c r="A183" s="36" t="s">
        <v>72</v>
      </c>
      <c r="B183" s="37">
        <v>11029.226783999999</v>
      </c>
      <c r="C183" s="37">
        <v>8020.6777944999994</v>
      </c>
      <c r="D183" s="37">
        <v>3747.75</v>
      </c>
      <c r="E183" s="37">
        <v>22797.654578499998</v>
      </c>
    </row>
    <row r="184" spans="1:5" x14ac:dyDescent="0.2">
      <c r="A184" s="36" t="s">
        <v>73</v>
      </c>
      <c r="B184" s="37">
        <v>13923.389446399999</v>
      </c>
      <c r="C184" s="37">
        <v>10931.940845699999</v>
      </c>
      <c r="D184" s="37">
        <v>14695.282006400001</v>
      </c>
      <c r="E184" s="37">
        <v>39550.612298499997</v>
      </c>
    </row>
    <row r="186" spans="1:5" x14ac:dyDescent="0.2">
      <c r="B186" s="37"/>
      <c r="C186" s="37"/>
      <c r="D186" s="3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sheetPr>
  <dimension ref="A1:F186"/>
  <sheetViews>
    <sheetView topLeftCell="A165" workbookViewId="0">
      <selection activeCell="I65" sqref="I65"/>
    </sheetView>
  </sheetViews>
  <sheetFormatPr defaultColWidth="9.140625" defaultRowHeight="12.75" x14ac:dyDescent="0.2"/>
  <cols>
    <col min="1" max="1" width="39" style="36" bestFit="1" customWidth="1"/>
    <col min="2" max="16384" width="9.140625" style="36"/>
  </cols>
  <sheetData>
    <row r="1" spans="1:4" x14ac:dyDescent="0.2">
      <c r="B1" s="36" t="s">
        <v>50</v>
      </c>
      <c r="C1" s="36" t="s">
        <v>51</v>
      </c>
      <c r="D1" s="36" t="s">
        <v>80</v>
      </c>
    </row>
    <row r="2" spans="1:4" x14ac:dyDescent="0.2">
      <c r="A2" s="36" t="s">
        <v>81</v>
      </c>
    </row>
    <row r="3" spans="1:4" x14ac:dyDescent="0.2">
      <c r="A3" s="36" t="s">
        <v>82</v>
      </c>
      <c r="B3" s="37">
        <v>48</v>
      </c>
      <c r="C3" s="37"/>
      <c r="D3" s="37"/>
    </row>
    <row r="4" spans="1:4" x14ac:dyDescent="0.2">
      <c r="A4" s="36" t="s">
        <v>83</v>
      </c>
      <c r="B4" s="37">
        <v>48</v>
      </c>
      <c r="C4" s="37"/>
      <c r="D4" s="37">
        <v>0</v>
      </c>
    </row>
    <row r="5" spans="1:4" x14ac:dyDescent="0.2">
      <c r="A5" s="36" t="s">
        <v>84</v>
      </c>
      <c r="B5" s="37">
        <v>240</v>
      </c>
      <c r="C5" s="37"/>
      <c r="D5" s="37"/>
    </row>
    <row r="6" spans="1:4" x14ac:dyDescent="0.2">
      <c r="A6" s="36" t="s">
        <v>85</v>
      </c>
      <c r="B6" s="37">
        <v>86.4</v>
      </c>
      <c r="C6" s="37"/>
      <c r="D6" s="37">
        <v>0</v>
      </c>
    </row>
    <row r="7" spans="1:4" x14ac:dyDescent="0.2">
      <c r="A7" s="36" t="s">
        <v>86</v>
      </c>
      <c r="B7" s="37">
        <v>192</v>
      </c>
      <c r="C7" s="37"/>
      <c r="D7" s="37"/>
    </row>
    <row r="8" spans="1:4" x14ac:dyDescent="0.2">
      <c r="A8" s="36" t="s">
        <v>87</v>
      </c>
      <c r="B8" s="37">
        <v>192</v>
      </c>
      <c r="C8" s="37"/>
      <c r="D8" s="37"/>
    </row>
    <row r="10" spans="1:4" x14ac:dyDescent="0.2">
      <c r="A10" s="36" t="s">
        <v>88</v>
      </c>
      <c r="B10" s="37">
        <v>806.4</v>
      </c>
      <c r="C10" s="37">
        <v>0</v>
      </c>
      <c r="D10" s="37">
        <v>0</v>
      </c>
    </row>
    <row r="12" spans="1:4" x14ac:dyDescent="0.2">
      <c r="A12" s="36" t="s">
        <v>89</v>
      </c>
    </row>
    <row r="13" spans="1:4" x14ac:dyDescent="0.2">
      <c r="A13" s="36" t="s">
        <v>90</v>
      </c>
      <c r="B13" s="37">
        <v>96</v>
      </c>
    </row>
    <row r="14" spans="1:4" x14ac:dyDescent="0.2">
      <c r="A14" s="36" t="s">
        <v>91</v>
      </c>
      <c r="B14" s="37">
        <v>508.8</v>
      </c>
    </row>
    <row r="15" spans="1:4" x14ac:dyDescent="0.2">
      <c r="A15" s="36" t="s">
        <v>92</v>
      </c>
      <c r="B15" s="37">
        <v>192</v>
      </c>
    </row>
    <row r="16" spans="1:4" x14ac:dyDescent="0.2">
      <c r="A16" s="36" t="s">
        <v>93</v>
      </c>
      <c r="B16" s="37">
        <v>480</v>
      </c>
    </row>
    <row r="17" spans="1:4" x14ac:dyDescent="0.2">
      <c r="A17" s="36" t="s">
        <v>94</v>
      </c>
      <c r="B17" s="37">
        <v>144</v>
      </c>
      <c r="D17" s="37">
        <v>73.335999999999999</v>
      </c>
    </row>
    <row r="18" spans="1:4" x14ac:dyDescent="0.2">
      <c r="A18" s="36" t="s">
        <v>95</v>
      </c>
      <c r="B18" s="37">
        <v>288</v>
      </c>
      <c r="D18" s="37">
        <v>50</v>
      </c>
    </row>
    <row r="19" spans="1:4" x14ac:dyDescent="0.2">
      <c r="A19" s="36" t="s">
        <v>96</v>
      </c>
      <c r="B19" s="37">
        <v>1440</v>
      </c>
      <c r="D19" s="37">
        <v>20</v>
      </c>
    </row>
    <row r="20" spans="1:4" x14ac:dyDescent="0.2">
      <c r="A20" s="36" t="s">
        <v>97</v>
      </c>
      <c r="B20" s="37">
        <v>576</v>
      </c>
      <c r="D20" s="37"/>
    </row>
    <row r="21" spans="1:4" x14ac:dyDescent="0.2">
      <c r="A21" s="36" t="s">
        <v>98</v>
      </c>
      <c r="B21" s="37">
        <v>499.2</v>
      </c>
      <c r="D21" s="37">
        <v>200</v>
      </c>
    </row>
    <row r="23" spans="1:4" x14ac:dyDescent="0.2">
      <c r="A23" s="36" t="s">
        <v>88</v>
      </c>
      <c r="B23" s="37">
        <v>4224</v>
      </c>
      <c r="C23" s="37">
        <v>0</v>
      </c>
      <c r="D23" s="37">
        <v>343.33600000000001</v>
      </c>
    </row>
    <row r="25" spans="1:4" x14ac:dyDescent="0.2">
      <c r="A25" s="36" t="s">
        <v>99</v>
      </c>
    </row>
    <row r="26" spans="1:4" x14ac:dyDescent="0.2">
      <c r="A26" s="36" t="s">
        <v>100</v>
      </c>
      <c r="D26" s="37">
        <v>365</v>
      </c>
    </row>
    <row r="27" spans="1:4" x14ac:dyDescent="0.2">
      <c r="A27" s="36" t="s">
        <v>101</v>
      </c>
      <c r="D27" s="37">
        <v>0</v>
      </c>
    </row>
    <row r="28" spans="1:4" x14ac:dyDescent="0.2">
      <c r="A28" s="36" t="s">
        <v>102</v>
      </c>
      <c r="D28" s="37">
        <v>0</v>
      </c>
    </row>
    <row r="29" spans="1:4" x14ac:dyDescent="0.2">
      <c r="A29" s="36" t="s">
        <v>103</v>
      </c>
      <c r="D29" s="37">
        <v>0</v>
      </c>
    </row>
    <row r="31" spans="1:4" x14ac:dyDescent="0.2">
      <c r="A31" s="36" t="s">
        <v>104</v>
      </c>
      <c r="B31" s="37">
        <v>0</v>
      </c>
      <c r="C31" s="37">
        <v>0</v>
      </c>
      <c r="D31" s="37">
        <v>365</v>
      </c>
    </row>
    <row r="32" spans="1:4" x14ac:dyDescent="0.2">
      <c r="C32" s="37"/>
      <c r="D32" s="37"/>
    </row>
    <row r="33" spans="1:4" x14ac:dyDescent="0.2">
      <c r="A33" s="36" t="s">
        <v>105</v>
      </c>
    </row>
    <row r="34" spans="1:4" x14ac:dyDescent="0.2">
      <c r="A34" s="36" t="s">
        <v>106</v>
      </c>
      <c r="D34" s="37">
        <v>0</v>
      </c>
    </row>
    <row r="35" spans="1:4" x14ac:dyDescent="0.2">
      <c r="A35" s="36" t="s">
        <v>107</v>
      </c>
      <c r="D35" s="37">
        <v>20000</v>
      </c>
    </row>
    <row r="36" spans="1:4" x14ac:dyDescent="0.2">
      <c r="A36" s="36" t="s">
        <v>108</v>
      </c>
      <c r="D36" s="37">
        <v>0</v>
      </c>
    </row>
    <row r="37" spans="1:4" x14ac:dyDescent="0.2">
      <c r="A37" s="36" t="s">
        <v>109</v>
      </c>
      <c r="D37" s="37">
        <v>0</v>
      </c>
    </row>
    <row r="38" spans="1:4" x14ac:dyDescent="0.2">
      <c r="A38" s="36" t="s">
        <v>110</v>
      </c>
      <c r="D38" s="37">
        <v>6800</v>
      </c>
    </row>
    <row r="39" spans="1:4" x14ac:dyDescent="0.2">
      <c r="A39" s="36" t="s">
        <v>111</v>
      </c>
      <c r="D39" s="37">
        <v>2400</v>
      </c>
    </row>
    <row r="40" spans="1:4" x14ac:dyDescent="0.2">
      <c r="A40" s="36" t="s">
        <v>112</v>
      </c>
      <c r="D40" s="37">
        <v>0</v>
      </c>
    </row>
    <row r="41" spans="1:4" x14ac:dyDescent="0.2">
      <c r="A41" s="36" t="s">
        <v>113</v>
      </c>
      <c r="D41" s="37">
        <v>0</v>
      </c>
    </row>
    <row r="42" spans="1:4" x14ac:dyDescent="0.2">
      <c r="A42" s="36" t="s">
        <v>114</v>
      </c>
      <c r="D42" s="37"/>
    </row>
    <row r="43" spans="1:4" x14ac:dyDescent="0.2">
      <c r="A43" s="36" t="s">
        <v>115</v>
      </c>
      <c r="D43" s="37">
        <v>0</v>
      </c>
    </row>
    <row r="44" spans="1:4" x14ac:dyDescent="0.2">
      <c r="A44" s="36" t="s">
        <v>116</v>
      </c>
      <c r="D44" s="37">
        <v>1752</v>
      </c>
    </row>
    <row r="46" spans="1:4" x14ac:dyDescent="0.2">
      <c r="A46" s="36" t="s">
        <v>104</v>
      </c>
      <c r="B46" s="37"/>
      <c r="C46" s="37"/>
      <c r="D46" s="37">
        <v>30952</v>
      </c>
    </row>
    <row r="48" spans="1:4" x14ac:dyDescent="0.2">
      <c r="A48" s="36" t="s">
        <v>117</v>
      </c>
    </row>
    <row r="49" spans="1:4" x14ac:dyDescent="0.2">
      <c r="A49" s="36" t="s">
        <v>118</v>
      </c>
      <c r="B49" s="37">
        <v>460.8</v>
      </c>
      <c r="C49" s="37"/>
      <c r="D49" s="37">
        <v>0</v>
      </c>
    </row>
    <row r="50" spans="1:4" x14ac:dyDescent="0.2">
      <c r="A50" s="36" t="s">
        <v>119</v>
      </c>
      <c r="B50" s="37">
        <v>115.2</v>
      </c>
      <c r="C50" s="37"/>
      <c r="D50" s="37">
        <v>7250</v>
      </c>
    </row>
    <row r="51" spans="1:4" x14ac:dyDescent="0.2">
      <c r="A51" s="36" t="s">
        <v>120</v>
      </c>
      <c r="B51" s="37">
        <v>1843.2</v>
      </c>
      <c r="C51" s="37"/>
      <c r="D51" s="37">
        <v>4769.375</v>
      </c>
    </row>
    <row r="53" spans="1:4" x14ac:dyDescent="0.2">
      <c r="A53" s="36" t="s">
        <v>104</v>
      </c>
      <c r="B53" s="37">
        <v>2419.1999999999998</v>
      </c>
      <c r="C53" s="37">
        <v>0</v>
      </c>
      <c r="D53" s="37">
        <v>12019.375</v>
      </c>
    </row>
    <row r="55" spans="1:4" x14ac:dyDescent="0.2">
      <c r="A55" s="36" t="s">
        <v>121</v>
      </c>
    </row>
    <row r="56" spans="1:4" x14ac:dyDescent="0.2">
      <c r="A56" s="36" t="s">
        <v>122</v>
      </c>
      <c r="B56" s="37">
        <v>768</v>
      </c>
      <c r="C56" s="37"/>
      <c r="D56" s="37">
        <v>50</v>
      </c>
    </row>
    <row r="57" spans="1:4" x14ac:dyDescent="0.2">
      <c r="A57" s="36" t="s">
        <v>123</v>
      </c>
      <c r="B57" s="37">
        <v>630.72</v>
      </c>
      <c r="C57" s="37">
        <v>369.495</v>
      </c>
      <c r="D57" s="37">
        <v>292.5</v>
      </c>
    </row>
    <row r="58" spans="1:4" x14ac:dyDescent="0.2">
      <c r="A58" s="36" t="s">
        <v>124</v>
      </c>
      <c r="B58" s="37">
        <v>90</v>
      </c>
      <c r="C58" s="37"/>
      <c r="D58" s="37">
        <v>0</v>
      </c>
    </row>
    <row r="59" spans="1:4" x14ac:dyDescent="0.2">
      <c r="A59" s="36" t="s">
        <v>125</v>
      </c>
      <c r="B59" s="37">
        <v>2073.6</v>
      </c>
      <c r="C59" s="37">
        <v>24697.399999999998</v>
      </c>
      <c r="D59" s="37">
        <v>350</v>
      </c>
    </row>
    <row r="60" spans="1:4" x14ac:dyDescent="0.2">
      <c r="A60" s="36" t="s">
        <v>126</v>
      </c>
      <c r="B60" s="37"/>
      <c r="C60" s="37">
        <v>1402.9999999999998</v>
      </c>
      <c r="D60" s="37"/>
    </row>
    <row r="61" spans="1:4" x14ac:dyDescent="0.2">
      <c r="A61" s="36" t="s">
        <v>127</v>
      </c>
      <c r="B61" s="37">
        <v>76.8</v>
      </c>
      <c r="C61" s="37"/>
      <c r="D61" s="37"/>
    </row>
    <row r="62" spans="1:4" x14ac:dyDescent="0.2">
      <c r="A62" s="36" t="s">
        <v>128</v>
      </c>
    </row>
    <row r="63" spans="1:4" x14ac:dyDescent="0.2">
      <c r="A63" s="36" t="s">
        <v>104</v>
      </c>
      <c r="B63" s="37">
        <v>3639.12</v>
      </c>
      <c r="C63" s="37">
        <v>26469.894999999997</v>
      </c>
      <c r="D63" s="37">
        <v>692.5</v>
      </c>
    </row>
    <row r="65" spans="1:4" x14ac:dyDescent="0.2">
      <c r="A65" s="36" t="s">
        <v>129</v>
      </c>
    </row>
    <row r="66" spans="1:4" x14ac:dyDescent="0.2">
      <c r="A66" s="36" t="s">
        <v>130</v>
      </c>
      <c r="B66" s="37">
        <v>76.8</v>
      </c>
      <c r="C66" s="37"/>
      <c r="D66" s="37"/>
    </row>
    <row r="67" spans="1:4" x14ac:dyDescent="0.2">
      <c r="A67" s="36" t="s">
        <v>131</v>
      </c>
      <c r="B67" s="37">
        <v>614.40000000000009</v>
      </c>
      <c r="C67" s="37"/>
      <c r="D67" s="37">
        <v>50</v>
      </c>
    </row>
    <row r="68" spans="1:4" x14ac:dyDescent="0.2">
      <c r="A68" s="36" t="s">
        <v>132</v>
      </c>
      <c r="B68" s="37">
        <v>575.23199999999997</v>
      </c>
      <c r="C68" s="37">
        <v>2697.279</v>
      </c>
      <c r="D68" s="37">
        <v>290</v>
      </c>
    </row>
    <row r="69" spans="1:4" x14ac:dyDescent="0.2">
      <c r="A69" s="36" t="s">
        <v>133</v>
      </c>
      <c r="B69" s="37">
        <v>0</v>
      </c>
      <c r="C69" s="37">
        <v>4715</v>
      </c>
      <c r="D69" s="37"/>
    </row>
    <row r="70" spans="1:4" x14ac:dyDescent="0.2">
      <c r="A70" s="36" t="s">
        <v>134</v>
      </c>
      <c r="B70" s="37">
        <v>153.6</v>
      </c>
      <c r="C70" s="37"/>
      <c r="D70" s="37"/>
    </row>
    <row r="71" spans="1:4" x14ac:dyDescent="0.2">
      <c r="A71" s="36" t="s">
        <v>135</v>
      </c>
      <c r="B71" s="37">
        <v>0</v>
      </c>
      <c r="C71" s="37">
        <v>580.75</v>
      </c>
      <c r="D71" s="37"/>
    </row>
    <row r="72" spans="1:4" x14ac:dyDescent="0.2">
      <c r="A72" s="36" t="s">
        <v>136</v>
      </c>
      <c r="B72" s="37">
        <v>130.56</v>
      </c>
      <c r="C72" s="37"/>
      <c r="D72" s="37"/>
    </row>
    <row r="73" spans="1:4" x14ac:dyDescent="0.2">
      <c r="A73" s="36" t="s">
        <v>137</v>
      </c>
      <c r="B73" s="37">
        <v>754.94400000000007</v>
      </c>
      <c r="C73" s="37">
        <v>2451.0639999999999</v>
      </c>
      <c r="D73" s="37">
        <v>352</v>
      </c>
    </row>
    <row r="75" spans="1:4" x14ac:dyDescent="0.2">
      <c r="A75" s="36" t="s">
        <v>104</v>
      </c>
      <c r="B75" s="37">
        <v>2305.5360000000001</v>
      </c>
      <c r="C75" s="37">
        <v>10444.093000000001</v>
      </c>
      <c r="D75" s="37">
        <v>692</v>
      </c>
    </row>
    <row r="77" spans="1:4" x14ac:dyDescent="0.2">
      <c r="A77" s="36" t="s">
        <v>138</v>
      </c>
      <c r="B77" s="37">
        <v>13394.255999999999</v>
      </c>
      <c r="C77" s="37">
        <v>36913.987999999998</v>
      </c>
      <c r="D77" s="37">
        <v>45064.210999999996</v>
      </c>
    </row>
    <row r="79" spans="1:4" x14ac:dyDescent="0.2">
      <c r="A79" s="36" t="s">
        <v>139</v>
      </c>
      <c r="D79" s="37">
        <v>95372.454999999987</v>
      </c>
    </row>
    <row r="83" spans="1:4" x14ac:dyDescent="0.2">
      <c r="A83" s="36" t="s">
        <v>140</v>
      </c>
    </row>
    <row r="84" spans="1:4" x14ac:dyDescent="0.2">
      <c r="A84" s="36" t="s">
        <v>141</v>
      </c>
      <c r="B84" s="37">
        <v>460.80000000000007</v>
      </c>
      <c r="C84" s="37"/>
      <c r="D84" s="37"/>
    </row>
    <row r="85" spans="1:4" x14ac:dyDescent="0.2">
      <c r="A85" s="36" t="s">
        <v>142</v>
      </c>
      <c r="B85" s="37">
        <v>0</v>
      </c>
      <c r="C85" s="37"/>
    </row>
    <row r="86" spans="1:4" x14ac:dyDescent="0.2">
      <c r="A86" s="36" t="s">
        <v>143</v>
      </c>
      <c r="B86" s="37">
        <v>0</v>
      </c>
      <c r="C86" s="37"/>
      <c r="D86" s="37"/>
    </row>
    <row r="87" spans="1:4" x14ac:dyDescent="0.2">
      <c r="A87" s="36" t="s">
        <v>144</v>
      </c>
      <c r="B87" s="37">
        <v>0</v>
      </c>
      <c r="C87" s="37"/>
      <c r="D87" s="37"/>
    </row>
    <row r="88" spans="1:4" x14ac:dyDescent="0.2">
      <c r="A88" s="36" t="s">
        <v>145</v>
      </c>
      <c r="B88" s="37">
        <v>0</v>
      </c>
      <c r="C88" s="37"/>
      <c r="D88" s="37"/>
    </row>
    <row r="89" spans="1:4" x14ac:dyDescent="0.2">
      <c r="A89" s="36" t="s">
        <v>146</v>
      </c>
      <c r="B89" s="37">
        <v>0</v>
      </c>
      <c r="C89" s="37"/>
    </row>
    <row r="90" spans="1:4" x14ac:dyDescent="0.2">
      <c r="A90" s="36" t="s">
        <v>147</v>
      </c>
      <c r="B90" s="37">
        <v>576</v>
      </c>
      <c r="C90" s="37"/>
      <c r="D90" s="37">
        <v>0</v>
      </c>
    </row>
    <row r="91" spans="1:4" x14ac:dyDescent="0.2">
      <c r="A91" s="36" t="s">
        <v>148</v>
      </c>
      <c r="B91" s="37"/>
      <c r="C91" s="37"/>
      <c r="D91" s="37">
        <v>0</v>
      </c>
    </row>
    <row r="93" spans="1:4" x14ac:dyDescent="0.2">
      <c r="A93" s="36" t="s">
        <v>104</v>
      </c>
      <c r="B93" s="37">
        <v>1036.8000000000002</v>
      </c>
      <c r="C93" s="37">
        <v>0</v>
      </c>
      <c r="D93" s="37">
        <v>0</v>
      </c>
    </row>
    <row r="95" spans="1:4" x14ac:dyDescent="0.2">
      <c r="A95" s="36" t="s">
        <v>149</v>
      </c>
    </row>
    <row r="96" spans="1:4" x14ac:dyDescent="0.2">
      <c r="A96" s="36" t="s">
        <v>150</v>
      </c>
      <c r="B96" s="37">
        <v>0</v>
      </c>
      <c r="C96" s="37"/>
      <c r="D96" s="37"/>
    </row>
    <row r="97" spans="1:4" x14ac:dyDescent="0.2">
      <c r="A97" s="36" t="s">
        <v>151</v>
      </c>
      <c r="B97" s="37">
        <v>0</v>
      </c>
      <c r="C97" s="37"/>
      <c r="D97" s="37"/>
    </row>
    <row r="98" spans="1:4" x14ac:dyDescent="0.2">
      <c r="A98" s="36" t="s">
        <v>152</v>
      </c>
      <c r="B98" s="37">
        <v>0</v>
      </c>
      <c r="C98" s="37"/>
      <c r="D98" s="37"/>
    </row>
    <row r="99" spans="1:4" x14ac:dyDescent="0.2">
      <c r="A99" s="36" t="s">
        <v>153</v>
      </c>
      <c r="B99" s="37">
        <v>0</v>
      </c>
      <c r="C99" s="37">
        <v>0</v>
      </c>
      <c r="D99" s="37"/>
    </row>
    <row r="100" spans="1:4" x14ac:dyDescent="0.2">
      <c r="A100" s="36" t="s">
        <v>154</v>
      </c>
      <c r="B100" s="37">
        <v>0</v>
      </c>
      <c r="C100" s="37">
        <v>0</v>
      </c>
      <c r="D100" s="37"/>
    </row>
    <row r="101" spans="1:4" x14ac:dyDescent="0.2">
      <c r="A101" s="36" t="s">
        <v>155</v>
      </c>
      <c r="B101" s="37">
        <v>0</v>
      </c>
      <c r="C101" s="37">
        <v>0</v>
      </c>
      <c r="D101" s="37"/>
    </row>
    <row r="102" spans="1:4" x14ac:dyDescent="0.2">
      <c r="A102" s="36" t="s">
        <v>156</v>
      </c>
      <c r="B102" s="37"/>
      <c r="C102" s="37">
        <v>0</v>
      </c>
      <c r="D102" s="37"/>
    </row>
    <row r="103" spans="1:4" x14ac:dyDescent="0.2">
      <c r="A103" s="36" t="s">
        <v>157</v>
      </c>
      <c r="B103" s="37">
        <v>0</v>
      </c>
      <c r="C103" s="37"/>
      <c r="D103" s="37"/>
    </row>
    <row r="105" spans="1:4" x14ac:dyDescent="0.2">
      <c r="A105" s="36" t="s">
        <v>104</v>
      </c>
      <c r="B105" s="37">
        <v>0</v>
      </c>
      <c r="C105" s="37">
        <v>0</v>
      </c>
      <c r="D105" s="37">
        <v>0</v>
      </c>
    </row>
    <row r="107" spans="1:4" x14ac:dyDescent="0.2">
      <c r="A107" s="36" t="s">
        <v>158</v>
      </c>
    </row>
    <row r="108" spans="1:4" x14ac:dyDescent="0.2">
      <c r="A108" s="36" t="s">
        <v>150</v>
      </c>
      <c r="B108" s="37">
        <v>175.61088000000001</v>
      </c>
      <c r="C108" s="37"/>
      <c r="D108" s="37"/>
    </row>
    <row r="109" spans="1:4" x14ac:dyDescent="0.2">
      <c r="A109" s="36" t="s">
        <v>151</v>
      </c>
      <c r="B109" s="37">
        <v>36.585599999999999</v>
      </c>
      <c r="C109" s="37"/>
      <c r="D109" s="37"/>
    </row>
    <row r="110" spans="1:4" x14ac:dyDescent="0.2">
      <c r="A110" s="36" t="s">
        <v>159</v>
      </c>
      <c r="B110" s="37">
        <v>18.2928</v>
      </c>
      <c r="C110" s="37"/>
      <c r="D110" s="37"/>
    </row>
    <row r="111" spans="1:4" x14ac:dyDescent="0.2">
      <c r="A111" s="36" t="s">
        <v>160</v>
      </c>
      <c r="B111" s="37">
        <v>109.7568</v>
      </c>
      <c r="C111" s="37">
        <v>5090.0097099999994</v>
      </c>
      <c r="D111" s="37"/>
    </row>
    <row r="112" spans="1:4" x14ac:dyDescent="0.2">
      <c r="A112" s="36" t="s">
        <v>161</v>
      </c>
      <c r="B112" s="37">
        <v>11.796480000000001</v>
      </c>
      <c r="C112" s="37">
        <v>89.026559999999989</v>
      </c>
      <c r="D112" s="37"/>
    </row>
    <row r="113" spans="1:4" x14ac:dyDescent="0.2">
      <c r="A113" s="36" t="s">
        <v>162</v>
      </c>
      <c r="B113" s="37"/>
      <c r="C113" s="37">
        <v>512.77004999999986</v>
      </c>
      <c r="D113" s="37">
        <v>19.055</v>
      </c>
    </row>
    <row r="114" spans="1:4" x14ac:dyDescent="0.2">
      <c r="A114" s="36" t="s">
        <v>163</v>
      </c>
      <c r="B114" s="37">
        <v>36.585599999999999</v>
      </c>
      <c r="C114" s="37"/>
      <c r="D114" s="37"/>
    </row>
    <row r="116" spans="1:4" x14ac:dyDescent="0.2">
      <c r="A116" s="36" t="s">
        <v>104</v>
      </c>
      <c r="B116" s="37">
        <v>388.62815999999998</v>
      </c>
      <c r="C116" s="37">
        <v>5691.8063199999997</v>
      </c>
      <c r="D116" s="37">
        <v>19.055</v>
      </c>
    </row>
    <row r="117" spans="1:4" x14ac:dyDescent="0.2">
      <c r="B117" s="37"/>
      <c r="C117" s="37"/>
      <c r="D117" s="37"/>
    </row>
    <row r="118" spans="1:4" x14ac:dyDescent="0.2">
      <c r="A118" s="36" t="s">
        <v>164</v>
      </c>
      <c r="B118" s="37"/>
      <c r="C118" s="37"/>
      <c r="D118" s="37"/>
    </row>
    <row r="119" spans="1:4" x14ac:dyDescent="0.2">
      <c r="A119" s="36" t="s">
        <v>150</v>
      </c>
      <c r="B119" s="37">
        <v>460.8</v>
      </c>
      <c r="C119" s="37"/>
      <c r="D119" s="37"/>
    </row>
    <row r="120" spans="1:4" x14ac:dyDescent="0.2">
      <c r="A120" s="36" t="s">
        <v>151</v>
      </c>
      <c r="B120" s="37">
        <v>96</v>
      </c>
      <c r="C120" s="37"/>
      <c r="D120" s="37"/>
    </row>
    <row r="121" spans="1:4" x14ac:dyDescent="0.2">
      <c r="A121" s="36" t="s">
        <v>159</v>
      </c>
      <c r="B121" s="37">
        <v>48</v>
      </c>
      <c r="C121" s="37"/>
      <c r="D121" s="37"/>
    </row>
    <row r="122" spans="1:4" x14ac:dyDescent="0.2">
      <c r="A122" s="36" t="s">
        <v>165</v>
      </c>
      <c r="B122" s="37">
        <v>115.2</v>
      </c>
      <c r="C122" s="37">
        <v>8484.6999999999989</v>
      </c>
      <c r="D122" s="37"/>
    </row>
    <row r="123" spans="1:4" x14ac:dyDescent="0.2">
      <c r="A123" s="36" t="s">
        <v>162</v>
      </c>
      <c r="B123" s="37"/>
      <c r="C123" s="37">
        <v>1345.4999999999998</v>
      </c>
      <c r="D123" s="37">
        <v>50</v>
      </c>
    </row>
    <row r="124" spans="1:4" x14ac:dyDescent="0.2">
      <c r="A124" s="36" t="s">
        <v>163</v>
      </c>
      <c r="B124" s="37">
        <v>96</v>
      </c>
      <c r="C124" s="37"/>
      <c r="D124" s="37"/>
    </row>
    <row r="125" spans="1:4" x14ac:dyDescent="0.2">
      <c r="B125" s="37"/>
      <c r="C125" s="37"/>
      <c r="D125" s="37"/>
    </row>
    <row r="126" spans="1:4" x14ac:dyDescent="0.2">
      <c r="A126" s="36" t="s">
        <v>104</v>
      </c>
      <c r="B126" s="37">
        <v>816</v>
      </c>
      <c r="C126" s="37">
        <v>9830.1999999999989</v>
      </c>
      <c r="D126" s="37">
        <v>50</v>
      </c>
    </row>
    <row r="128" spans="1:4" x14ac:dyDescent="0.2">
      <c r="A128" s="36" t="s">
        <v>166</v>
      </c>
    </row>
    <row r="129" spans="1:4" x14ac:dyDescent="0.2">
      <c r="A129" s="36" t="s">
        <v>152</v>
      </c>
      <c r="B129" s="37">
        <v>144</v>
      </c>
      <c r="C129" s="37"/>
      <c r="D129" s="37"/>
    </row>
    <row r="130" spans="1:4" x14ac:dyDescent="0.2">
      <c r="A130" s="36" t="s">
        <v>167</v>
      </c>
      <c r="B130" s="37">
        <v>86.4</v>
      </c>
      <c r="C130" s="37"/>
      <c r="D130" s="37">
        <v>600</v>
      </c>
    </row>
    <row r="131" spans="1:4" x14ac:dyDescent="0.2">
      <c r="A131" s="36" t="s">
        <v>154</v>
      </c>
      <c r="B131" s="37">
        <v>32.927040000000005</v>
      </c>
      <c r="C131" s="37"/>
      <c r="D131" s="37"/>
    </row>
    <row r="132" spans="1:4" x14ac:dyDescent="0.2">
      <c r="A132" s="36" t="s">
        <v>155</v>
      </c>
      <c r="B132" s="37">
        <v>5.4878400000000003</v>
      </c>
      <c r="C132" s="37"/>
      <c r="D132" s="37">
        <v>0</v>
      </c>
    </row>
    <row r="133" spans="1:4" x14ac:dyDescent="0.2">
      <c r="A133" s="36" t="s">
        <v>168</v>
      </c>
      <c r="B133" s="37">
        <v>316.79999999999995</v>
      </c>
      <c r="C133" s="37"/>
      <c r="D133" s="37">
        <v>20</v>
      </c>
    </row>
    <row r="135" spans="1:4" x14ac:dyDescent="0.2">
      <c r="A135" s="36" t="s">
        <v>104</v>
      </c>
      <c r="B135" s="37">
        <v>585.61487999999997</v>
      </c>
      <c r="C135" s="37">
        <v>0</v>
      </c>
      <c r="D135" s="37">
        <v>620</v>
      </c>
    </row>
    <row r="137" spans="1:4" x14ac:dyDescent="0.2">
      <c r="A137" s="36" t="s">
        <v>169</v>
      </c>
    </row>
    <row r="138" spans="1:4" x14ac:dyDescent="0.2">
      <c r="A138" s="36" t="s">
        <v>170</v>
      </c>
      <c r="B138" s="37">
        <v>4608</v>
      </c>
      <c r="C138" s="37"/>
      <c r="D138" s="37"/>
    </row>
    <row r="139" spans="1:4" x14ac:dyDescent="0.2">
      <c r="A139" s="36" t="s">
        <v>171</v>
      </c>
      <c r="B139" s="37">
        <v>489.6</v>
      </c>
      <c r="C139" s="37"/>
      <c r="D139" s="37"/>
    </row>
    <row r="140" spans="1:4" x14ac:dyDescent="0.2">
      <c r="A140" s="36" t="s">
        <v>172</v>
      </c>
      <c r="B140" s="37">
        <v>350.4</v>
      </c>
      <c r="C140" s="37"/>
      <c r="D140" s="37">
        <v>40</v>
      </c>
    </row>
    <row r="142" spans="1:4" x14ac:dyDescent="0.2">
      <c r="A142" s="36" t="s">
        <v>104</v>
      </c>
      <c r="B142" s="37">
        <v>5448</v>
      </c>
      <c r="C142" s="37">
        <v>0</v>
      </c>
      <c r="D142" s="37">
        <v>40</v>
      </c>
    </row>
    <row r="144" spans="1:4" x14ac:dyDescent="0.2">
      <c r="A144" s="36" t="s">
        <v>173</v>
      </c>
    </row>
    <row r="145" spans="1:6" x14ac:dyDescent="0.2">
      <c r="A145" s="36" t="s">
        <v>174</v>
      </c>
      <c r="B145" s="37">
        <v>662.4</v>
      </c>
      <c r="C145" s="37"/>
      <c r="D145" s="37">
        <v>230</v>
      </c>
    </row>
    <row r="146" spans="1:6" x14ac:dyDescent="0.2">
      <c r="A146" s="36" t="s">
        <v>175</v>
      </c>
      <c r="B146" s="37">
        <v>240</v>
      </c>
      <c r="C146" s="37"/>
      <c r="D146" s="37">
        <v>50</v>
      </c>
    </row>
    <row r="147" spans="1:6" x14ac:dyDescent="0.2">
      <c r="A147" s="36" t="s">
        <v>176</v>
      </c>
      <c r="B147" s="37">
        <v>115.2</v>
      </c>
      <c r="C147" s="37"/>
      <c r="D147" s="37">
        <v>1000</v>
      </c>
    </row>
    <row r="148" spans="1:6" x14ac:dyDescent="0.2">
      <c r="A148" s="36" t="s">
        <v>177</v>
      </c>
      <c r="B148" s="37">
        <v>391.67999999999995</v>
      </c>
      <c r="C148" s="37"/>
      <c r="D148" s="37"/>
    </row>
    <row r="149" spans="1:6" x14ac:dyDescent="0.2">
      <c r="B149" s="37"/>
      <c r="C149" s="37"/>
      <c r="D149" s="37"/>
    </row>
    <row r="150" spans="1:6" x14ac:dyDescent="0.2">
      <c r="A150" s="36" t="s">
        <v>104</v>
      </c>
      <c r="B150" s="37">
        <v>1409.28</v>
      </c>
      <c r="C150" s="37">
        <v>0</v>
      </c>
      <c r="D150" s="37">
        <v>1280</v>
      </c>
    </row>
    <row r="151" spans="1:6" x14ac:dyDescent="0.2">
      <c r="B151" s="37"/>
      <c r="C151" s="37"/>
      <c r="D151" s="37"/>
    </row>
    <row r="152" spans="1:6" x14ac:dyDescent="0.2">
      <c r="A152" s="36" t="s">
        <v>178</v>
      </c>
      <c r="B152" s="37">
        <v>1907.3420543999998</v>
      </c>
      <c r="C152" s="37">
        <v>5256.5518911999998</v>
      </c>
      <c r="D152" s="37">
        <v>6417.1436463999989</v>
      </c>
    </row>
    <row r="154" spans="1:6" x14ac:dyDescent="0.2">
      <c r="A154" s="36" t="s">
        <v>179</v>
      </c>
      <c r="B154" s="37">
        <v>11591.665094400001</v>
      </c>
      <c r="C154" s="37">
        <v>20778.558211199997</v>
      </c>
      <c r="D154" s="37">
        <v>8426.1986463999983</v>
      </c>
    </row>
    <row r="156" spans="1:6" x14ac:dyDescent="0.2">
      <c r="A156" s="36" t="s">
        <v>180</v>
      </c>
      <c r="C156" s="37"/>
      <c r="D156" s="37">
        <v>40796.421951999997</v>
      </c>
      <c r="F156" s="37"/>
    </row>
    <row r="161" spans="1:5" x14ac:dyDescent="0.2">
      <c r="A161" s="36" t="s">
        <v>181</v>
      </c>
    </row>
    <row r="163" spans="1:5" x14ac:dyDescent="0.2">
      <c r="A163" s="36" t="s">
        <v>49</v>
      </c>
      <c r="B163" s="36" t="s">
        <v>50</v>
      </c>
      <c r="C163" s="36" t="s">
        <v>51</v>
      </c>
      <c r="D163" s="36" t="s">
        <v>52</v>
      </c>
      <c r="E163" s="36" t="s">
        <v>1</v>
      </c>
    </row>
    <row r="164" spans="1:5" x14ac:dyDescent="0.2">
      <c r="A164" s="36" t="s">
        <v>53</v>
      </c>
      <c r="B164" s="37">
        <v>806.4</v>
      </c>
      <c r="C164" s="37">
        <v>0</v>
      </c>
      <c r="D164" s="37">
        <v>0</v>
      </c>
      <c r="E164" s="37">
        <v>806.4</v>
      </c>
    </row>
    <row r="165" spans="1:5" x14ac:dyDescent="0.2">
      <c r="A165" s="36" t="s">
        <v>54</v>
      </c>
      <c r="B165" s="37">
        <v>4224</v>
      </c>
      <c r="C165" s="37">
        <v>0</v>
      </c>
      <c r="D165" s="37">
        <v>343.33600000000001</v>
      </c>
      <c r="E165" s="37">
        <v>4567.3360000000002</v>
      </c>
    </row>
    <row r="166" spans="1:5" x14ac:dyDescent="0.2">
      <c r="A166" s="36" t="s">
        <v>55</v>
      </c>
      <c r="B166" s="37">
        <v>0</v>
      </c>
      <c r="C166" s="37">
        <v>0</v>
      </c>
      <c r="D166" s="37">
        <v>365</v>
      </c>
      <c r="E166" s="37">
        <v>365</v>
      </c>
    </row>
    <row r="167" spans="1:5" x14ac:dyDescent="0.2">
      <c r="A167" s="36" t="s">
        <v>56</v>
      </c>
      <c r="B167" s="37">
        <v>0</v>
      </c>
      <c r="C167" s="37">
        <v>0</v>
      </c>
      <c r="D167" s="37">
        <v>30952</v>
      </c>
      <c r="E167" s="37">
        <v>30952</v>
      </c>
    </row>
    <row r="168" spans="1:5" x14ac:dyDescent="0.2">
      <c r="A168" s="36" t="s">
        <v>57</v>
      </c>
      <c r="B168" s="37">
        <v>2419.1999999999998</v>
      </c>
      <c r="C168" s="37">
        <v>0</v>
      </c>
      <c r="D168" s="37">
        <v>12019.375</v>
      </c>
      <c r="E168" s="37">
        <v>14438.575000000001</v>
      </c>
    </row>
    <row r="169" spans="1:5" x14ac:dyDescent="0.2">
      <c r="A169" s="36" t="s">
        <v>58</v>
      </c>
      <c r="B169" s="37">
        <v>3639.12</v>
      </c>
      <c r="C169" s="37">
        <v>26469.894999999997</v>
      </c>
      <c r="D169" s="37">
        <v>692.5</v>
      </c>
      <c r="E169" s="37">
        <v>30801.514999999996</v>
      </c>
    </row>
    <row r="170" spans="1:5" x14ac:dyDescent="0.2">
      <c r="A170" s="36" t="s">
        <v>59</v>
      </c>
      <c r="B170" s="37">
        <v>2305.5360000000001</v>
      </c>
      <c r="C170" s="37">
        <v>10444.093000000001</v>
      </c>
      <c r="D170" s="37">
        <v>692</v>
      </c>
      <c r="E170" s="37">
        <v>13441.629000000001</v>
      </c>
    </row>
    <row r="171" spans="1:5" x14ac:dyDescent="0.2">
      <c r="B171" s="37">
        <v>13394.255999999999</v>
      </c>
      <c r="C171" s="37">
        <v>36913.987999999998</v>
      </c>
      <c r="D171" s="37">
        <v>45064.210999999996</v>
      </c>
      <c r="E171" s="37">
        <v>95372.454999999987</v>
      </c>
    </row>
    <row r="173" spans="1:5" x14ac:dyDescent="0.2">
      <c r="A173" s="36" t="s">
        <v>62</v>
      </c>
    </row>
    <row r="174" spans="1:5" x14ac:dyDescent="0.2">
      <c r="A174" s="36" t="s">
        <v>64</v>
      </c>
      <c r="B174" s="37">
        <v>1036.8000000000002</v>
      </c>
      <c r="C174" s="37">
        <v>0</v>
      </c>
      <c r="D174" s="37">
        <v>0</v>
      </c>
      <c r="E174" s="37">
        <v>1036.8000000000002</v>
      </c>
    </row>
    <row r="175" spans="1:5" x14ac:dyDescent="0.2">
      <c r="A175" s="36" t="s">
        <v>65</v>
      </c>
      <c r="B175" s="37">
        <v>0</v>
      </c>
      <c r="C175" s="37">
        <v>0</v>
      </c>
      <c r="D175" s="37">
        <v>0</v>
      </c>
      <c r="E175" s="37">
        <v>0</v>
      </c>
    </row>
    <row r="176" spans="1:5" x14ac:dyDescent="0.2">
      <c r="A176" s="36" t="s">
        <v>66</v>
      </c>
      <c r="B176" s="37">
        <v>388.62815999999998</v>
      </c>
      <c r="C176" s="37">
        <v>5691.8063199999997</v>
      </c>
      <c r="D176" s="37">
        <v>19.055</v>
      </c>
      <c r="E176" s="37">
        <v>6099.4894800000002</v>
      </c>
    </row>
    <row r="177" spans="1:5" x14ac:dyDescent="0.2">
      <c r="A177" s="36" t="s">
        <v>67</v>
      </c>
      <c r="B177" s="37">
        <v>816</v>
      </c>
      <c r="C177" s="37">
        <v>9830.1999999999989</v>
      </c>
      <c r="D177" s="37">
        <v>50</v>
      </c>
      <c r="E177" s="37">
        <v>10696.199999999999</v>
      </c>
    </row>
    <row r="178" spans="1:5" x14ac:dyDescent="0.2">
      <c r="A178" s="36" t="s">
        <v>68</v>
      </c>
      <c r="B178" s="37">
        <v>585.61487999999997</v>
      </c>
      <c r="C178" s="37">
        <v>0</v>
      </c>
      <c r="D178" s="37">
        <v>620</v>
      </c>
      <c r="E178" s="37">
        <v>1205.6148800000001</v>
      </c>
    </row>
    <row r="179" spans="1:5" x14ac:dyDescent="0.2">
      <c r="A179" s="36" t="s">
        <v>69</v>
      </c>
      <c r="B179" s="37">
        <v>5448</v>
      </c>
      <c r="C179" s="37">
        <v>0</v>
      </c>
      <c r="D179" s="37">
        <v>40</v>
      </c>
      <c r="E179" s="37">
        <v>5488</v>
      </c>
    </row>
    <row r="180" spans="1:5" x14ac:dyDescent="0.2">
      <c r="A180" s="36" t="s">
        <v>70</v>
      </c>
      <c r="B180" s="37">
        <v>1409.28</v>
      </c>
      <c r="C180" s="37">
        <v>0</v>
      </c>
      <c r="D180" s="37">
        <v>1280</v>
      </c>
      <c r="E180" s="37">
        <v>2689.2799999999997</v>
      </c>
    </row>
    <row r="181" spans="1:5" x14ac:dyDescent="0.2">
      <c r="A181" s="36" t="s">
        <v>71</v>
      </c>
      <c r="B181" s="37">
        <v>1907.3420543999998</v>
      </c>
      <c r="C181" s="37">
        <v>5256.5518911999998</v>
      </c>
      <c r="D181" s="37">
        <v>6417.1436463999989</v>
      </c>
      <c r="E181" s="37">
        <v>13581.037591999999</v>
      </c>
    </row>
    <row r="183" spans="1:5" x14ac:dyDescent="0.2">
      <c r="A183" s="36" t="s">
        <v>72</v>
      </c>
      <c r="B183" s="37">
        <v>9684.3230400000011</v>
      </c>
      <c r="C183" s="37">
        <v>15522.006319999999</v>
      </c>
      <c r="D183" s="37">
        <v>2009.0550000000001</v>
      </c>
      <c r="E183" s="37">
        <v>27215.38436</v>
      </c>
    </row>
    <row r="184" spans="1:5" x14ac:dyDescent="0.2">
      <c r="A184" s="36" t="s">
        <v>73</v>
      </c>
      <c r="B184" s="37">
        <v>11591.665094400001</v>
      </c>
      <c r="C184" s="37">
        <v>20778.558211199997</v>
      </c>
      <c r="D184" s="37">
        <v>8426.1986463999983</v>
      </c>
      <c r="E184" s="37">
        <v>40796.421951999997</v>
      </c>
    </row>
    <row r="186" spans="1:5" x14ac:dyDescent="0.2">
      <c r="C186" s="3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F184"/>
  <sheetViews>
    <sheetView topLeftCell="A169" zoomScaleNormal="100" workbookViewId="0">
      <selection activeCell="I65" sqref="I65"/>
    </sheetView>
  </sheetViews>
  <sheetFormatPr defaultColWidth="9.140625" defaultRowHeight="12.75" x14ac:dyDescent="0.2"/>
  <cols>
    <col min="1" max="1" width="39" style="36" bestFit="1" customWidth="1"/>
    <col min="2" max="2" width="6.5703125" style="36" customWidth="1"/>
    <col min="3" max="3" width="6.5703125" style="36" bestFit="1" customWidth="1"/>
    <col min="4" max="5" width="7.5703125" style="36" bestFit="1" customWidth="1"/>
    <col min="6" max="16384" width="9.140625" style="36"/>
  </cols>
  <sheetData>
    <row r="1" spans="1:4" x14ac:dyDescent="0.2">
      <c r="B1" s="36" t="s">
        <v>50</v>
      </c>
      <c r="C1" s="36" t="s">
        <v>51</v>
      </c>
      <c r="D1" s="36" t="s">
        <v>80</v>
      </c>
    </row>
    <row r="2" spans="1:4" x14ac:dyDescent="0.2">
      <c r="A2" s="36" t="s">
        <v>81</v>
      </c>
    </row>
    <row r="3" spans="1:4" x14ac:dyDescent="0.2">
      <c r="A3" s="36" t="s">
        <v>82</v>
      </c>
      <c r="B3" s="37">
        <v>48</v>
      </c>
      <c r="C3" s="37"/>
      <c r="D3" s="37"/>
    </row>
    <row r="4" spans="1:4" x14ac:dyDescent="0.2">
      <c r="A4" s="36" t="s">
        <v>83</v>
      </c>
      <c r="B4" s="37">
        <v>48</v>
      </c>
      <c r="C4" s="37"/>
      <c r="D4" s="37">
        <v>0</v>
      </c>
    </row>
    <row r="5" spans="1:4" x14ac:dyDescent="0.2">
      <c r="A5" s="36" t="s">
        <v>84</v>
      </c>
      <c r="B5" s="37">
        <v>240</v>
      </c>
      <c r="C5" s="37"/>
      <c r="D5" s="37"/>
    </row>
    <row r="6" spans="1:4" x14ac:dyDescent="0.2">
      <c r="A6" s="36" t="s">
        <v>85</v>
      </c>
      <c r="B6" s="37">
        <v>86.4</v>
      </c>
      <c r="C6" s="37"/>
      <c r="D6" s="37">
        <v>0</v>
      </c>
    </row>
    <row r="7" spans="1:4" x14ac:dyDescent="0.2">
      <c r="A7" s="36" t="s">
        <v>86</v>
      </c>
      <c r="B7" s="37">
        <v>192</v>
      </c>
      <c r="C7" s="37"/>
      <c r="D7" s="37"/>
    </row>
    <row r="8" spans="1:4" x14ac:dyDescent="0.2">
      <c r="A8" s="36" t="s">
        <v>87</v>
      </c>
      <c r="B8" s="37">
        <v>192</v>
      </c>
      <c r="C8" s="37"/>
      <c r="D8" s="37"/>
    </row>
    <row r="10" spans="1:4" x14ac:dyDescent="0.2">
      <c r="A10" s="36" t="s">
        <v>88</v>
      </c>
      <c r="B10" s="37">
        <v>806.4</v>
      </c>
      <c r="C10" s="37">
        <v>0</v>
      </c>
      <c r="D10" s="37">
        <v>0</v>
      </c>
    </row>
    <row r="12" spans="1:4" x14ac:dyDescent="0.2">
      <c r="A12" s="36" t="s">
        <v>89</v>
      </c>
    </row>
    <row r="13" spans="1:4" x14ac:dyDescent="0.2">
      <c r="A13" s="36" t="s">
        <v>90</v>
      </c>
      <c r="B13" s="37">
        <v>96</v>
      </c>
    </row>
    <row r="14" spans="1:4" x14ac:dyDescent="0.2">
      <c r="A14" s="36" t="s">
        <v>91</v>
      </c>
      <c r="B14" s="37">
        <v>508.8</v>
      </c>
    </row>
    <row r="15" spans="1:4" x14ac:dyDescent="0.2">
      <c r="A15" s="36" t="s">
        <v>92</v>
      </c>
      <c r="B15" s="37">
        <v>192</v>
      </c>
    </row>
    <row r="16" spans="1:4" x14ac:dyDescent="0.2">
      <c r="A16" s="36" t="s">
        <v>93</v>
      </c>
      <c r="B16" s="37">
        <v>480</v>
      </c>
    </row>
    <row r="17" spans="1:4" x14ac:dyDescent="0.2">
      <c r="A17" s="36" t="s">
        <v>94</v>
      </c>
      <c r="B17" s="37">
        <v>144</v>
      </c>
      <c r="D17" s="37">
        <v>73.335999999999999</v>
      </c>
    </row>
    <row r="18" spans="1:4" x14ac:dyDescent="0.2">
      <c r="A18" s="36" t="s">
        <v>95</v>
      </c>
      <c r="B18" s="37">
        <v>288</v>
      </c>
      <c r="D18" s="37">
        <v>50</v>
      </c>
    </row>
    <row r="19" spans="1:4" x14ac:dyDescent="0.2">
      <c r="A19" s="36" t="s">
        <v>96</v>
      </c>
      <c r="B19" s="37">
        <v>1440</v>
      </c>
      <c r="D19" s="37">
        <v>20</v>
      </c>
    </row>
    <row r="20" spans="1:4" x14ac:dyDescent="0.2">
      <c r="A20" s="36" t="s">
        <v>97</v>
      </c>
      <c r="B20" s="37">
        <v>576</v>
      </c>
      <c r="D20" s="37"/>
    </row>
    <row r="21" spans="1:4" x14ac:dyDescent="0.2">
      <c r="A21" s="36" t="s">
        <v>98</v>
      </c>
      <c r="B21" s="37">
        <v>1545.6</v>
      </c>
      <c r="D21" s="37">
        <v>200</v>
      </c>
    </row>
    <row r="23" spans="1:4" x14ac:dyDescent="0.2">
      <c r="A23" s="36" t="s">
        <v>88</v>
      </c>
      <c r="B23" s="37">
        <v>5270.4</v>
      </c>
      <c r="C23" s="37">
        <v>0</v>
      </c>
      <c r="D23" s="37">
        <v>343.33600000000001</v>
      </c>
    </row>
    <row r="25" spans="1:4" x14ac:dyDescent="0.2">
      <c r="A25" s="36" t="s">
        <v>99</v>
      </c>
    </row>
    <row r="26" spans="1:4" x14ac:dyDescent="0.2">
      <c r="A26" s="36" t="s">
        <v>100</v>
      </c>
      <c r="D26" s="37">
        <v>365</v>
      </c>
    </row>
    <row r="27" spans="1:4" x14ac:dyDescent="0.2">
      <c r="A27" s="36" t="s">
        <v>101</v>
      </c>
      <c r="D27" s="37">
        <v>0</v>
      </c>
    </row>
    <row r="28" spans="1:4" x14ac:dyDescent="0.2">
      <c r="A28" s="36" t="s">
        <v>102</v>
      </c>
      <c r="D28" s="37">
        <v>0</v>
      </c>
    </row>
    <row r="29" spans="1:4" x14ac:dyDescent="0.2">
      <c r="A29" s="36" t="s">
        <v>103</v>
      </c>
      <c r="D29" s="37">
        <v>0</v>
      </c>
    </row>
    <row r="31" spans="1:4" x14ac:dyDescent="0.2">
      <c r="A31" s="36" t="s">
        <v>104</v>
      </c>
      <c r="B31" s="37">
        <v>0</v>
      </c>
      <c r="C31" s="37">
        <v>0</v>
      </c>
      <c r="D31" s="37">
        <v>365</v>
      </c>
    </row>
    <row r="32" spans="1:4" x14ac:dyDescent="0.2">
      <c r="C32" s="37"/>
      <c r="D32" s="37"/>
    </row>
    <row r="33" spans="1:4" x14ac:dyDescent="0.2">
      <c r="A33" s="36" t="s">
        <v>105</v>
      </c>
    </row>
    <row r="34" spans="1:4" x14ac:dyDescent="0.2">
      <c r="A34" s="36" t="s">
        <v>106</v>
      </c>
      <c r="D34" s="37">
        <v>0</v>
      </c>
    </row>
    <row r="35" spans="1:4" x14ac:dyDescent="0.2">
      <c r="A35" s="36" t="s">
        <v>107</v>
      </c>
      <c r="D35" s="37">
        <v>56000</v>
      </c>
    </row>
    <row r="36" spans="1:4" x14ac:dyDescent="0.2">
      <c r="A36" s="36" t="s">
        <v>108</v>
      </c>
      <c r="D36" s="37">
        <v>0</v>
      </c>
    </row>
    <row r="37" spans="1:4" x14ac:dyDescent="0.2">
      <c r="A37" s="36" t="s">
        <v>109</v>
      </c>
      <c r="D37" s="37">
        <v>9000</v>
      </c>
    </row>
    <row r="38" spans="1:4" x14ac:dyDescent="0.2">
      <c r="A38" s="36" t="s">
        <v>110</v>
      </c>
      <c r="D38" s="37">
        <v>6800</v>
      </c>
    </row>
    <row r="39" spans="1:4" x14ac:dyDescent="0.2">
      <c r="A39" s="36" t="s">
        <v>111</v>
      </c>
      <c r="D39" s="37">
        <v>2400</v>
      </c>
    </row>
    <row r="40" spans="1:4" x14ac:dyDescent="0.2">
      <c r="A40" s="36" t="s">
        <v>112</v>
      </c>
      <c r="D40" s="37">
        <v>0</v>
      </c>
    </row>
    <row r="41" spans="1:4" x14ac:dyDescent="0.2">
      <c r="A41" s="36" t="s">
        <v>113</v>
      </c>
      <c r="D41" s="37">
        <v>0</v>
      </c>
    </row>
    <row r="42" spans="1:4" x14ac:dyDescent="0.2">
      <c r="A42" s="36" t="s">
        <v>114</v>
      </c>
      <c r="D42" s="37"/>
    </row>
    <row r="43" spans="1:4" x14ac:dyDescent="0.2">
      <c r="A43" s="36" t="s">
        <v>115</v>
      </c>
      <c r="D43" s="37">
        <v>0</v>
      </c>
    </row>
    <row r="44" spans="1:4" x14ac:dyDescent="0.2">
      <c r="A44" s="36" t="s">
        <v>116</v>
      </c>
      <c r="D44" s="37">
        <v>4452</v>
      </c>
    </row>
    <row r="46" spans="1:4" x14ac:dyDescent="0.2">
      <c r="A46" s="36" t="s">
        <v>104</v>
      </c>
      <c r="B46" s="37"/>
      <c r="C46" s="37"/>
      <c r="D46" s="37">
        <v>78652</v>
      </c>
    </row>
    <row r="48" spans="1:4" x14ac:dyDescent="0.2">
      <c r="A48" s="36" t="s">
        <v>117</v>
      </c>
    </row>
    <row r="49" spans="1:4" x14ac:dyDescent="0.2">
      <c r="A49" s="36" t="s">
        <v>118</v>
      </c>
      <c r="B49" s="37">
        <v>921.6</v>
      </c>
      <c r="C49" s="37"/>
      <c r="D49" s="37">
        <v>2000</v>
      </c>
    </row>
    <row r="50" spans="1:4" x14ac:dyDescent="0.2">
      <c r="A50" s="36" t="s">
        <v>119</v>
      </c>
      <c r="B50" s="37">
        <v>115.2</v>
      </c>
      <c r="C50" s="37"/>
      <c r="D50" s="37">
        <v>7250</v>
      </c>
    </row>
    <row r="51" spans="1:4" x14ac:dyDescent="0.2">
      <c r="A51" s="36" t="s">
        <v>120</v>
      </c>
      <c r="B51" s="37">
        <v>1843.2</v>
      </c>
      <c r="C51" s="37"/>
      <c r="D51" s="37">
        <v>4769.375</v>
      </c>
    </row>
    <row r="53" spans="1:4" x14ac:dyDescent="0.2">
      <c r="A53" s="36" t="s">
        <v>104</v>
      </c>
      <c r="B53" s="37">
        <v>2880</v>
      </c>
      <c r="C53" s="37">
        <v>0</v>
      </c>
      <c r="D53" s="37">
        <v>14019.375</v>
      </c>
    </row>
    <row r="55" spans="1:4" x14ac:dyDescent="0.2">
      <c r="A55" s="36" t="s">
        <v>121</v>
      </c>
    </row>
    <row r="56" spans="1:4" x14ac:dyDescent="0.2">
      <c r="A56" s="36" t="s">
        <v>122</v>
      </c>
      <c r="B56" s="37">
        <v>768</v>
      </c>
      <c r="C56" s="37"/>
      <c r="D56" s="37">
        <v>50</v>
      </c>
    </row>
    <row r="57" spans="1:4" x14ac:dyDescent="0.2">
      <c r="A57" s="36" t="s">
        <v>123</v>
      </c>
      <c r="B57" s="37">
        <v>630.72</v>
      </c>
      <c r="C57" s="37">
        <v>369.495</v>
      </c>
      <c r="D57" s="37">
        <v>292.5</v>
      </c>
    </row>
    <row r="58" spans="1:4" x14ac:dyDescent="0.2">
      <c r="A58" s="36" t="s">
        <v>124</v>
      </c>
      <c r="B58" s="37">
        <v>90</v>
      </c>
      <c r="C58" s="37"/>
      <c r="D58" s="37">
        <v>0</v>
      </c>
    </row>
    <row r="59" spans="1:4" x14ac:dyDescent="0.2">
      <c r="A59" s="36" t="s">
        <v>125</v>
      </c>
      <c r="B59" s="37">
        <v>2073.6</v>
      </c>
      <c r="C59" s="37">
        <v>24697.399999999998</v>
      </c>
      <c r="D59" s="37">
        <v>350</v>
      </c>
    </row>
    <row r="60" spans="1:4" x14ac:dyDescent="0.2">
      <c r="A60" s="36" t="s">
        <v>126</v>
      </c>
      <c r="B60" s="37"/>
      <c r="C60" s="37">
        <v>1402.9999999999998</v>
      </c>
      <c r="D60" s="37"/>
    </row>
    <row r="61" spans="1:4" x14ac:dyDescent="0.2">
      <c r="A61" s="36" t="s">
        <v>127</v>
      </c>
      <c r="B61" s="37">
        <v>76.8</v>
      </c>
      <c r="C61" s="37"/>
      <c r="D61" s="37"/>
    </row>
    <row r="62" spans="1:4" x14ac:dyDescent="0.2">
      <c r="A62" s="36" t="s">
        <v>128</v>
      </c>
    </row>
    <row r="63" spans="1:4" x14ac:dyDescent="0.2">
      <c r="A63" s="36" t="s">
        <v>104</v>
      </c>
      <c r="B63" s="37">
        <v>3639.12</v>
      </c>
      <c r="C63" s="37">
        <v>26469.894999999997</v>
      </c>
      <c r="D63" s="37">
        <v>692.5</v>
      </c>
    </row>
    <row r="65" spans="1:4" x14ac:dyDescent="0.2">
      <c r="A65" s="36" t="s">
        <v>129</v>
      </c>
    </row>
    <row r="66" spans="1:4" x14ac:dyDescent="0.2">
      <c r="A66" s="36" t="s">
        <v>130</v>
      </c>
      <c r="B66" s="37">
        <v>76.8</v>
      </c>
      <c r="C66" s="37"/>
      <c r="D66" s="37"/>
    </row>
    <row r="67" spans="1:4" x14ac:dyDescent="0.2">
      <c r="A67" s="36" t="s">
        <v>131</v>
      </c>
      <c r="B67" s="37">
        <v>614.40000000000009</v>
      </c>
      <c r="C67" s="37"/>
      <c r="D67" s="37">
        <v>50</v>
      </c>
    </row>
    <row r="68" spans="1:4" x14ac:dyDescent="0.2">
      <c r="A68" s="36" t="s">
        <v>132</v>
      </c>
      <c r="B68" s="37">
        <v>575.23199999999997</v>
      </c>
      <c r="C68" s="37">
        <v>2697.279</v>
      </c>
      <c r="D68" s="37">
        <v>290</v>
      </c>
    </row>
    <row r="69" spans="1:4" x14ac:dyDescent="0.2">
      <c r="A69" s="36" t="s">
        <v>133</v>
      </c>
      <c r="B69" s="37">
        <v>0</v>
      </c>
      <c r="C69" s="37">
        <v>4715</v>
      </c>
      <c r="D69" s="37"/>
    </row>
    <row r="70" spans="1:4" x14ac:dyDescent="0.2">
      <c r="A70" s="36" t="s">
        <v>134</v>
      </c>
      <c r="B70" s="37">
        <v>153.6</v>
      </c>
      <c r="C70" s="37"/>
      <c r="D70" s="37"/>
    </row>
    <row r="71" spans="1:4" x14ac:dyDescent="0.2">
      <c r="A71" s="36" t="s">
        <v>135</v>
      </c>
      <c r="B71" s="37">
        <v>0</v>
      </c>
      <c r="C71" s="37">
        <v>580.75</v>
      </c>
      <c r="D71" s="37"/>
    </row>
    <row r="72" spans="1:4" x14ac:dyDescent="0.2">
      <c r="A72" s="36" t="s">
        <v>136</v>
      </c>
      <c r="B72" s="37">
        <v>130.56</v>
      </c>
      <c r="C72" s="37"/>
      <c r="D72" s="37"/>
    </row>
    <row r="73" spans="1:4" x14ac:dyDescent="0.2">
      <c r="A73" s="36" t="s">
        <v>137</v>
      </c>
      <c r="B73" s="37">
        <v>754.94400000000007</v>
      </c>
      <c r="C73" s="37">
        <v>2451.0639999999999</v>
      </c>
      <c r="D73" s="37">
        <v>352</v>
      </c>
    </row>
    <row r="75" spans="1:4" x14ac:dyDescent="0.2">
      <c r="A75" s="36" t="s">
        <v>104</v>
      </c>
      <c r="B75" s="37">
        <v>2305.5360000000001</v>
      </c>
      <c r="C75" s="37">
        <v>10444.093000000001</v>
      </c>
      <c r="D75" s="37">
        <v>692</v>
      </c>
    </row>
    <row r="77" spans="1:4" x14ac:dyDescent="0.2">
      <c r="A77" s="36" t="s">
        <v>138</v>
      </c>
      <c r="B77" s="37">
        <v>14901.455999999998</v>
      </c>
      <c r="C77" s="37">
        <v>36913.987999999998</v>
      </c>
      <c r="D77" s="37">
        <v>94764.210999999996</v>
      </c>
    </row>
    <row r="79" spans="1:4" x14ac:dyDescent="0.2">
      <c r="A79" s="36" t="s">
        <v>139</v>
      </c>
      <c r="D79" s="37">
        <v>146579.655</v>
      </c>
    </row>
    <row r="83" spans="1:4" x14ac:dyDescent="0.2">
      <c r="A83" s="36" t="s">
        <v>140</v>
      </c>
    </row>
    <row r="84" spans="1:4" x14ac:dyDescent="0.2">
      <c r="A84" s="36" t="s">
        <v>141</v>
      </c>
      <c r="B84" s="37">
        <v>460.80000000000007</v>
      </c>
      <c r="C84" s="37"/>
      <c r="D84" s="37"/>
    </row>
    <row r="85" spans="1:4" x14ac:dyDescent="0.2">
      <c r="A85" s="36" t="s">
        <v>142</v>
      </c>
      <c r="B85" s="37">
        <v>0</v>
      </c>
      <c r="C85" s="37"/>
    </row>
    <row r="86" spans="1:4" x14ac:dyDescent="0.2">
      <c r="A86" s="36" t="s">
        <v>143</v>
      </c>
      <c r="B86" s="37">
        <v>367.2</v>
      </c>
      <c r="C86" s="37"/>
      <c r="D86" s="37"/>
    </row>
    <row r="87" spans="1:4" x14ac:dyDescent="0.2">
      <c r="A87" s="36" t="s">
        <v>144</v>
      </c>
      <c r="B87" s="37">
        <v>0</v>
      </c>
      <c r="C87" s="37"/>
      <c r="D87" s="37"/>
    </row>
    <row r="88" spans="1:4" x14ac:dyDescent="0.2">
      <c r="A88" s="36" t="s">
        <v>145</v>
      </c>
      <c r="B88" s="37">
        <v>691.2</v>
      </c>
      <c r="C88" s="37"/>
      <c r="D88" s="37"/>
    </row>
    <row r="89" spans="1:4" x14ac:dyDescent="0.2">
      <c r="A89" s="36" t="s">
        <v>146</v>
      </c>
      <c r="B89" s="37">
        <v>0</v>
      </c>
      <c r="C89" s="37"/>
    </row>
    <row r="90" spans="1:4" x14ac:dyDescent="0.2">
      <c r="A90" s="36" t="s">
        <v>147</v>
      </c>
      <c r="B90" s="37">
        <v>230.4</v>
      </c>
      <c r="C90" s="37"/>
      <c r="D90" s="37">
        <v>1000</v>
      </c>
    </row>
    <row r="91" spans="1:4" x14ac:dyDescent="0.2">
      <c r="A91" s="36" t="s">
        <v>148</v>
      </c>
      <c r="B91" s="37"/>
      <c r="C91" s="37"/>
      <c r="D91" s="37">
        <v>0</v>
      </c>
    </row>
    <row r="93" spans="1:4" x14ac:dyDescent="0.2">
      <c r="A93" s="36" t="s">
        <v>104</v>
      </c>
      <c r="B93" s="37">
        <v>1749.6000000000001</v>
      </c>
      <c r="C93" s="37">
        <v>0</v>
      </c>
      <c r="D93" s="37">
        <v>1000</v>
      </c>
    </row>
    <row r="95" spans="1:4" x14ac:dyDescent="0.2">
      <c r="A95" s="36" t="s">
        <v>149</v>
      </c>
    </row>
    <row r="96" spans="1:4" x14ac:dyDescent="0.2">
      <c r="A96" s="36" t="s">
        <v>150</v>
      </c>
      <c r="B96" s="37">
        <v>0</v>
      </c>
      <c r="C96" s="37"/>
      <c r="D96" s="37"/>
    </row>
    <row r="97" spans="1:4" x14ac:dyDescent="0.2">
      <c r="A97" s="36" t="s">
        <v>151</v>
      </c>
      <c r="B97" s="37">
        <v>0</v>
      </c>
      <c r="C97" s="37"/>
      <c r="D97" s="37"/>
    </row>
    <row r="98" spans="1:4" x14ac:dyDescent="0.2">
      <c r="A98" s="36" t="s">
        <v>152</v>
      </c>
      <c r="B98" s="37">
        <v>0</v>
      </c>
      <c r="C98" s="37"/>
      <c r="D98" s="37"/>
    </row>
    <row r="99" spans="1:4" x14ac:dyDescent="0.2">
      <c r="A99" s="36" t="s">
        <v>153</v>
      </c>
      <c r="B99" s="37">
        <v>0</v>
      </c>
      <c r="C99" s="37">
        <v>0</v>
      </c>
      <c r="D99" s="37"/>
    </row>
    <row r="100" spans="1:4" x14ac:dyDescent="0.2">
      <c r="A100" s="36" t="s">
        <v>154</v>
      </c>
      <c r="B100" s="37">
        <v>0</v>
      </c>
      <c r="C100" s="37">
        <v>0</v>
      </c>
      <c r="D100" s="37"/>
    </row>
    <row r="101" spans="1:4" x14ac:dyDescent="0.2">
      <c r="A101" s="36" t="s">
        <v>155</v>
      </c>
      <c r="B101" s="37">
        <v>0</v>
      </c>
      <c r="C101" s="37">
        <v>0</v>
      </c>
      <c r="D101" s="37"/>
    </row>
    <row r="102" spans="1:4" x14ac:dyDescent="0.2">
      <c r="A102" s="36" t="s">
        <v>156</v>
      </c>
      <c r="B102" s="37"/>
      <c r="C102" s="37">
        <v>0</v>
      </c>
      <c r="D102" s="37"/>
    </row>
    <row r="103" spans="1:4" x14ac:dyDescent="0.2">
      <c r="A103" s="36" t="s">
        <v>157</v>
      </c>
      <c r="B103" s="37">
        <v>0</v>
      </c>
      <c r="C103" s="37"/>
      <c r="D103" s="37"/>
    </row>
    <row r="105" spans="1:4" x14ac:dyDescent="0.2">
      <c r="A105" s="36" t="s">
        <v>104</v>
      </c>
      <c r="B105" s="37">
        <v>0</v>
      </c>
      <c r="C105" s="37">
        <v>0</v>
      </c>
      <c r="D105" s="37">
        <v>0</v>
      </c>
    </row>
    <row r="107" spans="1:4" x14ac:dyDescent="0.2">
      <c r="A107" s="36" t="s">
        <v>158</v>
      </c>
    </row>
    <row r="108" spans="1:4" x14ac:dyDescent="0.2">
      <c r="A108" s="36" t="s">
        <v>150</v>
      </c>
      <c r="B108" s="37">
        <v>175.61088000000001</v>
      </c>
      <c r="C108" s="37"/>
      <c r="D108" s="37"/>
    </row>
    <row r="109" spans="1:4" x14ac:dyDescent="0.2">
      <c r="A109" s="36" t="s">
        <v>151</v>
      </c>
      <c r="B109" s="37">
        <v>36.585599999999999</v>
      </c>
      <c r="C109" s="37"/>
      <c r="D109" s="37"/>
    </row>
    <row r="110" spans="1:4" x14ac:dyDescent="0.2">
      <c r="A110" s="36" t="s">
        <v>159</v>
      </c>
      <c r="B110" s="37">
        <v>18.2928</v>
      </c>
      <c r="C110" s="37"/>
      <c r="D110" s="37"/>
    </row>
    <row r="111" spans="1:4" x14ac:dyDescent="0.2">
      <c r="A111" s="36" t="s">
        <v>160</v>
      </c>
      <c r="B111" s="37">
        <v>109.7568</v>
      </c>
      <c r="C111" s="37">
        <v>5090.0097099999994</v>
      </c>
      <c r="D111" s="37"/>
    </row>
    <row r="112" spans="1:4" x14ac:dyDescent="0.2">
      <c r="A112" s="36" t="s">
        <v>161</v>
      </c>
      <c r="B112" s="37">
        <v>11.796480000000001</v>
      </c>
      <c r="C112" s="37">
        <v>89.026559999999989</v>
      </c>
      <c r="D112" s="37"/>
    </row>
    <row r="113" spans="1:4" x14ac:dyDescent="0.2">
      <c r="A113" s="36" t="s">
        <v>162</v>
      </c>
      <c r="B113" s="37"/>
      <c r="C113" s="37">
        <v>512.77004999999986</v>
      </c>
      <c r="D113" s="37">
        <v>19.055</v>
      </c>
    </row>
    <row r="114" spans="1:4" x14ac:dyDescent="0.2">
      <c r="A114" s="36" t="s">
        <v>163</v>
      </c>
      <c r="B114" s="37">
        <v>36.585599999999999</v>
      </c>
      <c r="C114" s="37"/>
      <c r="D114" s="37"/>
    </row>
    <row r="116" spans="1:4" x14ac:dyDescent="0.2">
      <c r="A116" s="36" t="s">
        <v>104</v>
      </c>
      <c r="B116" s="37">
        <v>388.62815999999998</v>
      </c>
      <c r="C116" s="37">
        <v>5691.8063199999997</v>
      </c>
      <c r="D116" s="37">
        <v>19.055</v>
      </c>
    </row>
    <row r="117" spans="1:4" x14ac:dyDescent="0.2">
      <c r="B117" s="37"/>
      <c r="C117" s="37"/>
      <c r="D117" s="37"/>
    </row>
    <row r="118" spans="1:4" x14ac:dyDescent="0.2">
      <c r="A118" s="36" t="s">
        <v>164</v>
      </c>
      <c r="B118" s="37"/>
      <c r="C118" s="37"/>
      <c r="D118" s="37"/>
    </row>
    <row r="119" spans="1:4" x14ac:dyDescent="0.2">
      <c r="A119" s="36" t="s">
        <v>150</v>
      </c>
      <c r="B119" s="37">
        <v>460.8</v>
      </c>
      <c r="C119" s="37"/>
      <c r="D119" s="37"/>
    </row>
    <row r="120" spans="1:4" x14ac:dyDescent="0.2">
      <c r="A120" s="36" t="s">
        <v>151</v>
      </c>
      <c r="B120" s="37">
        <v>96</v>
      </c>
      <c r="C120" s="37"/>
      <c r="D120" s="37"/>
    </row>
    <row r="121" spans="1:4" x14ac:dyDescent="0.2">
      <c r="A121" s="36" t="s">
        <v>159</v>
      </c>
      <c r="B121" s="37">
        <v>48</v>
      </c>
      <c r="C121" s="37"/>
      <c r="D121" s="37"/>
    </row>
    <row r="122" spans="1:4" x14ac:dyDescent="0.2">
      <c r="A122" s="36" t="s">
        <v>165</v>
      </c>
      <c r="B122" s="37">
        <v>115.2</v>
      </c>
      <c r="C122" s="37">
        <v>8484.6999999999989</v>
      </c>
      <c r="D122" s="37"/>
    </row>
    <row r="123" spans="1:4" x14ac:dyDescent="0.2">
      <c r="A123" s="36" t="s">
        <v>162</v>
      </c>
      <c r="B123" s="37"/>
      <c r="C123" s="37">
        <v>1345.4999999999998</v>
      </c>
      <c r="D123" s="37">
        <v>50</v>
      </c>
    </row>
    <row r="124" spans="1:4" x14ac:dyDescent="0.2">
      <c r="A124" s="36" t="s">
        <v>163</v>
      </c>
      <c r="B124" s="37">
        <v>96</v>
      </c>
      <c r="C124" s="37"/>
      <c r="D124" s="37"/>
    </row>
    <row r="125" spans="1:4" x14ac:dyDescent="0.2">
      <c r="B125" s="37"/>
      <c r="C125" s="37"/>
      <c r="D125" s="37"/>
    </row>
    <row r="126" spans="1:4" x14ac:dyDescent="0.2">
      <c r="A126" s="36" t="s">
        <v>104</v>
      </c>
      <c r="B126" s="37">
        <v>816</v>
      </c>
      <c r="C126" s="37">
        <v>9830.1999999999989</v>
      </c>
      <c r="D126" s="37">
        <v>50</v>
      </c>
    </row>
    <row r="128" spans="1:4" x14ac:dyDescent="0.2">
      <c r="A128" s="36" t="s">
        <v>166</v>
      </c>
    </row>
    <row r="129" spans="1:4" x14ac:dyDescent="0.2">
      <c r="A129" s="36" t="s">
        <v>152</v>
      </c>
      <c r="B129" s="37">
        <v>144</v>
      </c>
      <c r="C129" s="37"/>
      <c r="D129" s="37"/>
    </row>
    <row r="130" spans="1:4" x14ac:dyDescent="0.2">
      <c r="A130" s="36" t="s">
        <v>167</v>
      </c>
      <c r="B130" s="37">
        <v>201.60000000000002</v>
      </c>
      <c r="C130" s="37"/>
      <c r="D130" s="37">
        <v>600</v>
      </c>
    </row>
    <row r="131" spans="1:4" x14ac:dyDescent="0.2">
      <c r="A131" s="36" t="s">
        <v>154</v>
      </c>
      <c r="B131" s="37">
        <v>32.927040000000005</v>
      </c>
      <c r="C131" s="37"/>
      <c r="D131" s="37"/>
    </row>
    <row r="132" spans="1:4" x14ac:dyDescent="0.2">
      <c r="A132" s="36" t="s">
        <v>155</v>
      </c>
      <c r="B132" s="37">
        <v>5.4878400000000003</v>
      </c>
      <c r="C132" s="37"/>
      <c r="D132" s="37">
        <v>0</v>
      </c>
    </row>
    <row r="133" spans="1:4" x14ac:dyDescent="0.2">
      <c r="A133" s="36" t="s">
        <v>168</v>
      </c>
      <c r="B133" s="37">
        <v>316.79999999999995</v>
      </c>
      <c r="C133" s="37"/>
      <c r="D133" s="37">
        <v>20</v>
      </c>
    </row>
    <row r="135" spans="1:4" x14ac:dyDescent="0.2">
      <c r="A135" s="36" t="s">
        <v>104</v>
      </c>
      <c r="B135" s="37">
        <v>700.81488000000002</v>
      </c>
      <c r="C135" s="37">
        <v>0</v>
      </c>
      <c r="D135" s="37">
        <v>620</v>
      </c>
    </row>
    <row r="137" spans="1:4" x14ac:dyDescent="0.2">
      <c r="A137" s="36" t="s">
        <v>169</v>
      </c>
    </row>
    <row r="138" spans="1:4" x14ac:dyDescent="0.2">
      <c r="A138" s="36" t="s">
        <v>170</v>
      </c>
      <c r="B138" s="37">
        <v>4608</v>
      </c>
      <c r="C138" s="37"/>
      <c r="D138" s="37"/>
    </row>
    <row r="139" spans="1:4" x14ac:dyDescent="0.2">
      <c r="A139" s="36" t="s">
        <v>171</v>
      </c>
      <c r="B139" s="37">
        <v>489.6</v>
      </c>
      <c r="C139" s="37"/>
      <c r="D139" s="37"/>
    </row>
    <row r="140" spans="1:4" x14ac:dyDescent="0.2">
      <c r="A140" s="36" t="s">
        <v>172</v>
      </c>
      <c r="B140" s="37">
        <v>350.4</v>
      </c>
      <c r="C140" s="37"/>
      <c r="D140" s="37">
        <v>40</v>
      </c>
    </row>
    <row r="142" spans="1:4" x14ac:dyDescent="0.2">
      <c r="A142" s="36" t="s">
        <v>104</v>
      </c>
      <c r="B142" s="37">
        <v>5448</v>
      </c>
      <c r="C142" s="37">
        <v>0</v>
      </c>
      <c r="D142" s="37">
        <v>40</v>
      </c>
    </row>
    <row r="144" spans="1:4" x14ac:dyDescent="0.2">
      <c r="A144" s="36" t="s">
        <v>173</v>
      </c>
    </row>
    <row r="145" spans="1:6" x14ac:dyDescent="0.2">
      <c r="A145" s="36" t="s">
        <v>174</v>
      </c>
      <c r="B145" s="37">
        <v>662.4</v>
      </c>
      <c r="C145" s="37"/>
      <c r="D145" s="37">
        <v>230</v>
      </c>
    </row>
    <row r="146" spans="1:6" x14ac:dyDescent="0.2">
      <c r="A146" s="36" t="s">
        <v>175</v>
      </c>
      <c r="B146" s="37">
        <v>240</v>
      </c>
      <c r="C146" s="37"/>
      <c r="D146" s="37">
        <v>50</v>
      </c>
    </row>
    <row r="147" spans="1:6" x14ac:dyDescent="0.2">
      <c r="A147" s="36" t="s">
        <v>176</v>
      </c>
      <c r="B147" s="37">
        <v>115.2</v>
      </c>
      <c r="C147" s="37"/>
      <c r="D147" s="37">
        <v>5600</v>
      </c>
    </row>
    <row r="148" spans="1:6" x14ac:dyDescent="0.2">
      <c r="A148" s="36" t="s">
        <v>177</v>
      </c>
      <c r="B148" s="37">
        <v>391.67999999999995</v>
      </c>
      <c r="C148" s="37"/>
      <c r="D148" s="37"/>
    </row>
    <row r="149" spans="1:6" x14ac:dyDescent="0.2">
      <c r="B149" s="37"/>
      <c r="C149" s="37"/>
      <c r="D149" s="37"/>
    </row>
    <row r="150" spans="1:6" x14ac:dyDescent="0.2">
      <c r="A150" s="36" t="s">
        <v>104</v>
      </c>
      <c r="B150" s="37">
        <v>1409.28</v>
      </c>
      <c r="C150" s="37">
        <v>0</v>
      </c>
      <c r="D150" s="37">
        <v>5880</v>
      </c>
    </row>
    <row r="151" spans="1:6" x14ac:dyDescent="0.2">
      <c r="B151" s="37"/>
      <c r="C151" s="37"/>
      <c r="D151" s="37"/>
    </row>
    <row r="152" spans="1:6" x14ac:dyDescent="0.2">
      <c r="A152" s="36" t="s">
        <v>178</v>
      </c>
      <c r="B152" s="37">
        <v>2121.9673343999998</v>
      </c>
      <c r="C152" s="37">
        <v>5256.5518911999998</v>
      </c>
      <c r="D152" s="37">
        <v>13494.423646399999</v>
      </c>
    </row>
    <row r="154" spans="1:6" x14ac:dyDescent="0.2">
      <c r="A154" s="36" t="s">
        <v>179</v>
      </c>
      <c r="B154" s="37">
        <v>12634.290374400001</v>
      </c>
      <c r="C154" s="37">
        <v>20778.558211199997</v>
      </c>
      <c r="D154" s="37">
        <v>21103.478646399999</v>
      </c>
    </row>
    <row r="156" spans="1:6" x14ac:dyDescent="0.2">
      <c r="A156" s="36" t="s">
        <v>180</v>
      </c>
      <c r="C156" s="37"/>
      <c r="D156" s="37">
        <v>54516.327231999996</v>
      </c>
      <c r="F156" s="37"/>
    </row>
    <row r="161" spans="1:5" x14ac:dyDescent="0.2">
      <c r="A161" s="36" t="s">
        <v>181</v>
      </c>
    </row>
    <row r="163" spans="1:5" x14ac:dyDescent="0.2">
      <c r="A163" s="36" t="s">
        <v>49</v>
      </c>
      <c r="B163" s="36" t="s">
        <v>50</v>
      </c>
      <c r="C163" s="36" t="s">
        <v>51</v>
      </c>
      <c r="D163" s="36" t="s">
        <v>52</v>
      </c>
      <c r="E163" s="36" t="s">
        <v>1</v>
      </c>
    </row>
    <row r="164" spans="1:5" x14ac:dyDescent="0.2">
      <c r="A164" s="36" t="s">
        <v>53</v>
      </c>
      <c r="B164" s="37">
        <v>806.4</v>
      </c>
      <c r="C164" s="37">
        <v>0</v>
      </c>
      <c r="D164" s="37">
        <v>0</v>
      </c>
      <c r="E164" s="37">
        <v>806.4</v>
      </c>
    </row>
    <row r="165" spans="1:5" x14ac:dyDescent="0.2">
      <c r="A165" s="36" t="s">
        <v>54</v>
      </c>
      <c r="B165" s="37">
        <v>5270.4</v>
      </c>
      <c r="C165" s="37">
        <v>0</v>
      </c>
      <c r="D165" s="37">
        <v>343.33600000000001</v>
      </c>
      <c r="E165" s="37">
        <v>5613.7359999999999</v>
      </c>
    </row>
    <row r="166" spans="1:5" x14ac:dyDescent="0.2">
      <c r="A166" s="36" t="s">
        <v>55</v>
      </c>
      <c r="B166" s="37">
        <v>0</v>
      </c>
      <c r="C166" s="37">
        <v>0</v>
      </c>
      <c r="D166" s="37">
        <v>365</v>
      </c>
      <c r="E166" s="37">
        <v>365</v>
      </c>
    </row>
    <row r="167" spans="1:5" x14ac:dyDescent="0.2">
      <c r="A167" s="36" t="s">
        <v>56</v>
      </c>
      <c r="B167" s="37">
        <v>0</v>
      </c>
      <c r="C167" s="37">
        <v>0</v>
      </c>
      <c r="D167" s="37">
        <v>78652</v>
      </c>
      <c r="E167" s="37">
        <v>78652</v>
      </c>
    </row>
    <row r="168" spans="1:5" x14ac:dyDescent="0.2">
      <c r="A168" s="36" t="s">
        <v>57</v>
      </c>
      <c r="B168" s="37">
        <v>2880</v>
      </c>
      <c r="C168" s="37">
        <v>0</v>
      </c>
      <c r="D168" s="37">
        <v>14019.375</v>
      </c>
      <c r="E168" s="37">
        <v>16899.375</v>
      </c>
    </row>
    <row r="169" spans="1:5" x14ac:dyDescent="0.2">
      <c r="A169" s="36" t="s">
        <v>58</v>
      </c>
      <c r="B169" s="37">
        <v>3639.12</v>
      </c>
      <c r="C169" s="37">
        <v>26469.894999999997</v>
      </c>
      <c r="D169" s="37">
        <v>692.5</v>
      </c>
      <c r="E169" s="37">
        <v>30801.514999999996</v>
      </c>
    </row>
    <row r="170" spans="1:5" x14ac:dyDescent="0.2">
      <c r="A170" s="36" t="s">
        <v>59</v>
      </c>
      <c r="B170" s="37">
        <v>2305.5360000000001</v>
      </c>
      <c r="C170" s="37">
        <v>10444.093000000001</v>
      </c>
      <c r="D170" s="37">
        <v>692</v>
      </c>
      <c r="E170" s="37">
        <v>13441.629000000001</v>
      </c>
    </row>
    <row r="171" spans="1:5" x14ac:dyDescent="0.2">
      <c r="B171" s="37">
        <v>14901.455999999998</v>
      </c>
      <c r="C171" s="37">
        <v>36913.987999999998</v>
      </c>
      <c r="D171" s="37">
        <v>94764.210999999996</v>
      </c>
      <c r="E171" s="37">
        <v>146579.655</v>
      </c>
    </row>
    <row r="173" spans="1:5" x14ac:dyDescent="0.2">
      <c r="A173" s="36" t="s">
        <v>62</v>
      </c>
    </row>
    <row r="174" spans="1:5" x14ac:dyDescent="0.2">
      <c r="A174" s="36" t="s">
        <v>64</v>
      </c>
      <c r="B174" s="37">
        <v>1749.6000000000001</v>
      </c>
      <c r="C174" s="37">
        <v>0</v>
      </c>
      <c r="D174" s="37">
        <v>1000</v>
      </c>
      <c r="E174" s="37">
        <v>2749.6000000000004</v>
      </c>
    </row>
    <row r="175" spans="1:5" x14ac:dyDescent="0.2">
      <c r="A175" s="36" t="s">
        <v>65</v>
      </c>
      <c r="B175" s="37">
        <v>0</v>
      </c>
      <c r="C175" s="37">
        <v>0</v>
      </c>
      <c r="D175" s="37">
        <v>0</v>
      </c>
      <c r="E175" s="37">
        <v>0</v>
      </c>
    </row>
    <row r="176" spans="1:5" x14ac:dyDescent="0.2">
      <c r="A176" s="36" t="s">
        <v>66</v>
      </c>
      <c r="B176" s="37">
        <v>388.62815999999998</v>
      </c>
      <c r="C176" s="37">
        <v>5691.8063199999997</v>
      </c>
      <c r="D176" s="37">
        <v>19.055</v>
      </c>
      <c r="E176" s="37">
        <v>6099.4894800000002</v>
      </c>
    </row>
    <row r="177" spans="1:5" x14ac:dyDescent="0.2">
      <c r="A177" s="36" t="s">
        <v>67</v>
      </c>
      <c r="B177" s="37">
        <v>816</v>
      </c>
      <c r="C177" s="37">
        <v>9830.1999999999989</v>
      </c>
      <c r="D177" s="37">
        <v>50</v>
      </c>
      <c r="E177" s="37">
        <v>10696.199999999999</v>
      </c>
    </row>
    <row r="178" spans="1:5" x14ac:dyDescent="0.2">
      <c r="A178" s="36" t="s">
        <v>68</v>
      </c>
      <c r="B178" s="37">
        <v>700.81488000000002</v>
      </c>
      <c r="C178" s="37">
        <v>0</v>
      </c>
      <c r="D178" s="37">
        <v>620</v>
      </c>
      <c r="E178" s="37">
        <v>1320.8148799999999</v>
      </c>
    </row>
    <row r="179" spans="1:5" x14ac:dyDescent="0.2">
      <c r="A179" s="36" t="s">
        <v>69</v>
      </c>
      <c r="B179" s="37">
        <v>5448</v>
      </c>
      <c r="C179" s="37">
        <v>0</v>
      </c>
      <c r="D179" s="37">
        <v>40</v>
      </c>
      <c r="E179" s="37">
        <v>5488</v>
      </c>
    </row>
    <row r="180" spans="1:5" x14ac:dyDescent="0.2">
      <c r="A180" s="36" t="s">
        <v>70</v>
      </c>
      <c r="B180" s="37">
        <v>1409.28</v>
      </c>
      <c r="C180" s="37">
        <v>0</v>
      </c>
      <c r="D180" s="37">
        <v>5880</v>
      </c>
      <c r="E180" s="37">
        <v>7289.28</v>
      </c>
    </row>
    <row r="181" spans="1:5" x14ac:dyDescent="0.2">
      <c r="A181" s="36" t="s">
        <v>71</v>
      </c>
      <c r="B181" s="37">
        <v>2121.9673343999998</v>
      </c>
      <c r="C181" s="37">
        <v>5256.5518911999998</v>
      </c>
      <c r="D181" s="37">
        <v>13494.423646399999</v>
      </c>
      <c r="E181" s="37">
        <v>20872.942872</v>
      </c>
    </row>
    <row r="183" spans="1:5" x14ac:dyDescent="0.2">
      <c r="A183" s="36" t="s">
        <v>72</v>
      </c>
      <c r="B183" s="37">
        <v>10512.323040000001</v>
      </c>
      <c r="C183" s="37">
        <v>15522.006319999999</v>
      </c>
      <c r="D183" s="37">
        <v>7609.0550000000003</v>
      </c>
      <c r="E183" s="37">
        <v>33643.384359999996</v>
      </c>
    </row>
    <row r="184" spans="1:5" x14ac:dyDescent="0.2">
      <c r="A184" s="36" t="s">
        <v>73</v>
      </c>
      <c r="B184" s="37">
        <v>12634.290374400001</v>
      </c>
      <c r="C184" s="37">
        <v>20778.558211199997</v>
      </c>
      <c r="D184" s="37">
        <v>21103.478646399999</v>
      </c>
      <c r="E184" s="37">
        <v>54516.327231999996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F184"/>
  <sheetViews>
    <sheetView topLeftCell="A169" workbookViewId="0">
      <selection activeCell="I65" sqref="I65"/>
    </sheetView>
  </sheetViews>
  <sheetFormatPr defaultColWidth="9.140625" defaultRowHeight="12.75" x14ac:dyDescent="0.2"/>
  <cols>
    <col min="1" max="1" width="39" style="36" bestFit="1" customWidth="1"/>
    <col min="2" max="3" width="6.5703125" style="36" bestFit="1" customWidth="1"/>
    <col min="4" max="5" width="7.5703125" style="36" bestFit="1" customWidth="1"/>
    <col min="6" max="16384" width="9.140625" style="36"/>
  </cols>
  <sheetData>
    <row r="1" spans="1:4" x14ac:dyDescent="0.2">
      <c r="B1" s="36" t="s">
        <v>50</v>
      </c>
      <c r="C1" s="36" t="s">
        <v>51</v>
      </c>
      <c r="D1" s="36" t="s">
        <v>80</v>
      </c>
    </row>
    <row r="2" spans="1:4" x14ac:dyDescent="0.2">
      <c r="A2" s="36" t="s">
        <v>81</v>
      </c>
    </row>
    <row r="3" spans="1:4" x14ac:dyDescent="0.2">
      <c r="A3" s="36" t="s">
        <v>82</v>
      </c>
      <c r="B3" s="37">
        <v>48</v>
      </c>
      <c r="C3" s="37"/>
      <c r="D3" s="37"/>
    </row>
    <row r="4" spans="1:4" x14ac:dyDescent="0.2">
      <c r="A4" s="36" t="s">
        <v>83</v>
      </c>
      <c r="B4" s="37">
        <v>48</v>
      </c>
      <c r="C4" s="37"/>
      <c r="D4" s="37">
        <v>0</v>
      </c>
    </row>
    <row r="5" spans="1:4" x14ac:dyDescent="0.2">
      <c r="A5" s="36" t="s">
        <v>84</v>
      </c>
      <c r="B5" s="37">
        <v>240</v>
      </c>
      <c r="C5" s="37"/>
      <c r="D5" s="37"/>
    </row>
    <row r="6" spans="1:4" x14ac:dyDescent="0.2">
      <c r="A6" s="36" t="s">
        <v>85</v>
      </c>
      <c r="B6" s="37">
        <v>86.4</v>
      </c>
      <c r="C6" s="37"/>
      <c r="D6" s="37">
        <v>0</v>
      </c>
    </row>
    <row r="7" spans="1:4" x14ac:dyDescent="0.2">
      <c r="A7" s="36" t="s">
        <v>86</v>
      </c>
      <c r="B7" s="37">
        <v>192</v>
      </c>
      <c r="C7" s="37"/>
      <c r="D7" s="37"/>
    </row>
    <row r="8" spans="1:4" x14ac:dyDescent="0.2">
      <c r="A8" s="36" t="s">
        <v>87</v>
      </c>
      <c r="B8" s="37">
        <v>192</v>
      </c>
      <c r="C8" s="37"/>
      <c r="D8" s="37"/>
    </row>
    <row r="10" spans="1:4" x14ac:dyDescent="0.2">
      <c r="A10" s="36" t="s">
        <v>88</v>
      </c>
      <c r="B10" s="37">
        <v>806.4</v>
      </c>
      <c r="C10" s="37">
        <v>0</v>
      </c>
      <c r="D10" s="37">
        <v>0</v>
      </c>
    </row>
    <row r="12" spans="1:4" x14ac:dyDescent="0.2">
      <c r="A12" s="36" t="s">
        <v>89</v>
      </c>
    </row>
    <row r="13" spans="1:4" x14ac:dyDescent="0.2">
      <c r="A13" s="36" t="s">
        <v>90</v>
      </c>
      <c r="B13" s="37">
        <v>96</v>
      </c>
    </row>
    <row r="14" spans="1:4" x14ac:dyDescent="0.2">
      <c r="A14" s="36" t="s">
        <v>91</v>
      </c>
      <c r="B14" s="37">
        <v>508.8</v>
      </c>
    </row>
    <row r="15" spans="1:4" x14ac:dyDescent="0.2">
      <c r="A15" s="36" t="s">
        <v>92</v>
      </c>
      <c r="B15" s="37">
        <v>192</v>
      </c>
    </row>
    <row r="16" spans="1:4" x14ac:dyDescent="0.2">
      <c r="A16" s="36" t="s">
        <v>93</v>
      </c>
      <c r="B16" s="37">
        <v>480</v>
      </c>
    </row>
    <row r="17" spans="1:4" x14ac:dyDescent="0.2">
      <c r="A17" s="36" t="s">
        <v>94</v>
      </c>
      <c r="B17" s="37">
        <v>144</v>
      </c>
      <c r="D17" s="37">
        <v>73.335999999999999</v>
      </c>
    </row>
    <row r="18" spans="1:4" x14ac:dyDescent="0.2">
      <c r="A18" s="36" t="s">
        <v>95</v>
      </c>
      <c r="B18" s="37">
        <v>288</v>
      </c>
      <c r="D18" s="37">
        <v>50</v>
      </c>
    </row>
    <row r="19" spans="1:4" x14ac:dyDescent="0.2">
      <c r="A19" s="36" t="s">
        <v>96</v>
      </c>
      <c r="B19" s="37">
        <v>1440</v>
      </c>
      <c r="D19" s="37">
        <v>20</v>
      </c>
    </row>
    <row r="20" spans="1:4" x14ac:dyDescent="0.2">
      <c r="A20" s="36" t="s">
        <v>97</v>
      </c>
      <c r="B20" s="37">
        <v>576</v>
      </c>
      <c r="D20" s="37"/>
    </row>
    <row r="21" spans="1:4" x14ac:dyDescent="0.2">
      <c r="A21" s="36" t="s">
        <v>98</v>
      </c>
      <c r="B21" s="37">
        <v>1545.6</v>
      </c>
      <c r="D21" s="37">
        <v>200</v>
      </c>
    </row>
    <row r="23" spans="1:4" x14ac:dyDescent="0.2">
      <c r="A23" s="36" t="s">
        <v>88</v>
      </c>
      <c r="B23" s="37">
        <v>5270.4</v>
      </c>
      <c r="C23" s="37">
        <v>0</v>
      </c>
      <c r="D23" s="37">
        <v>343.33600000000001</v>
      </c>
    </row>
    <row r="25" spans="1:4" x14ac:dyDescent="0.2">
      <c r="A25" s="36" t="s">
        <v>99</v>
      </c>
    </row>
    <row r="26" spans="1:4" x14ac:dyDescent="0.2">
      <c r="A26" s="36" t="s">
        <v>100</v>
      </c>
      <c r="D26" s="37">
        <v>365</v>
      </c>
    </row>
    <row r="27" spans="1:4" x14ac:dyDescent="0.2">
      <c r="A27" s="36" t="s">
        <v>101</v>
      </c>
      <c r="D27" s="37">
        <v>0</v>
      </c>
    </row>
    <row r="28" spans="1:4" x14ac:dyDescent="0.2">
      <c r="A28" s="36" t="s">
        <v>102</v>
      </c>
      <c r="D28" s="37">
        <v>0</v>
      </c>
    </row>
    <row r="29" spans="1:4" x14ac:dyDescent="0.2">
      <c r="A29" s="36" t="s">
        <v>103</v>
      </c>
      <c r="D29" s="37">
        <v>0</v>
      </c>
    </row>
    <row r="31" spans="1:4" x14ac:dyDescent="0.2">
      <c r="A31" s="36" t="s">
        <v>104</v>
      </c>
      <c r="B31" s="37">
        <v>0</v>
      </c>
      <c r="C31" s="37">
        <v>0</v>
      </c>
      <c r="D31" s="37">
        <v>365</v>
      </c>
    </row>
    <row r="32" spans="1:4" x14ac:dyDescent="0.2">
      <c r="C32" s="37"/>
      <c r="D32" s="37"/>
    </row>
    <row r="33" spans="1:4" x14ac:dyDescent="0.2">
      <c r="A33" s="36" t="s">
        <v>105</v>
      </c>
    </row>
    <row r="34" spans="1:4" x14ac:dyDescent="0.2">
      <c r="A34" s="36" t="s">
        <v>106</v>
      </c>
      <c r="D34" s="37">
        <v>0</v>
      </c>
    </row>
    <row r="35" spans="1:4" x14ac:dyDescent="0.2">
      <c r="A35" s="36" t="s">
        <v>107</v>
      </c>
      <c r="D35" s="37">
        <v>42000</v>
      </c>
    </row>
    <row r="36" spans="1:4" x14ac:dyDescent="0.2">
      <c r="A36" s="36" t="s">
        <v>108</v>
      </c>
      <c r="D36" s="37">
        <v>0</v>
      </c>
    </row>
    <row r="37" spans="1:4" x14ac:dyDescent="0.2">
      <c r="A37" s="36" t="s">
        <v>109</v>
      </c>
      <c r="D37" s="37">
        <v>9000</v>
      </c>
    </row>
    <row r="38" spans="1:4" x14ac:dyDescent="0.2">
      <c r="A38" s="36" t="s">
        <v>110</v>
      </c>
      <c r="D38" s="37">
        <v>6800</v>
      </c>
    </row>
    <row r="39" spans="1:4" x14ac:dyDescent="0.2">
      <c r="A39" s="36" t="s">
        <v>111</v>
      </c>
      <c r="D39" s="37">
        <v>2400</v>
      </c>
    </row>
    <row r="40" spans="1:4" x14ac:dyDescent="0.2">
      <c r="A40" s="36" t="s">
        <v>112</v>
      </c>
      <c r="D40" s="37">
        <v>0</v>
      </c>
    </row>
    <row r="41" spans="1:4" x14ac:dyDescent="0.2">
      <c r="A41" s="36" t="s">
        <v>113</v>
      </c>
      <c r="D41" s="37">
        <v>0</v>
      </c>
    </row>
    <row r="42" spans="1:4" x14ac:dyDescent="0.2">
      <c r="A42" s="36" t="s">
        <v>114</v>
      </c>
      <c r="D42" s="37"/>
    </row>
    <row r="43" spans="1:4" x14ac:dyDescent="0.2">
      <c r="A43" s="36" t="s">
        <v>115</v>
      </c>
      <c r="D43" s="37">
        <v>0</v>
      </c>
    </row>
    <row r="44" spans="1:4" x14ac:dyDescent="0.2">
      <c r="A44" s="36" t="s">
        <v>116</v>
      </c>
      <c r="D44" s="37">
        <v>3612</v>
      </c>
    </row>
    <row r="46" spans="1:4" x14ac:dyDescent="0.2">
      <c r="A46" s="36" t="s">
        <v>104</v>
      </c>
      <c r="B46" s="37"/>
      <c r="C46" s="37"/>
      <c r="D46" s="37">
        <v>63812</v>
      </c>
    </row>
    <row r="48" spans="1:4" x14ac:dyDescent="0.2">
      <c r="A48" s="36" t="s">
        <v>117</v>
      </c>
    </row>
    <row r="49" spans="1:4" x14ac:dyDescent="0.2">
      <c r="A49" s="36" t="s">
        <v>118</v>
      </c>
      <c r="B49" s="37">
        <v>921.6</v>
      </c>
      <c r="C49" s="37"/>
      <c r="D49" s="37">
        <v>2000</v>
      </c>
    </row>
    <row r="50" spans="1:4" x14ac:dyDescent="0.2">
      <c r="A50" s="36" t="s">
        <v>119</v>
      </c>
      <c r="B50" s="37">
        <v>115.2</v>
      </c>
      <c r="C50" s="37"/>
      <c r="D50" s="37">
        <v>7250</v>
      </c>
    </row>
    <row r="51" spans="1:4" x14ac:dyDescent="0.2">
      <c r="A51" s="36" t="s">
        <v>120</v>
      </c>
      <c r="B51" s="37">
        <v>1843.2</v>
      </c>
      <c r="C51" s="37"/>
      <c r="D51" s="37">
        <v>4769.375</v>
      </c>
    </row>
    <row r="53" spans="1:4" x14ac:dyDescent="0.2">
      <c r="A53" s="36" t="s">
        <v>104</v>
      </c>
      <c r="B53" s="37">
        <v>2880</v>
      </c>
      <c r="C53" s="37">
        <v>0</v>
      </c>
      <c r="D53" s="37">
        <v>14019.375</v>
      </c>
    </row>
    <row r="55" spans="1:4" x14ac:dyDescent="0.2">
      <c r="A55" s="36" t="s">
        <v>121</v>
      </c>
    </row>
    <row r="56" spans="1:4" x14ac:dyDescent="0.2">
      <c r="A56" s="36" t="s">
        <v>122</v>
      </c>
      <c r="B56" s="37">
        <v>768</v>
      </c>
      <c r="C56" s="37"/>
      <c r="D56" s="37">
        <v>50</v>
      </c>
    </row>
    <row r="57" spans="1:4" x14ac:dyDescent="0.2">
      <c r="A57" s="36" t="s">
        <v>123</v>
      </c>
      <c r="B57" s="37">
        <v>630.72</v>
      </c>
      <c r="C57" s="37">
        <v>369.495</v>
      </c>
      <c r="D57" s="37">
        <v>292.5</v>
      </c>
    </row>
    <row r="58" spans="1:4" x14ac:dyDescent="0.2">
      <c r="A58" s="36" t="s">
        <v>124</v>
      </c>
      <c r="B58" s="37">
        <v>90</v>
      </c>
      <c r="C58" s="37"/>
      <c r="D58" s="37">
        <v>0</v>
      </c>
    </row>
    <row r="59" spans="1:4" x14ac:dyDescent="0.2">
      <c r="A59" s="36" t="s">
        <v>125</v>
      </c>
      <c r="B59" s="37">
        <v>2073.6</v>
      </c>
      <c r="C59" s="37">
        <v>24697.399999999998</v>
      </c>
      <c r="D59" s="37">
        <v>350</v>
      </c>
    </row>
    <row r="60" spans="1:4" x14ac:dyDescent="0.2">
      <c r="A60" s="36" t="s">
        <v>126</v>
      </c>
      <c r="B60" s="37"/>
      <c r="C60" s="37">
        <v>1402.9999999999998</v>
      </c>
      <c r="D60" s="37"/>
    </row>
    <row r="61" spans="1:4" x14ac:dyDescent="0.2">
      <c r="A61" s="36" t="s">
        <v>127</v>
      </c>
      <c r="B61" s="37">
        <v>76.8</v>
      </c>
      <c r="C61" s="37"/>
      <c r="D61" s="37"/>
    </row>
    <row r="62" spans="1:4" x14ac:dyDescent="0.2">
      <c r="A62" s="36" t="s">
        <v>128</v>
      </c>
    </row>
    <row r="63" spans="1:4" x14ac:dyDescent="0.2">
      <c r="A63" s="36" t="s">
        <v>104</v>
      </c>
      <c r="B63" s="37">
        <v>3639.12</v>
      </c>
      <c r="C63" s="37">
        <v>26469.894999999997</v>
      </c>
      <c r="D63" s="37">
        <v>692.5</v>
      </c>
    </row>
    <row r="65" spans="1:4" x14ac:dyDescent="0.2">
      <c r="A65" s="36" t="s">
        <v>129</v>
      </c>
    </row>
    <row r="66" spans="1:4" x14ac:dyDescent="0.2">
      <c r="A66" s="36" t="s">
        <v>130</v>
      </c>
      <c r="B66" s="37">
        <v>76.8</v>
      </c>
      <c r="C66" s="37"/>
      <c r="D66" s="37"/>
    </row>
    <row r="67" spans="1:4" x14ac:dyDescent="0.2">
      <c r="A67" s="36" t="s">
        <v>131</v>
      </c>
      <c r="B67" s="37">
        <v>614.40000000000009</v>
      </c>
      <c r="C67" s="37"/>
      <c r="D67" s="37">
        <v>50</v>
      </c>
    </row>
    <row r="68" spans="1:4" x14ac:dyDescent="0.2">
      <c r="A68" s="36" t="s">
        <v>132</v>
      </c>
      <c r="B68" s="37">
        <v>575.23199999999997</v>
      </c>
      <c r="C68" s="37">
        <v>2697.279</v>
      </c>
      <c r="D68" s="37">
        <v>290</v>
      </c>
    </row>
    <row r="69" spans="1:4" x14ac:dyDescent="0.2">
      <c r="A69" s="36" t="s">
        <v>133</v>
      </c>
      <c r="B69" s="37">
        <v>0</v>
      </c>
      <c r="C69" s="37">
        <v>4715</v>
      </c>
      <c r="D69" s="37"/>
    </row>
    <row r="70" spans="1:4" x14ac:dyDescent="0.2">
      <c r="A70" s="36" t="s">
        <v>134</v>
      </c>
      <c r="B70" s="37">
        <v>153.6</v>
      </c>
      <c r="C70" s="37"/>
      <c r="D70" s="37"/>
    </row>
    <row r="71" spans="1:4" x14ac:dyDescent="0.2">
      <c r="A71" s="36" t="s">
        <v>135</v>
      </c>
      <c r="B71" s="37">
        <v>0</v>
      </c>
      <c r="C71" s="37">
        <v>580.75</v>
      </c>
      <c r="D71" s="37"/>
    </row>
    <row r="72" spans="1:4" x14ac:dyDescent="0.2">
      <c r="A72" s="36" t="s">
        <v>136</v>
      </c>
      <c r="B72" s="37">
        <v>130.56</v>
      </c>
      <c r="C72" s="37"/>
      <c r="D72" s="37"/>
    </row>
    <row r="73" spans="1:4" x14ac:dyDescent="0.2">
      <c r="A73" s="36" t="s">
        <v>137</v>
      </c>
      <c r="B73" s="37">
        <v>754.94400000000007</v>
      </c>
      <c r="C73" s="37">
        <v>2451.0639999999999</v>
      </c>
      <c r="D73" s="37">
        <v>352</v>
      </c>
    </row>
    <row r="75" spans="1:4" x14ac:dyDescent="0.2">
      <c r="A75" s="36" t="s">
        <v>104</v>
      </c>
      <c r="B75" s="37">
        <v>2305.5360000000001</v>
      </c>
      <c r="C75" s="37">
        <v>10444.093000000001</v>
      </c>
      <c r="D75" s="37">
        <v>692</v>
      </c>
    </row>
    <row r="77" spans="1:4" x14ac:dyDescent="0.2">
      <c r="A77" s="36" t="s">
        <v>138</v>
      </c>
      <c r="B77" s="37">
        <v>14901.455999999998</v>
      </c>
      <c r="C77" s="37">
        <v>36913.987999999998</v>
      </c>
      <c r="D77" s="37">
        <v>79924.21100000001</v>
      </c>
    </row>
    <row r="79" spans="1:4" x14ac:dyDescent="0.2">
      <c r="A79" s="36" t="s">
        <v>139</v>
      </c>
      <c r="D79" s="37">
        <v>131739.655</v>
      </c>
    </row>
    <row r="83" spans="1:4" x14ac:dyDescent="0.2">
      <c r="A83" s="36" t="s">
        <v>140</v>
      </c>
    </row>
    <row r="84" spans="1:4" x14ac:dyDescent="0.2">
      <c r="A84" s="36" t="s">
        <v>141</v>
      </c>
      <c r="B84" s="37">
        <v>460.80000000000007</v>
      </c>
      <c r="C84" s="37"/>
      <c r="D84" s="37"/>
    </row>
    <row r="85" spans="1:4" x14ac:dyDescent="0.2">
      <c r="A85" s="36" t="s">
        <v>142</v>
      </c>
      <c r="B85" s="37">
        <v>0</v>
      </c>
      <c r="C85" s="37"/>
    </row>
    <row r="86" spans="1:4" x14ac:dyDescent="0.2">
      <c r="A86" s="36" t="s">
        <v>143</v>
      </c>
      <c r="B86" s="37">
        <v>0</v>
      </c>
      <c r="C86" s="37"/>
      <c r="D86" s="37"/>
    </row>
    <row r="87" spans="1:4" x14ac:dyDescent="0.2">
      <c r="A87" s="36" t="s">
        <v>144</v>
      </c>
      <c r="B87" s="37">
        <v>0</v>
      </c>
      <c r="C87" s="37"/>
      <c r="D87" s="37"/>
    </row>
    <row r="88" spans="1:4" x14ac:dyDescent="0.2">
      <c r="A88" s="36" t="s">
        <v>145</v>
      </c>
      <c r="B88" s="37">
        <v>0</v>
      </c>
      <c r="C88" s="37"/>
      <c r="D88" s="37"/>
    </row>
    <row r="89" spans="1:4" x14ac:dyDescent="0.2">
      <c r="A89" s="36" t="s">
        <v>146</v>
      </c>
      <c r="B89" s="37">
        <v>0</v>
      </c>
      <c r="C89" s="37"/>
    </row>
    <row r="90" spans="1:4" x14ac:dyDescent="0.2">
      <c r="A90" s="36" t="s">
        <v>147</v>
      </c>
      <c r="B90" s="37">
        <v>576</v>
      </c>
      <c r="C90" s="37"/>
      <c r="D90" s="37">
        <v>1000</v>
      </c>
    </row>
    <row r="91" spans="1:4" x14ac:dyDescent="0.2">
      <c r="A91" s="36" t="s">
        <v>148</v>
      </c>
      <c r="B91" s="37"/>
      <c r="C91" s="37"/>
      <c r="D91" s="37">
        <v>0</v>
      </c>
    </row>
    <row r="93" spans="1:4" x14ac:dyDescent="0.2">
      <c r="A93" s="36" t="s">
        <v>104</v>
      </c>
      <c r="B93" s="37">
        <v>1036.8000000000002</v>
      </c>
      <c r="C93" s="37">
        <v>0</v>
      </c>
      <c r="D93" s="37">
        <v>1000</v>
      </c>
    </row>
    <row r="95" spans="1:4" x14ac:dyDescent="0.2">
      <c r="A95" s="36" t="s">
        <v>149</v>
      </c>
    </row>
    <row r="96" spans="1:4" x14ac:dyDescent="0.2">
      <c r="A96" s="36" t="s">
        <v>150</v>
      </c>
      <c r="B96" s="37">
        <v>0</v>
      </c>
      <c r="C96" s="37"/>
      <c r="D96" s="37"/>
    </row>
    <row r="97" spans="1:4" x14ac:dyDescent="0.2">
      <c r="A97" s="36" t="s">
        <v>151</v>
      </c>
      <c r="B97" s="37">
        <v>0</v>
      </c>
      <c r="C97" s="37"/>
      <c r="D97" s="37"/>
    </row>
    <row r="98" spans="1:4" x14ac:dyDescent="0.2">
      <c r="A98" s="36" t="s">
        <v>152</v>
      </c>
      <c r="B98" s="37">
        <v>0</v>
      </c>
      <c r="C98" s="37"/>
      <c r="D98" s="37"/>
    </row>
    <row r="99" spans="1:4" x14ac:dyDescent="0.2">
      <c r="A99" s="36" t="s">
        <v>153</v>
      </c>
      <c r="B99" s="37">
        <v>0</v>
      </c>
      <c r="C99" s="37">
        <v>0</v>
      </c>
      <c r="D99" s="37"/>
    </row>
    <row r="100" spans="1:4" x14ac:dyDescent="0.2">
      <c r="A100" s="36" t="s">
        <v>154</v>
      </c>
      <c r="B100" s="37">
        <v>0</v>
      </c>
      <c r="C100" s="37">
        <v>0</v>
      </c>
      <c r="D100" s="37"/>
    </row>
    <row r="101" spans="1:4" x14ac:dyDescent="0.2">
      <c r="A101" s="36" t="s">
        <v>155</v>
      </c>
      <c r="B101" s="37">
        <v>0</v>
      </c>
      <c r="C101" s="37">
        <v>0</v>
      </c>
      <c r="D101" s="37"/>
    </row>
    <row r="102" spans="1:4" x14ac:dyDescent="0.2">
      <c r="A102" s="36" t="s">
        <v>156</v>
      </c>
      <c r="B102" s="37"/>
      <c r="C102" s="37">
        <v>0</v>
      </c>
      <c r="D102" s="37"/>
    </row>
    <row r="103" spans="1:4" x14ac:dyDescent="0.2">
      <c r="A103" s="36" t="s">
        <v>157</v>
      </c>
      <c r="B103" s="37">
        <v>0</v>
      </c>
      <c r="C103" s="37"/>
      <c r="D103" s="37"/>
    </row>
    <row r="105" spans="1:4" x14ac:dyDescent="0.2">
      <c r="A105" s="36" t="s">
        <v>104</v>
      </c>
      <c r="B105" s="37">
        <v>0</v>
      </c>
      <c r="C105" s="37">
        <v>0</v>
      </c>
      <c r="D105" s="37">
        <v>0</v>
      </c>
    </row>
    <row r="107" spans="1:4" x14ac:dyDescent="0.2">
      <c r="A107" s="36" t="s">
        <v>158</v>
      </c>
    </row>
    <row r="108" spans="1:4" x14ac:dyDescent="0.2">
      <c r="A108" s="36" t="s">
        <v>150</v>
      </c>
      <c r="B108" s="37">
        <v>175.61088000000001</v>
      </c>
      <c r="C108" s="37"/>
      <c r="D108" s="37"/>
    </row>
    <row r="109" spans="1:4" x14ac:dyDescent="0.2">
      <c r="A109" s="36" t="s">
        <v>151</v>
      </c>
      <c r="B109" s="37">
        <v>36.585599999999999</v>
      </c>
      <c r="C109" s="37"/>
      <c r="D109" s="37"/>
    </row>
    <row r="110" spans="1:4" x14ac:dyDescent="0.2">
      <c r="A110" s="36" t="s">
        <v>159</v>
      </c>
      <c r="B110" s="37">
        <v>18.2928</v>
      </c>
      <c r="C110" s="37"/>
      <c r="D110" s="37"/>
    </row>
    <row r="111" spans="1:4" x14ac:dyDescent="0.2">
      <c r="A111" s="36" t="s">
        <v>160</v>
      </c>
      <c r="B111" s="37">
        <v>109.7568</v>
      </c>
      <c r="C111" s="37">
        <v>5090.0097099999994</v>
      </c>
      <c r="D111" s="37"/>
    </row>
    <row r="112" spans="1:4" x14ac:dyDescent="0.2">
      <c r="A112" s="36" t="s">
        <v>161</v>
      </c>
      <c r="B112" s="37">
        <v>11.796480000000001</v>
      </c>
      <c r="C112" s="37">
        <v>89.026559999999989</v>
      </c>
      <c r="D112" s="37"/>
    </row>
    <row r="113" spans="1:4" x14ac:dyDescent="0.2">
      <c r="A113" s="36" t="s">
        <v>162</v>
      </c>
      <c r="B113" s="37"/>
      <c r="C113" s="37">
        <v>512.77004999999986</v>
      </c>
      <c r="D113" s="37">
        <v>19.055</v>
      </c>
    </row>
    <row r="114" spans="1:4" x14ac:dyDescent="0.2">
      <c r="A114" s="36" t="s">
        <v>163</v>
      </c>
      <c r="B114" s="37">
        <v>36.585599999999999</v>
      </c>
      <c r="C114" s="37"/>
      <c r="D114" s="37"/>
    </row>
    <row r="116" spans="1:4" x14ac:dyDescent="0.2">
      <c r="A116" s="36" t="s">
        <v>104</v>
      </c>
      <c r="B116" s="37">
        <v>388.62815999999998</v>
      </c>
      <c r="C116" s="37">
        <v>5691.8063199999997</v>
      </c>
      <c r="D116" s="37">
        <v>19.055</v>
      </c>
    </row>
    <row r="117" spans="1:4" x14ac:dyDescent="0.2">
      <c r="B117" s="37"/>
      <c r="C117" s="37"/>
      <c r="D117" s="37"/>
    </row>
    <row r="118" spans="1:4" x14ac:dyDescent="0.2">
      <c r="A118" s="36" t="s">
        <v>164</v>
      </c>
      <c r="B118" s="37"/>
      <c r="C118" s="37"/>
      <c r="D118" s="37"/>
    </row>
    <row r="119" spans="1:4" x14ac:dyDescent="0.2">
      <c r="A119" s="36" t="s">
        <v>150</v>
      </c>
      <c r="B119" s="37">
        <v>460.8</v>
      </c>
      <c r="C119" s="37"/>
      <c r="D119" s="37"/>
    </row>
    <row r="120" spans="1:4" x14ac:dyDescent="0.2">
      <c r="A120" s="36" t="s">
        <v>151</v>
      </c>
      <c r="B120" s="37">
        <v>96</v>
      </c>
      <c r="C120" s="37"/>
      <c r="D120" s="37"/>
    </row>
    <row r="121" spans="1:4" x14ac:dyDescent="0.2">
      <c r="A121" s="36" t="s">
        <v>159</v>
      </c>
      <c r="B121" s="37">
        <v>48</v>
      </c>
      <c r="C121" s="37"/>
      <c r="D121" s="37"/>
    </row>
    <row r="122" spans="1:4" x14ac:dyDescent="0.2">
      <c r="A122" s="36" t="s">
        <v>165</v>
      </c>
      <c r="B122" s="37">
        <v>115.2</v>
      </c>
      <c r="C122" s="37">
        <v>8484.6999999999989</v>
      </c>
      <c r="D122" s="37"/>
    </row>
    <row r="123" spans="1:4" x14ac:dyDescent="0.2">
      <c r="A123" s="36" t="s">
        <v>162</v>
      </c>
      <c r="B123" s="37"/>
      <c r="C123" s="37">
        <v>1345.4999999999998</v>
      </c>
      <c r="D123" s="37">
        <v>50</v>
      </c>
    </row>
    <row r="124" spans="1:4" x14ac:dyDescent="0.2">
      <c r="A124" s="36" t="s">
        <v>163</v>
      </c>
      <c r="B124" s="37">
        <v>96</v>
      </c>
      <c r="C124" s="37"/>
      <c r="D124" s="37"/>
    </row>
    <row r="125" spans="1:4" x14ac:dyDescent="0.2">
      <c r="B125" s="37"/>
      <c r="C125" s="37"/>
      <c r="D125" s="37"/>
    </row>
    <row r="126" spans="1:4" x14ac:dyDescent="0.2">
      <c r="A126" s="36" t="s">
        <v>104</v>
      </c>
      <c r="B126" s="37">
        <v>816</v>
      </c>
      <c r="C126" s="37">
        <v>9830.1999999999989</v>
      </c>
      <c r="D126" s="37">
        <v>50</v>
      </c>
    </row>
    <row r="128" spans="1:4" x14ac:dyDescent="0.2">
      <c r="A128" s="36" t="s">
        <v>166</v>
      </c>
    </row>
    <row r="129" spans="1:4" x14ac:dyDescent="0.2">
      <c r="A129" s="36" t="s">
        <v>152</v>
      </c>
      <c r="B129" s="37">
        <v>144</v>
      </c>
      <c r="C129" s="37"/>
      <c r="D129" s="37"/>
    </row>
    <row r="130" spans="1:4" x14ac:dyDescent="0.2">
      <c r="A130" s="36" t="s">
        <v>167</v>
      </c>
      <c r="B130" s="37">
        <v>86.4</v>
      </c>
      <c r="C130" s="37"/>
      <c r="D130" s="37">
        <v>600</v>
      </c>
    </row>
    <row r="131" spans="1:4" x14ac:dyDescent="0.2">
      <c r="A131" s="36" t="s">
        <v>154</v>
      </c>
      <c r="B131" s="37">
        <v>32.927040000000005</v>
      </c>
      <c r="C131" s="37"/>
      <c r="D131" s="37"/>
    </row>
    <row r="132" spans="1:4" x14ac:dyDescent="0.2">
      <c r="A132" s="36" t="s">
        <v>155</v>
      </c>
      <c r="B132" s="37">
        <v>5.4878400000000003</v>
      </c>
      <c r="C132" s="37"/>
      <c r="D132" s="37">
        <v>0</v>
      </c>
    </row>
    <row r="133" spans="1:4" x14ac:dyDescent="0.2">
      <c r="A133" s="36" t="s">
        <v>168</v>
      </c>
      <c r="B133" s="37">
        <v>316.79999999999995</v>
      </c>
      <c r="C133" s="37"/>
      <c r="D133" s="37">
        <v>20</v>
      </c>
    </row>
    <row r="135" spans="1:4" x14ac:dyDescent="0.2">
      <c r="A135" s="36" t="s">
        <v>104</v>
      </c>
      <c r="B135" s="37">
        <v>585.61487999999997</v>
      </c>
      <c r="C135" s="37">
        <v>0</v>
      </c>
      <c r="D135" s="37">
        <v>620</v>
      </c>
    </row>
    <row r="137" spans="1:4" x14ac:dyDescent="0.2">
      <c r="A137" s="36" t="s">
        <v>169</v>
      </c>
    </row>
    <row r="138" spans="1:4" x14ac:dyDescent="0.2">
      <c r="A138" s="36" t="s">
        <v>170</v>
      </c>
      <c r="B138" s="37">
        <v>4608</v>
      </c>
      <c r="C138" s="37"/>
      <c r="D138" s="37"/>
    </row>
    <row r="139" spans="1:4" x14ac:dyDescent="0.2">
      <c r="A139" s="36" t="s">
        <v>171</v>
      </c>
      <c r="B139" s="37">
        <v>489.6</v>
      </c>
      <c r="C139" s="37"/>
      <c r="D139" s="37"/>
    </row>
    <row r="140" spans="1:4" x14ac:dyDescent="0.2">
      <c r="A140" s="36" t="s">
        <v>172</v>
      </c>
      <c r="B140" s="37">
        <v>350.4</v>
      </c>
      <c r="C140" s="37"/>
      <c r="D140" s="37">
        <v>40</v>
      </c>
    </row>
    <row r="142" spans="1:4" x14ac:dyDescent="0.2">
      <c r="A142" s="36" t="s">
        <v>104</v>
      </c>
      <c r="B142" s="37">
        <v>5448</v>
      </c>
      <c r="C142" s="37">
        <v>0</v>
      </c>
      <c r="D142" s="37">
        <v>40</v>
      </c>
    </row>
    <row r="144" spans="1:4" x14ac:dyDescent="0.2">
      <c r="A144" s="36" t="s">
        <v>173</v>
      </c>
    </row>
    <row r="145" spans="1:6" x14ac:dyDescent="0.2">
      <c r="A145" s="36" t="s">
        <v>174</v>
      </c>
      <c r="B145" s="37">
        <v>662.4</v>
      </c>
      <c r="C145" s="37"/>
      <c r="D145" s="37">
        <v>230</v>
      </c>
    </row>
    <row r="146" spans="1:6" x14ac:dyDescent="0.2">
      <c r="A146" s="36" t="s">
        <v>175</v>
      </c>
      <c r="B146" s="37">
        <v>240</v>
      </c>
      <c r="C146" s="37"/>
      <c r="D146" s="37">
        <v>50</v>
      </c>
    </row>
    <row r="147" spans="1:6" x14ac:dyDescent="0.2">
      <c r="A147" s="36" t="s">
        <v>176</v>
      </c>
      <c r="B147" s="37">
        <v>115.2</v>
      </c>
      <c r="C147" s="37"/>
      <c r="D147" s="37">
        <v>2000</v>
      </c>
    </row>
    <row r="148" spans="1:6" x14ac:dyDescent="0.2">
      <c r="A148" s="36" t="s">
        <v>177</v>
      </c>
      <c r="B148" s="37">
        <v>391.67999999999995</v>
      </c>
      <c r="C148" s="37"/>
      <c r="D148" s="37"/>
    </row>
    <row r="149" spans="1:6" x14ac:dyDescent="0.2">
      <c r="B149" s="37"/>
      <c r="C149" s="37"/>
      <c r="D149" s="37"/>
    </row>
    <row r="150" spans="1:6" x14ac:dyDescent="0.2">
      <c r="A150" s="36" t="s">
        <v>104</v>
      </c>
      <c r="B150" s="37">
        <v>1409.28</v>
      </c>
      <c r="C150" s="37">
        <v>0</v>
      </c>
      <c r="D150" s="37">
        <v>2280</v>
      </c>
    </row>
    <row r="151" spans="1:6" x14ac:dyDescent="0.2">
      <c r="B151" s="37"/>
      <c r="C151" s="37"/>
      <c r="D151" s="37"/>
    </row>
    <row r="152" spans="1:6" x14ac:dyDescent="0.2">
      <c r="A152" s="36" t="s">
        <v>178</v>
      </c>
      <c r="B152" s="37">
        <v>2121.9673343999998</v>
      </c>
      <c r="C152" s="37">
        <v>5256.5518911999998</v>
      </c>
      <c r="D152" s="37">
        <v>11381.207646400002</v>
      </c>
    </row>
    <row r="154" spans="1:6" x14ac:dyDescent="0.2">
      <c r="A154" s="36" t="s">
        <v>179</v>
      </c>
      <c r="B154" s="37">
        <v>11806.290374400001</v>
      </c>
      <c r="C154" s="37">
        <v>20778.558211199997</v>
      </c>
      <c r="D154" s="37">
        <v>15390.262646400002</v>
      </c>
    </row>
    <row r="156" spans="1:6" x14ac:dyDescent="0.2">
      <c r="A156" s="36" t="s">
        <v>180</v>
      </c>
      <c r="C156" s="37"/>
      <c r="D156" s="37">
        <v>47975.111231999996</v>
      </c>
      <c r="F156" s="37"/>
    </row>
    <row r="161" spans="1:5" x14ac:dyDescent="0.2">
      <c r="A161" s="36" t="s">
        <v>181</v>
      </c>
    </row>
    <row r="163" spans="1:5" x14ac:dyDescent="0.2">
      <c r="A163" s="36" t="s">
        <v>49</v>
      </c>
      <c r="B163" s="36" t="s">
        <v>50</v>
      </c>
      <c r="C163" s="36" t="s">
        <v>51</v>
      </c>
      <c r="D163" s="36" t="s">
        <v>52</v>
      </c>
      <c r="E163" s="36" t="s">
        <v>1</v>
      </c>
    </row>
    <row r="164" spans="1:5" x14ac:dyDescent="0.2">
      <c r="A164" s="36" t="s">
        <v>53</v>
      </c>
      <c r="B164" s="37">
        <v>806.4</v>
      </c>
      <c r="C164" s="37">
        <v>0</v>
      </c>
      <c r="D164" s="37">
        <v>0</v>
      </c>
      <c r="E164" s="37">
        <v>806.4</v>
      </c>
    </row>
    <row r="165" spans="1:5" x14ac:dyDescent="0.2">
      <c r="A165" s="36" t="s">
        <v>54</v>
      </c>
      <c r="B165" s="37">
        <v>5270.4</v>
      </c>
      <c r="C165" s="37">
        <v>0</v>
      </c>
      <c r="D165" s="37">
        <v>343.33600000000001</v>
      </c>
      <c r="E165" s="37">
        <v>5613.7359999999999</v>
      </c>
    </row>
    <row r="166" spans="1:5" x14ac:dyDescent="0.2">
      <c r="A166" s="36" t="s">
        <v>55</v>
      </c>
      <c r="B166" s="37">
        <v>0</v>
      </c>
      <c r="C166" s="37">
        <v>0</v>
      </c>
      <c r="D166" s="37">
        <v>365</v>
      </c>
      <c r="E166" s="37">
        <v>365</v>
      </c>
    </row>
    <row r="167" spans="1:5" x14ac:dyDescent="0.2">
      <c r="A167" s="36" t="s">
        <v>56</v>
      </c>
      <c r="B167" s="37">
        <v>0</v>
      </c>
      <c r="C167" s="37">
        <v>0</v>
      </c>
      <c r="D167" s="37">
        <v>63812</v>
      </c>
      <c r="E167" s="37">
        <v>63812</v>
      </c>
    </row>
    <row r="168" spans="1:5" x14ac:dyDescent="0.2">
      <c r="A168" s="36" t="s">
        <v>57</v>
      </c>
      <c r="B168" s="37">
        <v>2880</v>
      </c>
      <c r="C168" s="37">
        <v>0</v>
      </c>
      <c r="D168" s="37">
        <v>14019.375</v>
      </c>
      <c r="E168" s="37">
        <v>16899.375</v>
      </c>
    </row>
    <row r="169" spans="1:5" x14ac:dyDescent="0.2">
      <c r="A169" s="36" t="s">
        <v>58</v>
      </c>
      <c r="B169" s="37">
        <v>3639.12</v>
      </c>
      <c r="C169" s="37">
        <v>26469.894999999997</v>
      </c>
      <c r="D169" s="37">
        <v>692.5</v>
      </c>
      <c r="E169" s="37">
        <v>30801.514999999996</v>
      </c>
    </row>
    <row r="170" spans="1:5" x14ac:dyDescent="0.2">
      <c r="A170" s="36" t="s">
        <v>59</v>
      </c>
      <c r="B170" s="37">
        <v>2305.5360000000001</v>
      </c>
      <c r="C170" s="37">
        <v>10444.093000000001</v>
      </c>
      <c r="D170" s="37">
        <v>692</v>
      </c>
      <c r="E170" s="37">
        <v>13441.629000000001</v>
      </c>
    </row>
    <row r="171" spans="1:5" x14ac:dyDescent="0.2">
      <c r="B171" s="37">
        <v>14901.455999999998</v>
      </c>
      <c r="C171" s="37">
        <v>36913.987999999998</v>
      </c>
      <c r="D171" s="37">
        <v>79924.21100000001</v>
      </c>
      <c r="E171" s="37">
        <v>131739.655</v>
      </c>
    </row>
    <row r="173" spans="1:5" x14ac:dyDescent="0.2">
      <c r="A173" s="36" t="s">
        <v>62</v>
      </c>
    </row>
    <row r="174" spans="1:5" x14ac:dyDescent="0.2">
      <c r="A174" s="36" t="s">
        <v>64</v>
      </c>
      <c r="B174" s="37">
        <v>1036.8000000000002</v>
      </c>
      <c r="C174" s="37">
        <v>0</v>
      </c>
      <c r="D174" s="37">
        <v>1000</v>
      </c>
      <c r="E174" s="37">
        <v>2036.8000000000002</v>
      </c>
    </row>
    <row r="175" spans="1:5" x14ac:dyDescent="0.2">
      <c r="A175" s="36" t="s">
        <v>65</v>
      </c>
      <c r="B175" s="37">
        <v>0</v>
      </c>
      <c r="C175" s="37">
        <v>0</v>
      </c>
      <c r="D175" s="37">
        <v>0</v>
      </c>
      <c r="E175" s="37">
        <v>0</v>
      </c>
    </row>
    <row r="176" spans="1:5" x14ac:dyDescent="0.2">
      <c r="A176" s="36" t="s">
        <v>66</v>
      </c>
      <c r="B176" s="37">
        <v>388.62815999999998</v>
      </c>
      <c r="C176" s="37">
        <v>5691.8063199999997</v>
      </c>
      <c r="D176" s="37">
        <v>19.055</v>
      </c>
      <c r="E176" s="37">
        <v>6099.4894800000002</v>
      </c>
    </row>
    <row r="177" spans="1:5" x14ac:dyDescent="0.2">
      <c r="A177" s="36" t="s">
        <v>67</v>
      </c>
      <c r="B177" s="37">
        <v>816</v>
      </c>
      <c r="C177" s="37">
        <v>9830.1999999999989</v>
      </c>
      <c r="D177" s="37">
        <v>50</v>
      </c>
      <c r="E177" s="37">
        <v>10696.199999999999</v>
      </c>
    </row>
    <row r="178" spans="1:5" x14ac:dyDescent="0.2">
      <c r="A178" s="36" t="s">
        <v>68</v>
      </c>
      <c r="B178" s="37">
        <v>585.61487999999997</v>
      </c>
      <c r="C178" s="37">
        <v>0</v>
      </c>
      <c r="D178" s="37">
        <v>620</v>
      </c>
      <c r="E178" s="37">
        <v>1205.6148800000001</v>
      </c>
    </row>
    <row r="179" spans="1:5" x14ac:dyDescent="0.2">
      <c r="A179" s="36" t="s">
        <v>69</v>
      </c>
      <c r="B179" s="37">
        <v>5448</v>
      </c>
      <c r="C179" s="37">
        <v>0</v>
      </c>
      <c r="D179" s="37">
        <v>40</v>
      </c>
      <c r="E179" s="37">
        <v>5488</v>
      </c>
    </row>
    <row r="180" spans="1:5" x14ac:dyDescent="0.2">
      <c r="A180" s="36" t="s">
        <v>70</v>
      </c>
      <c r="B180" s="37">
        <v>1409.28</v>
      </c>
      <c r="C180" s="37">
        <v>0</v>
      </c>
      <c r="D180" s="37">
        <v>2280</v>
      </c>
      <c r="E180" s="37">
        <v>3689.2799999999997</v>
      </c>
    </row>
    <row r="181" spans="1:5" x14ac:dyDescent="0.2">
      <c r="A181" s="36" t="s">
        <v>71</v>
      </c>
      <c r="B181" s="37">
        <v>2121.9673343999998</v>
      </c>
      <c r="C181" s="37">
        <v>5256.5518911999998</v>
      </c>
      <c r="D181" s="37">
        <v>11381.207646400002</v>
      </c>
      <c r="E181" s="37">
        <v>18759.726871999999</v>
      </c>
    </row>
    <row r="183" spans="1:5" x14ac:dyDescent="0.2">
      <c r="A183" s="36" t="s">
        <v>72</v>
      </c>
      <c r="B183" s="37">
        <v>9684.3230400000011</v>
      </c>
      <c r="C183" s="37">
        <v>15522.006319999999</v>
      </c>
      <c r="D183" s="37">
        <v>4009.0549999999998</v>
      </c>
      <c r="E183" s="37">
        <v>29215.38436</v>
      </c>
    </row>
    <row r="184" spans="1:5" x14ac:dyDescent="0.2">
      <c r="A184" s="36" t="s">
        <v>73</v>
      </c>
      <c r="B184" s="37">
        <v>11806.290374400001</v>
      </c>
      <c r="C184" s="37">
        <v>20778.558211199997</v>
      </c>
      <c r="D184" s="37">
        <v>15390.262646400002</v>
      </c>
      <c r="E184" s="37">
        <v>47975.111231999996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2"/>
  <sheetViews>
    <sheetView zoomScale="80" zoomScaleNormal="80" workbookViewId="0">
      <pane xSplit="4" ySplit="5" topLeftCell="H62" activePane="bottomRight" state="frozen"/>
      <selection pane="topRight" activeCell="E1" sqref="E1"/>
      <selection pane="bottomLeft" activeCell="A6" sqref="A6"/>
      <selection pane="bottomRight" activeCell="O32" sqref="O32"/>
    </sheetView>
  </sheetViews>
  <sheetFormatPr defaultColWidth="9.140625" defaultRowHeight="12.75" x14ac:dyDescent="0.2"/>
  <cols>
    <col min="1" max="1" width="2.7109375" style="155" customWidth="1"/>
    <col min="2" max="3" width="2.42578125" style="155" customWidth="1"/>
    <col min="4" max="4" width="65.28515625" style="155" customWidth="1"/>
    <col min="5" max="5" width="15" style="155" customWidth="1"/>
    <col min="6" max="6" width="19.140625" style="155" bestFit="1" customWidth="1"/>
    <col min="7" max="7" width="21.28515625" style="155" customWidth="1"/>
    <col min="8" max="8" width="15" style="161" customWidth="1"/>
    <col min="9" max="9" width="13.140625" style="155" customWidth="1"/>
    <col min="10" max="11" width="15.28515625" style="155" customWidth="1"/>
    <col min="12" max="12" width="19" style="254" customWidth="1"/>
    <col min="13" max="13" width="10" style="213" bestFit="1" customWidth="1"/>
    <col min="14" max="14" width="11" style="155" customWidth="1"/>
    <col min="15" max="15" width="10.85546875" style="155" bestFit="1" customWidth="1"/>
    <col min="16" max="16" width="33.5703125" style="155" customWidth="1"/>
    <col min="17" max="16384" width="9.140625" style="155"/>
  </cols>
  <sheetData>
    <row r="1" spans="1:16" s="266" customFormat="1" ht="15.75" x14ac:dyDescent="0.25">
      <c r="A1" s="168" t="s">
        <v>377</v>
      </c>
      <c r="C1" s="267"/>
      <c r="D1" s="267"/>
      <c r="E1" s="267"/>
      <c r="F1" s="267"/>
      <c r="G1" s="267"/>
      <c r="H1" s="267"/>
      <c r="I1" s="267"/>
      <c r="J1" s="268"/>
      <c r="M1" s="322"/>
    </row>
    <row r="2" spans="1:16" s="169" customFormat="1" x14ac:dyDescent="0.2">
      <c r="A2" s="172" t="s">
        <v>289</v>
      </c>
      <c r="B2" s="172"/>
      <c r="C2" s="172"/>
      <c r="D2" s="172"/>
      <c r="E2" s="172"/>
      <c r="F2" s="172"/>
      <c r="G2" s="172"/>
      <c r="H2" s="172"/>
      <c r="I2" s="172"/>
      <c r="J2" s="173"/>
      <c r="K2" s="172"/>
      <c r="L2" s="172"/>
      <c r="M2" s="323"/>
    </row>
    <row r="3" spans="1:16" s="170" customFormat="1" x14ac:dyDescent="0.2">
      <c r="A3" s="269"/>
      <c r="J3" s="171"/>
      <c r="M3" s="324"/>
    </row>
    <row r="4" spans="1:16" s="176" customFormat="1" ht="14.25" customHeight="1" x14ac:dyDescent="0.2">
      <c r="A4" s="488" t="s">
        <v>264</v>
      </c>
      <c r="B4" s="489"/>
      <c r="C4" s="489"/>
      <c r="D4" s="490"/>
      <c r="E4" s="174" t="s">
        <v>265</v>
      </c>
      <c r="F4" s="174" t="s">
        <v>266</v>
      </c>
      <c r="G4" s="174" t="s">
        <v>267</v>
      </c>
      <c r="H4" s="174" t="s">
        <v>268</v>
      </c>
      <c r="I4" s="174" t="s">
        <v>269</v>
      </c>
      <c r="J4" s="174" t="s">
        <v>270</v>
      </c>
      <c r="K4" s="174" t="s">
        <v>271</v>
      </c>
      <c r="L4" s="175" t="s">
        <v>272</v>
      </c>
    </row>
    <row r="5" spans="1:16" s="179" customFormat="1" ht="51" customHeight="1" x14ac:dyDescent="0.2">
      <c r="A5" s="491"/>
      <c r="B5" s="492"/>
      <c r="C5" s="492"/>
      <c r="D5" s="493"/>
      <c r="E5" s="177" t="s">
        <v>273</v>
      </c>
      <c r="F5" s="177" t="s">
        <v>274</v>
      </c>
      <c r="G5" s="177" t="s">
        <v>275</v>
      </c>
      <c r="H5" s="177" t="s">
        <v>303</v>
      </c>
      <c r="I5" s="177" t="s">
        <v>276</v>
      </c>
      <c r="J5" s="177" t="s">
        <v>277</v>
      </c>
      <c r="K5" s="177" t="s">
        <v>278</v>
      </c>
      <c r="L5" s="178" t="s">
        <v>304</v>
      </c>
      <c r="M5" s="176"/>
    </row>
    <row r="6" spans="1:16" x14ac:dyDescent="0.2">
      <c r="A6" s="514" t="s">
        <v>213</v>
      </c>
      <c r="B6" s="514"/>
      <c r="C6" s="514"/>
      <c r="D6" s="514"/>
      <c r="E6" s="180" t="s">
        <v>214</v>
      </c>
      <c r="F6" s="181"/>
      <c r="G6" s="181"/>
      <c r="H6" s="182"/>
      <c r="I6" s="183"/>
      <c r="J6" s="183"/>
      <c r="K6" s="183"/>
      <c r="L6" s="62"/>
    </row>
    <row r="7" spans="1:16" x14ac:dyDescent="0.2">
      <c r="A7" s="514" t="s">
        <v>229</v>
      </c>
      <c r="B7" s="514"/>
      <c r="C7" s="514"/>
      <c r="D7" s="514"/>
      <c r="E7" s="180" t="s">
        <v>214</v>
      </c>
      <c r="F7" s="181"/>
      <c r="G7" s="181"/>
      <c r="H7" s="182"/>
      <c r="I7" s="183"/>
      <c r="J7" s="183"/>
      <c r="K7" s="183"/>
      <c r="L7" s="62"/>
    </row>
    <row r="8" spans="1:16" x14ac:dyDescent="0.2">
      <c r="A8" s="514" t="s">
        <v>283</v>
      </c>
      <c r="B8" s="514"/>
      <c r="C8" s="514"/>
      <c r="D8" s="514"/>
      <c r="E8" s="184">
        <v>160.6</v>
      </c>
      <c r="F8" s="181">
        <v>1</v>
      </c>
      <c r="G8" s="184">
        <f>E8*F8</f>
        <v>160.6</v>
      </c>
      <c r="H8" s="185">
        <f>'Regulated Sources_Overview'!K7</f>
        <v>0</v>
      </c>
      <c r="I8" s="194">
        <f>G8*H8</f>
        <v>0</v>
      </c>
      <c r="J8" s="194">
        <f>I8*0.05</f>
        <v>0</v>
      </c>
      <c r="K8" s="194">
        <f>I8*0.1</f>
        <v>0</v>
      </c>
      <c r="L8" s="151">
        <f>(I8*$F$85)+(J8*$F$86)+(K8*$F$87)</f>
        <v>0</v>
      </c>
      <c r="M8" s="321" t="s">
        <v>347</v>
      </c>
    </row>
    <row r="9" spans="1:16" x14ac:dyDescent="0.2">
      <c r="A9" s="499" t="s">
        <v>228</v>
      </c>
      <c r="B9" s="499"/>
      <c r="C9" s="499"/>
      <c r="D9" s="499"/>
      <c r="E9" s="181"/>
      <c r="F9" s="181"/>
      <c r="G9" s="181"/>
      <c r="H9" s="182"/>
      <c r="I9" s="183"/>
      <c r="J9" s="183"/>
      <c r="K9" s="183"/>
      <c r="L9" s="62"/>
    </row>
    <row r="10" spans="1:16" x14ac:dyDescent="0.2">
      <c r="A10" s="188"/>
      <c r="B10" s="500" t="s">
        <v>342</v>
      </c>
      <c r="C10" s="500"/>
      <c r="D10" s="501"/>
      <c r="E10" s="181">
        <v>1</v>
      </c>
      <c r="F10" s="181">
        <v>1</v>
      </c>
      <c r="G10" s="181">
        <f>E10*F10</f>
        <v>1</v>
      </c>
      <c r="H10" s="392">
        <f>'Table 1c'!E11</f>
        <v>268</v>
      </c>
      <c r="I10" s="194">
        <f>G10*H10</f>
        <v>268</v>
      </c>
      <c r="J10" s="186">
        <f>I10*0.05</f>
        <v>13.4</v>
      </c>
      <c r="K10" s="186">
        <f>I10*0.1</f>
        <v>26.8</v>
      </c>
      <c r="L10" s="314">
        <f>(I10*$F$85)+(J10*$F$86)+(K10*$F$87)</f>
        <v>33748.864800000003</v>
      </c>
      <c r="M10" s="325" t="s">
        <v>385</v>
      </c>
      <c r="N10" s="321"/>
      <c r="O10" s="321"/>
      <c r="P10" s="321"/>
    </row>
    <row r="11" spans="1:16" x14ac:dyDescent="0.2">
      <c r="A11" s="188"/>
      <c r="B11" s="498" t="s">
        <v>225</v>
      </c>
      <c r="C11" s="498"/>
      <c r="D11" s="499"/>
      <c r="E11" s="181"/>
      <c r="F11" s="181"/>
      <c r="G11" s="181"/>
      <c r="H11" s="182"/>
      <c r="I11" s="183"/>
      <c r="J11" s="183"/>
      <c r="K11" s="183"/>
      <c r="L11" s="62"/>
    </row>
    <row r="12" spans="1:16" x14ac:dyDescent="0.2">
      <c r="A12" s="188"/>
      <c r="B12" s="190"/>
      <c r="C12" s="191" t="s">
        <v>226</v>
      </c>
      <c r="D12" s="192"/>
      <c r="E12" s="181"/>
      <c r="F12" s="181"/>
      <c r="G12" s="181"/>
      <c r="H12" s="182"/>
      <c r="I12" s="183"/>
      <c r="J12" s="183"/>
      <c r="K12" s="183"/>
      <c r="L12" s="62"/>
    </row>
    <row r="13" spans="1:16" ht="15" x14ac:dyDescent="0.2">
      <c r="A13" s="290"/>
      <c r="B13" s="291"/>
      <c r="C13" s="291"/>
      <c r="D13" s="400" t="s">
        <v>390</v>
      </c>
      <c r="E13" s="289">
        <v>27.8</v>
      </c>
      <c r="F13" s="289">
        <v>1</v>
      </c>
      <c r="G13" s="184">
        <f>E13*F13</f>
        <v>27.8</v>
      </c>
      <c r="H13" s="396">
        <f>('Regulated Sources_Overview'!F76*'Table 1c'!F11*('%CEMSCPMSvs.testing'!H11/100))+('Regulated Sources_Overview'!F77*'Table 1c'!F11*('%CEMSCPMSvs.testing'!H17/100))+('Regulated Sources_Overview'!F78*'Table 1c'!F11*('%CEMSCPMSvs.testing'!H23/100))+('Regulated Sources_Overview'!F79*'Table 1c'!F11*('%CEMSCPMSvs.testing'!H29/100))+('Regulated Sources_Overview'!F80*'Table 1c'!F11*('%CEMSCPMSvs.testing'!H35/100))</f>
        <v>406.92720496894407</v>
      </c>
      <c r="I13" s="189">
        <f>G13*H13</f>
        <v>11312.576298136646</v>
      </c>
      <c r="J13" s="189">
        <f t="shared" ref="J13:J15" si="0">I13*0.05</f>
        <v>565.6288149068323</v>
      </c>
      <c r="K13" s="189">
        <f t="shared" ref="K13:K15" si="1">I13*0.1</f>
        <v>1131.2576298136646</v>
      </c>
      <c r="L13" s="152">
        <f t="shared" ref="L13:L19" si="2">(I13*$F$85)+(J13*$F$86)+(K13*$F$87)</f>
        <v>1424576.8956175307</v>
      </c>
      <c r="M13" s="397" t="s">
        <v>386</v>
      </c>
    </row>
    <row r="14" spans="1:16" ht="15" x14ac:dyDescent="0.2">
      <c r="A14" s="290"/>
      <c r="B14" s="291"/>
      <c r="C14" s="291"/>
      <c r="D14" s="400" t="s">
        <v>391</v>
      </c>
      <c r="E14" s="289">
        <v>26.4</v>
      </c>
      <c r="F14" s="289">
        <v>1</v>
      </c>
      <c r="G14" s="184">
        <f t="shared" ref="G14:G15" si="3">E14*F14</f>
        <v>26.4</v>
      </c>
      <c r="H14" s="396">
        <f>('Regulated Sources_Overview'!F76*'Table 1c'!F11*('%CEMSCPMSvs.testing'!L11/100))+('Regulated Sources_Overview'!F77*'Table 1c'!F11*('%CEMSCPMSvs.testing'!L17/100))+('Regulated Sources_Overview'!F78*'Table 1c'!F11*('%CEMSCPMSvs.testing'!L23/100))+('Regulated Sources_Overview'!F79*'Table 1c'!F11*('%CEMSCPMSvs.testing'!L29/100))+('Regulated Sources_Overview'!F80*'Table 1c'!F11*('%CEMSCPMSvs.testing'!L35/100))</f>
        <v>100.27527950310558</v>
      </c>
      <c r="I14" s="189">
        <f t="shared" ref="I14:I15" si="4">G14*H14</f>
        <v>2647.267378881987</v>
      </c>
      <c r="J14" s="189">
        <f t="shared" si="0"/>
        <v>132.36336894409936</v>
      </c>
      <c r="K14" s="189">
        <f t="shared" si="1"/>
        <v>264.72673788819873</v>
      </c>
      <c r="L14" s="152">
        <f t="shared" si="2"/>
        <v>333366.67484827817</v>
      </c>
      <c r="M14" s="397" t="s">
        <v>386</v>
      </c>
      <c r="O14" s="395"/>
    </row>
    <row r="15" spans="1:16" ht="15" x14ac:dyDescent="0.2">
      <c r="A15" s="290"/>
      <c r="B15" s="291"/>
      <c r="C15" s="291"/>
      <c r="D15" s="400" t="s">
        <v>392</v>
      </c>
      <c r="E15" s="289">
        <v>27.8</v>
      </c>
      <c r="F15" s="289">
        <v>1</v>
      </c>
      <c r="G15" s="184">
        <f t="shared" si="3"/>
        <v>27.8</v>
      </c>
      <c r="H15" s="396">
        <f>('Regulated Sources_Overview'!F76*'Table 1c'!F11*('%CEMSCPMSvs.testing'!D11/100))+('Regulated Sources_Overview'!F77*'Table 1c'!F11*('%CEMSCPMSvs.testing'!D17/100))+('Regulated Sources_Overview'!F78*'Table 1c'!F11*('%CEMSCPMSvs.testing'!D23/100))+('Regulated Sources_Overview'!F79*'Table 1c'!F11*('%CEMSCPMSvs.testing'!D29/100))+('Regulated Sources_Overview'!F80*'Table 1c'!F11*('%CEMSCPMSvs.testing'!D35/100))</f>
        <v>143.33838509316769</v>
      </c>
      <c r="I15" s="189">
        <f t="shared" si="4"/>
        <v>3984.8071055900618</v>
      </c>
      <c r="J15" s="189">
        <f t="shared" si="0"/>
        <v>199.24035527950309</v>
      </c>
      <c r="K15" s="189">
        <f t="shared" si="1"/>
        <v>398.48071055900618</v>
      </c>
      <c r="L15" s="152">
        <f t="shared" si="2"/>
        <v>501801.18007700867</v>
      </c>
      <c r="M15" s="397" t="s">
        <v>386</v>
      </c>
    </row>
    <row r="16" spans="1:16" ht="15" x14ac:dyDescent="0.2">
      <c r="A16" s="195"/>
      <c r="B16" s="196"/>
      <c r="C16" s="196"/>
      <c r="D16" s="404" t="s">
        <v>393</v>
      </c>
      <c r="E16" s="198">
        <v>2.5</v>
      </c>
      <c r="F16" s="198">
        <v>4</v>
      </c>
      <c r="G16" s="199">
        <f t="shared" ref="G16:G19" si="5">E16*F16</f>
        <v>10</v>
      </c>
      <c r="H16" s="422">
        <f>'Regulated Sources_Overview'!J81*'Table 1c'!F11</f>
        <v>504.80546583850929</v>
      </c>
      <c r="I16" s="194">
        <f t="shared" ref="I16:I19" si="6">G16*H16</f>
        <v>5048.0546583850928</v>
      </c>
      <c r="J16" s="194">
        <f t="shared" ref="J16:J19" si="7">I16*0.05</f>
        <v>252.40273291925465</v>
      </c>
      <c r="K16" s="194">
        <f t="shared" ref="K16:K19" si="8">I16*0.1</f>
        <v>504.80546583850929</v>
      </c>
      <c r="L16" s="314">
        <f t="shared" si="2"/>
        <v>635694.4558539131</v>
      </c>
      <c r="M16" s="321" t="s">
        <v>437</v>
      </c>
    </row>
    <row r="17" spans="1:15" ht="15" x14ac:dyDescent="0.2">
      <c r="A17" s="195"/>
      <c r="B17" s="196"/>
      <c r="C17" s="196"/>
      <c r="D17" s="404" t="s">
        <v>394</v>
      </c>
      <c r="E17" s="198">
        <v>0.4</v>
      </c>
      <c r="F17" s="198">
        <v>365</v>
      </c>
      <c r="G17" s="199">
        <f t="shared" si="5"/>
        <v>146</v>
      </c>
      <c r="H17" s="422">
        <f>H16</f>
        <v>504.80546583850929</v>
      </c>
      <c r="I17" s="194">
        <f t="shared" si="6"/>
        <v>73701.598012422357</v>
      </c>
      <c r="J17" s="186">
        <f t="shared" si="7"/>
        <v>3685.0799006211182</v>
      </c>
      <c r="K17" s="186">
        <f t="shared" si="8"/>
        <v>7370.1598012422364</v>
      </c>
      <c r="L17" s="314">
        <f t="shared" si="2"/>
        <v>9281139.0554671306</v>
      </c>
      <c r="M17" s="321" t="s">
        <v>437</v>
      </c>
    </row>
    <row r="18" spans="1:15" ht="15" x14ac:dyDescent="0.2">
      <c r="A18" s="195"/>
      <c r="B18" s="196"/>
      <c r="C18" s="196"/>
      <c r="D18" s="404" t="s">
        <v>395</v>
      </c>
      <c r="E18" s="198">
        <v>0.25</v>
      </c>
      <c r="F18" s="198">
        <v>365</v>
      </c>
      <c r="G18" s="200">
        <f t="shared" si="5"/>
        <v>91.25</v>
      </c>
      <c r="H18" s="422">
        <f>H16</f>
        <v>504.80546583850929</v>
      </c>
      <c r="I18" s="194">
        <f t="shared" si="6"/>
        <v>46063.498757763969</v>
      </c>
      <c r="J18" s="187">
        <f t="shared" si="7"/>
        <v>2303.1749378881987</v>
      </c>
      <c r="K18" s="186">
        <f t="shared" si="8"/>
        <v>4606.3498757763973</v>
      </c>
      <c r="L18" s="314">
        <f t="shared" si="2"/>
        <v>5800711.9096669555</v>
      </c>
      <c r="M18" s="321" t="s">
        <v>437</v>
      </c>
    </row>
    <row r="19" spans="1:15" ht="15" x14ac:dyDescent="0.2">
      <c r="A19" s="195"/>
      <c r="B19" s="196"/>
      <c r="C19" s="196"/>
      <c r="D19" s="404" t="s">
        <v>396</v>
      </c>
      <c r="E19" s="198">
        <v>14</v>
      </c>
      <c r="F19" s="198">
        <v>1</v>
      </c>
      <c r="G19" s="199">
        <f t="shared" si="5"/>
        <v>14</v>
      </c>
      <c r="H19" s="422">
        <f>H16</f>
        <v>504.80546583850929</v>
      </c>
      <c r="I19" s="194">
        <f t="shared" si="6"/>
        <v>7067.2765217391297</v>
      </c>
      <c r="J19" s="186">
        <f t="shared" si="7"/>
        <v>353.36382608695652</v>
      </c>
      <c r="K19" s="186">
        <f t="shared" si="8"/>
        <v>706.72765217391304</v>
      </c>
      <c r="L19" s="314">
        <f t="shared" si="2"/>
        <v>889972.23819547822</v>
      </c>
      <c r="M19" s="321" t="s">
        <v>437</v>
      </c>
    </row>
    <row r="20" spans="1:15" x14ac:dyDescent="0.2">
      <c r="A20" s="188"/>
      <c r="B20" s="190"/>
      <c r="C20" s="191" t="s">
        <v>227</v>
      </c>
      <c r="D20" s="192"/>
      <c r="E20" s="181"/>
      <c r="F20" s="181"/>
      <c r="G20" s="181"/>
      <c r="H20" s="182"/>
      <c r="I20" s="183"/>
      <c r="J20" s="183"/>
      <c r="K20" s="183"/>
      <c r="L20" s="62"/>
    </row>
    <row r="21" spans="1:15" x14ac:dyDescent="0.2">
      <c r="A21" s="188"/>
      <c r="B21" s="190"/>
      <c r="C21" s="190"/>
      <c r="D21" s="285" t="s">
        <v>222</v>
      </c>
      <c r="E21" s="181">
        <v>27.8</v>
      </c>
      <c r="F21" s="181">
        <v>1</v>
      </c>
      <c r="G21" s="201">
        <f>E21*F21</f>
        <v>27.8</v>
      </c>
      <c r="H21" s="182">
        <f>H8</f>
        <v>0</v>
      </c>
      <c r="I21" s="189">
        <f t="shared" ref="I21:I27" si="9">G21*H21</f>
        <v>0</v>
      </c>
      <c r="J21" s="189">
        <f t="shared" ref="J21:J27" si="10">I21*0.05</f>
        <v>0</v>
      </c>
      <c r="K21" s="189">
        <f t="shared" ref="K21:K27" si="11">I21*0.1</f>
        <v>0</v>
      </c>
      <c r="L21" s="152">
        <f>(I21*$F$85)+(J21*$F$86)+(K21*$F$87)</f>
        <v>0</v>
      </c>
      <c r="N21" s="399"/>
      <c r="O21" s="395"/>
    </row>
    <row r="22" spans="1:15" x14ac:dyDescent="0.2">
      <c r="A22" s="188"/>
      <c r="B22" s="190"/>
      <c r="C22" s="190"/>
      <c r="D22" s="285" t="s">
        <v>284</v>
      </c>
      <c r="E22" s="181">
        <v>26.4</v>
      </c>
      <c r="F22" s="181">
        <v>1</v>
      </c>
      <c r="G22" s="201">
        <f>E22*F22</f>
        <v>26.4</v>
      </c>
      <c r="H22" s="182">
        <f>H8</f>
        <v>0</v>
      </c>
      <c r="I22" s="189">
        <f>G22*H22</f>
        <v>0</v>
      </c>
      <c r="J22" s="189">
        <f>I22*0.05</f>
        <v>0</v>
      </c>
      <c r="K22" s="189">
        <f>I22*0.1</f>
        <v>0</v>
      </c>
      <c r="L22" s="152">
        <f>(I22*$F$85)+(J22*$F$86)+(K22*$F$87)</f>
        <v>0</v>
      </c>
    </row>
    <row r="23" spans="1:15" x14ac:dyDescent="0.2">
      <c r="A23" s="188"/>
      <c r="B23" s="190"/>
      <c r="C23" s="190"/>
      <c r="D23" s="285" t="s">
        <v>336</v>
      </c>
      <c r="E23" s="181">
        <v>27.8</v>
      </c>
      <c r="F23" s="181">
        <v>1</v>
      </c>
      <c r="G23" s="201">
        <f t="shared" ref="G23:G27" si="12">E23*F23</f>
        <v>27.8</v>
      </c>
      <c r="H23" s="182">
        <f>H8</f>
        <v>0</v>
      </c>
      <c r="I23" s="189">
        <f t="shared" si="9"/>
        <v>0</v>
      </c>
      <c r="J23" s="189">
        <f t="shared" si="10"/>
        <v>0</v>
      </c>
      <c r="K23" s="189">
        <f t="shared" si="11"/>
        <v>0</v>
      </c>
      <c r="L23" s="152">
        <f>(I23*$F$85)+(J23*$F$86)+(K23*$F$87)</f>
        <v>0</v>
      </c>
      <c r="N23" s="395"/>
    </row>
    <row r="24" spans="1:15" x14ac:dyDescent="0.2">
      <c r="A24" s="195"/>
      <c r="B24" s="196"/>
      <c r="C24" s="196"/>
      <c r="D24" s="197" t="s">
        <v>223</v>
      </c>
      <c r="E24" s="181">
        <v>2.46</v>
      </c>
      <c r="F24" s="181">
        <v>4</v>
      </c>
      <c r="G24" s="202">
        <f t="shared" si="12"/>
        <v>9.84</v>
      </c>
      <c r="H24" s="182">
        <f>H8</f>
        <v>0</v>
      </c>
      <c r="I24" s="189">
        <f t="shared" ref="I24" si="13">G24*H24</f>
        <v>0</v>
      </c>
      <c r="J24" s="189">
        <f t="shared" si="10"/>
        <v>0</v>
      </c>
      <c r="K24" s="189">
        <f t="shared" ref="K24" si="14">I24*0.1</f>
        <v>0</v>
      </c>
      <c r="L24" s="152">
        <f>(I24*$F$85)+(J24*$F$86)+(K24*$F$87)</f>
        <v>0</v>
      </c>
      <c r="N24" s="395"/>
    </row>
    <row r="25" spans="1:15" x14ac:dyDescent="0.2">
      <c r="A25" s="195"/>
      <c r="B25" s="196"/>
      <c r="C25" s="196"/>
      <c r="D25" s="197" t="s">
        <v>224</v>
      </c>
      <c r="E25" s="181">
        <f>ROUND(0.121,2)</f>
        <v>0.12</v>
      </c>
      <c r="F25" s="181">
        <v>365</v>
      </c>
      <c r="G25" s="201">
        <f t="shared" si="12"/>
        <v>43.8</v>
      </c>
      <c r="H25" s="182">
        <f>H8</f>
        <v>0</v>
      </c>
      <c r="I25" s="189">
        <f t="shared" si="9"/>
        <v>0</v>
      </c>
      <c r="J25" s="189">
        <f t="shared" si="10"/>
        <v>0</v>
      </c>
      <c r="K25" s="189">
        <f t="shared" si="11"/>
        <v>0</v>
      </c>
      <c r="L25" s="152">
        <f>(I25*$F$85)+(J25*$F$86)+(K25*$F$87)</f>
        <v>0</v>
      </c>
    </row>
    <row r="26" spans="1:15" x14ac:dyDescent="0.2">
      <c r="A26" s="195"/>
      <c r="B26" s="196"/>
      <c r="C26" s="196"/>
      <c r="D26" s="197" t="s">
        <v>221</v>
      </c>
      <c r="E26" s="198">
        <v>0</v>
      </c>
      <c r="F26" s="181">
        <v>365</v>
      </c>
      <c r="G26" s="203">
        <f t="shared" si="12"/>
        <v>0</v>
      </c>
      <c r="H26" s="182">
        <f>H8</f>
        <v>0</v>
      </c>
      <c r="I26" s="189">
        <f t="shared" si="9"/>
        <v>0</v>
      </c>
      <c r="J26" s="189">
        <f t="shared" si="10"/>
        <v>0</v>
      </c>
      <c r="K26" s="189">
        <f t="shared" si="11"/>
        <v>0</v>
      </c>
      <c r="L26" s="152">
        <f t="shared" ref="L26:L27" si="15">(I26*$F$85)+(J26*$F$86)+(K26*$F$87)</f>
        <v>0</v>
      </c>
    </row>
    <row r="27" spans="1:15" x14ac:dyDescent="0.2">
      <c r="A27" s="195"/>
      <c r="B27" s="196"/>
      <c r="C27" s="196"/>
      <c r="D27" s="197" t="s">
        <v>220</v>
      </c>
      <c r="E27" s="181">
        <v>7.3</v>
      </c>
      <c r="F27" s="181">
        <v>365</v>
      </c>
      <c r="G27" s="201">
        <f t="shared" si="12"/>
        <v>2664.5</v>
      </c>
      <c r="H27" s="182">
        <f>H8</f>
        <v>0</v>
      </c>
      <c r="I27" s="189">
        <f t="shared" si="9"/>
        <v>0</v>
      </c>
      <c r="J27" s="189">
        <f t="shared" si="10"/>
        <v>0</v>
      </c>
      <c r="K27" s="189">
        <f t="shared" si="11"/>
        <v>0</v>
      </c>
      <c r="L27" s="152">
        <f t="shared" si="15"/>
        <v>0</v>
      </c>
    </row>
    <row r="28" spans="1:15" x14ac:dyDescent="0.2">
      <c r="A28" s="188"/>
      <c r="B28" s="498" t="s">
        <v>287</v>
      </c>
      <c r="C28" s="498"/>
      <c r="D28" s="499"/>
      <c r="E28" s="180" t="s">
        <v>285</v>
      </c>
      <c r="F28" s="181"/>
      <c r="G28" s="181"/>
      <c r="H28" s="248"/>
      <c r="I28" s="183"/>
      <c r="J28" s="183"/>
      <c r="K28" s="183"/>
      <c r="L28" s="62"/>
    </row>
    <row r="29" spans="1:15" x14ac:dyDescent="0.2">
      <c r="A29" s="188"/>
      <c r="B29" s="498" t="s">
        <v>288</v>
      </c>
      <c r="C29" s="498"/>
      <c r="D29" s="499"/>
      <c r="E29" s="180" t="s">
        <v>286</v>
      </c>
      <c r="F29" s="181"/>
      <c r="G29" s="181"/>
      <c r="H29" s="248"/>
      <c r="I29" s="183"/>
      <c r="J29" s="183"/>
      <c r="K29" s="183"/>
      <c r="L29" s="62"/>
    </row>
    <row r="30" spans="1:15" x14ac:dyDescent="0.2">
      <c r="A30" s="188"/>
      <c r="B30" s="498" t="s">
        <v>0</v>
      </c>
      <c r="C30" s="498"/>
      <c r="D30" s="499"/>
      <c r="E30" s="181"/>
      <c r="F30" s="181"/>
      <c r="G30" s="181"/>
      <c r="H30" s="248"/>
      <c r="I30" s="183"/>
      <c r="J30" s="183"/>
      <c r="K30" s="183"/>
      <c r="L30" s="62"/>
    </row>
    <row r="31" spans="1:15" x14ac:dyDescent="0.2">
      <c r="A31" s="188"/>
      <c r="B31" s="190"/>
      <c r="C31" s="191" t="s">
        <v>226</v>
      </c>
      <c r="D31" s="192"/>
      <c r="E31" s="181"/>
      <c r="F31" s="181"/>
      <c r="G31" s="181"/>
      <c r="H31" s="182"/>
      <c r="I31" s="183"/>
      <c r="J31" s="183"/>
      <c r="K31" s="183"/>
      <c r="L31" s="62"/>
    </row>
    <row r="32" spans="1:15" x14ac:dyDescent="0.2">
      <c r="A32" s="188"/>
      <c r="B32" s="190"/>
      <c r="C32" s="190"/>
      <c r="D32" s="193" t="s">
        <v>230</v>
      </c>
      <c r="E32" s="181">
        <v>5</v>
      </c>
      <c r="F32" s="181">
        <v>1</v>
      </c>
      <c r="G32" s="181">
        <f>E32*F32</f>
        <v>5</v>
      </c>
      <c r="H32" s="182">
        <v>0</v>
      </c>
      <c r="I32" s="189">
        <f t="shared" ref="I32" si="16">G32*H32</f>
        <v>0</v>
      </c>
      <c r="J32" s="189">
        <f t="shared" ref="J32:J40" si="17">I32*0.05</f>
        <v>0</v>
      </c>
      <c r="K32" s="189">
        <f t="shared" ref="K32" si="18">I32*0.1</f>
        <v>0</v>
      </c>
      <c r="L32" s="152">
        <f t="shared" ref="L32" si="19">(I32*$F$85)+(J32*$F$86)+(K32*$F$87)</f>
        <v>0</v>
      </c>
    </row>
    <row r="33" spans="1:13" x14ac:dyDescent="0.2">
      <c r="A33" s="188"/>
      <c r="B33" s="190"/>
      <c r="C33" s="190"/>
      <c r="D33" s="193" t="s">
        <v>231</v>
      </c>
      <c r="E33" s="181">
        <v>3</v>
      </c>
      <c r="F33" s="181">
        <v>1</v>
      </c>
      <c r="G33" s="181">
        <f>E33*F33</f>
        <v>3</v>
      </c>
      <c r="H33" s="182">
        <v>0</v>
      </c>
      <c r="I33" s="189">
        <f t="shared" ref="I33" si="20">G33*H33</f>
        <v>0</v>
      </c>
      <c r="J33" s="189">
        <f>I33*0.05</f>
        <v>0</v>
      </c>
      <c r="K33" s="189">
        <f t="shared" ref="K33" si="21">I33*0.1</f>
        <v>0</v>
      </c>
      <c r="L33" s="152">
        <f t="shared" ref="L33" si="22">(I33*$F$85)+(J33*$F$86)+(K33*$F$87)</f>
        <v>0</v>
      </c>
    </row>
    <row r="34" spans="1:13" x14ac:dyDescent="0.2">
      <c r="A34" s="188"/>
      <c r="B34" s="190"/>
      <c r="C34" s="190"/>
      <c r="D34" s="193" t="s">
        <v>290</v>
      </c>
      <c r="E34" s="180" t="s">
        <v>285</v>
      </c>
      <c r="F34" s="181"/>
      <c r="G34" s="181"/>
      <c r="H34" s="249"/>
      <c r="I34" s="183"/>
      <c r="J34" s="183"/>
      <c r="K34" s="183"/>
      <c r="L34" s="62"/>
    </row>
    <row r="35" spans="1:13" x14ac:dyDescent="0.2">
      <c r="A35" s="188"/>
      <c r="B35" s="190"/>
      <c r="C35" s="190"/>
      <c r="D35" s="193" t="s">
        <v>233</v>
      </c>
      <c r="E35" s="181">
        <v>16.5</v>
      </c>
      <c r="F35" s="181">
        <v>1</v>
      </c>
      <c r="G35" s="181">
        <f>E35*F35</f>
        <v>16.5</v>
      </c>
      <c r="H35" s="182">
        <v>0</v>
      </c>
      <c r="I35" s="189">
        <f>G35*H35</f>
        <v>0</v>
      </c>
      <c r="J35" s="189">
        <f>I35*0.05</f>
        <v>0</v>
      </c>
      <c r="K35" s="189">
        <f>I35*0.1</f>
        <v>0</v>
      </c>
      <c r="L35" s="152">
        <f>(I35*$F$85)+(J35*$F$86)+(K35*$F$87)</f>
        <v>0</v>
      </c>
    </row>
    <row r="36" spans="1:13" x14ac:dyDescent="0.2">
      <c r="A36" s="188"/>
      <c r="B36" s="190"/>
      <c r="C36" s="190"/>
      <c r="D36" s="193" t="s">
        <v>236</v>
      </c>
      <c r="E36" s="181">
        <v>4</v>
      </c>
      <c r="F36" s="181">
        <v>1</v>
      </c>
      <c r="G36" s="181">
        <f t="shared" ref="G36:G40" si="23">E36*F36</f>
        <v>4</v>
      </c>
      <c r="H36" s="182">
        <v>0</v>
      </c>
      <c r="I36" s="189">
        <f t="shared" ref="I36" si="24">G36*H36</f>
        <v>0</v>
      </c>
      <c r="J36" s="189">
        <f t="shared" si="17"/>
        <v>0</v>
      </c>
      <c r="K36" s="189">
        <f t="shared" ref="K36" si="25">I36*0.1</f>
        <v>0</v>
      </c>
      <c r="L36" s="152">
        <f t="shared" ref="L36" si="26">(I36*$F$85)+(J36*$F$86)+(K36*$F$87)</f>
        <v>0</v>
      </c>
    </row>
    <row r="37" spans="1:13" x14ac:dyDescent="0.2">
      <c r="A37" s="188"/>
      <c r="B37" s="190"/>
      <c r="C37" s="190"/>
      <c r="D37" s="193" t="s">
        <v>292</v>
      </c>
      <c r="E37" s="181">
        <v>10</v>
      </c>
      <c r="F37" s="181">
        <v>1</v>
      </c>
      <c r="G37" s="181">
        <f t="shared" si="23"/>
        <v>10</v>
      </c>
      <c r="H37" s="398">
        <f>'Table 1c'!$E$11*0.1</f>
        <v>26.8</v>
      </c>
      <c r="I37" s="194">
        <f>G37*H37</f>
        <v>268</v>
      </c>
      <c r="J37" s="186">
        <f>I37*0.05</f>
        <v>13.4</v>
      </c>
      <c r="K37" s="186">
        <f t="shared" ref="K37" si="27">I37*0.1</f>
        <v>26.8</v>
      </c>
      <c r="L37" s="314">
        <f>(I37*$F$85)+(J37*$F$86)+(K37*$F$87)</f>
        <v>33748.864800000003</v>
      </c>
      <c r="M37" s="321" t="s">
        <v>441</v>
      </c>
    </row>
    <row r="38" spans="1:13" x14ac:dyDescent="0.2">
      <c r="A38" s="188"/>
      <c r="B38" s="190"/>
      <c r="C38" s="190"/>
      <c r="D38" s="193" t="s">
        <v>232</v>
      </c>
      <c r="E38" s="181">
        <v>75</v>
      </c>
      <c r="F38" s="181">
        <v>2</v>
      </c>
      <c r="G38" s="181">
        <f t="shared" si="23"/>
        <v>150</v>
      </c>
      <c r="H38" s="392">
        <f>'Table 1c'!$E$11</f>
        <v>268</v>
      </c>
      <c r="I38" s="194">
        <f t="shared" ref="I38:I40" si="28">G38*H38</f>
        <v>40200</v>
      </c>
      <c r="J38" s="194">
        <f t="shared" si="17"/>
        <v>2010</v>
      </c>
      <c r="K38" s="194">
        <f t="shared" ref="K38:K40" si="29">I38*0.1</f>
        <v>4020</v>
      </c>
      <c r="L38" s="314">
        <f>(I38*$F$85)+(J38*$F$86)+(K38*$F$87)</f>
        <v>5062329.72</v>
      </c>
      <c r="M38" s="321" t="s">
        <v>388</v>
      </c>
    </row>
    <row r="39" spans="1:13" x14ac:dyDescent="0.2">
      <c r="A39" s="188"/>
      <c r="B39" s="190"/>
      <c r="C39" s="190"/>
      <c r="D39" s="400" t="s">
        <v>234</v>
      </c>
      <c r="E39" s="181">
        <v>20</v>
      </c>
      <c r="F39" s="181">
        <v>1</v>
      </c>
      <c r="G39" s="181">
        <f t="shared" si="23"/>
        <v>20</v>
      </c>
      <c r="H39" s="392">
        <f>'Regulated Sources_Overview'!K6*'Table 1c'!F11*'%CEMSCPMSvs.testing'!N6</f>
        <v>219.84600414078676</v>
      </c>
      <c r="I39" s="194">
        <f t="shared" si="28"/>
        <v>4396.9200828157354</v>
      </c>
      <c r="J39" s="194">
        <f t="shared" si="17"/>
        <v>219.84600414078679</v>
      </c>
      <c r="K39" s="194">
        <f t="shared" si="29"/>
        <v>439.69200828157358</v>
      </c>
      <c r="L39" s="151">
        <f>(I39*$F$85)+(J39*$F$86)+(K39*$F$87)</f>
        <v>553697.99034086964</v>
      </c>
      <c r="M39" s="397" t="s">
        <v>434</v>
      </c>
    </row>
    <row r="40" spans="1:13" x14ac:dyDescent="0.2">
      <c r="A40" s="188"/>
      <c r="B40" s="190"/>
      <c r="C40" s="190"/>
      <c r="D40" s="193" t="s">
        <v>293</v>
      </c>
      <c r="E40" s="181">
        <v>5</v>
      </c>
      <c r="F40" s="181">
        <v>1</v>
      </c>
      <c r="G40" s="181">
        <f t="shared" si="23"/>
        <v>5</v>
      </c>
      <c r="H40" s="204">
        <f>H39*0.1</f>
        <v>21.984600414078677</v>
      </c>
      <c r="I40" s="194">
        <f t="shared" si="28"/>
        <v>109.92300207039338</v>
      </c>
      <c r="J40" s="194">
        <f t="shared" si="17"/>
        <v>5.4961501035196694</v>
      </c>
      <c r="K40" s="194">
        <f t="shared" si="29"/>
        <v>10.992300207039339</v>
      </c>
      <c r="L40" s="151">
        <f>(I40*$F$85)+(J40*$F$86)+(K40*$F$87)</f>
        <v>13842.44975852174</v>
      </c>
    </row>
    <row r="41" spans="1:13" x14ac:dyDescent="0.2">
      <c r="A41" s="188"/>
      <c r="B41" s="190"/>
      <c r="C41" s="191" t="s">
        <v>227</v>
      </c>
      <c r="D41" s="192"/>
      <c r="E41" s="181"/>
      <c r="F41" s="181"/>
      <c r="G41" s="181"/>
      <c r="H41" s="182"/>
      <c r="I41" s="183"/>
      <c r="J41" s="183"/>
      <c r="K41" s="183"/>
      <c r="L41" s="62"/>
    </row>
    <row r="42" spans="1:13" x14ac:dyDescent="0.2">
      <c r="A42" s="188"/>
      <c r="B42" s="190"/>
      <c r="C42" s="190"/>
      <c r="D42" s="197" t="s">
        <v>235</v>
      </c>
      <c r="E42" s="181">
        <v>3</v>
      </c>
      <c r="F42" s="181">
        <v>1</v>
      </c>
      <c r="G42" s="181">
        <f>E42*F42</f>
        <v>3</v>
      </c>
      <c r="H42" s="204">
        <f>H8</f>
        <v>0</v>
      </c>
      <c r="I42" s="194">
        <f t="shared" ref="I42:I43" si="30">G42*H42</f>
        <v>0</v>
      </c>
      <c r="J42" s="194">
        <f t="shared" ref="J42:J43" si="31">I42*0.05</f>
        <v>0</v>
      </c>
      <c r="K42" s="194">
        <f t="shared" ref="K42:K43" si="32">I42*0.1</f>
        <v>0</v>
      </c>
      <c r="L42" s="151">
        <f t="shared" ref="L42:L43" si="33">(I42*$F$85)+(J42*$F$86)+(K42*$F$87)</f>
        <v>0</v>
      </c>
    </row>
    <row r="43" spans="1:13" x14ac:dyDescent="0.2">
      <c r="A43" s="188"/>
      <c r="B43" s="190"/>
      <c r="C43" s="190"/>
      <c r="D43" s="193" t="s">
        <v>230</v>
      </c>
      <c r="E43" s="181">
        <v>5</v>
      </c>
      <c r="F43" s="181">
        <v>1</v>
      </c>
      <c r="G43" s="181">
        <f>E43*F43</f>
        <v>5</v>
      </c>
      <c r="H43" s="204">
        <f>H8</f>
        <v>0</v>
      </c>
      <c r="I43" s="194">
        <f t="shared" si="30"/>
        <v>0</v>
      </c>
      <c r="J43" s="194">
        <f t="shared" si="31"/>
        <v>0</v>
      </c>
      <c r="K43" s="194">
        <f t="shared" si="32"/>
        <v>0</v>
      </c>
      <c r="L43" s="151">
        <f t="shared" si="33"/>
        <v>0</v>
      </c>
    </row>
    <row r="44" spans="1:13" x14ac:dyDescent="0.2">
      <c r="A44" s="188"/>
      <c r="B44" s="190"/>
      <c r="C44" s="190"/>
      <c r="D44" s="193" t="s">
        <v>231</v>
      </c>
      <c r="E44" s="181">
        <v>4</v>
      </c>
      <c r="F44" s="181">
        <v>1</v>
      </c>
      <c r="G44" s="181">
        <f>E44*F44</f>
        <v>4</v>
      </c>
      <c r="H44" s="204">
        <f>H8</f>
        <v>0</v>
      </c>
      <c r="I44" s="194">
        <f>G44*H44</f>
        <v>0</v>
      </c>
      <c r="J44" s="194">
        <f>I44*0.05</f>
        <v>0</v>
      </c>
      <c r="K44" s="194">
        <f>I44*0.1</f>
        <v>0</v>
      </c>
      <c r="L44" s="151">
        <f>(I44*$F$85)+(J44*$F$86)+(K44*$F$87)</f>
        <v>0</v>
      </c>
    </row>
    <row r="45" spans="1:13" x14ac:dyDescent="0.2">
      <c r="A45" s="188"/>
      <c r="B45" s="190"/>
      <c r="C45" s="190"/>
      <c r="D45" s="193" t="s">
        <v>290</v>
      </c>
      <c r="E45" s="180" t="s">
        <v>285</v>
      </c>
      <c r="F45" s="181"/>
      <c r="G45" s="181"/>
      <c r="H45" s="248"/>
      <c r="I45" s="183"/>
      <c r="J45" s="183"/>
      <c r="K45" s="183"/>
      <c r="L45" s="62"/>
    </row>
    <row r="46" spans="1:13" x14ac:dyDescent="0.2">
      <c r="A46" s="188"/>
      <c r="B46" s="190"/>
      <c r="C46" s="190"/>
      <c r="D46" s="193" t="s">
        <v>233</v>
      </c>
      <c r="E46" s="181">
        <v>16.5</v>
      </c>
      <c r="F46" s="181">
        <v>1</v>
      </c>
      <c r="G46" s="181">
        <f>E46*F46</f>
        <v>16.5</v>
      </c>
      <c r="H46" s="204">
        <f>H8</f>
        <v>0</v>
      </c>
      <c r="I46" s="194">
        <f>G46*H46</f>
        <v>0</v>
      </c>
      <c r="J46" s="194">
        <f>I46*0.05</f>
        <v>0</v>
      </c>
      <c r="K46" s="194">
        <f>I46*0.1</f>
        <v>0</v>
      </c>
      <c r="L46" s="151">
        <f t="shared" ref="L46:L51" si="34">(I46*$F$85)+(J46*$F$86)+(K46*$F$87)</f>
        <v>0</v>
      </c>
    </row>
    <row r="47" spans="1:13" x14ac:dyDescent="0.2">
      <c r="A47" s="188"/>
      <c r="B47" s="190"/>
      <c r="C47" s="190"/>
      <c r="D47" s="193" t="s">
        <v>236</v>
      </c>
      <c r="E47" s="181">
        <v>3</v>
      </c>
      <c r="F47" s="181">
        <v>1</v>
      </c>
      <c r="G47" s="181">
        <f t="shared" ref="G47" si="35">E47*F47</f>
        <v>3</v>
      </c>
      <c r="H47" s="204">
        <f>H8</f>
        <v>0</v>
      </c>
      <c r="I47" s="194">
        <f t="shared" ref="I47:I51" si="36">G47*H47</f>
        <v>0</v>
      </c>
      <c r="J47" s="194">
        <f t="shared" ref="J47:J51" si="37">I47*0.05</f>
        <v>0</v>
      </c>
      <c r="K47" s="194">
        <f t="shared" ref="K47:K51" si="38">I47*0.1</f>
        <v>0</v>
      </c>
      <c r="L47" s="151">
        <f t="shared" si="34"/>
        <v>0</v>
      </c>
    </row>
    <row r="48" spans="1:13" x14ac:dyDescent="0.2">
      <c r="A48" s="188"/>
      <c r="B48" s="190"/>
      <c r="C48" s="190"/>
      <c r="D48" s="193" t="s">
        <v>292</v>
      </c>
      <c r="E48" s="181">
        <v>10</v>
      </c>
      <c r="F48" s="181">
        <v>1</v>
      </c>
      <c r="G48" s="181">
        <f t="shared" ref="G48" si="39">E48*F48</f>
        <v>10</v>
      </c>
      <c r="H48" s="204">
        <f>H8*0.1</f>
        <v>0</v>
      </c>
      <c r="I48" s="194">
        <f t="shared" si="36"/>
        <v>0</v>
      </c>
      <c r="J48" s="194">
        <f t="shared" si="37"/>
        <v>0</v>
      </c>
      <c r="K48" s="194">
        <f t="shared" si="38"/>
        <v>0</v>
      </c>
      <c r="L48" s="151">
        <f t="shared" si="34"/>
        <v>0</v>
      </c>
    </row>
    <row r="49" spans="1:13" x14ac:dyDescent="0.2">
      <c r="A49" s="188"/>
      <c r="B49" s="190"/>
      <c r="C49" s="190"/>
      <c r="D49" s="193" t="s">
        <v>232</v>
      </c>
      <c r="E49" s="181">
        <v>75</v>
      </c>
      <c r="F49" s="181">
        <v>2</v>
      </c>
      <c r="G49" s="181">
        <f>E49*F49</f>
        <v>150</v>
      </c>
      <c r="H49" s="204">
        <f>H8</f>
        <v>0</v>
      </c>
      <c r="I49" s="194">
        <f t="shared" si="36"/>
        <v>0</v>
      </c>
      <c r="J49" s="194">
        <f t="shared" si="37"/>
        <v>0</v>
      </c>
      <c r="K49" s="194">
        <f t="shared" si="38"/>
        <v>0</v>
      </c>
      <c r="L49" s="151">
        <f t="shared" si="34"/>
        <v>0</v>
      </c>
    </row>
    <row r="50" spans="1:13" x14ac:dyDescent="0.2">
      <c r="A50" s="188"/>
      <c r="B50" s="190"/>
      <c r="C50" s="190"/>
      <c r="D50" s="391" t="s">
        <v>234</v>
      </c>
      <c r="E50" s="181">
        <v>20</v>
      </c>
      <c r="F50" s="181">
        <v>1</v>
      </c>
      <c r="G50" s="181">
        <f>E50*F50</f>
        <v>20</v>
      </c>
      <c r="H50" s="204">
        <f>H8</f>
        <v>0</v>
      </c>
      <c r="I50" s="194">
        <f t="shared" si="36"/>
        <v>0</v>
      </c>
      <c r="J50" s="194">
        <f t="shared" si="37"/>
        <v>0</v>
      </c>
      <c r="K50" s="194">
        <f t="shared" si="38"/>
        <v>0</v>
      </c>
      <c r="L50" s="151">
        <f t="shared" si="34"/>
        <v>0</v>
      </c>
    </row>
    <row r="51" spans="1:13" x14ac:dyDescent="0.2">
      <c r="A51" s="188"/>
      <c r="B51" s="190"/>
      <c r="C51" s="190"/>
      <c r="D51" s="193" t="s">
        <v>293</v>
      </c>
      <c r="E51" s="181">
        <v>5</v>
      </c>
      <c r="F51" s="181">
        <v>1</v>
      </c>
      <c r="G51" s="181">
        <f>E51*F51</f>
        <v>5</v>
      </c>
      <c r="H51" s="204">
        <f>H8*0.1</f>
        <v>0</v>
      </c>
      <c r="I51" s="194">
        <f t="shared" si="36"/>
        <v>0</v>
      </c>
      <c r="J51" s="194">
        <f t="shared" si="37"/>
        <v>0</v>
      </c>
      <c r="K51" s="194">
        <f t="shared" si="38"/>
        <v>0</v>
      </c>
      <c r="L51" s="151">
        <f t="shared" si="34"/>
        <v>0</v>
      </c>
    </row>
    <row r="52" spans="1:13" s="169" customFormat="1" x14ac:dyDescent="0.2">
      <c r="A52" s="206" t="s">
        <v>279</v>
      </c>
      <c r="B52" s="207"/>
      <c r="C52" s="208"/>
      <c r="D52" s="208"/>
      <c r="E52" s="208"/>
      <c r="F52" s="209"/>
      <c r="G52" s="210"/>
      <c r="H52" s="210"/>
      <c r="I52" s="484">
        <f>SUM(I8:K51)</f>
        <v>224328.11009047614</v>
      </c>
      <c r="J52" s="484"/>
      <c r="K52" s="484"/>
      <c r="L52" s="313">
        <f>SUM(L8:L51)</f>
        <v>24564630.299425684</v>
      </c>
      <c r="M52" s="323"/>
    </row>
    <row r="53" spans="1:13" x14ac:dyDescent="0.2">
      <c r="A53" s="496" t="s">
        <v>237</v>
      </c>
      <c r="B53" s="497"/>
      <c r="C53" s="497"/>
      <c r="D53" s="498"/>
      <c r="E53" s="181"/>
      <c r="F53" s="181"/>
      <c r="G53" s="181"/>
      <c r="H53" s="182"/>
      <c r="I53" s="183"/>
      <c r="J53" s="183"/>
      <c r="K53" s="183"/>
      <c r="L53" s="62"/>
    </row>
    <row r="54" spans="1:13" ht="12.75" customHeight="1" x14ac:dyDescent="0.2">
      <c r="A54" s="188"/>
      <c r="B54" s="500" t="s">
        <v>342</v>
      </c>
      <c r="C54" s="500"/>
      <c r="D54" s="501"/>
      <c r="E54" s="180" t="s">
        <v>294</v>
      </c>
      <c r="F54" s="181"/>
      <c r="G54" s="181"/>
      <c r="H54" s="182"/>
      <c r="I54" s="183"/>
      <c r="J54" s="183"/>
      <c r="K54" s="183"/>
      <c r="L54" s="62"/>
    </row>
    <row r="55" spans="1:13" x14ac:dyDescent="0.2">
      <c r="A55" s="188"/>
      <c r="B55" s="498" t="s">
        <v>295</v>
      </c>
      <c r="C55" s="498"/>
      <c r="D55" s="499"/>
      <c r="E55" s="180" t="s">
        <v>285</v>
      </c>
      <c r="F55" s="181"/>
      <c r="G55" s="181"/>
      <c r="H55" s="182"/>
      <c r="I55" s="183"/>
      <c r="J55" s="183"/>
      <c r="K55" s="183"/>
      <c r="L55" s="62"/>
    </row>
    <row r="56" spans="1:13" x14ac:dyDescent="0.2">
      <c r="A56" s="188"/>
      <c r="B56" s="498" t="s">
        <v>291</v>
      </c>
      <c r="C56" s="498"/>
      <c r="D56" s="499"/>
      <c r="E56" s="180" t="s">
        <v>285</v>
      </c>
      <c r="F56" s="181"/>
      <c r="G56" s="181"/>
      <c r="H56" s="182"/>
      <c r="I56" s="183"/>
      <c r="J56" s="183"/>
      <c r="K56" s="183"/>
      <c r="L56" s="62"/>
    </row>
    <row r="57" spans="1:13" x14ac:dyDescent="0.2">
      <c r="A57" s="188"/>
      <c r="B57" s="498" t="s">
        <v>238</v>
      </c>
      <c r="C57" s="498"/>
      <c r="D57" s="499"/>
      <c r="E57" s="180" t="s">
        <v>214</v>
      </c>
      <c r="F57" s="181"/>
      <c r="G57" s="181"/>
      <c r="H57" s="182"/>
      <c r="I57" s="183"/>
      <c r="J57" s="183"/>
      <c r="K57" s="183"/>
      <c r="L57" s="62"/>
    </row>
    <row r="58" spans="1:13" x14ac:dyDescent="0.2">
      <c r="A58" s="188"/>
      <c r="B58" s="498" t="s">
        <v>239</v>
      </c>
      <c r="C58" s="498"/>
      <c r="D58" s="499"/>
      <c r="E58" s="181"/>
      <c r="F58" s="181"/>
      <c r="G58" s="181"/>
      <c r="H58" s="182"/>
      <c r="I58" s="183"/>
      <c r="J58" s="183"/>
      <c r="K58" s="183"/>
      <c r="L58" s="62"/>
    </row>
    <row r="59" spans="1:13" x14ac:dyDescent="0.2">
      <c r="A59" s="188"/>
      <c r="B59" s="190"/>
      <c r="C59" s="191" t="s">
        <v>226</v>
      </c>
      <c r="D59" s="192"/>
      <c r="E59" s="181"/>
      <c r="F59" s="181"/>
      <c r="G59" s="181"/>
      <c r="H59" s="182"/>
      <c r="I59" s="183"/>
      <c r="J59" s="183"/>
      <c r="K59" s="183"/>
      <c r="L59" s="62"/>
    </row>
    <row r="60" spans="1:13" x14ac:dyDescent="0.2">
      <c r="A60" s="188"/>
      <c r="B60" s="190"/>
      <c r="C60" s="190"/>
      <c r="D60" s="193" t="s">
        <v>438</v>
      </c>
      <c r="E60" s="181">
        <v>1</v>
      </c>
      <c r="F60" s="181">
        <v>12</v>
      </c>
      <c r="G60" s="181">
        <f t="shared" ref="G60:G67" si="40">E60*F60</f>
        <v>12</v>
      </c>
      <c r="H60" s="398">
        <f>'Table 1c'!$E$11*0.1</f>
        <v>26.8</v>
      </c>
      <c r="I60" s="194">
        <f>G60*H60</f>
        <v>321.60000000000002</v>
      </c>
      <c r="J60" s="186">
        <f t="shared" ref="J60:J62" si="41">I60*0.05</f>
        <v>16.080000000000002</v>
      </c>
      <c r="K60" s="186">
        <f t="shared" ref="K60:K62" si="42">I60*0.1</f>
        <v>32.160000000000004</v>
      </c>
      <c r="L60" s="314">
        <f t="shared" ref="L60:L61" si="43">(I60*$F$85)+(J60*$F$86)+(K60*$F$87)</f>
        <v>40498.637759999998</v>
      </c>
      <c r="M60" s="321" t="s">
        <v>389</v>
      </c>
    </row>
    <row r="61" spans="1:13" x14ac:dyDescent="0.2">
      <c r="A61" s="188"/>
      <c r="B61" s="190"/>
      <c r="C61" s="190"/>
      <c r="D61" s="193" t="s">
        <v>241</v>
      </c>
      <c r="E61" s="181">
        <v>1</v>
      </c>
      <c r="F61" s="181">
        <v>12</v>
      </c>
      <c r="G61" s="181">
        <f t="shared" si="40"/>
        <v>12</v>
      </c>
      <c r="H61" s="392">
        <f>'Table 1c'!$E$11</f>
        <v>268</v>
      </c>
      <c r="I61" s="194">
        <f t="shared" ref="I61:I62" si="44">G61*H61</f>
        <v>3216</v>
      </c>
      <c r="J61" s="186">
        <f t="shared" si="41"/>
        <v>160.80000000000001</v>
      </c>
      <c r="K61" s="186">
        <f t="shared" si="42"/>
        <v>321.60000000000002</v>
      </c>
      <c r="L61" s="314">
        <f t="shared" si="43"/>
        <v>404986.37760000001</v>
      </c>
      <c r="M61" s="321" t="s">
        <v>389</v>
      </c>
    </row>
    <row r="62" spans="1:13" x14ac:dyDescent="0.2">
      <c r="A62" s="188"/>
      <c r="B62" s="190"/>
      <c r="C62" s="190"/>
      <c r="D62" s="193" t="s">
        <v>242</v>
      </c>
      <c r="E62" s="181">
        <v>2</v>
      </c>
      <c r="F62" s="181">
        <v>12</v>
      </c>
      <c r="G62" s="181">
        <f t="shared" si="40"/>
        <v>24</v>
      </c>
      <c r="H62" s="392">
        <f>'Table 1c'!$E$11</f>
        <v>268</v>
      </c>
      <c r="I62" s="194">
        <f t="shared" si="44"/>
        <v>6432</v>
      </c>
      <c r="J62" s="186">
        <f t="shared" si="41"/>
        <v>321.60000000000002</v>
      </c>
      <c r="K62" s="186">
        <f t="shared" si="42"/>
        <v>643.20000000000005</v>
      </c>
      <c r="L62" s="314">
        <f>(I62*$F$85)+(J62*$F$86)+(K62*$F$87)</f>
        <v>809972.75520000001</v>
      </c>
      <c r="M62" s="321" t="s">
        <v>389</v>
      </c>
    </row>
    <row r="63" spans="1:13" x14ac:dyDescent="0.2">
      <c r="A63" s="188"/>
      <c r="B63" s="190"/>
      <c r="C63" s="191" t="s">
        <v>227</v>
      </c>
      <c r="D63" s="192"/>
      <c r="E63" s="181"/>
      <c r="F63" s="181"/>
      <c r="G63" s="181"/>
      <c r="H63" s="182"/>
      <c r="I63" s="183"/>
      <c r="J63" s="183"/>
      <c r="K63" s="183"/>
      <c r="L63" s="62"/>
    </row>
    <row r="64" spans="1:13" x14ac:dyDescent="0.2">
      <c r="A64" s="188"/>
      <c r="B64" s="190"/>
      <c r="C64" s="190"/>
      <c r="D64" s="434" t="s">
        <v>438</v>
      </c>
      <c r="E64" s="181">
        <v>1</v>
      </c>
      <c r="F64" s="181">
        <v>12</v>
      </c>
      <c r="G64" s="181">
        <f t="shared" si="40"/>
        <v>12</v>
      </c>
      <c r="H64" s="204">
        <f>H8</f>
        <v>0</v>
      </c>
      <c r="I64" s="194">
        <f t="shared" ref="I64:I67" si="45">G64*H64</f>
        <v>0</v>
      </c>
      <c r="J64" s="194">
        <f t="shared" ref="J64:J67" si="46">I64*0.05</f>
        <v>0</v>
      </c>
      <c r="K64" s="194">
        <f t="shared" ref="K64:K67" si="47">I64*0.1</f>
        <v>0</v>
      </c>
      <c r="L64" s="151">
        <f t="shared" ref="L64:L67" si="48">(I64*$F$85)+(J64*$F$86)+(K64*$F$87)</f>
        <v>0</v>
      </c>
    </row>
    <row r="65" spans="1:13" x14ac:dyDescent="0.2">
      <c r="A65" s="188"/>
      <c r="B65" s="190"/>
      <c r="C65" s="190"/>
      <c r="D65" s="193" t="s">
        <v>241</v>
      </c>
      <c r="E65" s="181">
        <v>1</v>
      </c>
      <c r="F65" s="181">
        <v>12</v>
      </c>
      <c r="G65" s="181">
        <f t="shared" si="40"/>
        <v>12</v>
      </c>
      <c r="H65" s="204">
        <f>H8</f>
        <v>0</v>
      </c>
      <c r="I65" s="194">
        <f t="shared" si="45"/>
        <v>0</v>
      </c>
      <c r="J65" s="194">
        <f t="shared" si="46"/>
        <v>0</v>
      </c>
      <c r="K65" s="194">
        <f t="shared" si="47"/>
        <v>0</v>
      </c>
      <c r="L65" s="151">
        <f t="shared" si="48"/>
        <v>0</v>
      </c>
    </row>
    <row r="66" spans="1:13" x14ac:dyDescent="0.2">
      <c r="A66" s="188"/>
      <c r="B66" s="190"/>
      <c r="C66" s="190"/>
      <c r="D66" s="193" t="s">
        <v>242</v>
      </c>
      <c r="E66" s="181">
        <v>2</v>
      </c>
      <c r="F66" s="181">
        <v>12</v>
      </c>
      <c r="G66" s="181">
        <f t="shared" si="40"/>
        <v>24</v>
      </c>
      <c r="H66" s="204">
        <f>H8</f>
        <v>0</v>
      </c>
      <c r="I66" s="194">
        <f t="shared" si="45"/>
        <v>0</v>
      </c>
      <c r="J66" s="194">
        <f t="shared" si="46"/>
        <v>0</v>
      </c>
      <c r="K66" s="194">
        <f t="shared" si="47"/>
        <v>0</v>
      </c>
      <c r="L66" s="151">
        <f t="shared" si="48"/>
        <v>0</v>
      </c>
    </row>
    <row r="67" spans="1:13" x14ac:dyDescent="0.2">
      <c r="A67" s="188"/>
      <c r="B67" s="498" t="s">
        <v>243</v>
      </c>
      <c r="C67" s="498"/>
      <c r="D67" s="499"/>
      <c r="E67" s="181">
        <f xml:space="preserve"> 16+ 64</f>
        <v>80</v>
      </c>
      <c r="F67" s="181">
        <v>1</v>
      </c>
      <c r="G67" s="181">
        <f t="shared" si="40"/>
        <v>80</v>
      </c>
      <c r="H67" s="204">
        <f>H8</f>
        <v>0</v>
      </c>
      <c r="I67" s="194">
        <f t="shared" si="45"/>
        <v>0</v>
      </c>
      <c r="J67" s="194">
        <f t="shared" si="46"/>
        <v>0</v>
      </c>
      <c r="K67" s="194">
        <f t="shared" si="47"/>
        <v>0</v>
      </c>
      <c r="L67" s="151">
        <f t="shared" si="48"/>
        <v>0</v>
      </c>
    </row>
    <row r="68" spans="1:13" x14ac:dyDescent="0.2">
      <c r="A68" s="188"/>
      <c r="B68" s="498" t="s">
        <v>240</v>
      </c>
      <c r="C68" s="498"/>
      <c r="D68" s="499"/>
      <c r="E68" s="180" t="s">
        <v>214</v>
      </c>
      <c r="F68" s="181"/>
      <c r="G68" s="181"/>
      <c r="H68" s="182"/>
      <c r="I68" s="183"/>
      <c r="J68" s="183"/>
      <c r="K68" s="183"/>
      <c r="L68" s="62"/>
    </row>
    <row r="69" spans="1:13" s="169" customFormat="1" x14ac:dyDescent="0.2">
      <c r="A69" s="206" t="s">
        <v>280</v>
      </c>
      <c r="B69" s="211"/>
      <c r="C69" s="208"/>
      <c r="D69" s="208"/>
      <c r="E69" s="208"/>
      <c r="F69" s="209"/>
      <c r="G69" s="210"/>
      <c r="H69" s="210"/>
      <c r="I69" s="484">
        <f>SUM(I54:K67)</f>
        <v>11465.04</v>
      </c>
      <c r="J69" s="484"/>
      <c r="K69" s="484"/>
      <c r="L69" s="313">
        <f>SUM(L54:L67)</f>
        <v>1255457.7705600001</v>
      </c>
      <c r="M69" s="323"/>
    </row>
    <row r="70" spans="1:13" s="169" customFormat="1" ht="15" x14ac:dyDescent="0.2">
      <c r="A70" s="380" t="s">
        <v>425</v>
      </c>
      <c r="B70" s="381"/>
      <c r="C70" s="382"/>
      <c r="D70" s="375"/>
      <c r="E70" s="376"/>
      <c r="F70" s="377"/>
      <c r="G70" s="378"/>
      <c r="H70" s="378"/>
      <c r="I70" s="485">
        <f>ROUND(I52+I69,-3)</f>
        <v>236000</v>
      </c>
      <c r="J70" s="486"/>
      <c r="K70" s="487"/>
      <c r="L70" s="379">
        <f>ROUND(L52+L69,-5)</f>
        <v>25800000</v>
      </c>
      <c r="M70" s="323"/>
    </row>
    <row r="71" spans="1:13" s="169" customFormat="1" ht="15" x14ac:dyDescent="0.2">
      <c r="A71" s="384" t="s">
        <v>426</v>
      </c>
      <c r="B71" s="378"/>
      <c r="C71" s="376"/>
      <c r="D71" s="376"/>
      <c r="E71" s="376"/>
      <c r="F71" s="377"/>
      <c r="G71" s="378"/>
      <c r="H71" s="378"/>
      <c r="I71" s="377"/>
      <c r="J71" s="377"/>
      <c r="K71" s="377"/>
      <c r="L71" s="379">
        <f>ROUND(H105+K116,-5)</f>
        <v>86600000</v>
      </c>
      <c r="M71" s="323"/>
    </row>
    <row r="72" spans="1:13" s="169" customFormat="1" ht="15" x14ac:dyDescent="0.2">
      <c r="A72" s="384" t="s">
        <v>427</v>
      </c>
      <c r="B72" s="378"/>
      <c r="C72" s="376"/>
      <c r="D72" s="376"/>
      <c r="E72" s="376"/>
      <c r="F72" s="377"/>
      <c r="G72" s="378"/>
      <c r="H72" s="378"/>
      <c r="I72" s="377"/>
      <c r="J72" s="377"/>
      <c r="K72" s="377"/>
      <c r="L72" s="379">
        <f>ROUND(L70+L71,-6)</f>
        <v>112000000</v>
      </c>
      <c r="M72" s="323"/>
    </row>
    <row r="73" spans="1:13" s="213" customFormat="1" x14ac:dyDescent="0.2">
      <c r="A73" s="212"/>
      <c r="B73" s="212"/>
      <c r="C73" s="212"/>
      <c r="D73" s="212"/>
      <c r="H73" s="214"/>
      <c r="I73" s="212"/>
      <c r="J73" s="214"/>
      <c r="K73" s="212"/>
      <c r="L73" s="293"/>
    </row>
    <row r="74" spans="1:13" s="213" customFormat="1" x14ac:dyDescent="0.2">
      <c r="A74" s="256" t="s">
        <v>302</v>
      </c>
      <c r="B74" s="212"/>
      <c r="C74" s="212"/>
      <c r="D74" s="212"/>
      <c r="H74" s="214"/>
      <c r="L74" s="44"/>
    </row>
    <row r="75" spans="1:13" s="213" customFormat="1" ht="37.5" customHeight="1" x14ac:dyDescent="0.2">
      <c r="A75" s="495" t="s">
        <v>439</v>
      </c>
      <c r="B75" s="495"/>
      <c r="C75" s="495"/>
      <c r="D75" s="495"/>
      <c r="E75" s="495"/>
      <c r="F75" s="495"/>
      <c r="G75" s="495"/>
      <c r="H75" s="495"/>
      <c r="I75" s="495"/>
      <c r="J75" s="495"/>
      <c r="K75" s="495"/>
      <c r="L75" s="495"/>
    </row>
    <row r="76" spans="1:13" s="213" customFormat="1" ht="27.75" customHeight="1" x14ac:dyDescent="0.2">
      <c r="A76" s="494" t="s">
        <v>379</v>
      </c>
      <c r="B76" s="494"/>
      <c r="C76" s="494"/>
      <c r="D76" s="494"/>
      <c r="E76" s="494"/>
      <c r="F76" s="494"/>
      <c r="G76" s="494"/>
      <c r="H76" s="494"/>
      <c r="I76" s="494"/>
      <c r="J76" s="494"/>
      <c r="K76" s="494"/>
      <c r="L76" s="494"/>
    </row>
    <row r="77" spans="1:13" s="213" customFormat="1" ht="27.75" customHeight="1" x14ac:dyDescent="0.2">
      <c r="A77" s="425" t="s">
        <v>440</v>
      </c>
      <c r="B77" s="426"/>
      <c r="C77" s="426"/>
      <c r="D77" s="426"/>
      <c r="E77" s="426"/>
      <c r="F77" s="426"/>
      <c r="G77" s="426"/>
      <c r="H77" s="426"/>
      <c r="I77" s="426"/>
      <c r="J77" s="426"/>
      <c r="K77" s="426"/>
      <c r="L77" s="426"/>
    </row>
    <row r="78" spans="1:13" s="213" customFormat="1" ht="27.75" customHeight="1" x14ac:dyDescent="0.2">
      <c r="A78" s="425" t="s">
        <v>423</v>
      </c>
      <c r="B78" s="426"/>
      <c r="C78" s="426"/>
      <c r="D78" s="426"/>
      <c r="E78" s="426"/>
      <c r="F78" s="426"/>
      <c r="G78" s="426"/>
      <c r="H78" s="426"/>
      <c r="I78" s="426"/>
      <c r="J78" s="426"/>
      <c r="K78" s="426"/>
      <c r="L78" s="426"/>
    </row>
    <row r="79" spans="1:13" s="212" customFormat="1" ht="15" customHeight="1" x14ac:dyDescent="0.2">
      <c r="A79" s="383" t="s">
        <v>424</v>
      </c>
      <c r="B79" s="215"/>
      <c r="C79" s="215"/>
      <c r="D79" s="215"/>
      <c r="E79" s="215"/>
      <c r="F79" s="215"/>
      <c r="G79" s="215"/>
      <c r="H79" s="215"/>
      <c r="I79" s="215"/>
      <c r="L79" s="250"/>
    </row>
    <row r="80" spans="1:13" s="213" customFormat="1" ht="15" customHeight="1" x14ac:dyDescent="0.2">
      <c r="B80" s="215"/>
      <c r="C80" s="215"/>
      <c r="D80" s="215"/>
      <c r="E80" s="215"/>
      <c r="F80" s="215"/>
      <c r="G80" s="215"/>
      <c r="H80" s="215"/>
      <c r="I80" s="215"/>
      <c r="L80" s="250"/>
    </row>
    <row r="81" spans="1:12" s="213" customFormat="1" ht="15" customHeight="1" x14ac:dyDescent="0.2">
      <c r="B81" s="215"/>
      <c r="C81" s="215"/>
      <c r="D81" s="215"/>
      <c r="E81" s="215"/>
      <c r="F81" s="215"/>
      <c r="G81" s="215"/>
      <c r="H81" s="215"/>
      <c r="I81" s="215"/>
      <c r="L81" s="250"/>
    </row>
    <row r="82" spans="1:12" s="213" customFormat="1" ht="15.75" x14ac:dyDescent="0.25">
      <c r="B82" s="212"/>
      <c r="C82" s="212"/>
      <c r="D82" s="265" t="s">
        <v>15</v>
      </c>
      <c r="H82" s="214"/>
      <c r="L82" s="250"/>
    </row>
    <row r="83" spans="1:12" s="213" customFormat="1" x14ac:dyDescent="0.2">
      <c r="A83" s="252"/>
      <c r="B83" s="212"/>
      <c r="C83" s="212"/>
      <c r="H83" s="214"/>
      <c r="L83" s="250"/>
    </row>
    <row r="84" spans="1:12" ht="25.5" x14ac:dyDescent="0.2">
      <c r="D84" s="216"/>
      <c r="E84" s="217" t="s">
        <v>202</v>
      </c>
      <c r="F84" s="217" t="s">
        <v>2</v>
      </c>
      <c r="G84" s="217" t="s">
        <v>203</v>
      </c>
      <c r="H84" s="218" t="s">
        <v>3</v>
      </c>
      <c r="I84" s="219"/>
      <c r="L84" s="253"/>
    </row>
    <row r="85" spans="1:12" x14ac:dyDescent="0.2">
      <c r="D85" s="192"/>
      <c r="E85" s="220" t="s">
        <v>5</v>
      </c>
      <c r="F85" s="320">
        <f>G85*H85</f>
        <v>112.98</v>
      </c>
      <c r="G85" s="307">
        <v>53.8</v>
      </c>
      <c r="H85" s="342">
        <v>2.1</v>
      </c>
      <c r="I85" s="221"/>
      <c r="J85" s="192"/>
      <c r="K85" s="192"/>
    </row>
    <row r="86" spans="1:12" x14ac:dyDescent="0.2">
      <c r="D86" s="192"/>
      <c r="E86" s="220" t="s">
        <v>42</v>
      </c>
      <c r="F86" s="320">
        <f>G86*H86</f>
        <v>149.352</v>
      </c>
      <c r="G86" s="307">
        <v>71.12</v>
      </c>
      <c r="H86" s="342">
        <v>2.1</v>
      </c>
      <c r="I86" s="222"/>
      <c r="J86" s="223"/>
      <c r="K86" s="192"/>
    </row>
    <row r="87" spans="1:12" x14ac:dyDescent="0.2">
      <c r="D87" s="192"/>
      <c r="E87" s="220" t="s">
        <v>6</v>
      </c>
      <c r="F87" s="320">
        <f>G87*H87</f>
        <v>54.81</v>
      </c>
      <c r="G87" s="307">
        <v>26.1</v>
      </c>
      <c r="H87" s="342">
        <v>2.1</v>
      </c>
      <c r="I87" s="192"/>
      <c r="J87" s="192"/>
      <c r="K87" s="192"/>
    </row>
    <row r="88" spans="1:12" x14ac:dyDescent="0.2">
      <c r="D88" s="255"/>
      <c r="E88" s="192"/>
      <c r="F88" s="224"/>
      <c r="G88" s="192"/>
      <c r="I88" s="192"/>
      <c r="J88" s="192"/>
      <c r="K88" s="192"/>
    </row>
    <row r="89" spans="1:12" x14ac:dyDescent="0.2">
      <c r="D89" s="255"/>
      <c r="E89" s="192"/>
      <c r="F89" s="224"/>
      <c r="G89" s="192"/>
      <c r="I89" s="192"/>
      <c r="J89" s="192"/>
      <c r="K89" s="192"/>
    </row>
    <row r="90" spans="1:12" s="213" customFormat="1" x14ac:dyDescent="0.2">
      <c r="D90" s="192"/>
      <c r="E90" s="225"/>
      <c r="F90" s="226"/>
      <c r="G90" s="212"/>
      <c r="H90" s="214"/>
      <c r="I90" s="212"/>
      <c r="J90" s="212"/>
      <c r="K90" s="44"/>
      <c r="L90" s="212"/>
    </row>
    <row r="91" spans="1:12" ht="15" customHeight="1" x14ac:dyDescent="0.2">
      <c r="D91" s="227"/>
      <c r="E91" s="502" t="s">
        <v>296</v>
      </c>
      <c r="F91" s="503"/>
      <c r="G91" s="503"/>
      <c r="H91" s="504"/>
      <c r="I91" s="228" t="s">
        <v>297</v>
      </c>
      <c r="J91" s="192"/>
      <c r="K91" s="254"/>
      <c r="L91" s="192"/>
    </row>
    <row r="92" spans="1:12" x14ac:dyDescent="0.2">
      <c r="D92" s="229" t="s">
        <v>215</v>
      </c>
      <c r="E92" s="217" t="s">
        <v>258</v>
      </c>
      <c r="F92" s="217" t="s">
        <v>204</v>
      </c>
      <c r="G92" s="217" t="s">
        <v>205</v>
      </c>
      <c r="H92" s="217" t="s">
        <v>257</v>
      </c>
      <c r="I92" s="230"/>
      <c r="J92" s="192"/>
      <c r="K92" s="254"/>
      <c r="L92" s="192"/>
    </row>
    <row r="93" spans="1:12" ht="25.5" x14ac:dyDescent="0.2">
      <c r="D93" s="231" t="s">
        <v>19</v>
      </c>
      <c r="E93" s="286" t="s">
        <v>259</v>
      </c>
      <c r="F93" s="283">
        <f>'Summary Info_2015'!H74</f>
        <v>15522.006319999999</v>
      </c>
      <c r="G93" s="403">
        <f>H13</f>
        <v>406.92720496894407</v>
      </c>
      <c r="H93" s="232">
        <f>F93*G93</f>
        <v>6316326.6473078849</v>
      </c>
      <c r="I93" s="431" t="s">
        <v>435</v>
      </c>
      <c r="J93" s="192"/>
      <c r="K93" s="254"/>
      <c r="L93" s="192"/>
    </row>
    <row r="94" spans="1:12" x14ac:dyDescent="0.2">
      <c r="D94" s="231" t="s">
        <v>16</v>
      </c>
      <c r="E94" s="286" t="s">
        <v>36</v>
      </c>
      <c r="F94" s="233">
        <f>'Summary Info_2015'!C61</f>
        <v>20444.262999999999</v>
      </c>
      <c r="G94" s="403">
        <f>H14</f>
        <v>100.27527950310558</v>
      </c>
      <c r="H94" s="232">
        <f t="shared" ref="H94:H95" si="49">F94*G94</f>
        <v>2050054.1865599996</v>
      </c>
      <c r="I94" s="431" t="s">
        <v>435</v>
      </c>
      <c r="J94" s="192"/>
      <c r="K94" s="254"/>
      <c r="L94" s="192"/>
    </row>
    <row r="95" spans="1:12" s="213" customFormat="1" x14ac:dyDescent="0.2">
      <c r="D95" s="231" t="s">
        <v>17</v>
      </c>
      <c r="E95" s="286" t="s">
        <v>43</v>
      </c>
      <c r="F95" s="233">
        <f>'Summary Info_2015'!M66</f>
        <v>20006</v>
      </c>
      <c r="G95" s="403">
        <f>H15</f>
        <v>143.33838509316769</v>
      </c>
      <c r="H95" s="232">
        <f t="shared" si="49"/>
        <v>2867627.7321739127</v>
      </c>
      <c r="I95" s="431" t="s">
        <v>435</v>
      </c>
      <c r="J95" s="192"/>
      <c r="K95" s="44"/>
      <c r="L95" s="212"/>
    </row>
    <row r="96" spans="1:12" x14ac:dyDescent="0.2">
      <c r="E96" s="234" t="s">
        <v>1</v>
      </c>
      <c r="F96" s="235">
        <f>SUM(F93:F95)</f>
        <v>55972.269319999999</v>
      </c>
      <c r="G96" s="236"/>
      <c r="H96" s="237">
        <f>SUM(H93:H95)</f>
        <v>11234008.566041797</v>
      </c>
      <c r="L96" s="155"/>
    </row>
    <row r="97" spans="1:13" x14ac:dyDescent="0.2">
      <c r="E97" s="238"/>
      <c r="F97" s="192"/>
      <c r="G97" s="161"/>
      <c r="H97" s="239"/>
      <c r="L97" s="155"/>
    </row>
    <row r="98" spans="1:13" ht="30" customHeight="1" x14ac:dyDescent="0.2">
      <c r="E98" s="502" t="s">
        <v>298</v>
      </c>
      <c r="F98" s="503"/>
      <c r="G98" s="503"/>
      <c r="H98" s="504"/>
      <c r="L98" s="155"/>
    </row>
    <row r="99" spans="1:13" s="213" customFormat="1" x14ac:dyDescent="0.2">
      <c r="D99" s="229" t="s">
        <v>261</v>
      </c>
      <c r="E99" s="217" t="s">
        <v>10</v>
      </c>
      <c r="F99" s="217" t="s">
        <v>260</v>
      </c>
      <c r="G99" s="217" t="s">
        <v>209</v>
      </c>
      <c r="H99" s="217" t="s">
        <v>257</v>
      </c>
    </row>
    <row r="100" spans="1:13" x14ac:dyDescent="0.2">
      <c r="D100" s="231" t="s">
        <v>38</v>
      </c>
      <c r="E100" s="181" t="s">
        <v>19</v>
      </c>
      <c r="F100" s="281">
        <f>'Summary Info_2015'!G63</f>
        <v>65388.072700799996</v>
      </c>
      <c r="G100" s="240">
        <f>'Regulated Sources_Overview'!K16</f>
        <v>0</v>
      </c>
      <c r="H100" s="282">
        <f>F100*G100</f>
        <v>0</v>
      </c>
      <c r="I100" s="230" t="s">
        <v>371</v>
      </c>
      <c r="L100" s="155"/>
    </row>
    <row r="101" spans="1:13" x14ac:dyDescent="0.2">
      <c r="D101" s="231" t="s">
        <v>39</v>
      </c>
      <c r="E101" s="181" t="s">
        <v>16</v>
      </c>
      <c r="F101" s="281">
        <f>'Summary Info_2015'!B63</f>
        <v>111044.6066688</v>
      </c>
      <c r="G101" s="240">
        <f>'Regulated Sources_Overview'!K17</f>
        <v>0</v>
      </c>
      <c r="H101" s="282">
        <f t="shared" ref="H101:H102" si="50">F101*G101</f>
        <v>0</v>
      </c>
      <c r="L101" s="155"/>
    </row>
    <row r="102" spans="1:13" x14ac:dyDescent="0.2">
      <c r="D102" s="231" t="s">
        <v>40</v>
      </c>
      <c r="E102" s="181" t="s">
        <v>17</v>
      </c>
      <c r="F102" s="281">
        <f>'Summary Info_2015'!L63</f>
        <v>174001.69178879997</v>
      </c>
      <c r="G102" s="240">
        <f>'Regulated Sources_Overview'!K18</f>
        <v>0</v>
      </c>
      <c r="H102" s="282">
        <f t="shared" si="50"/>
        <v>0</v>
      </c>
      <c r="L102" s="155"/>
    </row>
    <row r="103" spans="1:13" x14ac:dyDescent="0.2">
      <c r="E103" s="234" t="s">
        <v>1</v>
      </c>
      <c r="F103" s="241">
        <f>SUM(F100:F102)</f>
        <v>350434.37115839997</v>
      </c>
      <c r="G103" s="242">
        <f>SUM(G100:G102)</f>
        <v>0</v>
      </c>
      <c r="H103" s="237">
        <f>SUM(H100:H102)</f>
        <v>0</v>
      </c>
    </row>
    <row r="104" spans="1:13" x14ac:dyDescent="0.2">
      <c r="E104" s="243"/>
      <c r="F104" s="163"/>
      <c r="G104" s="244"/>
      <c r="H104" s="239"/>
    </row>
    <row r="105" spans="1:13" x14ac:dyDescent="0.2">
      <c r="E105" s="245"/>
      <c r="F105" s="510" t="s">
        <v>301</v>
      </c>
      <c r="G105" s="510"/>
      <c r="H105" s="246">
        <f>H96+H103</f>
        <v>11234008.566041797</v>
      </c>
      <c r="J105" s="284"/>
    </row>
    <row r="106" spans="1:13" x14ac:dyDescent="0.2">
      <c r="E106" s="192"/>
      <c r="F106" s="163"/>
      <c r="G106" s="244"/>
    </row>
    <row r="107" spans="1:13" x14ac:dyDescent="0.2">
      <c r="E107" s="192"/>
      <c r="F107" s="163"/>
      <c r="G107" s="244"/>
    </row>
    <row r="108" spans="1:13" x14ac:dyDescent="0.2">
      <c r="E108" s="192"/>
      <c r="F108" s="163"/>
      <c r="G108" s="244"/>
    </row>
    <row r="109" spans="1:13" ht="12.75" customHeight="1" x14ac:dyDescent="0.2">
      <c r="A109" s="192"/>
      <c r="B109" s="192"/>
      <c r="C109" s="192"/>
      <c r="D109" s="192"/>
      <c r="E109" s="154"/>
      <c r="F109" s="154"/>
      <c r="G109" s="154"/>
      <c r="H109" s="154"/>
      <c r="I109" s="154"/>
      <c r="J109" s="154"/>
      <c r="K109" s="154"/>
      <c r="L109" s="154"/>
      <c r="M109" s="212"/>
    </row>
    <row r="110" spans="1:13" ht="12.75" customHeight="1" x14ac:dyDescent="0.25">
      <c r="A110" s="192"/>
      <c r="B110" s="192"/>
      <c r="C110" s="192"/>
      <c r="D110" s="192"/>
      <c r="E110" s="502" t="s">
        <v>299</v>
      </c>
      <c r="F110" s="506"/>
      <c r="G110" s="506"/>
      <c r="H110" s="506"/>
      <c r="I110" s="506"/>
      <c r="J110" s="506"/>
      <c r="K110" s="507"/>
      <c r="L110" s="155"/>
    </row>
    <row r="111" spans="1:13" ht="12.75" customHeight="1" x14ac:dyDescent="0.25">
      <c r="A111" s="192"/>
      <c r="B111" s="192"/>
      <c r="C111" s="192"/>
      <c r="D111" s="192"/>
      <c r="E111" s="508" t="s">
        <v>10</v>
      </c>
      <c r="F111" s="505" t="s">
        <v>262</v>
      </c>
      <c r="G111" s="506"/>
      <c r="H111" s="506"/>
      <c r="I111" s="507"/>
      <c r="J111" s="511" t="s">
        <v>300</v>
      </c>
      <c r="K111" s="513" t="s">
        <v>335</v>
      </c>
      <c r="L111" s="155"/>
    </row>
    <row r="112" spans="1:13" x14ac:dyDescent="0.2">
      <c r="A112" s="192"/>
      <c r="B112" s="192"/>
      <c r="C112" s="192"/>
      <c r="D112" s="192"/>
      <c r="E112" s="509"/>
      <c r="F112" s="156" t="s">
        <v>50</v>
      </c>
      <c r="G112" s="156" t="s">
        <v>11</v>
      </c>
      <c r="H112" s="157" t="s">
        <v>12</v>
      </c>
      <c r="I112" s="166" t="s">
        <v>1</v>
      </c>
      <c r="J112" s="512"/>
      <c r="K112" s="513"/>
      <c r="L112" s="155"/>
    </row>
    <row r="113" spans="1:14" x14ac:dyDescent="0.2">
      <c r="A113" s="192"/>
      <c r="B113" s="192"/>
      <c r="C113" s="192"/>
      <c r="D113" s="192"/>
      <c r="E113" s="162" t="s">
        <v>19</v>
      </c>
      <c r="F113" s="353">
        <f>'Summary of CEMS Costs_2018'!L47</f>
        <v>11817.7758144</v>
      </c>
      <c r="G113" s="353">
        <f>'Summary of CEMS Costs_2018'!M47</f>
        <v>20778.558211199997</v>
      </c>
      <c r="H113" s="353">
        <f>'Summary of CEMS Costs_2018'!N47</f>
        <v>8902.2237055549303</v>
      </c>
      <c r="I113" s="280">
        <f>F113+G113+H113</f>
        <v>41498.557731154928</v>
      </c>
      <c r="J113" s="402">
        <f>('Regulated Sources_Overview'!F76*'Table 1c'!F11*('%CEMSCPMSvs.testing'!H9/100))+('Regulated Sources_Overview'!F77*'Table 1c'!F11*('%CEMSCPMSvs.testing'!H15/100))+('Regulated Sources_Overview'!F78*'Table 1c'!F11*('%CEMSCPMSvs.testing'!H21/100))+('Regulated Sources_Overview'!F79*'Table 1c'!F11*('%CEMSCPMSvs.testing'!H27/100))+('Regulated Sources_Overview'!F80*'Table 1c'!F11*('%CEMSCPMSvs.testing'!H33/100))</f>
        <v>198.15354037267082</v>
      </c>
      <c r="K113" s="279">
        <f>I113*J113</f>
        <v>8223086.1347880187</v>
      </c>
      <c r="L113" s="354" t="s">
        <v>419</v>
      </c>
    </row>
    <row r="114" spans="1:14" x14ac:dyDescent="0.2">
      <c r="A114" s="192"/>
      <c r="B114" s="192"/>
      <c r="C114" s="192"/>
      <c r="D114" s="192"/>
      <c r="E114" s="162" t="s">
        <v>16</v>
      </c>
      <c r="F114" s="353">
        <f>'Summary of CEMS Costs_2018'!G47</f>
        <v>14788.7065664</v>
      </c>
      <c r="G114" s="353">
        <f>'Summary of CEMS Costs_2018'!H47</f>
        <v>10931.940845699999</v>
      </c>
      <c r="H114" s="353">
        <f>'Summary of CEMS Costs_2018'!I47</f>
        <v>15897.235325044843</v>
      </c>
      <c r="I114" s="280">
        <f>F114+G114+H114</f>
        <v>41617.882737144842</v>
      </c>
      <c r="J114" s="402">
        <f>('Regulated Sources_Overview'!F76*'Table 1c'!F11*(('%CEMSCPMSvs.testing'!L9+'%CEMSCPMSvs.testing'!L10)/100))+('Regulated Sources_Overview'!F77*'Table 1c'!F11*(('%CEMSCPMSvs.testing'!L15+'%CEMSCPMSvs.testing'!L16)/100))+('Regulated Sources_Overview'!F78*'Table 1c'!F11*('%CEMSCPMSvs.testing'!L21/100))+('Regulated Sources_Overview'!F79*'Table 1c'!F11*('%CEMSCPMSvs.testing'!L27/100))+('Regulated Sources_Overview'!F80*'Table 1c'!F11*(('%CEMSCPMSvs.testing'!L33+'%CEMSCPMSvs.testing'!L34)/100))</f>
        <v>504.80546583850929</v>
      </c>
      <c r="K114" s="279">
        <f t="shared" ref="K114" si="51">I114*J114</f>
        <v>21008934.682336856</v>
      </c>
      <c r="L114" s="354" t="s">
        <v>419</v>
      </c>
    </row>
    <row r="115" spans="1:14" x14ac:dyDescent="0.2">
      <c r="A115" s="192"/>
      <c r="B115" s="192"/>
      <c r="C115" s="192"/>
      <c r="D115" s="192"/>
      <c r="E115" s="162" t="s">
        <v>17</v>
      </c>
      <c r="F115" s="353">
        <f>'Summary of CEMS Costs_2018'!B47</f>
        <v>19959.2166464</v>
      </c>
      <c r="G115" s="353">
        <f>'Summary of CEMS Costs_2018'!C47</f>
        <v>40011.554765699999</v>
      </c>
      <c r="H115" s="353">
        <f>'Summary of CEMS Costs_2018'!D47</f>
        <v>40035.286058200538</v>
      </c>
      <c r="I115" s="280">
        <f>F115+G115+H115</f>
        <v>100006.05747030054</v>
      </c>
      <c r="J115" s="402">
        <f>('Regulated Sources_Overview'!F76*'Table 1c'!F11*('%CEMSCPMSvs.testing'!D9/100))+('Regulated Sources_Overview'!F77*'Table 1c'!F11*('%CEMSCPMSvs.testing'!D15/100))+('Regulated Sources_Overview'!F78*'Table 1c'!F11*('%CEMSCPMSvs.testing'!D21/100))+('Regulated Sources_Overview'!F79*'Table 1c'!F11*('%CEMSCPMSvs.testing'!D27/100))+('Regulated Sources_Overview'!F80*'Table 1c'!F11*('%CEMSCPMSvs.testing'!D33/100))</f>
        <v>461.7423602484472</v>
      </c>
      <c r="K115" s="279">
        <f>I115*J115</f>
        <v>46177033.015478425</v>
      </c>
      <c r="L115" s="354" t="s">
        <v>419</v>
      </c>
    </row>
    <row r="116" spans="1:14" x14ac:dyDescent="0.2">
      <c r="A116" s="192"/>
      <c r="B116" s="192"/>
      <c r="C116" s="192"/>
      <c r="D116" s="192"/>
      <c r="E116" s="158" t="s">
        <v>1</v>
      </c>
      <c r="F116" s="159"/>
      <c r="G116" s="159"/>
      <c r="H116" s="159"/>
      <c r="I116" s="164"/>
      <c r="J116" s="167"/>
      <c r="K116" s="165">
        <f>SUM(K113:K115)</f>
        <v>75409053.832603306</v>
      </c>
      <c r="L116" s="160"/>
    </row>
    <row r="117" spans="1:14" ht="15.75" x14ac:dyDescent="0.25">
      <c r="F117" s="359"/>
      <c r="G117" s="192"/>
      <c r="I117" s="192"/>
      <c r="J117" s="161"/>
      <c r="K117" s="294"/>
    </row>
    <row r="118" spans="1:14" x14ac:dyDescent="0.2">
      <c r="J118" s="395"/>
    </row>
    <row r="119" spans="1:14" x14ac:dyDescent="0.2">
      <c r="J119" s="284"/>
      <c r="M119" s="352"/>
      <c r="N119" s="352"/>
    </row>
    <row r="120" spans="1:14" x14ac:dyDescent="0.2">
      <c r="M120" s="352"/>
      <c r="N120" s="352"/>
    </row>
    <row r="121" spans="1:14" x14ac:dyDescent="0.2">
      <c r="M121" s="352"/>
      <c r="N121" s="352"/>
    </row>
    <row r="122" spans="1:14" x14ac:dyDescent="0.2">
      <c r="I122" s="284"/>
    </row>
  </sheetData>
  <mergeCells count="31">
    <mergeCell ref="B68:D68"/>
    <mergeCell ref="A6:D6"/>
    <mergeCell ref="A7:D7"/>
    <mergeCell ref="B29:D29"/>
    <mergeCell ref="B30:D30"/>
    <mergeCell ref="A8:D8"/>
    <mergeCell ref="A9:D9"/>
    <mergeCell ref="E91:H91"/>
    <mergeCell ref="E98:H98"/>
    <mergeCell ref="F111:I111"/>
    <mergeCell ref="E111:E112"/>
    <mergeCell ref="E110:K110"/>
    <mergeCell ref="F105:G105"/>
    <mergeCell ref="J111:J112"/>
    <mergeCell ref="K111:K112"/>
    <mergeCell ref="I52:K52"/>
    <mergeCell ref="I69:K69"/>
    <mergeCell ref="I70:K70"/>
    <mergeCell ref="A4:D5"/>
    <mergeCell ref="A76:L76"/>
    <mergeCell ref="A75:L75"/>
    <mergeCell ref="A53:D53"/>
    <mergeCell ref="B11:D11"/>
    <mergeCell ref="B28:D28"/>
    <mergeCell ref="B10:D10"/>
    <mergeCell ref="B58:D58"/>
    <mergeCell ref="B54:D54"/>
    <mergeCell ref="B55:D55"/>
    <mergeCell ref="B56:D56"/>
    <mergeCell ref="B57:D57"/>
    <mergeCell ref="B67:D67"/>
  </mergeCells>
  <phoneticPr fontId="4" type="noConversion"/>
  <printOptions horizontalCentered="1" verticalCentered="1"/>
  <pageMargins left="0.7" right="0.7" top="0.75" bottom="0.75" header="0.3" footer="0.3"/>
  <pageSetup paperSize="17" orientation="landscape" r:id="rId1"/>
  <headerFooter>
    <oddHeader>&amp;CTable 1a -- Respondent Year 1</oddHeader>
    <oddFooter>&amp;L&amp;P of &amp;N&amp;R&amp;D</oddFooter>
  </headerFooter>
  <rowBreaks count="2" manualBreakCount="2">
    <brk id="52" max="10" man="1"/>
    <brk id="73" max="1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0"/>
  <sheetViews>
    <sheetView zoomScale="70" zoomScaleNormal="70" workbookViewId="0">
      <pane xSplit="4" ySplit="5" topLeftCell="E51" activePane="bottomRight" state="frozen"/>
      <selection pane="topRight" activeCell="E1" sqref="E1"/>
      <selection pane="bottomLeft" activeCell="A6" sqref="A6"/>
      <selection pane="bottomRight" activeCell="K103" sqref="K103"/>
    </sheetView>
  </sheetViews>
  <sheetFormatPr defaultColWidth="9.140625" defaultRowHeight="12.75" x14ac:dyDescent="0.2"/>
  <cols>
    <col min="1" max="1" width="2.7109375" style="155" customWidth="1"/>
    <col min="2" max="3" width="2.42578125" style="155" customWidth="1"/>
    <col min="4" max="4" width="65.28515625" style="155" customWidth="1"/>
    <col min="5" max="5" width="15" style="155" customWidth="1"/>
    <col min="6" max="6" width="19.140625" style="155" bestFit="1" customWidth="1"/>
    <col min="7" max="7" width="21.28515625" style="155" customWidth="1"/>
    <col min="8" max="8" width="15" style="161" customWidth="1"/>
    <col min="9" max="9" width="13.140625" style="155" customWidth="1"/>
    <col min="10" max="11" width="15.28515625" style="155" customWidth="1"/>
    <col min="12" max="12" width="19" style="254" customWidth="1"/>
    <col min="13" max="13" width="15.5703125" style="213" bestFit="1" customWidth="1"/>
    <col min="14" max="15" width="9.28515625" style="155" bestFit="1" customWidth="1"/>
    <col min="16" max="16" width="33.5703125" style="155" customWidth="1"/>
    <col min="17" max="16384" width="9.140625" style="155"/>
  </cols>
  <sheetData>
    <row r="1" spans="1:16" s="266" customFormat="1" ht="15.75" x14ac:dyDescent="0.25">
      <c r="A1" s="168" t="s">
        <v>378</v>
      </c>
      <c r="C1" s="267"/>
      <c r="D1" s="267"/>
      <c r="E1" s="267"/>
      <c r="F1" s="267"/>
      <c r="G1" s="267"/>
      <c r="H1" s="267"/>
      <c r="I1" s="267"/>
      <c r="J1" s="268"/>
      <c r="M1" s="322"/>
    </row>
    <row r="2" spans="1:16" s="169" customFormat="1" x14ac:dyDescent="0.2">
      <c r="A2" s="172" t="s">
        <v>289</v>
      </c>
      <c r="B2" s="172"/>
      <c r="C2" s="172"/>
      <c r="D2" s="172"/>
      <c r="E2" s="172"/>
      <c r="F2" s="172"/>
      <c r="G2" s="172"/>
      <c r="H2" s="172"/>
      <c r="I2" s="172"/>
      <c r="J2" s="173"/>
      <c r="K2" s="172"/>
      <c r="L2" s="172"/>
      <c r="M2" s="323"/>
    </row>
    <row r="3" spans="1:16" s="170" customFormat="1" x14ac:dyDescent="0.2">
      <c r="A3" s="269"/>
      <c r="J3" s="171"/>
      <c r="M3" s="324"/>
    </row>
    <row r="4" spans="1:16" s="176" customFormat="1" ht="14.25" customHeight="1" x14ac:dyDescent="0.2">
      <c r="A4" s="488" t="s">
        <v>264</v>
      </c>
      <c r="B4" s="489"/>
      <c r="C4" s="489"/>
      <c r="D4" s="490"/>
      <c r="E4" s="174" t="s">
        <v>265</v>
      </c>
      <c r="F4" s="174" t="s">
        <v>266</v>
      </c>
      <c r="G4" s="174" t="s">
        <v>267</v>
      </c>
      <c r="H4" s="174" t="s">
        <v>268</v>
      </c>
      <c r="I4" s="174" t="s">
        <v>269</v>
      </c>
      <c r="J4" s="174" t="s">
        <v>270</v>
      </c>
      <c r="K4" s="174" t="s">
        <v>271</v>
      </c>
      <c r="L4" s="175" t="s">
        <v>272</v>
      </c>
    </row>
    <row r="5" spans="1:16" s="179" customFormat="1" ht="41.25" customHeight="1" x14ac:dyDescent="0.2">
      <c r="A5" s="491"/>
      <c r="B5" s="492"/>
      <c r="C5" s="492"/>
      <c r="D5" s="493"/>
      <c r="E5" s="177" t="s">
        <v>273</v>
      </c>
      <c r="F5" s="177" t="s">
        <v>274</v>
      </c>
      <c r="G5" s="177" t="s">
        <v>275</v>
      </c>
      <c r="H5" s="177" t="s">
        <v>303</v>
      </c>
      <c r="I5" s="177" t="s">
        <v>276</v>
      </c>
      <c r="J5" s="177" t="s">
        <v>277</v>
      </c>
      <c r="K5" s="177" t="s">
        <v>278</v>
      </c>
      <c r="L5" s="178" t="s">
        <v>304</v>
      </c>
      <c r="M5" s="176"/>
    </row>
    <row r="6" spans="1:16" x14ac:dyDescent="0.2">
      <c r="A6" s="514" t="s">
        <v>213</v>
      </c>
      <c r="B6" s="514"/>
      <c r="C6" s="514"/>
      <c r="D6" s="514"/>
      <c r="E6" s="180" t="s">
        <v>214</v>
      </c>
      <c r="F6" s="296"/>
      <c r="G6" s="296"/>
      <c r="H6" s="182"/>
      <c r="I6" s="183"/>
      <c r="J6" s="183"/>
      <c r="K6" s="183"/>
      <c r="L6" s="62"/>
    </row>
    <row r="7" spans="1:16" x14ac:dyDescent="0.2">
      <c r="A7" s="514" t="s">
        <v>229</v>
      </c>
      <c r="B7" s="514"/>
      <c r="C7" s="514"/>
      <c r="D7" s="514"/>
      <c r="E7" s="180" t="s">
        <v>214</v>
      </c>
      <c r="F7" s="296"/>
      <c r="G7" s="296"/>
      <c r="H7" s="182"/>
      <c r="I7" s="183"/>
      <c r="J7" s="183"/>
      <c r="K7" s="183"/>
      <c r="L7" s="62"/>
    </row>
    <row r="8" spans="1:16" x14ac:dyDescent="0.2">
      <c r="A8" s="514" t="s">
        <v>283</v>
      </c>
      <c r="B8" s="514"/>
      <c r="C8" s="514"/>
      <c r="D8" s="514"/>
      <c r="E8" s="184">
        <v>160.6</v>
      </c>
      <c r="F8" s="296">
        <v>1</v>
      </c>
      <c r="G8" s="184">
        <f>E8*F8</f>
        <v>160.6</v>
      </c>
      <c r="H8" s="185">
        <f>'Regulated Sources_Overview'!K7</f>
        <v>0</v>
      </c>
      <c r="I8" s="194">
        <f>G8*H8</f>
        <v>0</v>
      </c>
      <c r="J8" s="194">
        <f>I8*0.05</f>
        <v>0</v>
      </c>
      <c r="K8" s="194">
        <f>I8*0.1</f>
        <v>0</v>
      </c>
      <c r="L8" s="151">
        <f>(I8*$F$83)+(J8*$F$84)+(K8*$F$85)</f>
        <v>0</v>
      </c>
      <c r="M8" s="321" t="s">
        <v>347</v>
      </c>
    </row>
    <row r="9" spans="1:16" x14ac:dyDescent="0.2">
      <c r="A9" s="499" t="s">
        <v>228</v>
      </c>
      <c r="B9" s="499"/>
      <c r="C9" s="499"/>
      <c r="D9" s="499"/>
      <c r="E9" s="296"/>
      <c r="F9" s="296"/>
      <c r="G9" s="296"/>
      <c r="H9" s="182"/>
      <c r="I9" s="183"/>
      <c r="J9" s="183"/>
      <c r="K9" s="183"/>
      <c r="L9" s="62"/>
    </row>
    <row r="10" spans="1:16" x14ac:dyDescent="0.2">
      <c r="A10" s="298"/>
      <c r="B10" s="500" t="s">
        <v>342</v>
      </c>
      <c r="C10" s="500"/>
      <c r="D10" s="501"/>
      <c r="E10" s="296">
        <v>1</v>
      </c>
      <c r="F10" s="296">
        <v>1</v>
      </c>
      <c r="G10" s="296">
        <f>E10*F10</f>
        <v>1</v>
      </c>
      <c r="H10" s="392">
        <f>'Table 1c'!E12</f>
        <v>54</v>
      </c>
      <c r="I10" s="194">
        <f>G10*H10</f>
        <v>54</v>
      </c>
      <c r="J10" s="186">
        <f>I10*0.05</f>
        <v>2.7</v>
      </c>
      <c r="K10" s="186">
        <f>I10*0.1</f>
        <v>5.4</v>
      </c>
      <c r="L10" s="314">
        <f>(I10*$F$83)+(J10*$F$84)+(K10*$F$85)</f>
        <v>2911.7664000000004</v>
      </c>
      <c r="M10" s="325" t="s">
        <v>385</v>
      </c>
      <c r="N10" s="321"/>
      <c r="O10" s="321"/>
      <c r="P10" s="321"/>
    </row>
    <row r="11" spans="1:16" x14ac:dyDescent="0.2">
      <c r="A11" s="298"/>
      <c r="B11" s="498" t="s">
        <v>225</v>
      </c>
      <c r="C11" s="498"/>
      <c r="D11" s="499"/>
      <c r="E11" s="296"/>
      <c r="F11" s="296"/>
      <c r="G11" s="296"/>
      <c r="H11" s="182"/>
      <c r="I11" s="183"/>
      <c r="J11" s="183"/>
      <c r="K11" s="183"/>
      <c r="L11" s="62"/>
    </row>
    <row r="12" spans="1:16" x14ac:dyDescent="0.2">
      <c r="A12" s="298"/>
      <c r="B12" s="299"/>
      <c r="C12" s="191" t="s">
        <v>226</v>
      </c>
      <c r="D12" s="192"/>
      <c r="E12" s="296"/>
      <c r="F12" s="296"/>
      <c r="G12" s="296"/>
      <c r="H12" s="182"/>
      <c r="I12" s="183"/>
      <c r="J12" s="183"/>
      <c r="K12" s="183"/>
      <c r="L12" s="62"/>
    </row>
    <row r="13" spans="1:16" ht="15" x14ac:dyDescent="0.2">
      <c r="A13" s="298"/>
      <c r="B13" s="299"/>
      <c r="C13" s="299"/>
      <c r="D13" s="400" t="s">
        <v>390</v>
      </c>
      <c r="E13" s="296">
        <v>27.8</v>
      </c>
      <c r="F13" s="296">
        <v>1</v>
      </c>
      <c r="G13" s="184">
        <f>E13*F13</f>
        <v>27.8</v>
      </c>
      <c r="H13" s="396">
        <f>('Regulated Sources_Overview'!F76*'Table 1c'!F12*('%CEMSCPMSvs.testing'!H11/100))+('Regulated Sources_Overview'!F77*'Table 1c'!F12*('%CEMSCPMSvs.testing'!H17/100))+('Regulated Sources_Overview'!F78*'Table 1c'!F12*('%CEMSCPMSvs.testing'!H23/100))+('Regulated Sources_Overview'!F79*'Table 1c'!F12*('%CEMSCPMSvs.testing'!H29/100))+('Regulated Sources_Overview'!F80*'Table 1c'!F12*('%CEMSCPMSvs.testing'!H35/100))</f>
        <v>81.992795031055905</v>
      </c>
      <c r="I13" s="189">
        <f t="shared" ref="I13:I19" si="0">G13*H13</f>
        <v>2279.399701863354</v>
      </c>
      <c r="J13" s="189">
        <f t="shared" ref="J13:J19" si="1">I13*0.05</f>
        <v>113.96998509316771</v>
      </c>
      <c r="K13" s="189">
        <f t="shared" ref="K13:K19" si="2">I13*0.1</f>
        <v>227.93997018633542</v>
      </c>
      <c r="L13" s="152">
        <f t="shared" ref="L13:L15" si="3">(I13*$F$83)+(J13*$F$84)+(K13*$F$85)</f>
        <v>122908.87896399506</v>
      </c>
      <c r="M13" s="397" t="s">
        <v>386</v>
      </c>
    </row>
    <row r="14" spans="1:16" ht="15" x14ac:dyDescent="0.2">
      <c r="A14" s="298"/>
      <c r="B14" s="299"/>
      <c r="C14" s="299"/>
      <c r="D14" s="400" t="s">
        <v>391</v>
      </c>
      <c r="E14" s="296">
        <v>26.4</v>
      </c>
      <c r="F14" s="296">
        <v>1</v>
      </c>
      <c r="G14" s="184">
        <f t="shared" ref="G14:G19" si="4">E14*F14</f>
        <v>26.4</v>
      </c>
      <c r="H14" s="396">
        <f>('Regulated Sources_Overview'!F76*'Table 1c'!F12*('%CEMSCPMSvs.testing'!L11/100))+('Regulated Sources_Overview'!F77*'Table 1c'!F12*('%CEMSCPMSvs.testing'!L17/100))+('Regulated Sources_Overview'!F78*'Table 1c'!F12*('%CEMSCPMSvs.testing'!L23/100))+('Regulated Sources_Overview'!F79*'Table 1c'!F12*('%CEMSCPMSvs.testing'!L29/100))+('Regulated Sources_Overview'!F80*'Table 1c'!F12*('%CEMSCPMSvs.testing'!L35/100))</f>
        <v>20.204720496894414</v>
      </c>
      <c r="I14" s="189">
        <f t="shared" si="0"/>
        <v>533.40462111801253</v>
      </c>
      <c r="J14" s="189">
        <f t="shared" si="1"/>
        <v>26.670231055900629</v>
      </c>
      <c r="K14" s="189">
        <f t="shared" si="2"/>
        <v>53.340462111801259</v>
      </c>
      <c r="L14" s="152">
        <f t="shared" si="3"/>
        <v>28762.030618077028</v>
      </c>
      <c r="M14" s="397" t="s">
        <v>386</v>
      </c>
    </row>
    <row r="15" spans="1:16" ht="15" x14ac:dyDescent="0.2">
      <c r="A15" s="298"/>
      <c r="B15" s="299"/>
      <c r="C15" s="299"/>
      <c r="D15" s="400" t="s">
        <v>392</v>
      </c>
      <c r="E15" s="296">
        <v>27.8</v>
      </c>
      <c r="F15" s="296">
        <v>1</v>
      </c>
      <c r="G15" s="184">
        <f t="shared" si="4"/>
        <v>27.8</v>
      </c>
      <c r="H15" s="396">
        <f>('Regulated Sources_Overview'!F76*'Table 1c'!F12*('%CEMSCPMSvs.testing'!D11/100))+('Regulated Sources_Overview'!F77*'Table 1c'!F12*('%CEMSCPMSvs.testing'!D17/100))+('Regulated Sources_Overview'!F78*'Table 1c'!F12*('%CEMSCPMSvs.testing'!D23/100))+('Regulated Sources_Overview'!F79*'Table 1c'!F12*('%CEMSCPMSvs.testing'!D29/100))+('Regulated Sources_Overview'!F80*'Table 1c'!F12*('%CEMSCPMSvs.testing'!D35/100))</f>
        <v>28.881614906832301</v>
      </c>
      <c r="I15" s="189">
        <f t="shared" si="0"/>
        <v>802.90889440993794</v>
      </c>
      <c r="J15" s="189">
        <f t="shared" si="1"/>
        <v>40.145444720496897</v>
      </c>
      <c r="K15" s="189">
        <f t="shared" si="2"/>
        <v>80.290889440993794</v>
      </c>
      <c r="L15" s="152">
        <f t="shared" si="3"/>
        <v>43294.132240814914</v>
      </c>
      <c r="M15" s="397" t="s">
        <v>386</v>
      </c>
    </row>
    <row r="16" spans="1:16" ht="15" x14ac:dyDescent="0.2">
      <c r="A16" s="195"/>
      <c r="B16" s="196"/>
      <c r="C16" s="196"/>
      <c r="D16" s="404" t="s">
        <v>393</v>
      </c>
      <c r="E16" s="198">
        <v>2.5</v>
      </c>
      <c r="F16" s="198">
        <v>4</v>
      </c>
      <c r="G16" s="199">
        <f t="shared" si="4"/>
        <v>10</v>
      </c>
      <c r="H16" s="422">
        <f>'Regulated Sources_Overview'!J81*'Table 1c'!F12</f>
        <v>101.71453416149069</v>
      </c>
      <c r="I16" s="194">
        <f>G16*H16</f>
        <v>1017.1453416149069</v>
      </c>
      <c r="J16" s="194">
        <f>I16*0.05</f>
        <v>50.857267080745345</v>
      </c>
      <c r="K16" s="194">
        <f>I16*0.1</f>
        <v>101.71453416149069</v>
      </c>
      <c r="L16" s="314">
        <f>(I16*$F$83)+(J16*$F$84)+(K16*$F$85)</f>
        <v>54846.104252422374</v>
      </c>
      <c r="M16" s="321" t="s">
        <v>437</v>
      </c>
    </row>
    <row r="17" spans="1:13" ht="15" x14ac:dyDescent="0.2">
      <c r="A17" s="195"/>
      <c r="B17" s="196"/>
      <c r="C17" s="196"/>
      <c r="D17" s="404" t="s">
        <v>394</v>
      </c>
      <c r="E17" s="198">
        <v>0.4</v>
      </c>
      <c r="F17" s="198">
        <v>365</v>
      </c>
      <c r="G17" s="199">
        <f t="shared" si="4"/>
        <v>146</v>
      </c>
      <c r="H17" s="422">
        <f>H16</f>
        <v>101.71453416149069</v>
      </c>
      <c r="I17" s="194">
        <f t="shared" si="0"/>
        <v>14850.321987577641</v>
      </c>
      <c r="J17" s="186">
        <f t="shared" si="1"/>
        <v>742.51609937888213</v>
      </c>
      <c r="K17" s="186">
        <f t="shared" si="2"/>
        <v>1485.0321987577643</v>
      </c>
      <c r="L17" s="314">
        <f>(I17*$F$83)+(J17*$F$84)+(K17*$F$85)</f>
        <v>800753.12208536663</v>
      </c>
      <c r="M17" s="321" t="s">
        <v>437</v>
      </c>
    </row>
    <row r="18" spans="1:13" ht="15" x14ac:dyDescent="0.2">
      <c r="A18" s="195"/>
      <c r="B18" s="196"/>
      <c r="C18" s="196"/>
      <c r="D18" s="404" t="s">
        <v>395</v>
      </c>
      <c r="E18" s="198">
        <v>0.25</v>
      </c>
      <c r="F18" s="198">
        <v>365</v>
      </c>
      <c r="G18" s="200">
        <f t="shared" si="4"/>
        <v>91.25</v>
      </c>
      <c r="H18" s="422">
        <f>H16</f>
        <v>101.71453416149069</v>
      </c>
      <c r="I18" s="194">
        <f t="shared" si="0"/>
        <v>9281.4512422360258</v>
      </c>
      <c r="J18" s="187">
        <f t="shared" si="1"/>
        <v>464.07256211180129</v>
      </c>
      <c r="K18" s="186">
        <f t="shared" si="2"/>
        <v>928.14512422360258</v>
      </c>
      <c r="L18" s="314">
        <f>(I18*$F$83)+(J18*$F$84)+(K18*$F$85)</f>
        <v>500470.70130335412</v>
      </c>
      <c r="M18" s="321" t="s">
        <v>437</v>
      </c>
    </row>
    <row r="19" spans="1:13" ht="15" x14ac:dyDescent="0.2">
      <c r="A19" s="195"/>
      <c r="B19" s="196"/>
      <c r="C19" s="196"/>
      <c r="D19" s="404" t="s">
        <v>396</v>
      </c>
      <c r="E19" s="198">
        <v>14</v>
      </c>
      <c r="F19" s="198">
        <v>1</v>
      </c>
      <c r="G19" s="199">
        <f t="shared" si="4"/>
        <v>14</v>
      </c>
      <c r="H19" s="422">
        <f>H16</f>
        <v>101.71453416149069</v>
      </c>
      <c r="I19" s="194">
        <f t="shared" si="0"/>
        <v>1424.0034782608695</v>
      </c>
      <c r="J19" s="186">
        <f t="shared" si="1"/>
        <v>71.200173913043486</v>
      </c>
      <c r="K19" s="186">
        <f t="shared" si="2"/>
        <v>142.40034782608697</v>
      </c>
      <c r="L19" s="314">
        <f>(I19*$F$83)+(J19*$F$84)+(K19*$F$85)</f>
        <v>76784.545953391324</v>
      </c>
      <c r="M19" s="321" t="s">
        <v>437</v>
      </c>
    </row>
    <row r="20" spans="1:13" x14ac:dyDescent="0.2">
      <c r="A20" s="298"/>
      <c r="B20" s="299"/>
      <c r="C20" s="191" t="s">
        <v>227</v>
      </c>
      <c r="D20" s="192"/>
      <c r="E20" s="296"/>
      <c r="F20" s="296"/>
      <c r="G20" s="296"/>
      <c r="H20" s="182"/>
      <c r="I20" s="183"/>
      <c r="J20" s="183"/>
      <c r="K20" s="183"/>
      <c r="L20" s="62"/>
    </row>
    <row r="21" spans="1:13" x14ac:dyDescent="0.2">
      <c r="A21" s="298"/>
      <c r="B21" s="299"/>
      <c r="C21" s="299"/>
      <c r="D21" s="295" t="s">
        <v>222</v>
      </c>
      <c r="E21" s="296">
        <v>27.8</v>
      </c>
      <c r="F21" s="296">
        <v>1</v>
      </c>
      <c r="G21" s="201">
        <f>E21*F21</f>
        <v>27.8</v>
      </c>
      <c r="H21" s="182">
        <f>H8</f>
        <v>0</v>
      </c>
      <c r="I21" s="189">
        <f t="shared" ref="I21:I27" si="5">G21*H21</f>
        <v>0</v>
      </c>
      <c r="J21" s="189">
        <f t="shared" ref="J21:J27" si="6">I21*0.05</f>
        <v>0</v>
      </c>
      <c r="K21" s="189">
        <f t="shared" ref="K21:K27" si="7">I21*0.1</f>
        <v>0</v>
      </c>
      <c r="L21" s="152">
        <f>(I21*$F$83)+(J21*$F$84)+(K21*$F$85)</f>
        <v>0</v>
      </c>
    </row>
    <row r="22" spans="1:13" x14ac:dyDescent="0.2">
      <c r="A22" s="298"/>
      <c r="B22" s="299"/>
      <c r="C22" s="299"/>
      <c r="D22" s="295" t="s">
        <v>284</v>
      </c>
      <c r="E22" s="296">
        <v>26.4</v>
      </c>
      <c r="F22" s="296">
        <v>1</v>
      </c>
      <c r="G22" s="201">
        <f>E22*F22</f>
        <v>26.4</v>
      </c>
      <c r="H22" s="182">
        <f>H8</f>
        <v>0</v>
      </c>
      <c r="I22" s="189">
        <f>G22*H22</f>
        <v>0</v>
      </c>
      <c r="J22" s="189">
        <f>I22*0.05</f>
        <v>0</v>
      </c>
      <c r="K22" s="189">
        <f>I22*0.1</f>
        <v>0</v>
      </c>
      <c r="L22" s="152">
        <f>(I22*$F$83)+(J22*$F$84)+(K22*$F$85)</f>
        <v>0</v>
      </c>
    </row>
    <row r="23" spans="1:13" x14ac:dyDescent="0.2">
      <c r="A23" s="298"/>
      <c r="B23" s="299"/>
      <c r="C23" s="299"/>
      <c r="D23" s="295" t="s">
        <v>336</v>
      </c>
      <c r="E23" s="296">
        <v>27.8</v>
      </c>
      <c r="F23" s="296">
        <v>1</v>
      </c>
      <c r="G23" s="201">
        <f t="shared" ref="G23:G27" si="8">E23*F23</f>
        <v>27.8</v>
      </c>
      <c r="H23" s="182">
        <f>H8</f>
        <v>0</v>
      </c>
      <c r="I23" s="189">
        <f t="shared" si="5"/>
        <v>0</v>
      </c>
      <c r="J23" s="189">
        <f t="shared" si="6"/>
        <v>0</v>
      </c>
      <c r="K23" s="189">
        <f t="shared" si="7"/>
        <v>0</v>
      </c>
      <c r="L23" s="152">
        <f>(I23*$F$83)+(J23*$F$84)+(K23*$F$85)</f>
        <v>0</v>
      </c>
    </row>
    <row r="24" spans="1:13" x14ac:dyDescent="0.2">
      <c r="A24" s="195"/>
      <c r="B24" s="196"/>
      <c r="C24" s="196"/>
      <c r="D24" s="197" t="s">
        <v>223</v>
      </c>
      <c r="E24" s="296">
        <v>2.46</v>
      </c>
      <c r="F24" s="296">
        <v>4</v>
      </c>
      <c r="G24" s="202">
        <f t="shared" si="8"/>
        <v>9.84</v>
      </c>
      <c r="H24" s="182">
        <f>H8</f>
        <v>0</v>
      </c>
      <c r="I24" s="189">
        <f t="shared" si="5"/>
        <v>0</v>
      </c>
      <c r="J24" s="189">
        <f t="shared" si="6"/>
        <v>0</v>
      </c>
      <c r="K24" s="189">
        <f t="shared" si="7"/>
        <v>0</v>
      </c>
      <c r="L24" s="152">
        <f>(I24*$F$83)+(J24*$F$84)+(K24*$F$85)</f>
        <v>0</v>
      </c>
    </row>
    <row r="25" spans="1:13" x14ac:dyDescent="0.2">
      <c r="A25" s="195"/>
      <c r="B25" s="196"/>
      <c r="C25" s="196"/>
      <c r="D25" s="197" t="s">
        <v>224</v>
      </c>
      <c r="E25" s="296">
        <f>ROUND(0.121,2)</f>
        <v>0.12</v>
      </c>
      <c r="F25" s="296">
        <v>365</v>
      </c>
      <c r="G25" s="201">
        <f t="shared" si="8"/>
        <v>43.8</v>
      </c>
      <c r="H25" s="182">
        <f>H8</f>
        <v>0</v>
      </c>
      <c r="I25" s="189">
        <f t="shared" si="5"/>
        <v>0</v>
      </c>
      <c r="J25" s="189">
        <f t="shared" si="6"/>
        <v>0</v>
      </c>
      <c r="K25" s="189">
        <f t="shared" si="7"/>
        <v>0</v>
      </c>
      <c r="L25" s="152">
        <f>(I25*$F$83)+(J25*$F$84)+(K25*$F$85)</f>
        <v>0</v>
      </c>
    </row>
    <row r="26" spans="1:13" x14ac:dyDescent="0.2">
      <c r="A26" s="195"/>
      <c r="B26" s="196"/>
      <c r="C26" s="196"/>
      <c r="D26" s="197" t="s">
        <v>221</v>
      </c>
      <c r="E26" s="198">
        <v>0</v>
      </c>
      <c r="F26" s="296">
        <v>365</v>
      </c>
      <c r="G26" s="203">
        <f t="shared" si="8"/>
        <v>0</v>
      </c>
      <c r="H26" s="182">
        <f>H8</f>
        <v>0</v>
      </c>
      <c r="I26" s="189">
        <f t="shared" si="5"/>
        <v>0</v>
      </c>
      <c r="J26" s="189">
        <f t="shared" si="6"/>
        <v>0</v>
      </c>
      <c r="K26" s="189">
        <f t="shared" si="7"/>
        <v>0</v>
      </c>
      <c r="L26" s="152">
        <f t="shared" ref="L26:L27" si="9">(I26*$F$83)+(J26*$F$84)+(K26*$F$85)</f>
        <v>0</v>
      </c>
    </row>
    <row r="27" spans="1:13" x14ac:dyDescent="0.2">
      <c r="A27" s="195"/>
      <c r="B27" s="196"/>
      <c r="C27" s="196"/>
      <c r="D27" s="197" t="s">
        <v>220</v>
      </c>
      <c r="E27" s="296">
        <v>7.3</v>
      </c>
      <c r="F27" s="296">
        <v>365</v>
      </c>
      <c r="G27" s="201">
        <f t="shared" si="8"/>
        <v>2664.5</v>
      </c>
      <c r="H27" s="182">
        <f>H8</f>
        <v>0</v>
      </c>
      <c r="I27" s="189">
        <f t="shared" si="5"/>
        <v>0</v>
      </c>
      <c r="J27" s="189">
        <f t="shared" si="6"/>
        <v>0</v>
      </c>
      <c r="K27" s="189">
        <f t="shared" si="7"/>
        <v>0</v>
      </c>
      <c r="L27" s="152">
        <f t="shared" si="9"/>
        <v>0</v>
      </c>
    </row>
    <row r="28" spans="1:13" x14ac:dyDescent="0.2">
      <c r="A28" s="298"/>
      <c r="B28" s="498" t="s">
        <v>287</v>
      </c>
      <c r="C28" s="498"/>
      <c r="D28" s="499"/>
      <c r="E28" s="180" t="s">
        <v>285</v>
      </c>
      <c r="F28" s="296"/>
      <c r="G28" s="296"/>
      <c r="H28" s="248"/>
      <c r="I28" s="183"/>
      <c r="J28" s="183"/>
      <c r="K28" s="183"/>
      <c r="L28" s="62"/>
    </row>
    <row r="29" spans="1:13" x14ac:dyDescent="0.2">
      <c r="A29" s="298"/>
      <c r="B29" s="498" t="s">
        <v>288</v>
      </c>
      <c r="C29" s="498"/>
      <c r="D29" s="499"/>
      <c r="E29" s="180" t="s">
        <v>286</v>
      </c>
      <c r="F29" s="296"/>
      <c r="G29" s="296"/>
      <c r="H29" s="248"/>
      <c r="I29" s="183"/>
      <c r="J29" s="183"/>
      <c r="K29" s="183"/>
      <c r="L29" s="62"/>
    </row>
    <row r="30" spans="1:13" x14ac:dyDescent="0.2">
      <c r="A30" s="298"/>
      <c r="B30" s="498" t="s">
        <v>0</v>
      </c>
      <c r="C30" s="498"/>
      <c r="D30" s="499"/>
      <c r="E30" s="296"/>
      <c r="F30" s="296"/>
      <c r="G30" s="296"/>
      <c r="H30" s="248"/>
      <c r="I30" s="183"/>
      <c r="J30" s="183"/>
      <c r="K30" s="183"/>
      <c r="L30" s="62"/>
    </row>
    <row r="31" spans="1:13" x14ac:dyDescent="0.2">
      <c r="A31" s="298"/>
      <c r="B31" s="299"/>
      <c r="C31" s="191" t="s">
        <v>226</v>
      </c>
      <c r="D31" s="192"/>
      <c r="E31" s="296"/>
      <c r="F31" s="296"/>
      <c r="G31" s="296"/>
      <c r="H31" s="182"/>
      <c r="I31" s="183"/>
      <c r="J31" s="183"/>
      <c r="K31" s="183"/>
      <c r="L31" s="62"/>
    </row>
    <row r="32" spans="1:13" x14ac:dyDescent="0.2">
      <c r="A32" s="298"/>
      <c r="B32" s="299"/>
      <c r="C32" s="299"/>
      <c r="D32" s="295" t="s">
        <v>230</v>
      </c>
      <c r="E32" s="296">
        <v>5</v>
      </c>
      <c r="F32" s="296">
        <v>1</v>
      </c>
      <c r="G32" s="296">
        <f>E32*F32</f>
        <v>5</v>
      </c>
      <c r="H32" s="182">
        <v>0</v>
      </c>
      <c r="I32" s="189">
        <f t="shared" ref="I32:I33" si="10">G32*H32</f>
        <v>0</v>
      </c>
      <c r="J32" s="189">
        <f t="shared" ref="J32:J40" si="11">I32*0.05</f>
        <v>0</v>
      </c>
      <c r="K32" s="189">
        <f t="shared" ref="K32:K33" si="12">I32*0.1</f>
        <v>0</v>
      </c>
      <c r="L32" s="152">
        <f t="shared" ref="L32:L33" si="13">(I32*$F$83)+(J32*$F$84)+(K32*$F$85)</f>
        <v>0</v>
      </c>
    </row>
    <row r="33" spans="1:13" x14ac:dyDescent="0.2">
      <c r="A33" s="298"/>
      <c r="B33" s="299"/>
      <c r="C33" s="299"/>
      <c r="D33" s="295" t="s">
        <v>231</v>
      </c>
      <c r="E33" s="296">
        <v>3</v>
      </c>
      <c r="F33" s="296">
        <v>1</v>
      </c>
      <c r="G33" s="296">
        <f>E33*F33</f>
        <v>3</v>
      </c>
      <c r="H33" s="182">
        <v>0</v>
      </c>
      <c r="I33" s="189">
        <f t="shared" si="10"/>
        <v>0</v>
      </c>
      <c r="J33" s="189">
        <f>I33*0.05</f>
        <v>0</v>
      </c>
      <c r="K33" s="189">
        <f t="shared" si="12"/>
        <v>0</v>
      </c>
      <c r="L33" s="152">
        <f t="shared" si="13"/>
        <v>0</v>
      </c>
    </row>
    <row r="34" spans="1:13" x14ac:dyDescent="0.2">
      <c r="A34" s="298"/>
      <c r="B34" s="299"/>
      <c r="C34" s="299"/>
      <c r="D34" s="295" t="s">
        <v>290</v>
      </c>
      <c r="E34" s="180" t="s">
        <v>285</v>
      </c>
      <c r="F34" s="296"/>
      <c r="G34" s="296"/>
      <c r="H34" s="249"/>
      <c r="I34" s="183"/>
      <c r="J34" s="183"/>
      <c r="K34" s="183"/>
      <c r="L34" s="62"/>
    </row>
    <row r="35" spans="1:13" x14ac:dyDescent="0.2">
      <c r="A35" s="298"/>
      <c r="B35" s="299"/>
      <c r="C35" s="299"/>
      <c r="D35" s="295" t="s">
        <v>233</v>
      </c>
      <c r="E35" s="296">
        <v>16.5</v>
      </c>
      <c r="F35" s="296">
        <v>1</v>
      </c>
      <c r="G35" s="296">
        <f>E35*F35</f>
        <v>16.5</v>
      </c>
      <c r="H35" s="182">
        <v>0</v>
      </c>
      <c r="I35" s="189">
        <f>G35*H35</f>
        <v>0</v>
      </c>
      <c r="J35" s="189">
        <f>I35*0.05</f>
        <v>0</v>
      </c>
      <c r="K35" s="189">
        <f>I35*0.1</f>
        <v>0</v>
      </c>
      <c r="L35" s="152">
        <f>(I35*$F$83)+(J35*$F$84)+(K35*$F$85)</f>
        <v>0</v>
      </c>
    </row>
    <row r="36" spans="1:13" x14ac:dyDescent="0.2">
      <c r="A36" s="298"/>
      <c r="B36" s="299"/>
      <c r="C36" s="299"/>
      <c r="D36" s="295" t="s">
        <v>236</v>
      </c>
      <c r="E36" s="296">
        <v>4</v>
      </c>
      <c r="F36" s="296">
        <v>1</v>
      </c>
      <c r="G36" s="296">
        <f t="shared" ref="G36:G40" si="14">E36*F36</f>
        <v>4</v>
      </c>
      <c r="H36" s="182">
        <v>0</v>
      </c>
      <c r="I36" s="189">
        <f t="shared" ref="I36:I40" si="15">G36*H36</f>
        <v>0</v>
      </c>
      <c r="J36" s="189">
        <f t="shared" si="11"/>
        <v>0</v>
      </c>
      <c r="K36" s="189">
        <f t="shared" ref="K36:K40" si="16">I36*0.1</f>
        <v>0</v>
      </c>
      <c r="L36" s="152">
        <f t="shared" ref="L36" si="17">(I36*$F$83)+(J36*$F$84)+(K36*$F$85)</f>
        <v>0</v>
      </c>
    </row>
    <row r="37" spans="1:13" x14ac:dyDescent="0.2">
      <c r="A37" s="298"/>
      <c r="B37" s="299"/>
      <c r="C37" s="299"/>
      <c r="D37" s="295" t="s">
        <v>292</v>
      </c>
      <c r="E37" s="296">
        <v>10</v>
      </c>
      <c r="F37" s="296">
        <v>1</v>
      </c>
      <c r="G37" s="296">
        <f t="shared" si="14"/>
        <v>10</v>
      </c>
      <c r="H37" s="205">
        <f>'Table 1c'!$E$12*0.1</f>
        <v>5.4</v>
      </c>
      <c r="I37" s="194">
        <f t="shared" si="15"/>
        <v>54</v>
      </c>
      <c r="J37" s="186">
        <f t="shared" si="11"/>
        <v>2.7</v>
      </c>
      <c r="K37" s="186">
        <f t="shared" si="16"/>
        <v>5.4</v>
      </c>
      <c r="L37" s="314">
        <f>(I37*$F$83)+(J37*$F$84)+(K37*$F$85)</f>
        <v>2911.7664000000004</v>
      </c>
      <c r="M37" s="321" t="s">
        <v>387</v>
      </c>
    </row>
    <row r="38" spans="1:13" x14ac:dyDescent="0.2">
      <c r="A38" s="298"/>
      <c r="B38" s="299"/>
      <c r="C38" s="299"/>
      <c r="D38" s="295" t="s">
        <v>232</v>
      </c>
      <c r="E38" s="296">
        <v>75</v>
      </c>
      <c r="F38" s="296">
        <v>2</v>
      </c>
      <c r="G38" s="296">
        <f t="shared" si="14"/>
        <v>150</v>
      </c>
      <c r="H38" s="204">
        <f>'Table 1c'!$E$12</f>
        <v>54</v>
      </c>
      <c r="I38" s="194">
        <f t="shared" si="15"/>
        <v>8100</v>
      </c>
      <c r="J38" s="194">
        <f t="shared" si="11"/>
        <v>405</v>
      </c>
      <c r="K38" s="194">
        <f t="shared" si="16"/>
        <v>810</v>
      </c>
      <c r="L38" s="314">
        <f>(I38*$F$83)+(J38*$F$84)+(K38*$F$85)</f>
        <v>436764.96000000008</v>
      </c>
      <c r="M38" s="321" t="s">
        <v>388</v>
      </c>
    </row>
    <row r="39" spans="1:13" x14ac:dyDescent="0.2">
      <c r="A39" s="298"/>
      <c r="B39" s="299"/>
      <c r="C39" s="299"/>
      <c r="D39" s="400" t="s">
        <v>234</v>
      </c>
      <c r="E39" s="296">
        <v>20</v>
      </c>
      <c r="F39" s="296">
        <v>1</v>
      </c>
      <c r="G39" s="296">
        <f t="shared" si="14"/>
        <v>20</v>
      </c>
      <c r="H39" s="392">
        <f>'Regulated Sources_Overview'!K6*'Table 1c'!F12*'%CEMSCPMSvs.testing'!N6</f>
        <v>44.297329192546584</v>
      </c>
      <c r="I39" s="194">
        <f t="shared" si="15"/>
        <v>885.94658385093169</v>
      </c>
      <c r="J39" s="194">
        <f t="shared" si="11"/>
        <v>44.297329192546584</v>
      </c>
      <c r="K39" s="194">
        <f t="shared" si="16"/>
        <v>88.594658385093169</v>
      </c>
      <c r="L39" s="151">
        <f>(I39*$F$83)+(J39*$F$84)+(K39*$F$85)</f>
        <v>47771.6573157764</v>
      </c>
      <c r="M39" s="397" t="s">
        <v>422</v>
      </c>
    </row>
    <row r="40" spans="1:13" x14ac:dyDescent="0.2">
      <c r="A40" s="298"/>
      <c r="B40" s="299"/>
      <c r="C40" s="299"/>
      <c r="D40" s="295" t="s">
        <v>293</v>
      </c>
      <c r="E40" s="296">
        <v>5</v>
      </c>
      <c r="F40" s="296">
        <v>1</v>
      </c>
      <c r="G40" s="296">
        <f t="shared" si="14"/>
        <v>5</v>
      </c>
      <c r="H40" s="204">
        <f>H39*0.1</f>
        <v>4.4297329192546586</v>
      </c>
      <c r="I40" s="194">
        <f t="shared" si="15"/>
        <v>22.148664596273292</v>
      </c>
      <c r="J40" s="194">
        <f t="shared" si="11"/>
        <v>1.1074332298136647</v>
      </c>
      <c r="K40" s="194">
        <f t="shared" si="16"/>
        <v>2.2148664596273293</v>
      </c>
      <c r="L40" s="151">
        <f>(I40*$F$83)+(J40*$F$84)+(K40*$F$85)</f>
        <v>1194.2914328944103</v>
      </c>
    </row>
    <row r="41" spans="1:13" x14ac:dyDescent="0.2">
      <c r="A41" s="298"/>
      <c r="B41" s="299"/>
      <c r="C41" s="191" t="s">
        <v>227</v>
      </c>
      <c r="D41" s="192"/>
      <c r="E41" s="296"/>
      <c r="F41" s="296"/>
      <c r="G41" s="296"/>
      <c r="H41" s="182"/>
      <c r="I41" s="183"/>
      <c r="J41" s="183"/>
      <c r="K41" s="183"/>
      <c r="L41" s="62"/>
    </row>
    <row r="42" spans="1:13" x14ac:dyDescent="0.2">
      <c r="A42" s="298"/>
      <c r="B42" s="299"/>
      <c r="C42" s="299"/>
      <c r="D42" s="197" t="s">
        <v>235</v>
      </c>
      <c r="E42" s="296">
        <v>3</v>
      </c>
      <c r="F42" s="296">
        <v>1</v>
      </c>
      <c r="G42" s="296">
        <f>E42*F42</f>
        <v>3</v>
      </c>
      <c r="H42" s="204">
        <f>H8</f>
        <v>0</v>
      </c>
      <c r="I42" s="194">
        <f t="shared" ref="I42:I43" si="18">G42*H42</f>
        <v>0</v>
      </c>
      <c r="J42" s="194">
        <f t="shared" ref="J42:J43" si="19">I42*0.05</f>
        <v>0</v>
      </c>
      <c r="K42" s="194">
        <f t="shared" ref="K42:K43" si="20">I42*0.1</f>
        <v>0</v>
      </c>
      <c r="L42" s="151">
        <f t="shared" ref="L42:L43" si="21">(I42*$F$83)+(J42*$F$84)+(K42*$F$85)</f>
        <v>0</v>
      </c>
    </row>
    <row r="43" spans="1:13" x14ac:dyDescent="0.2">
      <c r="A43" s="298"/>
      <c r="B43" s="299"/>
      <c r="C43" s="299"/>
      <c r="D43" s="295" t="s">
        <v>230</v>
      </c>
      <c r="E43" s="296">
        <v>5</v>
      </c>
      <c r="F43" s="296">
        <v>1</v>
      </c>
      <c r="G43" s="296">
        <f>E43*F43</f>
        <v>5</v>
      </c>
      <c r="H43" s="204">
        <f>H8</f>
        <v>0</v>
      </c>
      <c r="I43" s="194">
        <f t="shared" si="18"/>
        <v>0</v>
      </c>
      <c r="J43" s="194">
        <f t="shared" si="19"/>
        <v>0</v>
      </c>
      <c r="K43" s="194">
        <f t="shared" si="20"/>
        <v>0</v>
      </c>
      <c r="L43" s="151">
        <f t="shared" si="21"/>
        <v>0</v>
      </c>
    </row>
    <row r="44" spans="1:13" x14ac:dyDescent="0.2">
      <c r="A44" s="298"/>
      <c r="B44" s="299"/>
      <c r="C44" s="299"/>
      <c r="D44" s="295" t="s">
        <v>231</v>
      </c>
      <c r="E44" s="296">
        <v>4</v>
      </c>
      <c r="F44" s="296">
        <v>1</v>
      </c>
      <c r="G44" s="296">
        <f>E44*F44</f>
        <v>4</v>
      </c>
      <c r="H44" s="204">
        <f>H8</f>
        <v>0</v>
      </c>
      <c r="I44" s="194">
        <f>G44*H44</f>
        <v>0</v>
      </c>
      <c r="J44" s="194">
        <f>I44*0.05</f>
        <v>0</v>
      </c>
      <c r="K44" s="194">
        <f>I44*0.1</f>
        <v>0</v>
      </c>
      <c r="L44" s="151">
        <f>(I44*$F$83)+(J44*$F$84)+(K44*$F$85)</f>
        <v>0</v>
      </c>
    </row>
    <row r="45" spans="1:13" x14ac:dyDescent="0.2">
      <c r="A45" s="298"/>
      <c r="B45" s="299"/>
      <c r="C45" s="299"/>
      <c r="D45" s="295" t="s">
        <v>290</v>
      </c>
      <c r="E45" s="180" t="s">
        <v>285</v>
      </c>
      <c r="F45" s="296"/>
      <c r="G45" s="296"/>
      <c r="H45" s="248"/>
      <c r="I45" s="183"/>
      <c r="J45" s="183"/>
      <c r="K45" s="183"/>
      <c r="L45" s="62"/>
    </row>
    <row r="46" spans="1:13" x14ac:dyDescent="0.2">
      <c r="A46" s="298"/>
      <c r="B46" s="299"/>
      <c r="C46" s="299"/>
      <c r="D46" s="295" t="s">
        <v>233</v>
      </c>
      <c r="E46" s="296">
        <v>16.5</v>
      </c>
      <c r="F46" s="296">
        <v>1</v>
      </c>
      <c r="G46" s="296">
        <f>E46*F46</f>
        <v>16.5</v>
      </c>
      <c r="H46" s="204">
        <f>H8</f>
        <v>0</v>
      </c>
      <c r="I46" s="194">
        <f>G46*H46</f>
        <v>0</v>
      </c>
      <c r="J46" s="194">
        <f>I46*0.05</f>
        <v>0</v>
      </c>
      <c r="K46" s="194">
        <f>I46*0.1</f>
        <v>0</v>
      </c>
      <c r="L46" s="151">
        <f t="shared" ref="L46:L51" si="22">(I46*$F$83)+(J46*$F$84)+(K46*$F$85)</f>
        <v>0</v>
      </c>
    </row>
    <row r="47" spans="1:13" x14ac:dyDescent="0.2">
      <c r="A47" s="298"/>
      <c r="B47" s="299"/>
      <c r="C47" s="299"/>
      <c r="D47" s="295" t="s">
        <v>236</v>
      </c>
      <c r="E47" s="296">
        <v>3</v>
      </c>
      <c r="F47" s="296">
        <v>1</v>
      </c>
      <c r="G47" s="296">
        <f t="shared" ref="G47:G48" si="23">E47*F47</f>
        <v>3</v>
      </c>
      <c r="H47" s="204">
        <f>H8</f>
        <v>0</v>
      </c>
      <c r="I47" s="194">
        <f t="shared" ref="I47:I51" si="24">G47*H47</f>
        <v>0</v>
      </c>
      <c r="J47" s="194">
        <f t="shared" ref="J47:J51" si="25">I47*0.05</f>
        <v>0</v>
      </c>
      <c r="K47" s="194">
        <f t="shared" ref="K47:K51" si="26">I47*0.1</f>
        <v>0</v>
      </c>
      <c r="L47" s="151">
        <f t="shared" si="22"/>
        <v>0</v>
      </c>
    </row>
    <row r="48" spans="1:13" x14ac:dyDescent="0.2">
      <c r="A48" s="298"/>
      <c r="B48" s="299"/>
      <c r="C48" s="299"/>
      <c r="D48" s="295" t="s">
        <v>292</v>
      </c>
      <c r="E48" s="296">
        <v>10</v>
      </c>
      <c r="F48" s="296">
        <v>1</v>
      </c>
      <c r="G48" s="296">
        <f t="shared" si="23"/>
        <v>10</v>
      </c>
      <c r="H48" s="204">
        <f>H8*0.1</f>
        <v>0</v>
      </c>
      <c r="I48" s="194">
        <f t="shared" si="24"/>
        <v>0</v>
      </c>
      <c r="J48" s="194">
        <f t="shared" si="25"/>
        <v>0</v>
      </c>
      <c r="K48" s="194">
        <f t="shared" si="26"/>
        <v>0</v>
      </c>
      <c r="L48" s="151">
        <f t="shared" si="22"/>
        <v>0</v>
      </c>
    </row>
    <row r="49" spans="1:13" x14ac:dyDescent="0.2">
      <c r="A49" s="298"/>
      <c r="B49" s="299"/>
      <c r="C49" s="299"/>
      <c r="D49" s="295" t="s">
        <v>232</v>
      </c>
      <c r="E49" s="296">
        <v>75</v>
      </c>
      <c r="F49" s="296">
        <v>2</v>
      </c>
      <c r="G49" s="296">
        <f>E49*F49</f>
        <v>150</v>
      </c>
      <c r="H49" s="204">
        <f>H8</f>
        <v>0</v>
      </c>
      <c r="I49" s="194">
        <f t="shared" si="24"/>
        <v>0</v>
      </c>
      <c r="J49" s="194">
        <f t="shared" si="25"/>
        <v>0</v>
      </c>
      <c r="K49" s="194">
        <f t="shared" si="26"/>
        <v>0</v>
      </c>
      <c r="L49" s="151">
        <f t="shared" si="22"/>
        <v>0</v>
      </c>
    </row>
    <row r="50" spans="1:13" x14ac:dyDescent="0.2">
      <c r="A50" s="298"/>
      <c r="B50" s="299"/>
      <c r="C50" s="299"/>
      <c r="D50" s="295" t="s">
        <v>234</v>
      </c>
      <c r="E50" s="296">
        <v>20</v>
      </c>
      <c r="F50" s="296">
        <v>1</v>
      </c>
      <c r="G50" s="296">
        <f>E50*F50</f>
        <v>20</v>
      </c>
      <c r="H50" s="204">
        <f>H8</f>
        <v>0</v>
      </c>
      <c r="I50" s="194">
        <f t="shared" si="24"/>
        <v>0</v>
      </c>
      <c r="J50" s="194">
        <f t="shared" si="25"/>
        <v>0</v>
      </c>
      <c r="K50" s="194">
        <f t="shared" si="26"/>
        <v>0</v>
      </c>
      <c r="L50" s="151">
        <f t="shared" si="22"/>
        <v>0</v>
      </c>
    </row>
    <row r="51" spans="1:13" x14ac:dyDescent="0.2">
      <c r="A51" s="298"/>
      <c r="B51" s="299"/>
      <c r="C51" s="299"/>
      <c r="D51" s="295" t="s">
        <v>293</v>
      </c>
      <c r="E51" s="296">
        <v>5</v>
      </c>
      <c r="F51" s="296">
        <v>1</v>
      </c>
      <c r="G51" s="296">
        <f>E51*F51</f>
        <v>5</v>
      </c>
      <c r="H51" s="204">
        <f>H8*0.1</f>
        <v>0</v>
      </c>
      <c r="I51" s="194">
        <f t="shared" si="24"/>
        <v>0</v>
      </c>
      <c r="J51" s="194">
        <f t="shared" si="25"/>
        <v>0</v>
      </c>
      <c r="K51" s="194">
        <f t="shared" si="26"/>
        <v>0</v>
      </c>
      <c r="L51" s="151">
        <f t="shared" si="22"/>
        <v>0</v>
      </c>
    </row>
    <row r="52" spans="1:13" s="169" customFormat="1" x14ac:dyDescent="0.2">
      <c r="A52" s="206" t="s">
        <v>279</v>
      </c>
      <c r="B52" s="207"/>
      <c r="C52" s="208"/>
      <c r="D52" s="208"/>
      <c r="E52" s="208"/>
      <c r="F52" s="209"/>
      <c r="G52" s="210"/>
      <c r="H52" s="210"/>
      <c r="I52" s="484">
        <f>SUM(I8:K51)</f>
        <v>45200.440092857141</v>
      </c>
      <c r="J52" s="484"/>
      <c r="K52" s="484"/>
      <c r="L52" s="313">
        <f>SUM(L8:L51)</f>
        <v>2119373.9569660923</v>
      </c>
      <c r="M52" s="323"/>
    </row>
    <row r="53" spans="1:13" x14ac:dyDescent="0.2">
      <c r="A53" s="496" t="s">
        <v>237</v>
      </c>
      <c r="B53" s="497"/>
      <c r="C53" s="497"/>
      <c r="D53" s="498"/>
      <c r="E53" s="296"/>
      <c r="F53" s="296"/>
      <c r="G53" s="296"/>
      <c r="H53" s="182"/>
      <c r="I53" s="183"/>
      <c r="J53" s="183"/>
      <c r="K53" s="183"/>
      <c r="L53" s="62"/>
    </row>
    <row r="54" spans="1:13" ht="12.75" customHeight="1" x14ac:dyDescent="0.2">
      <c r="A54" s="298"/>
      <c r="B54" s="500" t="s">
        <v>342</v>
      </c>
      <c r="C54" s="500"/>
      <c r="D54" s="501"/>
      <c r="E54" s="180" t="s">
        <v>294</v>
      </c>
      <c r="F54" s="296"/>
      <c r="G54" s="296"/>
      <c r="H54" s="182"/>
      <c r="I54" s="183"/>
      <c r="J54" s="183"/>
      <c r="K54" s="183"/>
      <c r="L54" s="62"/>
    </row>
    <row r="55" spans="1:13" x14ac:dyDescent="0.2">
      <c r="A55" s="298"/>
      <c r="B55" s="498" t="s">
        <v>295</v>
      </c>
      <c r="C55" s="498"/>
      <c r="D55" s="499"/>
      <c r="E55" s="180" t="s">
        <v>285</v>
      </c>
      <c r="F55" s="296"/>
      <c r="G55" s="296"/>
      <c r="H55" s="182"/>
      <c r="I55" s="183"/>
      <c r="J55" s="183"/>
      <c r="K55" s="183"/>
      <c r="L55" s="62"/>
    </row>
    <row r="56" spans="1:13" x14ac:dyDescent="0.2">
      <c r="A56" s="298"/>
      <c r="B56" s="498" t="s">
        <v>291</v>
      </c>
      <c r="C56" s="498"/>
      <c r="D56" s="499"/>
      <c r="E56" s="180" t="s">
        <v>285</v>
      </c>
      <c r="F56" s="296"/>
      <c r="G56" s="296"/>
      <c r="H56" s="182"/>
      <c r="I56" s="183"/>
      <c r="J56" s="183"/>
      <c r="K56" s="183"/>
      <c r="L56" s="62"/>
    </row>
    <row r="57" spans="1:13" x14ac:dyDescent="0.2">
      <c r="A57" s="298"/>
      <c r="B57" s="498" t="s">
        <v>238</v>
      </c>
      <c r="C57" s="498"/>
      <c r="D57" s="499"/>
      <c r="E57" s="180" t="s">
        <v>214</v>
      </c>
      <c r="F57" s="296"/>
      <c r="G57" s="296"/>
      <c r="H57" s="182"/>
      <c r="I57" s="183"/>
      <c r="J57" s="183"/>
      <c r="K57" s="183"/>
      <c r="L57" s="62"/>
    </row>
    <row r="58" spans="1:13" x14ac:dyDescent="0.2">
      <c r="A58" s="298"/>
      <c r="B58" s="498" t="s">
        <v>239</v>
      </c>
      <c r="C58" s="498"/>
      <c r="D58" s="499"/>
      <c r="E58" s="296"/>
      <c r="F58" s="296"/>
      <c r="G58" s="296"/>
      <c r="H58" s="182"/>
      <c r="I58" s="183"/>
      <c r="J58" s="183"/>
      <c r="K58" s="183"/>
      <c r="L58" s="62"/>
    </row>
    <row r="59" spans="1:13" x14ac:dyDescent="0.2">
      <c r="A59" s="298"/>
      <c r="B59" s="299"/>
      <c r="C59" s="191" t="s">
        <v>226</v>
      </c>
      <c r="D59" s="192"/>
      <c r="E59" s="296"/>
      <c r="F59" s="296"/>
      <c r="G59" s="296"/>
      <c r="H59" s="182"/>
      <c r="I59" s="183"/>
      <c r="J59" s="183"/>
      <c r="K59" s="183"/>
      <c r="L59" s="62"/>
    </row>
    <row r="60" spans="1:13" x14ac:dyDescent="0.2">
      <c r="A60" s="298"/>
      <c r="B60" s="299"/>
      <c r="C60" s="299"/>
      <c r="D60" s="434" t="s">
        <v>438</v>
      </c>
      <c r="E60" s="296">
        <v>1</v>
      </c>
      <c r="F60" s="296">
        <v>12</v>
      </c>
      <c r="G60" s="296">
        <f t="shared" ref="G60:G67" si="27">E60*F60</f>
        <v>12</v>
      </c>
      <c r="H60" s="398">
        <f>'Table 1c'!$E$12*0.1</f>
        <v>5.4</v>
      </c>
      <c r="I60" s="194">
        <f t="shared" ref="I60:I62" si="28">G60*H60</f>
        <v>64.800000000000011</v>
      </c>
      <c r="J60" s="186">
        <f t="shared" ref="J60:J62" si="29">I60*0.05</f>
        <v>3.2400000000000007</v>
      </c>
      <c r="K60" s="186">
        <f t="shared" ref="K60:K62" si="30">I60*0.1</f>
        <v>6.4800000000000013</v>
      </c>
      <c r="L60" s="314">
        <f>(I60*$F$83)+(J60*$F$84)+(K60*$F$85)</f>
        <v>3494.1196800000012</v>
      </c>
      <c r="M60" s="321" t="s">
        <v>441</v>
      </c>
    </row>
    <row r="61" spans="1:13" x14ac:dyDescent="0.2">
      <c r="A61" s="298"/>
      <c r="B61" s="299"/>
      <c r="C61" s="299"/>
      <c r="D61" s="295" t="s">
        <v>241</v>
      </c>
      <c r="E61" s="296">
        <v>1</v>
      </c>
      <c r="F61" s="296">
        <v>12</v>
      </c>
      <c r="G61" s="296">
        <f t="shared" si="27"/>
        <v>12</v>
      </c>
      <c r="H61" s="392">
        <f>'Table 1c'!$E$12</f>
        <v>54</v>
      </c>
      <c r="I61" s="194">
        <f t="shared" si="28"/>
        <v>648</v>
      </c>
      <c r="J61" s="186">
        <f t="shared" si="29"/>
        <v>32.4</v>
      </c>
      <c r="K61" s="186">
        <f t="shared" si="30"/>
        <v>64.8</v>
      </c>
      <c r="L61" s="314">
        <f t="shared" ref="L61" si="31">(I61*$F$83)+(J61*$F$84)+(K61*$F$85)</f>
        <v>34941.196799999998</v>
      </c>
      <c r="M61" s="321" t="s">
        <v>389</v>
      </c>
    </row>
    <row r="62" spans="1:13" x14ac:dyDescent="0.2">
      <c r="A62" s="298"/>
      <c r="B62" s="299"/>
      <c r="C62" s="299"/>
      <c r="D62" s="295" t="s">
        <v>242</v>
      </c>
      <c r="E62" s="296">
        <v>2</v>
      </c>
      <c r="F62" s="296">
        <v>12</v>
      </c>
      <c r="G62" s="296">
        <f t="shared" si="27"/>
        <v>24</v>
      </c>
      <c r="H62" s="392">
        <f>'Table 1c'!$E$12</f>
        <v>54</v>
      </c>
      <c r="I62" s="194">
        <f t="shared" si="28"/>
        <v>1296</v>
      </c>
      <c r="J62" s="186">
        <f t="shared" si="29"/>
        <v>64.8</v>
      </c>
      <c r="K62" s="186">
        <f t="shared" si="30"/>
        <v>129.6</v>
      </c>
      <c r="L62" s="314">
        <f>(I62*$F$83)+(J62*$F$84)+(K62*$F$85)</f>
        <v>69882.393599999996</v>
      </c>
      <c r="M62" s="321" t="s">
        <v>389</v>
      </c>
    </row>
    <row r="63" spans="1:13" x14ac:dyDescent="0.2">
      <c r="A63" s="298"/>
      <c r="B63" s="299"/>
      <c r="C63" s="191" t="s">
        <v>227</v>
      </c>
      <c r="D63" s="192"/>
      <c r="E63" s="296"/>
      <c r="F63" s="296"/>
      <c r="G63" s="296"/>
      <c r="H63" s="182"/>
      <c r="I63" s="183"/>
      <c r="J63" s="183"/>
      <c r="K63" s="183"/>
      <c r="L63" s="62"/>
    </row>
    <row r="64" spans="1:13" x14ac:dyDescent="0.2">
      <c r="A64" s="298"/>
      <c r="B64" s="299"/>
      <c r="C64" s="299"/>
      <c r="D64" s="434" t="s">
        <v>438</v>
      </c>
      <c r="E64" s="296">
        <v>1</v>
      </c>
      <c r="F64" s="296">
        <v>12</v>
      </c>
      <c r="G64" s="296">
        <f t="shared" si="27"/>
        <v>12</v>
      </c>
      <c r="H64" s="204">
        <f>H8</f>
        <v>0</v>
      </c>
      <c r="I64" s="194">
        <f t="shared" ref="I64:I67" si="32">G64*H64</f>
        <v>0</v>
      </c>
      <c r="J64" s="194">
        <f t="shared" ref="J64:J67" si="33">I64*0.05</f>
        <v>0</v>
      </c>
      <c r="K64" s="194">
        <f t="shared" ref="K64:K67" si="34">I64*0.1</f>
        <v>0</v>
      </c>
      <c r="L64" s="151">
        <f t="shared" ref="L64:L67" si="35">(I64*$F$83)+(J64*$F$84)+(K64*$F$85)</f>
        <v>0</v>
      </c>
    </row>
    <row r="65" spans="1:13" x14ac:dyDescent="0.2">
      <c r="A65" s="298"/>
      <c r="B65" s="299"/>
      <c r="C65" s="299"/>
      <c r="D65" s="295" t="s">
        <v>241</v>
      </c>
      <c r="E65" s="296">
        <v>1</v>
      </c>
      <c r="F65" s="296">
        <v>12</v>
      </c>
      <c r="G65" s="296">
        <f t="shared" si="27"/>
        <v>12</v>
      </c>
      <c r="H65" s="204">
        <f>H8</f>
        <v>0</v>
      </c>
      <c r="I65" s="194">
        <f t="shared" si="32"/>
        <v>0</v>
      </c>
      <c r="J65" s="194">
        <f t="shared" si="33"/>
        <v>0</v>
      </c>
      <c r="K65" s="194">
        <f t="shared" si="34"/>
        <v>0</v>
      </c>
      <c r="L65" s="151">
        <f t="shared" si="35"/>
        <v>0</v>
      </c>
    </row>
    <row r="66" spans="1:13" x14ac:dyDescent="0.2">
      <c r="A66" s="298"/>
      <c r="B66" s="299"/>
      <c r="C66" s="299"/>
      <c r="D66" s="295" t="s">
        <v>242</v>
      </c>
      <c r="E66" s="296">
        <v>2</v>
      </c>
      <c r="F66" s="296">
        <v>12</v>
      </c>
      <c r="G66" s="296">
        <f t="shared" si="27"/>
        <v>24</v>
      </c>
      <c r="H66" s="204">
        <f>H8</f>
        <v>0</v>
      </c>
      <c r="I66" s="194">
        <f t="shared" si="32"/>
        <v>0</v>
      </c>
      <c r="J66" s="194">
        <f t="shared" si="33"/>
        <v>0</v>
      </c>
      <c r="K66" s="194">
        <f t="shared" si="34"/>
        <v>0</v>
      </c>
      <c r="L66" s="151">
        <f t="shared" si="35"/>
        <v>0</v>
      </c>
    </row>
    <row r="67" spans="1:13" x14ac:dyDescent="0.2">
      <c r="A67" s="298"/>
      <c r="B67" s="498" t="s">
        <v>243</v>
      </c>
      <c r="C67" s="498"/>
      <c r="D67" s="499"/>
      <c r="E67" s="296">
        <f xml:space="preserve"> 16+ 64</f>
        <v>80</v>
      </c>
      <c r="F67" s="296">
        <v>1</v>
      </c>
      <c r="G67" s="296">
        <f t="shared" si="27"/>
        <v>80</v>
      </c>
      <c r="H67" s="204">
        <f>H8</f>
        <v>0</v>
      </c>
      <c r="I67" s="194">
        <f t="shared" si="32"/>
        <v>0</v>
      </c>
      <c r="J67" s="194">
        <f t="shared" si="33"/>
        <v>0</v>
      </c>
      <c r="K67" s="194">
        <f t="shared" si="34"/>
        <v>0</v>
      </c>
      <c r="L67" s="151">
        <f t="shared" si="35"/>
        <v>0</v>
      </c>
    </row>
    <row r="68" spans="1:13" x14ac:dyDescent="0.2">
      <c r="A68" s="298"/>
      <c r="B68" s="498" t="s">
        <v>240</v>
      </c>
      <c r="C68" s="498"/>
      <c r="D68" s="499"/>
      <c r="E68" s="180" t="s">
        <v>214</v>
      </c>
      <c r="F68" s="296"/>
      <c r="G68" s="296"/>
      <c r="H68" s="182"/>
      <c r="I68" s="183"/>
      <c r="J68" s="183"/>
      <c r="K68" s="183"/>
      <c r="L68" s="62"/>
    </row>
    <row r="69" spans="1:13" s="169" customFormat="1" x14ac:dyDescent="0.2">
      <c r="A69" s="206" t="s">
        <v>280</v>
      </c>
      <c r="B69" s="211"/>
      <c r="C69" s="208"/>
      <c r="D69" s="208"/>
      <c r="E69" s="208"/>
      <c r="F69" s="209"/>
      <c r="G69" s="210"/>
      <c r="H69" s="210"/>
      <c r="I69" s="484">
        <f>SUM(I54:K67)</f>
        <v>2310.12</v>
      </c>
      <c r="J69" s="484"/>
      <c r="K69" s="484"/>
      <c r="L69" s="313">
        <f>SUM(L54:L67)</f>
        <v>108317.71007999999</v>
      </c>
      <c r="M69" s="323"/>
    </row>
    <row r="70" spans="1:13" s="169" customFormat="1" ht="15" x14ac:dyDescent="0.2">
      <c r="A70" s="287" t="s">
        <v>428</v>
      </c>
      <c r="B70" s="211"/>
      <c r="C70" s="288"/>
      <c r="D70" s="375"/>
      <c r="E70" s="376"/>
      <c r="F70" s="377"/>
      <c r="G70" s="378"/>
      <c r="H70" s="378"/>
      <c r="I70" s="485">
        <f>ROUND(I52+I69,-3)</f>
        <v>48000</v>
      </c>
      <c r="J70" s="486"/>
      <c r="K70" s="487"/>
      <c r="L70" s="379">
        <f>ROUND(L52+L69,-5)</f>
        <v>2200000</v>
      </c>
      <c r="M70" s="323"/>
    </row>
    <row r="71" spans="1:13" s="169" customFormat="1" ht="15" x14ac:dyDescent="0.2">
      <c r="A71" s="206" t="s">
        <v>429</v>
      </c>
      <c r="B71" s="210"/>
      <c r="C71" s="208"/>
      <c r="D71" s="376"/>
      <c r="E71" s="376"/>
      <c r="F71" s="377"/>
      <c r="G71" s="378"/>
      <c r="H71" s="378"/>
      <c r="I71" s="377"/>
      <c r="J71" s="377"/>
      <c r="K71" s="377"/>
      <c r="L71" s="379">
        <f>ROUND(H103+K114,-5)</f>
        <v>17500000</v>
      </c>
      <c r="M71" s="323"/>
    </row>
    <row r="72" spans="1:13" s="169" customFormat="1" ht="15" x14ac:dyDescent="0.2">
      <c r="A72" s="206" t="s">
        <v>430</v>
      </c>
      <c r="B72" s="210"/>
      <c r="C72" s="208"/>
      <c r="D72" s="376"/>
      <c r="E72" s="376"/>
      <c r="F72" s="377"/>
      <c r="G72" s="378"/>
      <c r="H72" s="378"/>
      <c r="I72" s="377"/>
      <c r="J72" s="377"/>
      <c r="K72" s="377"/>
      <c r="L72" s="379">
        <f>ROUND(L70+L71,-5)</f>
        <v>19700000</v>
      </c>
      <c r="M72" s="323"/>
    </row>
    <row r="73" spans="1:13" s="213" customFormat="1" x14ac:dyDescent="0.2">
      <c r="A73" s="212"/>
      <c r="B73" s="212"/>
      <c r="C73" s="212"/>
      <c r="D73" s="212"/>
      <c r="H73" s="214"/>
      <c r="I73" s="212"/>
      <c r="J73" s="214"/>
      <c r="K73" s="212"/>
      <c r="L73" s="293"/>
    </row>
    <row r="74" spans="1:13" s="213" customFormat="1" x14ac:dyDescent="0.2">
      <c r="A74" s="256" t="s">
        <v>302</v>
      </c>
      <c r="B74" s="212"/>
      <c r="C74" s="212"/>
      <c r="D74" s="212"/>
      <c r="H74" s="214"/>
      <c r="L74" s="44"/>
    </row>
    <row r="75" spans="1:13" s="213" customFormat="1" ht="37.5" customHeight="1" x14ac:dyDescent="0.2">
      <c r="A75" s="495" t="s">
        <v>431</v>
      </c>
      <c r="B75" s="495"/>
      <c r="C75" s="495"/>
      <c r="D75" s="495"/>
      <c r="E75" s="495"/>
      <c r="F75" s="495"/>
      <c r="G75" s="495"/>
      <c r="H75" s="495"/>
      <c r="I75" s="495"/>
      <c r="J75" s="495"/>
      <c r="K75" s="495"/>
      <c r="L75" s="495"/>
    </row>
    <row r="76" spans="1:13" s="213" customFormat="1" ht="27.75" customHeight="1" x14ac:dyDescent="0.2">
      <c r="A76" s="494" t="s">
        <v>379</v>
      </c>
      <c r="B76" s="494"/>
      <c r="C76" s="494"/>
      <c r="D76" s="494"/>
      <c r="E76" s="494"/>
      <c r="F76" s="494"/>
      <c r="G76" s="494"/>
      <c r="H76" s="494"/>
      <c r="I76" s="494"/>
      <c r="J76" s="494"/>
      <c r="K76" s="494"/>
      <c r="L76" s="494"/>
    </row>
    <row r="77" spans="1:13" s="212" customFormat="1" ht="15" customHeight="1" x14ac:dyDescent="0.2">
      <c r="A77" s="425" t="s">
        <v>432</v>
      </c>
      <c r="B77" s="427"/>
      <c r="C77" s="427"/>
      <c r="D77" s="427"/>
      <c r="E77" s="427"/>
      <c r="F77" s="427"/>
      <c r="G77" s="427"/>
      <c r="H77" s="427"/>
      <c r="I77" s="427"/>
      <c r="J77" s="428"/>
      <c r="K77" s="428"/>
      <c r="L77" s="429"/>
    </row>
    <row r="78" spans="1:13" s="213" customFormat="1" ht="15" customHeight="1" x14ac:dyDescent="0.2">
      <c r="A78" s="425" t="s">
        <v>433</v>
      </c>
      <c r="B78" s="427"/>
      <c r="C78" s="427"/>
      <c r="D78" s="427"/>
      <c r="E78" s="427"/>
      <c r="F78" s="427"/>
      <c r="G78" s="427"/>
      <c r="H78" s="427"/>
      <c r="I78" s="427"/>
      <c r="J78" s="428"/>
      <c r="K78" s="428"/>
      <c r="L78" s="430"/>
    </row>
    <row r="79" spans="1:13" s="213" customFormat="1" ht="15" customHeight="1" x14ac:dyDescent="0.2">
      <c r="A79" s="383" t="s">
        <v>424</v>
      </c>
      <c r="B79" s="215"/>
      <c r="C79" s="215"/>
      <c r="D79" s="215"/>
      <c r="E79" s="215"/>
      <c r="F79" s="215"/>
      <c r="G79" s="215"/>
      <c r="H79" s="215"/>
      <c r="I79" s="215"/>
      <c r="L79" s="350"/>
    </row>
    <row r="80" spans="1:13" s="213" customFormat="1" ht="15.75" x14ac:dyDescent="0.25">
      <c r="B80" s="212"/>
      <c r="C80" s="212"/>
      <c r="D80" s="265" t="s">
        <v>15</v>
      </c>
      <c r="H80" s="214"/>
      <c r="L80" s="350"/>
    </row>
    <row r="81" spans="1:12" s="213" customFormat="1" x14ac:dyDescent="0.2">
      <c r="A81" s="252"/>
      <c r="B81" s="212"/>
      <c r="C81" s="212"/>
      <c r="H81" s="214"/>
      <c r="L81" s="250"/>
    </row>
    <row r="82" spans="1:12" ht="25.5" x14ac:dyDescent="0.2">
      <c r="D82" s="216"/>
      <c r="E82" s="217" t="s">
        <v>202</v>
      </c>
      <c r="F82" s="217" t="s">
        <v>2</v>
      </c>
      <c r="G82" s="217" t="s">
        <v>313</v>
      </c>
      <c r="H82" s="217" t="s">
        <v>203</v>
      </c>
      <c r="I82" s="341" t="s">
        <v>365</v>
      </c>
      <c r="L82" s="253"/>
    </row>
    <row r="83" spans="1:12" x14ac:dyDescent="0.2">
      <c r="D83" s="192"/>
      <c r="E83" s="220" t="s">
        <v>5</v>
      </c>
      <c r="F83" s="320">
        <f>H83*G83</f>
        <v>48.080000000000005</v>
      </c>
      <c r="G83" s="13">
        <v>1.6</v>
      </c>
      <c r="H83" s="307">
        <v>30.05</v>
      </c>
      <c r="I83" s="221"/>
      <c r="J83" s="192"/>
      <c r="K83" s="192"/>
    </row>
    <row r="84" spans="1:12" x14ac:dyDescent="0.2">
      <c r="D84" s="192"/>
      <c r="E84" s="220" t="s">
        <v>42</v>
      </c>
      <c r="F84" s="320">
        <f>H84*G84</f>
        <v>64.8</v>
      </c>
      <c r="G84" s="13">
        <v>1.6</v>
      </c>
      <c r="H84" s="307">
        <v>40.5</v>
      </c>
      <c r="I84" s="222"/>
      <c r="J84" s="223"/>
      <c r="K84" s="192"/>
    </row>
    <row r="85" spans="1:12" x14ac:dyDescent="0.2">
      <c r="D85" s="192"/>
      <c r="E85" s="220" t="s">
        <v>6</v>
      </c>
      <c r="F85" s="320">
        <f>H85*G85</f>
        <v>26.016000000000005</v>
      </c>
      <c r="G85" s="13">
        <v>1.6</v>
      </c>
      <c r="H85" s="307">
        <v>16.260000000000002</v>
      </c>
      <c r="I85" s="192"/>
      <c r="J85" s="192"/>
      <c r="K85" s="192"/>
    </row>
    <row r="86" spans="1:12" x14ac:dyDescent="0.2">
      <c r="D86" s="255"/>
      <c r="E86" s="192"/>
      <c r="F86" s="224"/>
      <c r="G86" s="192"/>
      <c r="I86" s="192"/>
      <c r="J86" s="192"/>
      <c r="K86" s="192"/>
    </row>
    <row r="87" spans="1:12" x14ac:dyDescent="0.2">
      <c r="D87" s="255"/>
      <c r="E87" s="192"/>
      <c r="F87" s="224"/>
      <c r="G87" s="192"/>
      <c r="I87" s="192"/>
      <c r="J87" s="192"/>
      <c r="K87" s="192"/>
    </row>
    <row r="88" spans="1:12" s="213" customFormat="1" x14ac:dyDescent="0.2">
      <c r="D88" s="192"/>
      <c r="E88" s="225"/>
      <c r="F88" s="226"/>
      <c r="G88" s="212"/>
      <c r="H88" s="214"/>
      <c r="I88" s="212"/>
      <c r="J88" s="212"/>
      <c r="K88" s="44"/>
      <c r="L88" s="212"/>
    </row>
    <row r="89" spans="1:12" ht="15" customHeight="1" x14ac:dyDescent="0.2">
      <c r="D89" s="227"/>
      <c r="E89" s="502" t="s">
        <v>296</v>
      </c>
      <c r="F89" s="503"/>
      <c r="G89" s="503"/>
      <c r="H89" s="504"/>
      <c r="I89" s="228" t="s">
        <v>297</v>
      </c>
      <c r="J89" s="192"/>
      <c r="K89" s="254"/>
      <c r="L89" s="192"/>
    </row>
    <row r="90" spans="1:12" x14ac:dyDescent="0.2">
      <c r="D90" s="229" t="s">
        <v>215</v>
      </c>
      <c r="E90" s="217" t="s">
        <v>258</v>
      </c>
      <c r="F90" s="217" t="s">
        <v>204</v>
      </c>
      <c r="G90" s="217" t="s">
        <v>205</v>
      </c>
      <c r="H90" s="217" t="s">
        <v>257</v>
      </c>
      <c r="I90" s="230"/>
      <c r="J90" s="192"/>
      <c r="K90" s="254"/>
      <c r="L90" s="192"/>
    </row>
    <row r="91" spans="1:12" ht="25.5" x14ac:dyDescent="0.2">
      <c r="D91" s="231" t="s">
        <v>19</v>
      </c>
      <c r="E91" s="296" t="s">
        <v>259</v>
      </c>
      <c r="F91" s="283">
        <f>'Summary Info_2015'!H74</f>
        <v>15522.006319999999</v>
      </c>
      <c r="G91" s="403">
        <f>H13</f>
        <v>81.992795031055905</v>
      </c>
      <c r="H91" s="232">
        <f>F91*G91</f>
        <v>1272692.6826665143</v>
      </c>
      <c r="I91" s="431" t="s">
        <v>435</v>
      </c>
      <c r="J91" s="192"/>
      <c r="K91" s="254"/>
      <c r="L91" s="192"/>
    </row>
    <row r="92" spans="1:12" x14ac:dyDescent="0.2">
      <c r="D92" s="231" t="s">
        <v>16</v>
      </c>
      <c r="E92" s="296" t="s">
        <v>36</v>
      </c>
      <c r="F92" s="233">
        <f>'Summary Info_2015'!C61</f>
        <v>20444.262999999999</v>
      </c>
      <c r="G92" s="403">
        <f>H14</f>
        <v>20.204720496894414</v>
      </c>
      <c r="H92" s="232">
        <f t="shared" ref="H92:H93" si="36">F92*G92</f>
        <v>413070.61968000006</v>
      </c>
      <c r="I92" s="431" t="s">
        <v>435</v>
      </c>
      <c r="J92" s="192"/>
      <c r="K92" s="254"/>
      <c r="L92" s="192"/>
    </row>
    <row r="93" spans="1:12" s="213" customFormat="1" x14ac:dyDescent="0.2">
      <c r="D93" s="231" t="s">
        <v>17</v>
      </c>
      <c r="E93" s="296" t="s">
        <v>43</v>
      </c>
      <c r="F93" s="233">
        <f>'Summary Info_2015'!M66</f>
        <v>20006</v>
      </c>
      <c r="G93" s="403">
        <f>H15</f>
        <v>28.881614906832301</v>
      </c>
      <c r="H93" s="232">
        <f t="shared" si="36"/>
        <v>577805.58782608702</v>
      </c>
      <c r="I93" s="431" t="s">
        <v>435</v>
      </c>
      <c r="J93" s="192"/>
      <c r="K93" s="44"/>
      <c r="L93" s="212"/>
    </row>
    <row r="94" spans="1:12" x14ac:dyDescent="0.2">
      <c r="E94" s="234" t="s">
        <v>1</v>
      </c>
      <c r="F94" s="235">
        <f>SUM(F91:F93)</f>
        <v>55972.269319999999</v>
      </c>
      <c r="G94" s="236"/>
      <c r="H94" s="237">
        <f>SUM(H91:H93)</f>
        <v>2263568.8901726012</v>
      </c>
      <c r="J94" s="423"/>
      <c r="L94" s="155"/>
    </row>
    <row r="95" spans="1:12" x14ac:dyDescent="0.2">
      <c r="E95" s="238"/>
      <c r="F95" s="192"/>
      <c r="G95" s="161"/>
      <c r="H95" s="239"/>
      <c r="L95" s="155"/>
    </row>
    <row r="96" spans="1:12" ht="30" customHeight="1" x14ac:dyDescent="0.2">
      <c r="E96" s="502" t="s">
        <v>298</v>
      </c>
      <c r="F96" s="503"/>
      <c r="G96" s="503"/>
      <c r="H96" s="504"/>
      <c r="L96" s="155"/>
    </row>
    <row r="97" spans="1:13" s="213" customFormat="1" x14ac:dyDescent="0.2">
      <c r="D97" s="229" t="s">
        <v>261</v>
      </c>
      <c r="E97" s="217" t="s">
        <v>10</v>
      </c>
      <c r="F97" s="217" t="s">
        <v>260</v>
      </c>
      <c r="G97" s="217" t="s">
        <v>209</v>
      </c>
      <c r="H97" s="217" t="s">
        <v>257</v>
      </c>
    </row>
    <row r="98" spans="1:13" x14ac:dyDescent="0.2">
      <c r="D98" s="231" t="s">
        <v>38</v>
      </c>
      <c r="E98" s="296" t="s">
        <v>19</v>
      </c>
      <c r="F98" s="281">
        <f>'Summary Info_2015'!G63</f>
        <v>65388.072700799996</v>
      </c>
      <c r="G98" s="240">
        <f>'Regulated Sources_Overview'!K16</f>
        <v>0</v>
      </c>
      <c r="H98" s="282">
        <f>F98*G98</f>
        <v>0</v>
      </c>
      <c r="I98" s="230" t="s">
        <v>371</v>
      </c>
      <c r="L98" s="155"/>
    </row>
    <row r="99" spans="1:13" x14ac:dyDescent="0.2">
      <c r="D99" s="231" t="s">
        <v>39</v>
      </c>
      <c r="E99" s="296" t="s">
        <v>16</v>
      </c>
      <c r="F99" s="281">
        <f>'Summary Info_2015'!B63</f>
        <v>111044.6066688</v>
      </c>
      <c r="G99" s="240">
        <f>'Regulated Sources_Overview'!K17</f>
        <v>0</v>
      </c>
      <c r="H99" s="282">
        <f t="shared" ref="H99:H100" si="37">F99*G99</f>
        <v>0</v>
      </c>
      <c r="L99" s="155"/>
    </row>
    <row r="100" spans="1:13" x14ac:dyDescent="0.2">
      <c r="D100" s="231" t="s">
        <v>40</v>
      </c>
      <c r="E100" s="296" t="s">
        <v>17</v>
      </c>
      <c r="F100" s="281">
        <f>'Summary Info_2015'!L63</f>
        <v>174001.69178879997</v>
      </c>
      <c r="G100" s="240">
        <f>'Regulated Sources_Overview'!K18</f>
        <v>0</v>
      </c>
      <c r="H100" s="282">
        <f t="shared" si="37"/>
        <v>0</v>
      </c>
      <c r="L100" s="155"/>
    </row>
    <row r="101" spans="1:13" x14ac:dyDescent="0.2">
      <c r="E101" s="234" t="s">
        <v>1</v>
      </c>
      <c r="F101" s="241">
        <f>SUM(F98:F100)</f>
        <v>350434.37115839997</v>
      </c>
      <c r="G101" s="242">
        <f>SUM(G98:G100)</f>
        <v>0</v>
      </c>
      <c r="H101" s="237">
        <f>SUM(H98:H100)</f>
        <v>0</v>
      </c>
    </row>
    <row r="102" spans="1:13" x14ac:dyDescent="0.2">
      <c r="E102" s="243"/>
      <c r="F102" s="163"/>
      <c r="G102" s="244"/>
      <c r="H102" s="239"/>
    </row>
    <row r="103" spans="1:13" x14ac:dyDescent="0.2">
      <c r="E103" s="245"/>
      <c r="F103" s="510" t="s">
        <v>301</v>
      </c>
      <c r="G103" s="510"/>
      <c r="H103" s="246">
        <f>H94+H101</f>
        <v>2263568.8901726012</v>
      </c>
      <c r="J103" s="284"/>
    </row>
    <row r="104" spans="1:13" x14ac:dyDescent="0.2">
      <c r="E104" s="192"/>
      <c r="F104" s="163"/>
      <c r="G104" s="244"/>
    </row>
    <row r="105" spans="1:13" x14ac:dyDescent="0.2">
      <c r="E105" s="192"/>
      <c r="F105" s="163"/>
      <c r="G105" s="244"/>
    </row>
    <row r="106" spans="1:13" x14ac:dyDescent="0.2">
      <c r="E106" s="192"/>
      <c r="F106" s="163"/>
      <c r="G106" s="244"/>
    </row>
    <row r="107" spans="1:13" ht="12.75" customHeight="1" x14ac:dyDescent="0.2">
      <c r="A107" s="192"/>
      <c r="B107" s="192"/>
      <c r="C107" s="192"/>
      <c r="D107" s="192"/>
      <c r="E107" s="154"/>
      <c r="F107" s="154"/>
      <c r="G107" s="154"/>
      <c r="H107" s="154"/>
      <c r="I107" s="154"/>
      <c r="J107" s="154"/>
      <c r="K107" s="154"/>
      <c r="L107" s="154"/>
      <c r="M107" s="212"/>
    </row>
    <row r="108" spans="1:13" ht="12.75" customHeight="1" x14ac:dyDescent="0.25">
      <c r="A108" s="192"/>
      <c r="B108" s="192"/>
      <c r="C108" s="192"/>
      <c r="D108" s="192"/>
      <c r="E108" s="502" t="s">
        <v>299</v>
      </c>
      <c r="F108" s="506"/>
      <c r="G108" s="506"/>
      <c r="H108" s="506"/>
      <c r="I108" s="506"/>
      <c r="J108" s="506"/>
      <c r="K108" s="507"/>
      <c r="L108" s="155"/>
    </row>
    <row r="109" spans="1:13" ht="12.75" customHeight="1" x14ac:dyDescent="0.25">
      <c r="A109" s="192"/>
      <c r="B109" s="192"/>
      <c r="C109" s="192"/>
      <c r="D109" s="192"/>
      <c r="E109" s="508" t="s">
        <v>10</v>
      </c>
      <c r="F109" s="505" t="s">
        <v>262</v>
      </c>
      <c r="G109" s="506"/>
      <c r="H109" s="506"/>
      <c r="I109" s="507"/>
      <c r="J109" s="511" t="s">
        <v>300</v>
      </c>
      <c r="K109" s="513" t="s">
        <v>335</v>
      </c>
      <c r="L109" s="155"/>
    </row>
    <row r="110" spans="1:13" x14ac:dyDescent="0.2">
      <c r="A110" s="192"/>
      <c r="B110" s="192"/>
      <c r="C110" s="192"/>
      <c r="D110" s="192"/>
      <c r="E110" s="509"/>
      <c r="F110" s="297" t="s">
        <v>50</v>
      </c>
      <c r="G110" s="297" t="s">
        <v>11</v>
      </c>
      <c r="H110" s="157" t="s">
        <v>12</v>
      </c>
      <c r="I110" s="166" t="s">
        <v>1</v>
      </c>
      <c r="J110" s="512"/>
      <c r="K110" s="513"/>
      <c r="L110" s="155"/>
    </row>
    <row r="111" spans="1:13" x14ac:dyDescent="0.2">
      <c r="A111" s="192"/>
      <c r="B111" s="192"/>
      <c r="C111" s="192"/>
      <c r="D111" s="192"/>
      <c r="E111" s="162" t="s">
        <v>19</v>
      </c>
      <c r="F111" s="353">
        <f>'Table 1a '!F113</f>
        <v>11817.7758144</v>
      </c>
      <c r="G111" s="353">
        <f>'Table 1a '!G113</f>
        <v>20778.558211199997</v>
      </c>
      <c r="H111" s="353">
        <f>'Table 1a '!H113</f>
        <v>8902.2237055549303</v>
      </c>
      <c r="I111" s="280">
        <f>F111+G111+H111</f>
        <v>41498.557731154928</v>
      </c>
      <c r="J111" s="402">
        <f>('Regulated Sources_Overview'!F76*'Table 1c'!F12*('%CEMSCPMSvs.testing'!H9/100))+('Regulated Sources_Overview'!F77*'Table 1c'!F12*('%CEMSCPMSvs.testing'!H15/100))+('Regulated Sources_Overview'!F78*'Table 1c'!F12*('%CEMSCPMSvs.testing'!H21/100))+('Regulated Sources_Overview'!F79*'Table 1c'!F12*('%CEMSCPMSvs.testing'!H27/100))+('Regulated Sources_Overview'!F80*'Table 1c'!F12*('%CEMSCPMSvs.testing'!H33/100))</f>
        <v>39.926459627329194</v>
      </c>
      <c r="K111" s="401">
        <f>I111*J111</f>
        <v>1656890.4898453471</v>
      </c>
      <c r="L111" s="354" t="s">
        <v>375</v>
      </c>
    </row>
    <row r="112" spans="1:13" x14ac:dyDescent="0.2">
      <c r="A112" s="192"/>
      <c r="B112" s="192"/>
      <c r="C112" s="192"/>
      <c r="D112" s="192"/>
      <c r="E112" s="162" t="s">
        <v>16</v>
      </c>
      <c r="F112" s="353">
        <f>'Table 1a '!F114</f>
        <v>14788.7065664</v>
      </c>
      <c r="G112" s="353">
        <f>'Table 1a '!G114</f>
        <v>10931.940845699999</v>
      </c>
      <c r="H112" s="353">
        <f>'Table 1a '!H114</f>
        <v>15897.235325044843</v>
      </c>
      <c r="I112" s="280">
        <f>F112+G112+H112</f>
        <v>41617.882737144842</v>
      </c>
      <c r="J112" s="402">
        <f>('Regulated Sources_Overview'!F76*'Table 1c'!F12*(('%CEMSCPMSvs.testing'!L9+'%CEMSCPMSvs.testing'!L10)/100))+('Regulated Sources_Overview'!F77*'Table 1c'!F12*(('%CEMSCPMSvs.testing'!L15+'%CEMSCPMSvs.testing'!L16)/100))+('Regulated Sources_Overview'!F78*'Table 1c'!F12*('%CEMSCPMSvs.testing'!L21/100))+('Regulated Sources_Overview'!F79*'Table 1c'!F12*('%CEMSCPMSvs.testing'!L27/100))+('Regulated Sources_Overview'!F80*'Table 1c'!F12*(('%CEMSCPMSvs.testing'!L33+'%CEMSCPMSvs.testing'!L34)/100))</f>
        <v>101.71453416149069</v>
      </c>
      <c r="K112" s="279">
        <f t="shared" ref="K112" si="38">I112*J112</f>
        <v>4233143.5553962328</v>
      </c>
      <c r="L112" s="354" t="s">
        <v>375</v>
      </c>
    </row>
    <row r="113" spans="1:13" x14ac:dyDescent="0.2">
      <c r="A113" s="192"/>
      <c r="B113" s="192"/>
      <c r="C113" s="192"/>
      <c r="D113" s="192"/>
      <c r="E113" s="162" t="s">
        <v>17</v>
      </c>
      <c r="F113" s="353">
        <f>'Table 1a '!F115</f>
        <v>19959.2166464</v>
      </c>
      <c r="G113" s="353">
        <f>'Table 1a '!G115</f>
        <v>40011.554765699999</v>
      </c>
      <c r="H113" s="353">
        <f>'Table 1a '!H115</f>
        <v>40035.286058200538</v>
      </c>
      <c r="I113" s="280">
        <f>F113+G113+H113</f>
        <v>100006.05747030054</v>
      </c>
      <c r="J113" s="402">
        <f>('Regulated Sources_Overview'!F76*'Table 1c'!F12*('%CEMSCPMSvs.testing'!D9/100))+('Regulated Sources_Overview'!F77*'Table 1c'!F12*('%CEMSCPMSvs.testing'!D15/100))+('Regulated Sources_Overview'!F78*'Table 1c'!F12*('%CEMSCPMSvs.testing'!D21/100))+('Regulated Sources_Overview'!F79*'Table 1c'!F12*('%CEMSCPMSvs.testing'!D27/100))+('Regulated Sources_Overview'!F80*'Table 1c'!F12*('%CEMSCPMSvs.testing'!D33/100))</f>
        <v>93.037639751552788</v>
      </c>
      <c r="K113" s="279">
        <f>I113*J113</f>
        <v>9304327.5478949063</v>
      </c>
      <c r="L113" s="354" t="s">
        <v>375</v>
      </c>
    </row>
    <row r="114" spans="1:13" x14ac:dyDescent="0.2">
      <c r="A114" s="192"/>
      <c r="B114" s="192"/>
      <c r="C114" s="192"/>
      <c r="D114" s="192"/>
      <c r="E114" s="158" t="s">
        <v>1</v>
      </c>
      <c r="F114" s="159"/>
      <c r="G114" s="159"/>
      <c r="H114" s="159"/>
      <c r="I114" s="164"/>
      <c r="J114" s="167"/>
      <c r="K114" s="165">
        <f>SUM(K111:K113)</f>
        <v>15194361.593136486</v>
      </c>
      <c r="L114" s="160"/>
    </row>
    <row r="115" spans="1:13" ht="15.75" x14ac:dyDescent="0.25">
      <c r="F115" s="359"/>
      <c r="G115" s="192"/>
      <c r="I115" s="192"/>
      <c r="J115" s="161"/>
      <c r="K115" s="294"/>
    </row>
    <row r="116" spans="1:13" x14ac:dyDescent="0.2">
      <c r="J116" s="395"/>
    </row>
    <row r="117" spans="1:13" x14ac:dyDescent="0.2">
      <c r="L117" s="355"/>
      <c r="M117" s="356"/>
    </row>
    <row r="118" spans="1:13" x14ac:dyDescent="0.2">
      <c r="L118" s="355"/>
      <c r="M118" s="356"/>
    </row>
    <row r="119" spans="1:13" x14ac:dyDescent="0.2">
      <c r="L119" s="355"/>
      <c r="M119" s="356"/>
    </row>
    <row r="120" spans="1:13" x14ac:dyDescent="0.2">
      <c r="I120" s="284"/>
      <c r="M120" s="356"/>
    </row>
  </sheetData>
  <mergeCells count="31">
    <mergeCell ref="E96:H96"/>
    <mergeCell ref="F103:G103"/>
    <mergeCell ref="E108:K108"/>
    <mergeCell ref="E109:E110"/>
    <mergeCell ref="F109:I109"/>
    <mergeCell ref="J109:J110"/>
    <mergeCell ref="K109:K110"/>
    <mergeCell ref="I52:K52"/>
    <mergeCell ref="E89:H89"/>
    <mergeCell ref="B54:D54"/>
    <mergeCell ref="B55:D55"/>
    <mergeCell ref="B56:D56"/>
    <mergeCell ref="B57:D57"/>
    <mergeCell ref="B58:D58"/>
    <mergeCell ref="B67:D67"/>
    <mergeCell ref="B68:D68"/>
    <mergeCell ref="I69:K69"/>
    <mergeCell ref="I70:K70"/>
    <mergeCell ref="A75:L75"/>
    <mergeCell ref="A76:L76"/>
    <mergeCell ref="A53:D53"/>
    <mergeCell ref="A4:D5"/>
    <mergeCell ref="A6:D6"/>
    <mergeCell ref="A7:D7"/>
    <mergeCell ref="A8:D8"/>
    <mergeCell ref="A9:D9"/>
    <mergeCell ref="B10:D10"/>
    <mergeCell ref="B11:D11"/>
    <mergeCell ref="B28:D28"/>
    <mergeCell ref="B29:D29"/>
    <mergeCell ref="B30:D30"/>
  </mergeCells>
  <printOptions horizontalCentered="1" verticalCentered="1"/>
  <pageMargins left="0.7" right="0.7" top="0.75" bottom="0.75" header="0.3" footer="0.3"/>
  <pageSetup paperSize="17" orientation="landscape" r:id="rId1"/>
  <headerFooter>
    <oddHeader>&amp;CTable 1a -- Respondent Year 1</oddHeader>
    <oddFooter>&amp;L&amp;P of &amp;N&amp;R&amp;D</oddFooter>
  </headerFooter>
  <rowBreaks count="2" manualBreakCount="2">
    <brk id="52" max="10" man="1"/>
    <brk id="73" max="1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workbookViewId="0">
      <selection activeCell="E10" sqref="E10"/>
    </sheetView>
  </sheetViews>
  <sheetFormatPr defaultRowHeight="15" x14ac:dyDescent="0.25"/>
  <cols>
    <col min="1" max="1" width="23.42578125" customWidth="1"/>
    <col min="2" max="2" width="12.28515625" customWidth="1"/>
    <col min="3" max="3" width="10.42578125" bestFit="1" customWidth="1"/>
    <col min="4" max="4" width="18.140625" customWidth="1"/>
    <col min="5" max="5" width="11.28515625" customWidth="1"/>
    <col min="6" max="6" width="13.140625" customWidth="1"/>
    <col min="7" max="7" width="16.42578125" customWidth="1"/>
    <col min="8" max="8" width="14.5703125" customWidth="1"/>
  </cols>
  <sheetData>
    <row r="1" spans="1:10" ht="16.5" thickBot="1" x14ac:dyDescent="0.3">
      <c r="A1" s="168" t="s">
        <v>362</v>
      </c>
    </row>
    <row r="2" spans="1:10" ht="41.25" customHeight="1" thickBot="1" x14ac:dyDescent="0.3">
      <c r="A2" s="517" t="s">
        <v>348</v>
      </c>
      <c r="B2" s="515" t="s">
        <v>349</v>
      </c>
      <c r="C2" s="523" t="s">
        <v>350</v>
      </c>
      <c r="D2" s="524"/>
      <c r="E2" s="525"/>
      <c r="F2" s="517" t="s">
        <v>351</v>
      </c>
      <c r="G2" s="515" t="s">
        <v>352</v>
      </c>
      <c r="H2" s="515" t="s">
        <v>257</v>
      </c>
      <c r="I2" s="326"/>
    </row>
    <row r="3" spans="1:10" ht="15.75" thickBot="1" x14ac:dyDescent="0.3">
      <c r="A3" s="518"/>
      <c r="B3" s="516"/>
      <c r="C3" s="327" t="s">
        <v>353</v>
      </c>
      <c r="D3" s="327" t="s">
        <v>354</v>
      </c>
      <c r="E3" s="327" t="s">
        <v>1</v>
      </c>
      <c r="F3" s="518"/>
      <c r="G3" s="516"/>
      <c r="H3" s="516"/>
    </row>
    <row r="4" spans="1:10" ht="15.75" thickBot="1" x14ac:dyDescent="0.3">
      <c r="A4" s="328" t="s">
        <v>355</v>
      </c>
      <c r="B4" s="343">
        <f>$F$11*'Annual Responses'!F26</f>
        <v>1211.5578095238095</v>
      </c>
      <c r="C4" s="329">
        <f>SUM('Table 1a '!I52:K52)</f>
        <v>224328.11009047614</v>
      </c>
      <c r="D4" s="329">
        <f>SUM('Table 1a '!I69:K69)</f>
        <v>11465.04</v>
      </c>
      <c r="E4" s="336">
        <f>ROUND(+D4+C4,-3)</f>
        <v>236000</v>
      </c>
      <c r="F4" s="337">
        <f>'Table 1a '!L70</f>
        <v>25800000</v>
      </c>
      <c r="G4" s="337">
        <f>'Table 1a '!L71</f>
        <v>86600000</v>
      </c>
      <c r="H4" s="337">
        <f>ROUND(SUM(F4:G4),-6)</f>
        <v>112000000</v>
      </c>
    </row>
    <row r="5" spans="1:10" ht="15.75" thickBot="1" x14ac:dyDescent="0.3">
      <c r="A5" s="328" t="s">
        <v>356</v>
      </c>
      <c r="B5" s="343">
        <f>$F$12*'Annual Responses'!F26</f>
        <v>244.11985714285717</v>
      </c>
      <c r="C5" s="329">
        <f>SUM('Table 1b'!I52:K52)</f>
        <v>45200.440092857141</v>
      </c>
      <c r="D5" s="329">
        <f>SUM('Table 1b'!I69:K69)</f>
        <v>2310.12</v>
      </c>
      <c r="E5" s="336">
        <f>ROUND(+D5+C5,-2)</f>
        <v>47500</v>
      </c>
      <c r="F5" s="337">
        <f>'Table 1b'!L70</f>
        <v>2200000</v>
      </c>
      <c r="G5" s="337">
        <f>'Table 1b'!L71</f>
        <v>17500000</v>
      </c>
      <c r="H5" s="337">
        <f>ROUND(SUM(F5:G5),-5)</f>
        <v>19700000</v>
      </c>
    </row>
    <row r="6" spans="1:10" ht="15.75" thickBot="1" x14ac:dyDescent="0.3">
      <c r="A6" s="330" t="s">
        <v>368</v>
      </c>
      <c r="B6" s="340">
        <f>ROUND(+B4+B5,-1)</f>
        <v>1460</v>
      </c>
      <c r="C6" s="331">
        <f>ROUND(+C4+C5,-3)</f>
        <v>270000</v>
      </c>
      <c r="D6" s="331">
        <f>ROUND(+D4+D5,-2)</f>
        <v>13800</v>
      </c>
      <c r="E6" s="338">
        <f>ROUND(+E4+E5,-3)</f>
        <v>284000</v>
      </c>
      <c r="F6" s="339">
        <f t="shared" ref="F6" si="0">+F4+F5</f>
        <v>28000000</v>
      </c>
      <c r="G6" s="339">
        <f>ROUND(+G4+G5,-6)</f>
        <v>104000000</v>
      </c>
      <c r="H6" s="337">
        <f>ROUND(SUM(F6:G6),-6)</f>
        <v>132000000</v>
      </c>
      <c r="I6" s="351">
        <f>E6/B6</f>
        <v>194.52054794520549</v>
      </c>
      <c r="J6" t="s">
        <v>370</v>
      </c>
    </row>
    <row r="7" spans="1:10" x14ac:dyDescent="0.25">
      <c r="A7" t="s">
        <v>369</v>
      </c>
    </row>
    <row r="9" spans="1:10" x14ac:dyDescent="0.25">
      <c r="A9" s="519" t="s">
        <v>363</v>
      </c>
      <c r="B9" s="520"/>
      <c r="C9" s="344" t="s">
        <v>361</v>
      </c>
      <c r="D9" s="521" t="s">
        <v>366</v>
      </c>
      <c r="E9" s="522"/>
      <c r="F9" s="347" t="s">
        <v>361</v>
      </c>
    </row>
    <row r="10" spans="1:10" ht="45" x14ac:dyDescent="0.25">
      <c r="A10" s="345" t="s">
        <v>364</v>
      </c>
      <c r="B10" s="344">
        <f>575</f>
        <v>575</v>
      </c>
      <c r="C10" s="344"/>
      <c r="D10" s="348" t="s">
        <v>367</v>
      </c>
      <c r="E10" s="393">
        <v>322</v>
      </c>
      <c r="F10" s="349"/>
      <c r="G10" s="394" t="s">
        <v>384</v>
      </c>
      <c r="H10" s="77"/>
      <c r="I10" s="77"/>
    </row>
    <row r="11" spans="1:10" x14ac:dyDescent="0.25">
      <c r="A11" s="344" t="s">
        <v>360</v>
      </c>
      <c r="B11" s="344">
        <f>B10-B12</f>
        <v>479</v>
      </c>
      <c r="C11" s="346">
        <f>B11/B10</f>
        <v>0.83304347826086955</v>
      </c>
      <c r="D11" s="332" t="s">
        <v>357</v>
      </c>
      <c r="E11" s="333">
        <f>ROUND(E10*(B11/B10),0)</f>
        <v>268</v>
      </c>
      <c r="F11" s="334">
        <f>E11/E10</f>
        <v>0.83229813664596275</v>
      </c>
    </row>
    <row r="12" spans="1:10" x14ac:dyDescent="0.25">
      <c r="A12" s="344" t="s">
        <v>359</v>
      </c>
      <c r="B12" s="344">
        <v>96</v>
      </c>
      <c r="C12" s="346">
        <f>B12/B10</f>
        <v>0.16695652173913045</v>
      </c>
      <c r="D12" s="332" t="s">
        <v>358</v>
      </c>
      <c r="E12" s="335">
        <f>ROUND(E10*(B12/B10),0)</f>
        <v>54</v>
      </c>
      <c r="F12" s="334">
        <f>E12/E10</f>
        <v>0.16770186335403728</v>
      </c>
    </row>
    <row r="14" spans="1:10" x14ac:dyDescent="0.25">
      <c r="A14" s="100"/>
      <c r="B14" s="405"/>
      <c r="C14" s="405"/>
      <c r="D14" s="405"/>
      <c r="E14" s="405">
        <f>727/322</f>
        <v>2.2577639751552794</v>
      </c>
      <c r="F14" s="405" t="s">
        <v>420</v>
      </c>
    </row>
    <row r="15" spans="1:10" x14ac:dyDescent="0.25">
      <c r="A15" s="406"/>
      <c r="B15" s="405"/>
      <c r="C15" s="405"/>
      <c r="D15" s="405"/>
      <c r="E15" s="405"/>
      <c r="F15" s="405"/>
    </row>
    <row r="16" spans="1:10" x14ac:dyDescent="0.25">
      <c r="A16" s="105"/>
      <c r="B16" s="405"/>
      <c r="C16" s="405"/>
      <c r="D16" s="405"/>
      <c r="E16" s="405"/>
      <c r="F16" s="405"/>
    </row>
    <row r="17" spans="1:6" x14ac:dyDescent="0.25">
      <c r="A17" s="100"/>
      <c r="B17" s="405"/>
      <c r="C17" s="405"/>
      <c r="D17" s="405"/>
      <c r="E17" s="405"/>
      <c r="F17" s="405"/>
    </row>
    <row r="18" spans="1:6" x14ac:dyDescent="0.25">
      <c r="A18" s="105"/>
      <c r="B18" s="405"/>
      <c r="C18" s="405"/>
      <c r="D18" s="405"/>
      <c r="E18" s="405"/>
      <c r="F18" s="405"/>
    </row>
    <row r="19" spans="1:6" x14ac:dyDescent="0.25">
      <c r="A19" s="105"/>
      <c r="B19" s="405"/>
      <c r="C19" s="405"/>
      <c r="D19" s="405"/>
      <c r="E19" s="405"/>
      <c r="F19" s="405"/>
    </row>
    <row r="20" spans="1:6" x14ac:dyDescent="0.25">
      <c r="A20" s="105"/>
      <c r="B20" s="405"/>
      <c r="C20" s="405"/>
      <c r="D20" s="405"/>
      <c r="E20" s="405"/>
      <c r="F20" s="405"/>
    </row>
  </sheetData>
  <mergeCells count="8">
    <mergeCell ref="H2:H3"/>
    <mergeCell ref="F2:F3"/>
    <mergeCell ref="G2:G3"/>
    <mergeCell ref="A9:B9"/>
    <mergeCell ref="D9:E9"/>
    <mergeCell ref="A2:A3"/>
    <mergeCell ref="B2:B3"/>
    <mergeCell ref="C2:E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4"/>
  <sheetViews>
    <sheetView topLeftCell="A9" zoomScale="90" zoomScaleNormal="90" workbookViewId="0">
      <selection activeCell="A22" sqref="A22:I22"/>
    </sheetView>
  </sheetViews>
  <sheetFormatPr defaultColWidth="9.140625" defaultRowHeight="15" x14ac:dyDescent="0.25"/>
  <cols>
    <col min="1" max="1" width="69.140625" style="6" customWidth="1"/>
    <col min="2" max="2" width="13.140625" style="6" customWidth="1"/>
    <col min="3" max="3" width="15" style="6" bestFit="1" customWidth="1"/>
    <col min="4" max="4" width="13.42578125" style="6" bestFit="1" customWidth="1"/>
    <col min="5" max="5" width="11.28515625" style="6" customWidth="1"/>
    <col min="6" max="6" width="14.42578125" style="6" customWidth="1"/>
    <col min="7" max="8" width="13.85546875" style="6" customWidth="1"/>
    <col min="9" max="9" width="11" style="6" bestFit="1" customWidth="1"/>
    <col min="10" max="16384" width="9.140625" style="6"/>
  </cols>
  <sheetData>
    <row r="1" spans="1:16" s="169" customFormat="1" ht="15.75" x14ac:dyDescent="0.25">
      <c r="A1" s="168" t="s">
        <v>281</v>
      </c>
      <c r="C1" s="170"/>
      <c r="D1" s="170"/>
      <c r="E1" s="170"/>
      <c r="F1" s="170"/>
      <c r="G1" s="170"/>
      <c r="H1" s="170"/>
      <c r="I1" s="170"/>
      <c r="J1" s="6"/>
      <c r="K1" s="6"/>
      <c r="L1" s="6"/>
      <c r="M1" s="6"/>
      <c r="N1" s="6"/>
      <c r="O1" s="6"/>
      <c r="P1" s="6"/>
    </row>
    <row r="2" spans="1:16" s="169" customFormat="1" ht="12.75" x14ac:dyDescent="0.2">
      <c r="A2" s="149" t="s">
        <v>289</v>
      </c>
      <c r="B2" s="172"/>
      <c r="C2" s="172"/>
      <c r="D2" s="172"/>
      <c r="E2" s="172"/>
      <c r="F2" s="172"/>
      <c r="G2" s="172"/>
      <c r="H2" s="172"/>
      <c r="I2" s="172"/>
    </row>
    <row r="3" spans="1:16" s="169" customFormat="1" ht="15" customHeight="1" x14ac:dyDescent="0.2">
      <c r="A3" s="247"/>
      <c r="C3" s="170"/>
      <c r="D3" s="170"/>
      <c r="E3" s="170"/>
      <c r="F3" s="170"/>
      <c r="G3" s="170"/>
      <c r="H3" s="170"/>
      <c r="I3" s="170"/>
      <c r="J3" s="11"/>
      <c r="K3" s="11"/>
      <c r="L3" s="11"/>
      <c r="M3" s="11"/>
      <c r="N3" s="11"/>
      <c r="O3" s="11"/>
      <c r="P3" s="11"/>
    </row>
    <row r="4" spans="1:16" s="11" customFormat="1" ht="15" customHeight="1" x14ac:dyDescent="0.2">
      <c r="A4" s="526" t="s">
        <v>264</v>
      </c>
      <c r="B4" s="263" t="s">
        <v>265</v>
      </c>
      <c r="C4" s="263" t="s">
        <v>266</v>
      </c>
      <c r="D4" s="263" t="s">
        <v>267</v>
      </c>
      <c r="E4" s="263" t="s">
        <v>268</v>
      </c>
      <c r="F4" s="263" t="s">
        <v>269</v>
      </c>
      <c r="G4" s="263" t="s">
        <v>270</v>
      </c>
      <c r="H4" s="263" t="s">
        <v>271</v>
      </c>
      <c r="I4" s="263" t="s">
        <v>272</v>
      </c>
    </row>
    <row r="5" spans="1:16" s="11" customFormat="1" ht="51" x14ac:dyDescent="0.2">
      <c r="A5" s="526"/>
      <c r="B5" s="177" t="s">
        <v>315</v>
      </c>
      <c r="C5" s="177" t="s">
        <v>316</v>
      </c>
      <c r="D5" s="177" t="s">
        <v>317</v>
      </c>
      <c r="E5" s="177" t="s">
        <v>321</v>
      </c>
      <c r="F5" s="177" t="s">
        <v>320</v>
      </c>
      <c r="G5" s="177" t="s">
        <v>318</v>
      </c>
      <c r="H5" s="177" t="s">
        <v>319</v>
      </c>
      <c r="I5" s="177" t="s">
        <v>322</v>
      </c>
    </row>
    <row r="6" spans="1:16" s="11" customFormat="1" ht="15.75" customHeight="1" x14ac:dyDescent="0.2">
      <c r="A6" s="249" t="s">
        <v>325</v>
      </c>
      <c r="B6" s="259">
        <v>24</v>
      </c>
      <c r="C6" s="259">
        <v>1</v>
      </c>
      <c r="D6" s="259">
        <f>B6*C6</f>
        <v>24</v>
      </c>
      <c r="E6" s="271">
        <v>0</v>
      </c>
      <c r="F6" s="261">
        <f>D6*E6</f>
        <v>0</v>
      </c>
      <c r="G6" s="261">
        <f>F6*0.05</f>
        <v>0</v>
      </c>
      <c r="H6" s="261">
        <f>F6*0.1</f>
        <v>0</v>
      </c>
      <c r="I6" s="309">
        <f t="shared" ref="I6:I17" si="0">(F6*$F$32)+(G6*$F$33)+(H6*$F$34)</f>
        <v>0</v>
      </c>
      <c r="J6" s="308" t="s">
        <v>340</v>
      </c>
    </row>
    <row r="7" spans="1:16" s="11" customFormat="1" ht="15" customHeight="1" x14ac:dyDescent="0.2">
      <c r="A7" s="249" t="s">
        <v>326</v>
      </c>
      <c r="B7" s="249">
        <v>24</v>
      </c>
      <c r="C7" s="249">
        <v>0.2</v>
      </c>
      <c r="D7" s="259">
        <f t="shared" ref="D7:D9" si="1">B7*C7</f>
        <v>4.8000000000000007</v>
      </c>
      <c r="E7" s="272">
        <v>0</v>
      </c>
      <c r="F7" s="261">
        <f t="shared" ref="F7:F17" si="2">D7*E7</f>
        <v>0</v>
      </c>
      <c r="G7" s="261">
        <f t="shared" ref="G7:G17" si="3">F7*0.05</f>
        <v>0</v>
      </c>
      <c r="H7" s="261">
        <f t="shared" ref="H7:H17" si="4">F7*0.1</f>
        <v>0</v>
      </c>
      <c r="I7" s="309">
        <f t="shared" si="0"/>
        <v>0</v>
      </c>
    </row>
    <row r="8" spans="1:16" s="11" customFormat="1" ht="12.75" x14ac:dyDescent="0.2">
      <c r="A8" s="181" t="s">
        <v>246</v>
      </c>
      <c r="B8" s="249">
        <v>0.5</v>
      </c>
      <c r="C8" s="249">
        <v>1</v>
      </c>
      <c r="D8" s="259">
        <f>B8*C8</f>
        <v>0.5</v>
      </c>
      <c r="E8" s="272">
        <f>'Table 1a '!H42</f>
        <v>0</v>
      </c>
      <c r="F8" s="261">
        <f>D8*E8</f>
        <v>0</v>
      </c>
      <c r="G8" s="261">
        <f>F8*0.05</f>
        <v>0</v>
      </c>
      <c r="H8" s="261">
        <f>F8*0.1</f>
        <v>0</v>
      </c>
      <c r="I8" s="309">
        <f t="shared" si="0"/>
        <v>0</v>
      </c>
    </row>
    <row r="9" spans="1:16" s="11" customFormat="1" ht="15" customHeight="1" x14ac:dyDescent="0.2">
      <c r="A9" s="181" t="s">
        <v>306</v>
      </c>
      <c r="B9" s="249">
        <v>0.5</v>
      </c>
      <c r="C9" s="249">
        <v>1</v>
      </c>
      <c r="D9" s="259">
        <f t="shared" si="1"/>
        <v>0.5</v>
      </c>
      <c r="E9" s="271">
        <f>'Table 1a '!H32+'Table 1a '!H43</f>
        <v>0</v>
      </c>
      <c r="F9" s="261">
        <f t="shared" si="2"/>
        <v>0</v>
      </c>
      <c r="G9" s="261">
        <f t="shared" si="3"/>
        <v>0</v>
      </c>
      <c r="H9" s="261">
        <f t="shared" si="4"/>
        <v>0</v>
      </c>
      <c r="I9" s="309">
        <f t="shared" si="0"/>
        <v>0</v>
      </c>
    </row>
    <row r="10" spans="1:16" s="11" customFormat="1" ht="12.75" x14ac:dyDescent="0.2">
      <c r="A10" s="249" t="s">
        <v>308</v>
      </c>
      <c r="B10" s="249">
        <v>0.5</v>
      </c>
      <c r="C10" s="249">
        <v>1</v>
      </c>
      <c r="D10" s="259">
        <f>B10*C10</f>
        <v>0.5</v>
      </c>
      <c r="E10" s="272">
        <f>'Table 1a '!H33+'Table 1a '!H44</f>
        <v>0</v>
      </c>
      <c r="F10" s="261">
        <f>D10*E10</f>
        <v>0</v>
      </c>
      <c r="G10" s="261">
        <f>F10*0.05</f>
        <v>0</v>
      </c>
      <c r="H10" s="261">
        <f>F10*0.1</f>
        <v>0</v>
      </c>
      <c r="I10" s="309">
        <f t="shared" si="0"/>
        <v>0</v>
      </c>
    </row>
    <row r="11" spans="1:16" s="11" customFormat="1" ht="12.75" x14ac:dyDescent="0.2">
      <c r="A11" s="249" t="s">
        <v>309</v>
      </c>
      <c r="B11" s="249">
        <v>8</v>
      </c>
      <c r="C11" s="249">
        <v>1</v>
      </c>
      <c r="D11" s="259">
        <f>B11*C11</f>
        <v>8</v>
      </c>
      <c r="E11" s="272">
        <f>E10</f>
        <v>0</v>
      </c>
      <c r="F11" s="261">
        <f>D11*E11</f>
        <v>0</v>
      </c>
      <c r="G11" s="261">
        <f>F11*0.05</f>
        <v>0</v>
      </c>
      <c r="H11" s="261">
        <f>F11*0.1</f>
        <v>0</v>
      </c>
      <c r="I11" s="309">
        <f t="shared" si="0"/>
        <v>0</v>
      </c>
    </row>
    <row r="12" spans="1:16" s="11" customFormat="1" ht="15" customHeight="1" x14ac:dyDescent="0.2">
      <c r="A12" s="181" t="s">
        <v>244</v>
      </c>
      <c r="B12" s="249">
        <v>0.5</v>
      </c>
      <c r="C12" s="249">
        <v>1</v>
      </c>
      <c r="D12" s="259">
        <f t="shared" ref="D12:D17" si="5">B12*C12</f>
        <v>0.5</v>
      </c>
      <c r="E12" s="272">
        <f>'Table 1a '!H36+'Table 1a '!H47</f>
        <v>0</v>
      </c>
      <c r="F12" s="261">
        <f t="shared" si="2"/>
        <v>0</v>
      </c>
      <c r="G12" s="261">
        <f t="shared" si="3"/>
        <v>0</v>
      </c>
      <c r="H12" s="261">
        <f t="shared" si="4"/>
        <v>0</v>
      </c>
      <c r="I12" s="309">
        <f t="shared" si="0"/>
        <v>0</v>
      </c>
    </row>
    <row r="13" spans="1:16" s="11" customFormat="1" ht="15" customHeight="1" x14ac:dyDescent="0.2">
      <c r="A13" s="181" t="s">
        <v>305</v>
      </c>
      <c r="B13" s="249">
        <v>8</v>
      </c>
      <c r="C13" s="249">
        <v>1</v>
      </c>
      <c r="D13" s="259">
        <f t="shared" si="5"/>
        <v>8</v>
      </c>
      <c r="E13" s="273">
        <f>'Table 1a '!H37+'Table 1a '!H48+'Table 1b'!H37+'Table 1b'!H48</f>
        <v>32.200000000000003</v>
      </c>
      <c r="F13" s="262">
        <f>D13*E13</f>
        <v>257.60000000000002</v>
      </c>
      <c r="G13" s="260">
        <f t="shared" si="3"/>
        <v>12.880000000000003</v>
      </c>
      <c r="H13" s="260">
        <f t="shared" si="4"/>
        <v>25.760000000000005</v>
      </c>
      <c r="I13" s="317">
        <f>(F13*$F$32)+(G13*$F$33)+(H13*$F$34)</f>
        <v>13890.204160000003</v>
      </c>
    </row>
    <row r="14" spans="1:16" s="11" customFormat="1" ht="12.75" x14ac:dyDescent="0.2">
      <c r="A14" s="249" t="s">
        <v>310</v>
      </c>
      <c r="B14" s="249">
        <v>8</v>
      </c>
      <c r="C14" s="249">
        <v>1</v>
      </c>
      <c r="D14" s="259">
        <f>B14*C14</f>
        <v>8</v>
      </c>
      <c r="E14" s="274">
        <f>'Table 1a '!H38+'Table 1a '!H49+'Table 1b'!H38+'Table 1b'!H49</f>
        <v>322</v>
      </c>
      <c r="F14" s="261">
        <f>D14*E14</f>
        <v>2576</v>
      </c>
      <c r="G14" s="262">
        <f>F14*0.05</f>
        <v>128.80000000000001</v>
      </c>
      <c r="H14" s="262">
        <f>F14*0.1</f>
        <v>257.60000000000002</v>
      </c>
      <c r="I14" s="317">
        <f>(F14*$F$32)+(G14*$F$33)+(H14*$F$34)</f>
        <v>138902.0416</v>
      </c>
    </row>
    <row r="15" spans="1:16" s="11" customFormat="1" ht="15" customHeight="1" x14ac:dyDescent="0.2">
      <c r="A15" s="181" t="s">
        <v>245</v>
      </c>
      <c r="B15" s="249">
        <v>0.5</v>
      </c>
      <c r="C15" s="249">
        <v>1</v>
      </c>
      <c r="D15" s="259">
        <f t="shared" si="5"/>
        <v>0.5</v>
      </c>
      <c r="E15" s="272">
        <f>'Table 1a '!H35+'Table 1a '!H46</f>
        <v>0</v>
      </c>
      <c r="F15" s="261">
        <f t="shared" si="2"/>
        <v>0</v>
      </c>
      <c r="G15" s="261">
        <f t="shared" si="3"/>
        <v>0</v>
      </c>
      <c r="H15" s="261">
        <f t="shared" si="4"/>
        <v>0</v>
      </c>
      <c r="I15" s="309">
        <f t="shared" si="0"/>
        <v>0</v>
      </c>
    </row>
    <row r="16" spans="1:16" s="11" customFormat="1" ht="12.75" x14ac:dyDescent="0.2">
      <c r="A16" s="249" t="s">
        <v>247</v>
      </c>
      <c r="B16" s="249">
        <v>8</v>
      </c>
      <c r="C16" s="249">
        <v>1</v>
      </c>
      <c r="D16" s="259">
        <f>B16*C16</f>
        <v>8</v>
      </c>
      <c r="E16" s="432">
        <f>'Table 1a '!H39+'Table 1a '!H50+'Table 1b'!H39+'Table 1b'!H50</f>
        <v>264.14333333333332</v>
      </c>
      <c r="F16" s="261">
        <f>D16*E16</f>
        <v>2113.1466666666665</v>
      </c>
      <c r="G16" s="261">
        <f>F16*0.05</f>
        <v>105.65733333333333</v>
      </c>
      <c r="H16" s="261">
        <f>F16*0.1</f>
        <v>211.31466666666665</v>
      </c>
      <c r="I16" s="309">
        <f t="shared" si="0"/>
        <v>113944.24930133333</v>
      </c>
    </row>
    <row r="17" spans="1:12" s="11" customFormat="1" ht="12.75" x14ac:dyDescent="0.2">
      <c r="A17" s="181" t="s">
        <v>307</v>
      </c>
      <c r="B17" s="249">
        <v>0.5</v>
      </c>
      <c r="C17" s="249">
        <v>1</v>
      </c>
      <c r="D17" s="259">
        <f t="shared" si="5"/>
        <v>0.5</v>
      </c>
      <c r="E17" s="432">
        <f>'Table 1a '!H40+'Table 1a '!H51+'Table 1b'!H40+'Table 1b'!H51</f>
        <v>26.414333333333335</v>
      </c>
      <c r="F17" s="271">
        <f t="shared" si="2"/>
        <v>13.207166666666668</v>
      </c>
      <c r="G17" s="271">
        <f t="shared" si="3"/>
        <v>0.66035833333333338</v>
      </c>
      <c r="H17" s="271">
        <f t="shared" si="4"/>
        <v>1.3207166666666668</v>
      </c>
      <c r="I17" s="310">
        <f t="shared" si="0"/>
        <v>712.15155813333342</v>
      </c>
    </row>
    <row r="18" spans="1:12" s="11" customFormat="1" x14ac:dyDescent="0.2">
      <c r="A18" s="249" t="s">
        <v>324</v>
      </c>
      <c r="B18" s="10"/>
      <c r="C18" s="10"/>
      <c r="D18" s="10"/>
      <c r="E18" s="10"/>
      <c r="F18" s="10"/>
      <c r="G18" s="10"/>
      <c r="H18" s="10"/>
      <c r="I18" s="318">
        <f>C42</f>
        <v>400</v>
      </c>
    </row>
    <row r="19" spans="1:12" s="11" customFormat="1" x14ac:dyDescent="0.2">
      <c r="A19" s="316" t="s">
        <v>341</v>
      </c>
      <c r="B19" s="10"/>
      <c r="C19" s="10"/>
      <c r="D19" s="10"/>
      <c r="E19" s="10"/>
      <c r="F19" s="527">
        <f>ROUND(SUM(F6:H17),-1)</f>
        <v>5700</v>
      </c>
      <c r="G19" s="528"/>
      <c r="H19" s="529"/>
      <c r="I19" s="319">
        <f>ROUND(SUM(I6:I18),-3)</f>
        <v>268000</v>
      </c>
    </row>
    <row r="20" spans="1:12" s="11" customFormat="1" ht="12.75" x14ac:dyDescent="0.2"/>
    <row r="21" spans="1:12" s="213" customFormat="1" ht="12.75" x14ac:dyDescent="0.2">
      <c r="A21" s="256" t="s">
        <v>302</v>
      </c>
      <c r="B21" s="212"/>
      <c r="C21" s="212"/>
      <c r="D21" s="212"/>
      <c r="H21" s="214"/>
    </row>
    <row r="22" spans="1:12" s="11" customFormat="1" ht="38.25" customHeight="1" x14ac:dyDescent="0.2">
      <c r="A22" s="533" t="s">
        <v>380</v>
      </c>
      <c r="B22" s="533"/>
      <c r="C22" s="533"/>
      <c r="D22" s="533"/>
      <c r="E22" s="533"/>
      <c r="F22" s="533"/>
      <c r="G22" s="533"/>
      <c r="H22" s="533"/>
      <c r="I22" s="533"/>
      <c r="J22" s="315"/>
      <c r="K22" s="315"/>
      <c r="L22" s="315"/>
    </row>
    <row r="23" spans="1:12" s="11" customFormat="1" ht="24.75" customHeight="1" x14ac:dyDescent="0.2">
      <c r="A23" s="534" t="s">
        <v>381</v>
      </c>
      <c r="B23" s="534"/>
      <c r="C23" s="534"/>
      <c r="D23" s="534"/>
      <c r="E23" s="534"/>
      <c r="F23" s="534"/>
      <c r="G23" s="534"/>
      <c r="H23" s="534"/>
      <c r="I23" s="534"/>
    </row>
    <row r="24" spans="1:12" s="11" customFormat="1" ht="12.75" x14ac:dyDescent="0.2">
      <c r="A24" s="532" t="s">
        <v>382</v>
      </c>
      <c r="B24" s="532"/>
      <c r="C24" s="532"/>
      <c r="D24" s="532"/>
      <c r="E24" s="532"/>
      <c r="F24" s="532"/>
      <c r="G24" s="532"/>
      <c r="H24" s="532"/>
      <c r="I24" s="532"/>
    </row>
    <row r="25" spans="1:12" s="11" customFormat="1" ht="12.75" x14ac:dyDescent="0.2">
      <c r="A25" s="532" t="s">
        <v>383</v>
      </c>
      <c r="B25" s="532"/>
      <c r="C25" s="532"/>
      <c r="D25" s="532"/>
      <c r="E25" s="532"/>
      <c r="F25" s="532"/>
      <c r="G25" s="532"/>
      <c r="H25" s="532"/>
      <c r="I25" s="532"/>
    </row>
    <row r="26" spans="1:12" s="11" customFormat="1" ht="12.75" x14ac:dyDescent="0.2">
      <c r="A26" s="532" t="s">
        <v>327</v>
      </c>
      <c r="B26" s="532"/>
      <c r="C26" s="532"/>
      <c r="D26" s="532"/>
      <c r="E26" s="532"/>
      <c r="F26" s="532"/>
      <c r="G26" s="532"/>
      <c r="H26" s="532"/>
      <c r="I26" s="532"/>
    </row>
    <row r="27" spans="1:12" s="275" customFormat="1" ht="12.75" x14ac:dyDescent="0.2">
      <c r="A27" s="275" t="s">
        <v>343</v>
      </c>
      <c r="H27" s="11"/>
    </row>
    <row r="28" spans="1:12" s="275" customFormat="1" ht="12.75" x14ac:dyDescent="0.2">
      <c r="H28" s="11"/>
    </row>
    <row r="29" spans="1:12" s="11" customFormat="1" ht="12.75" x14ac:dyDescent="0.2">
      <c r="A29" s="251" t="s">
        <v>15</v>
      </c>
    </row>
    <row r="30" spans="1:12" s="11" customFormat="1" ht="12.75" x14ac:dyDescent="0.2"/>
    <row r="31" spans="1:12" s="11" customFormat="1" ht="45.75" customHeight="1" x14ac:dyDescent="0.2">
      <c r="B31" s="502" t="s">
        <v>311</v>
      </c>
      <c r="C31" s="504"/>
      <c r="D31" s="217" t="s">
        <v>312</v>
      </c>
      <c r="E31" s="217" t="s">
        <v>313</v>
      </c>
      <c r="F31" s="217" t="s">
        <v>314</v>
      </c>
    </row>
    <row r="32" spans="1:12" s="11" customFormat="1" ht="12.75" x14ac:dyDescent="0.2">
      <c r="B32" s="14" t="s">
        <v>21</v>
      </c>
      <c r="C32" s="13" t="s">
        <v>5</v>
      </c>
      <c r="D32" s="312">
        <v>30.05</v>
      </c>
      <c r="E32" s="13">
        <v>1.6</v>
      </c>
      <c r="F32" s="312">
        <f>D32*E32</f>
        <v>48.080000000000005</v>
      </c>
    </row>
    <row r="33" spans="1:15" s="11" customFormat="1" ht="12.75" x14ac:dyDescent="0.2">
      <c r="B33" s="14" t="s">
        <v>22</v>
      </c>
      <c r="C33" s="13" t="s">
        <v>42</v>
      </c>
      <c r="D33" s="312">
        <v>40.5</v>
      </c>
      <c r="E33" s="13">
        <v>1.6</v>
      </c>
      <c r="F33" s="312">
        <f>D33*E33</f>
        <v>64.8</v>
      </c>
    </row>
    <row r="34" spans="1:15" s="11" customFormat="1" ht="12.75" x14ac:dyDescent="0.2">
      <c r="B34" s="14" t="s">
        <v>20</v>
      </c>
      <c r="C34" s="13" t="s">
        <v>6</v>
      </c>
      <c r="D34" s="312">
        <v>16.260000000000002</v>
      </c>
      <c r="E34" s="13">
        <v>1.6</v>
      </c>
      <c r="F34" s="312">
        <f>D34*E34</f>
        <v>26.016000000000005</v>
      </c>
    </row>
    <row r="35" spans="1:15" s="11" customFormat="1" ht="12.75" x14ac:dyDescent="0.2">
      <c r="B35" s="10"/>
      <c r="C35" s="13"/>
      <c r="D35" s="13"/>
      <c r="E35" s="13"/>
      <c r="F35" s="13"/>
    </row>
    <row r="36" spans="1:15" s="11" customFormat="1" ht="12.75" x14ac:dyDescent="0.2">
      <c r="B36" s="270"/>
      <c r="C36" s="13" t="s">
        <v>4</v>
      </c>
      <c r="D36" s="13"/>
      <c r="E36" s="13"/>
      <c r="F36" s="13"/>
    </row>
    <row r="37" spans="1:15" s="11" customFormat="1" x14ac:dyDescent="0.25">
      <c r="B37" s="10" t="s">
        <v>23</v>
      </c>
      <c r="C37" s="264">
        <f>(1*1*3*50)+(250*1)</f>
        <v>400</v>
      </c>
      <c r="D37" s="13"/>
      <c r="E37" s="13"/>
      <c r="F37" s="13"/>
      <c r="J37" s="6"/>
      <c r="K37" s="6"/>
      <c r="L37" s="6"/>
      <c r="M37" s="6"/>
      <c r="N37" s="6"/>
      <c r="O37" s="6"/>
    </row>
    <row r="38" spans="1:15" s="11" customFormat="1" x14ac:dyDescent="0.25">
      <c r="H38" s="6"/>
      <c r="J38" s="6"/>
      <c r="K38" s="6"/>
      <c r="L38" s="6"/>
      <c r="M38" s="6"/>
      <c r="N38" s="6"/>
      <c r="O38" s="6"/>
    </row>
    <row r="39" spans="1:15" s="11" customFormat="1" x14ac:dyDescent="0.25">
      <c r="H39" s="6"/>
      <c r="I39" s="6"/>
      <c r="J39" s="6"/>
      <c r="K39" s="6"/>
      <c r="L39" s="6"/>
      <c r="M39" s="6"/>
      <c r="N39" s="6"/>
      <c r="O39" s="6"/>
    </row>
    <row r="40" spans="1:15" s="11" customFormat="1" x14ac:dyDescent="0.25">
      <c r="B40" s="531" t="s">
        <v>4</v>
      </c>
      <c r="C40" s="531"/>
      <c r="D40" s="531"/>
      <c r="E40" s="531"/>
      <c r="F40" s="531"/>
      <c r="H40" s="6"/>
      <c r="I40" s="6"/>
      <c r="J40" s="6"/>
      <c r="K40" s="6"/>
      <c r="L40" s="6"/>
      <c r="M40" s="6"/>
      <c r="N40" s="6"/>
      <c r="O40" s="6"/>
    </row>
    <row r="41" spans="1:15" x14ac:dyDescent="0.25">
      <c r="A41" s="11"/>
      <c r="B41" s="11" t="s">
        <v>328</v>
      </c>
      <c r="C41" s="11"/>
      <c r="E41" s="11"/>
      <c r="F41" s="11"/>
      <c r="G41" s="11"/>
    </row>
    <row r="42" spans="1:15" x14ac:dyDescent="0.25">
      <c r="A42" s="530" t="s">
        <v>323</v>
      </c>
      <c r="B42" s="530"/>
      <c r="C42" s="311">
        <f>(1*1*3*50) + (250*1)</f>
        <v>400</v>
      </c>
      <c r="E42" s="11"/>
      <c r="F42" s="11"/>
      <c r="G42" s="11"/>
    </row>
    <row r="43" spans="1:15" x14ac:dyDescent="0.25">
      <c r="A43" s="11"/>
      <c r="B43" s="11"/>
      <c r="C43" s="11"/>
      <c r="E43" s="11"/>
    </row>
    <row r="44" spans="1:15" x14ac:dyDescent="0.25">
      <c r="A44" s="11"/>
      <c r="B44" s="11" t="s">
        <v>334</v>
      </c>
      <c r="C44" s="11"/>
      <c r="E44" s="11"/>
    </row>
  </sheetData>
  <mergeCells count="10">
    <mergeCell ref="B31:C31"/>
    <mergeCell ref="A4:A5"/>
    <mergeCell ref="F19:H19"/>
    <mergeCell ref="A42:B42"/>
    <mergeCell ref="B40:F40"/>
    <mergeCell ref="A24:I24"/>
    <mergeCell ref="A25:I25"/>
    <mergeCell ref="A26:I26"/>
    <mergeCell ref="A22:I22"/>
    <mergeCell ref="A23:I23"/>
  </mergeCells>
  <phoneticPr fontId="4" type="noConversion"/>
  <pageMargins left="0.7" right="0.7" top="0.75" bottom="0.75" header="0.3" footer="0.3"/>
  <pageSetup scale="77" orientation="landscape" horizontalDpi="1200" verticalDpi="1200" r:id="rId1"/>
  <headerFooter>
    <oddHeader>&amp;CTable 2a -- Agency Year 1</oddHeader>
    <oddFooter>&amp;L&amp;P of &amp;N&amp;R&amp;D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topLeftCell="A9" zoomScaleNormal="100" workbookViewId="0">
      <selection activeCell="F27" sqref="F27"/>
    </sheetView>
  </sheetViews>
  <sheetFormatPr defaultColWidth="9.140625" defaultRowHeight="12.75" x14ac:dyDescent="0.2"/>
  <cols>
    <col min="1" max="1" width="2" style="1" customWidth="1"/>
    <col min="2" max="2" width="34.5703125" style="1" customWidth="1"/>
    <col min="3" max="3" width="13.7109375" style="1" customWidth="1"/>
    <col min="4" max="4" width="13.140625" style="1" customWidth="1"/>
    <col min="5" max="5" width="18.5703125" style="1" customWidth="1"/>
    <col min="6" max="6" width="14.140625" style="1" customWidth="1"/>
    <col min="7" max="7" width="18.28515625" style="1" customWidth="1"/>
    <col min="8" max="8" width="13.85546875" style="1" bestFit="1" customWidth="1"/>
    <col min="9" max="16384" width="9.140625" style="1"/>
  </cols>
  <sheetData>
    <row r="1" spans="1:11" s="6" customFormat="1" ht="15.75" x14ac:dyDescent="0.25">
      <c r="A1" s="72" t="s">
        <v>18</v>
      </c>
    </row>
    <row r="2" spans="1:11" s="9" customFormat="1" x14ac:dyDescent="0.2">
      <c r="B2" s="2"/>
      <c r="C2" s="4"/>
      <c r="D2" s="3"/>
      <c r="E2" s="12"/>
      <c r="F2" s="12"/>
      <c r="G2" s="2"/>
      <c r="I2" s="8"/>
    </row>
    <row r="3" spans="1:11" s="9" customFormat="1" x14ac:dyDescent="0.2">
      <c r="B3" s="538" t="s">
        <v>18</v>
      </c>
      <c r="C3" s="539"/>
      <c r="D3" s="539"/>
      <c r="E3" s="539"/>
      <c r="F3" s="540"/>
    </row>
    <row r="4" spans="1:11" s="9" customFormat="1" ht="63.75" x14ac:dyDescent="0.2">
      <c r="B4" s="277" t="s">
        <v>330</v>
      </c>
      <c r="C4" s="278" t="s">
        <v>329</v>
      </c>
      <c r="D4" s="277" t="s">
        <v>376</v>
      </c>
      <c r="E4" s="278" t="s">
        <v>331</v>
      </c>
      <c r="F4" s="277" t="s">
        <v>332</v>
      </c>
    </row>
    <row r="5" spans="1:11" s="9" customFormat="1" x14ac:dyDescent="0.2">
      <c r="B5" s="535" t="s">
        <v>13</v>
      </c>
      <c r="C5" s="536"/>
      <c r="D5" s="536"/>
      <c r="E5" s="536"/>
      <c r="F5" s="537"/>
    </row>
    <row r="6" spans="1:11" s="9" customFormat="1" x14ac:dyDescent="0.2">
      <c r="B6" s="385" t="s">
        <v>230</v>
      </c>
      <c r="C6" s="386">
        <f>'Table 1a '!H32+'Table 1b'!H32</f>
        <v>0</v>
      </c>
      <c r="D6" s="386">
        <f>'Table 1a '!F32</f>
        <v>1</v>
      </c>
      <c r="E6" s="386">
        <v>0</v>
      </c>
      <c r="F6" s="386">
        <f>C6*D6+E6</f>
        <v>0</v>
      </c>
    </row>
    <row r="7" spans="1:11" s="9" customFormat="1" x14ac:dyDescent="0.2">
      <c r="B7" s="385" t="s">
        <v>231</v>
      </c>
      <c r="C7" s="386">
        <f>'Table 1a '!H33+'Table 1b'!H33</f>
        <v>0</v>
      </c>
      <c r="D7" s="386">
        <f>'Table 1a '!F33</f>
        <v>1</v>
      </c>
      <c r="E7" s="386">
        <v>0</v>
      </c>
      <c r="F7" s="386">
        <f t="shared" ref="F7:F25" si="0">C7*D7+E7</f>
        <v>0</v>
      </c>
    </row>
    <row r="8" spans="1:11" s="9" customFormat="1" x14ac:dyDescent="0.2">
      <c r="B8" s="385" t="s">
        <v>290</v>
      </c>
      <c r="C8" s="433">
        <f>'Table 1a '!H13+'Table 1b'!H13</f>
        <v>488.91999999999996</v>
      </c>
      <c r="D8" s="386">
        <v>1</v>
      </c>
      <c r="E8" s="386">
        <v>0</v>
      </c>
      <c r="F8" s="386">
        <f>C8*D8+E8</f>
        <v>488.91999999999996</v>
      </c>
    </row>
    <row r="9" spans="1:11" s="9" customFormat="1" x14ac:dyDescent="0.2">
      <c r="B9" s="42" t="s">
        <v>233</v>
      </c>
      <c r="C9" s="386">
        <f>'Table 1a '!H35+'Table 1b'!H35</f>
        <v>0</v>
      </c>
      <c r="D9" s="386">
        <f>'Table 1a '!F35</f>
        <v>1</v>
      </c>
      <c r="E9" s="386">
        <v>0</v>
      </c>
      <c r="F9" s="386">
        <f t="shared" si="0"/>
        <v>0</v>
      </c>
    </row>
    <row r="10" spans="1:11" s="9" customFormat="1" x14ac:dyDescent="0.2">
      <c r="B10" s="385" t="s">
        <v>236</v>
      </c>
      <c r="C10" s="386">
        <f>'Table 1a '!H36</f>
        <v>0</v>
      </c>
      <c r="D10" s="386">
        <f>'Table 1a '!F36</f>
        <v>1</v>
      </c>
      <c r="E10" s="386">
        <v>0</v>
      </c>
      <c r="F10" s="386">
        <f t="shared" si="0"/>
        <v>0</v>
      </c>
    </row>
    <row r="11" spans="1:11" s="9" customFormat="1" ht="25.5" x14ac:dyDescent="0.2">
      <c r="B11" s="385" t="s">
        <v>292</v>
      </c>
      <c r="C11" s="387">
        <f>'Table 1a '!H37+'Table 1b'!H37</f>
        <v>32.200000000000003</v>
      </c>
      <c r="D11" s="386">
        <f>'Table 1a '!F37</f>
        <v>1</v>
      </c>
      <c r="E11" s="386">
        <v>0</v>
      </c>
      <c r="F11" s="387">
        <f t="shared" si="0"/>
        <v>32.200000000000003</v>
      </c>
    </row>
    <row r="12" spans="1:11" s="9" customFormat="1" x14ac:dyDescent="0.2">
      <c r="B12" s="42" t="s">
        <v>232</v>
      </c>
      <c r="C12" s="386">
        <f>'Table 1a '!H38+'Table 1b'!H38</f>
        <v>322</v>
      </c>
      <c r="D12" s="386">
        <f>'Table 1a '!F38</f>
        <v>2</v>
      </c>
      <c r="E12" s="386">
        <v>0</v>
      </c>
      <c r="F12" s="386">
        <f t="shared" si="0"/>
        <v>644</v>
      </c>
    </row>
    <row r="13" spans="1:11" s="9" customFormat="1" ht="25.5" x14ac:dyDescent="0.2">
      <c r="B13" s="42" t="s">
        <v>234</v>
      </c>
      <c r="C13" s="433">
        <f>'Table 1a '!H39+'Table 1b'!H39</f>
        <v>264.14333333333332</v>
      </c>
      <c r="D13" s="386">
        <f>'Table 1a '!F39</f>
        <v>1</v>
      </c>
      <c r="E13" s="386">
        <v>0</v>
      </c>
      <c r="F13" s="386">
        <f t="shared" si="0"/>
        <v>264.14333333333332</v>
      </c>
    </row>
    <row r="14" spans="1:11" s="9" customFormat="1" ht="25.5" x14ac:dyDescent="0.2">
      <c r="B14" s="42" t="s">
        <v>293</v>
      </c>
      <c r="C14" s="387">
        <f>'Table 1a '!H40+'Table 1b'!H40</f>
        <v>26.414333333333335</v>
      </c>
      <c r="D14" s="386">
        <f>'Table 1a '!F40</f>
        <v>1</v>
      </c>
      <c r="E14" s="386">
        <v>0</v>
      </c>
      <c r="F14" s="386">
        <f t="shared" si="0"/>
        <v>26.414333333333335</v>
      </c>
    </row>
    <row r="15" spans="1:11" s="9" customFormat="1" x14ac:dyDescent="0.2">
      <c r="B15" s="535" t="s">
        <v>14</v>
      </c>
      <c r="C15" s="536"/>
      <c r="D15" s="536"/>
      <c r="E15" s="536"/>
      <c r="F15" s="537"/>
      <c r="K15" s="1"/>
    </row>
    <row r="16" spans="1:11" x14ac:dyDescent="0.2">
      <c r="B16" s="388" t="s">
        <v>235</v>
      </c>
      <c r="C16" s="386">
        <f>'Table 1a '!H42+'Table 1b'!H42</f>
        <v>0</v>
      </c>
      <c r="D16" s="386">
        <f>'Table 1a '!F42</f>
        <v>1</v>
      </c>
      <c r="E16" s="386">
        <v>0</v>
      </c>
      <c r="F16" s="386">
        <f t="shared" si="0"/>
        <v>0</v>
      </c>
    </row>
    <row r="17" spans="2:7" x14ac:dyDescent="0.2">
      <c r="B17" s="42" t="s">
        <v>230</v>
      </c>
      <c r="C17" s="386">
        <f>'Table 1a '!H43+'Table 1b'!H43</f>
        <v>0</v>
      </c>
      <c r="D17" s="386">
        <f>'Table 1a '!F43</f>
        <v>1</v>
      </c>
      <c r="E17" s="386">
        <v>0</v>
      </c>
      <c r="F17" s="386">
        <f t="shared" si="0"/>
        <v>0</v>
      </c>
    </row>
    <row r="18" spans="2:7" x14ac:dyDescent="0.2">
      <c r="B18" s="42" t="s">
        <v>231</v>
      </c>
      <c r="C18" s="386">
        <f>'Table 1a '!H44+'Table 1b'!H44</f>
        <v>0</v>
      </c>
      <c r="D18" s="386">
        <f>'Table 1a '!F44</f>
        <v>1</v>
      </c>
      <c r="E18" s="386">
        <v>0</v>
      </c>
      <c r="F18" s="386">
        <f t="shared" si="0"/>
        <v>0</v>
      </c>
    </row>
    <row r="19" spans="2:7" s="9" customFormat="1" x14ac:dyDescent="0.2">
      <c r="B19" s="385" t="s">
        <v>290</v>
      </c>
      <c r="C19" s="386">
        <f>C18</f>
        <v>0</v>
      </c>
      <c r="D19" s="386">
        <v>1</v>
      </c>
      <c r="E19" s="386">
        <v>0</v>
      </c>
      <c r="F19" s="386">
        <f t="shared" ref="F19" si="1">C19*D19+E19</f>
        <v>0</v>
      </c>
    </row>
    <row r="20" spans="2:7" x14ac:dyDescent="0.2">
      <c r="B20" s="42" t="s">
        <v>233</v>
      </c>
      <c r="C20" s="386">
        <f>'Table 1a '!H46+'Table 1b'!H46</f>
        <v>0</v>
      </c>
      <c r="D20" s="386">
        <f>'Table 1a '!F46</f>
        <v>1</v>
      </c>
      <c r="E20" s="386">
        <v>0</v>
      </c>
      <c r="F20" s="386">
        <f t="shared" si="0"/>
        <v>0</v>
      </c>
    </row>
    <row r="21" spans="2:7" x14ac:dyDescent="0.2">
      <c r="B21" s="42" t="s">
        <v>236</v>
      </c>
      <c r="C21" s="386">
        <f>'Table 1a '!H47+'Table 1b'!H47</f>
        <v>0</v>
      </c>
      <c r="D21" s="386">
        <f>'Table 1a '!F47</f>
        <v>1</v>
      </c>
      <c r="E21" s="386">
        <v>0</v>
      </c>
      <c r="F21" s="386">
        <f t="shared" si="0"/>
        <v>0</v>
      </c>
    </row>
    <row r="22" spans="2:7" ht="25.5" x14ac:dyDescent="0.2">
      <c r="B22" s="385" t="s">
        <v>292</v>
      </c>
      <c r="C22" s="386">
        <f>'Table 1a '!H48+'Table 1b'!H48</f>
        <v>0</v>
      </c>
      <c r="D22" s="386">
        <f>'Table 1a '!F48</f>
        <v>1</v>
      </c>
      <c r="E22" s="386">
        <v>0</v>
      </c>
      <c r="F22" s="386">
        <f t="shared" si="0"/>
        <v>0</v>
      </c>
    </row>
    <row r="23" spans="2:7" x14ac:dyDescent="0.2">
      <c r="B23" s="42" t="s">
        <v>232</v>
      </c>
      <c r="C23" s="386">
        <f>'Table 1a '!H49+'Table 1b'!H49</f>
        <v>0</v>
      </c>
      <c r="D23" s="386">
        <f>'Table 1a '!F49</f>
        <v>2</v>
      </c>
      <c r="E23" s="386">
        <v>0</v>
      </c>
      <c r="F23" s="386">
        <f t="shared" si="0"/>
        <v>0</v>
      </c>
    </row>
    <row r="24" spans="2:7" ht="25.5" x14ac:dyDescent="0.2">
      <c r="B24" s="42" t="s">
        <v>234</v>
      </c>
      <c r="C24" s="386">
        <f>'Table 1a '!H50+'Table 1b'!H50</f>
        <v>0</v>
      </c>
      <c r="D24" s="386">
        <f>'Table 1a '!F50</f>
        <v>1</v>
      </c>
      <c r="E24" s="386">
        <v>0</v>
      </c>
      <c r="F24" s="386">
        <f t="shared" si="0"/>
        <v>0</v>
      </c>
    </row>
    <row r="25" spans="2:7" ht="25.5" x14ac:dyDescent="0.2">
      <c r="B25" s="42" t="s">
        <v>293</v>
      </c>
      <c r="C25" s="386">
        <f>'Table 1a '!H51+'Table 1b'!H51</f>
        <v>0</v>
      </c>
      <c r="D25" s="386">
        <f>'Table 1a '!F51</f>
        <v>1</v>
      </c>
      <c r="E25" s="386">
        <v>0</v>
      </c>
      <c r="F25" s="386">
        <f t="shared" si="0"/>
        <v>0</v>
      </c>
    </row>
    <row r="26" spans="2:7" x14ac:dyDescent="0.2">
      <c r="B26" s="541" t="s">
        <v>18</v>
      </c>
      <c r="C26" s="542"/>
      <c r="D26" s="542"/>
      <c r="E26" s="543"/>
      <c r="F26" s="389">
        <f>SUM(F6:F14,F16:F25)</f>
        <v>1455.6776666666667</v>
      </c>
      <c r="G26" s="258"/>
    </row>
    <row r="27" spans="2:7" x14ac:dyDescent="0.2">
      <c r="E27" s="276" t="s">
        <v>333</v>
      </c>
      <c r="F27" s="390">
        <f>('Table 1a '!I70+'Table 1b'!I70)/'Annual Responses'!F26</f>
        <v>195.09813642351682</v>
      </c>
    </row>
  </sheetData>
  <mergeCells count="4">
    <mergeCell ref="B5:F5"/>
    <mergeCell ref="B15:F15"/>
    <mergeCell ref="B3:F3"/>
    <mergeCell ref="B26:E26"/>
  </mergeCells>
  <phoneticPr fontId="4" type="noConversion"/>
  <printOptions headings="1"/>
  <pageMargins left="0.7" right="0.7" top="0.75" bottom="0.75" header="0.3" footer="0.3"/>
  <pageSetup scale="69" orientation="landscape" horizontalDpi="1200" verticalDpi="1200" r:id="rId1"/>
  <headerFooter>
    <oddHeader>&amp;CTable 1d -- Respondent Summary</oddHeader>
    <oddFooter>&amp;L&amp;P of &amp;N&amp;R&amp;D</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7"/>
  <sheetViews>
    <sheetView topLeftCell="B1" workbookViewId="0">
      <pane ySplit="3" topLeftCell="A4" activePane="bottomLeft" state="frozen"/>
      <selection pane="bottomLeft" activeCell="L47" sqref="L47"/>
    </sheetView>
  </sheetViews>
  <sheetFormatPr defaultRowHeight="15" x14ac:dyDescent="0.25"/>
  <cols>
    <col min="1" max="1" width="28.5703125" customWidth="1"/>
    <col min="6" max="6" width="27.28515625" customWidth="1"/>
    <col min="11" max="11" width="19.28515625" customWidth="1"/>
  </cols>
  <sheetData>
    <row r="1" spans="1:15" x14ac:dyDescent="0.25">
      <c r="A1" s="362" t="s">
        <v>372</v>
      </c>
      <c r="B1" s="362"/>
      <c r="C1" s="362"/>
      <c r="D1" s="362"/>
      <c r="E1" s="370"/>
      <c r="F1" s="362" t="s">
        <v>373</v>
      </c>
      <c r="G1" s="362"/>
      <c r="H1" s="362"/>
      <c r="I1" s="362"/>
      <c r="J1" s="370"/>
      <c r="K1" s="362" t="s">
        <v>374</v>
      </c>
      <c r="L1" s="362"/>
      <c r="M1" s="362"/>
      <c r="N1" s="362"/>
      <c r="O1" s="362"/>
    </row>
    <row r="2" spans="1:15" x14ac:dyDescent="0.25">
      <c r="A2" s="362"/>
      <c r="B2" s="362"/>
      <c r="C2" s="362"/>
      <c r="D2" s="362"/>
      <c r="E2" s="370"/>
      <c r="F2" s="362"/>
      <c r="G2" s="362"/>
      <c r="H2" s="362"/>
      <c r="I2" s="362"/>
      <c r="J2" s="370"/>
      <c r="K2" s="362"/>
      <c r="L2" s="362"/>
      <c r="M2" s="362"/>
      <c r="N2" s="362"/>
      <c r="O2" s="362"/>
    </row>
    <row r="3" spans="1:15" x14ac:dyDescent="0.25">
      <c r="A3" s="363" t="s">
        <v>182</v>
      </c>
      <c r="B3" s="362"/>
      <c r="C3" s="364" t="s">
        <v>183</v>
      </c>
      <c r="D3" s="364" t="s">
        <v>184</v>
      </c>
      <c r="E3" s="370"/>
      <c r="F3" s="363" t="s">
        <v>182</v>
      </c>
      <c r="G3" s="362"/>
      <c r="H3" s="364" t="s">
        <v>183</v>
      </c>
      <c r="I3" s="364" t="s">
        <v>184</v>
      </c>
      <c r="J3" s="370"/>
      <c r="K3" s="363" t="s">
        <v>182</v>
      </c>
      <c r="L3" s="362"/>
      <c r="M3" s="364" t="s">
        <v>183</v>
      </c>
      <c r="N3" s="364" t="s">
        <v>184</v>
      </c>
      <c r="O3" s="362"/>
    </row>
    <row r="4" spans="1:15" x14ac:dyDescent="0.25">
      <c r="A4" s="362" t="s">
        <v>185</v>
      </c>
      <c r="B4" s="362"/>
      <c r="C4" s="365">
        <v>0</v>
      </c>
      <c r="D4" s="365">
        <v>0</v>
      </c>
      <c r="E4" s="370"/>
      <c r="F4" s="362" t="s">
        <v>185</v>
      </c>
      <c r="G4" s="362"/>
      <c r="H4" s="365">
        <v>0</v>
      </c>
      <c r="I4" s="365">
        <v>0</v>
      </c>
      <c r="J4" s="370"/>
      <c r="K4" s="362" t="s">
        <v>185</v>
      </c>
      <c r="L4" s="362"/>
      <c r="M4" s="365">
        <v>0</v>
      </c>
      <c r="N4" s="365">
        <v>0</v>
      </c>
      <c r="O4" s="362"/>
    </row>
    <row r="5" spans="1:15" x14ac:dyDescent="0.25">
      <c r="A5" s="362" t="s">
        <v>186</v>
      </c>
      <c r="B5" s="362"/>
      <c r="C5" s="365">
        <v>0</v>
      </c>
      <c r="D5" s="365">
        <v>0</v>
      </c>
      <c r="E5" s="370"/>
      <c r="F5" s="362" t="s">
        <v>186</v>
      </c>
      <c r="G5" s="362"/>
      <c r="H5" s="365">
        <v>0</v>
      </c>
      <c r="I5" s="365">
        <v>0</v>
      </c>
      <c r="J5" s="370"/>
      <c r="K5" s="362" t="s">
        <v>186</v>
      </c>
      <c r="L5" s="362"/>
      <c r="M5" s="365">
        <v>0</v>
      </c>
      <c r="N5" s="365">
        <v>0</v>
      </c>
      <c r="O5" s="362"/>
    </row>
    <row r="6" spans="1:15" x14ac:dyDescent="0.25">
      <c r="A6" s="362" t="s">
        <v>187</v>
      </c>
      <c r="B6" s="362"/>
      <c r="C6" s="365">
        <v>0</v>
      </c>
      <c r="D6" s="365">
        <v>0</v>
      </c>
      <c r="E6" s="370"/>
      <c r="F6" s="362" t="s">
        <v>187</v>
      </c>
      <c r="G6" s="362"/>
      <c r="H6" s="365">
        <v>0</v>
      </c>
      <c r="I6" s="365">
        <v>0</v>
      </c>
      <c r="J6" s="370"/>
      <c r="K6" s="362" t="s">
        <v>187</v>
      </c>
      <c r="L6" s="362"/>
      <c r="M6" s="365">
        <v>0</v>
      </c>
      <c r="N6" s="365">
        <v>0</v>
      </c>
      <c r="O6" s="362"/>
    </row>
    <row r="7" spans="1:15" x14ac:dyDescent="0.25">
      <c r="A7" s="362" t="s">
        <v>188</v>
      </c>
      <c r="B7" s="362"/>
      <c r="C7" s="365">
        <v>0</v>
      </c>
      <c r="D7" s="365">
        <v>0</v>
      </c>
      <c r="E7" s="370"/>
      <c r="F7" s="362" t="s">
        <v>188</v>
      </c>
      <c r="G7" s="362"/>
      <c r="H7" s="365">
        <v>0</v>
      </c>
      <c r="I7" s="365">
        <v>1</v>
      </c>
      <c r="J7" s="370"/>
      <c r="K7" s="362" t="s">
        <v>188</v>
      </c>
      <c r="L7" s="362"/>
      <c r="M7" s="365">
        <v>0</v>
      </c>
      <c r="N7" s="365">
        <v>0</v>
      </c>
      <c r="O7" s="362"/>
    </row>
    <row r="8" spans="1:15" x14ac:dyDescent="0.25">
      <c r="A8" s="362" t="s">
        <v>189</v>
      </c>
      <c r="B8" s="362"/>
      <c r="C8" s="365">
        <v>0</v>
      </c>
      <c r="D8" s="365">
        <v>1</v>
      </c>
      <c r="E8" s="370"/>
      <c r="F8" s="362" t="s">
        <v>189</v>
      </c>
      <c r="G8" s="362"/>
      <c r="H8" s="365">
        <v>0</v>
      </c>
      <c r="I8" s="365">
        <v>0</v>
      </c>
      <c r="J8" s="370"/>
      <c r="K8" s="362" t="s">
        <v>189</v>
      </c>
      <c r="L8" s="362"/>
      <c r="M8" s="365">
        <v>0</v>
      </c>
      <c r="N8" s="365">
        <v>0</v>
      </c>
      <c r="O8" s="362"/>
    </row>
    <row r="9" spans="1:15" x14ac:dyDescent="0.25">
      <c r="A9" s="362" t="s">
        <v>190</v>
      </c>
      <c r="B9" s="362"/>
      <c r="C9" s="365">
        <v>0</v>
      </c>
      <c r="D9" s="365">
        <v>0</v>
      </c>
      <c r="E9" s="370"/>
      <c r="F9" s="362" t="s">
        <v>190</v>
      </c>
      <c r="G9" s="362"/>
      <c r="H9" s="365">
        <v>0</v>
      </c>
      <c r="I9" s="365">
        <v>0</v>
      </c>
      <c r="J9" s="370"/>
      <c r="K9" s="362" t="s">
        <v>190</v>
      </c>
      <c r="L9" s="362"/>
      <c r="M9" s="365">
        <v>0</v>
      </c>
      <c r="N9" s="365">
        <v>0</v>
      </c>
      <c r="O9" s="362"/>
    </row>
    <row r="10" spans="1:15" x14ac:dyDescent="0.25">
      <c r="A10" s="362" t="s">
        <v>191</v>
      </c>
      <c r="B10" s="362"/>
      <c r="C10" s="365">
        <v>0</v>
      </c>
      <c r="D10" s="365">
        <v>0</v>
      </c>
      <c r="E10" s="370"/>
      <c r="F10" s="362" t="s">
        <v>191</v>
      </c>
      <c r="G10" s="362"/>
      <c r="H10" s="365">
        <v>0</v>
      </c>
      <c r="I10" s="365">
        <v>0</v>
      </c>
      <c r="J10" s="370"/>
      <c r="K10" s="362" t="s">
        <v>191</v>
      </c>
      <c r="L10" s="362"/>
      <c r="M10" s="365">
        <v>0</v>
      </c>
      <c r="N10" s="365">
        <v>0</v>
      </c>
      <c r="O10" s="362"/>
    </row>
    <row r="11" spans="1:15" x14ac:dyDescent="0.25">
      <c r="A11" s="362" t="s">
        <v>192</v>
      </c>
      <c r="B11" s="362"/>
      <c r="C11" s="365">
        <v>0</v>
      </c>
      <c r="D11" s="365">
        <v>0</v>
      </c>
      <c r="E11" s="370"/>
      <c r="F11" s="362" t="s">
        <v>192</v>
      </c>
      <c r="G11" s="362"/>
      <c r="H11" s="365">
        <v>0</v>
      </c>
      <c r="I11" s="365">
        <v>0</v>
      </c>
      <c r="J11" s="370"/>
      <c r="K11" s="362" t="s">
        <v>192</v>
      </c>
      <c r="L11" s="362"/>
      <c r="M11" s="365">
        <v>0</v>
      </c>
      <c r="N11" s="365">
        <v>0</v>
      </c>
      <c r="O11" s="362"/>
    </row>
    <row r="12" spans="1:15" x14ac:dyDescent="0.25">
      <c r="A12" s="362"/>
      <c r="B12" s="362"/>
      <c r="C12" s="362"/>
      <c r="D12" s="362"/>
      <c r="E12" s="370"/>
      <c r="F12" s="362"/>
      <c r="G12" s="362"/>
      <c r="H12" s="362"/>
      <c r="I12" s="362"/>
      <c r="J12" s="370"/>
      <c r="K12" s="362"/>
      <c r="L12" s="362"/>
      <c r="M12" s="362"/>
      <c r="N12" s="362"/>
      <c r="O12" s="362"/>
    </row>
    <row r="13" spans="1:15" x14ac:dyDescent="0.25">
      <c r="A13" s="363" t="s">
        <v>193</v>
      </c>
      <c r="B13" s="362"/>
      <c r="C13" s="362"/>
      <c r="D13" s="362"/>
      <c r="E13" s="370"/>
      <c r="F13" s="363" t="s">
        <v>193</v>
      </c>
      <c r="G13" s="362"/>
      <c r="H13" s="362"/>
      <c r="I13" s="362"/>
      <c r="J13" s="370"/>
      <c r="K13" s="363" t="s">
        <v>193</v>
      </c>
      <c r="L13" s="362"/>
      <c r="M13" s="362"/>
      <c r="N13" s="362"/>
      <c r="O13" s="362"/>
    </row>
    <row r="14" spans="1:15" x14ac:dyDescent="0.25">
      <c r="A14" s="362" t="s">
        <v>194</v>
      </c>
      <c r="B14" s="362"/>
      <c r="C14" s="362">
        <v>0</v>
      </c>
      <c r="D14" s="365">
        <v>0</v>
      </c>
      <c r="E14" s="370"/>
      <c r="F14" s="362" t="s">
        <v>194</v>
      </c>
      <c r="G14" s="362"/>
      <c r="H14" s="362">
        <v>0</v>
      </c>
      <c r="I14" s="365">
        <v>0</v>
      </c>
      <c r="J14" s="370"/>
      <c r="K14" s="362" t="s">
        <v>194</v>
      </c>
      <c r="L14" s="362"/>
      <c r="M14" s="362">
        <v>0</v>
      </c>
      <c r="N14" s="365">
        <v>0</v>
      </c>
      <c r="O14" s="362"/>
    </row>
    <row r="15" spans="1:15" x14ac:dyDescent="0.25">
      <c r="A15" s="362" t="s">
        <v>195</v>
      </c>
      <c r="B15" s="362"/>
      <c r="C15" s="362">
        <v>0</v>
      </c>
      <c r="D15" s="365">
        <v>0</v>
      </c>
      <c r="E15" s="370"/>
      <c r="F15" s="362" t="s">
        <v>195</v>
      </c>
      <c r="G15" s="362"/>
      <c r="H15" s="362">
        <v>0</v>
      </c>
      <c r="I15" s="365">
        <v>0</v>
      </c>
      <c r="J15" s="370"/>
      <c r="K15" s="362" t="s">
        <v>195</v>
      </c>
      <c r="L15" s="362"/>
      <c r="M15" s="362">
        <v>0</v>
      </c>
      <c r="N15" s="365">
        <v>0</v>
      </c>
      <c r="O15" s="362"/>
    </row>
    <row r="16" spans="1:15" x14ac:dyDescent="0.25">
      <c r="A16" s="362" t="s">
        <v>196</v>
      </c>
      <c r="B16" s="362"/>
      <c r="C16" s="362">
        <v>0</v>
      </c>
      <c r="D16" s="365">
        <v>0</v>
      </c>
      <c r="E16" s="370"/>
      <c r="F16" s="362" t="s">
        <v>196</v>
      </c>
      <c r="G16" s="362"/>
      <c r="H16" s="362">
        <v>0</v>
      </c>
      <c r="I16" s="365">
        <v>0</v>
      </c>
      <c r="J16" s="370"/>
      <c r="K16" s="362" t="s">
        <v>196</v>
      </c>
      <c r="L16" s="362"/>
      <c r="M16" s="362">
        <v>0</v>
      </c>
      <c r="N16" s="365">
        <v>0</v>
      </c>
      <c r="O16" s="362"/>
    </row>
    <row r="17" spans="1:15" x14ac:dyDescent="0.25">
      <c r="A17" s="362" t="s">
        <v>197</v>
      </c>
      <c r="B17" s="362"/>
      <c r="C17" s="362">
        <v>0</v>
      </c>
      <c r="D17" s="365">
        <v>0</v>
      </c>
      <c r="E17" s="370"/>
      <c r="F17" s="362" t="s">
        <v>197</v>
      </c>
      <c r="G17" s="362"/>
      <c r="H17" s="362">
        <v>0</v>
      </c>
      <c r="I17" s="365">
        <v>0</v>
      </c>
      <c r="J17" s="370"/>
      <c r="K17" s="362" t="s">
        <v>197</v>
      </c>
      <c r="L17" s="362"/>
      <c r="M17" s="362">
        <v>0</v>
      </c>
      <c r="N17" s="365">
        <v>1</v>
      </c>
      <c r="O17" s="362"/>
    </row>
    <row r="18" spans="1:15" x14ac:dyDescent="0.25">
      <c r="A18" s="362" t="s">
        <v>198</v>
      </c>
      <c r="B18" s="362"/>
      <c r="C18" s="362">
        <v>0</v>
      </c>
      <c r="D18" s="365">
        <v>0</v>
      </c>
      <c r="E18" s="370"/>
      <c r="F18" s="362" t="s">
        <v>198</v>
      </c>
      <c r="G18" s="362"/>
      <c r="H18" s="362">
        <v>0</v>
      </c>
      <c r="I18" s="365">
        <v>0</v>
      </c>
      <c r="J18" s="370"/>
      <c r="K18" s="362" t="s">
        <v>198</v>
      </c>
      <c r="L18" s="362"/>
      <c r="M18" s="362">
        <v>0</v>
      </c>
      <c r="N18" s="365">
        <v>0</v>
      </c>
      <c r="O18" s="362"/>
    </row>
    <row r="19" spans="1:15" x14ac:dyDescent="0.25">
      <c r="A19" s="362"/>
      <c r="B19" s="362"/>
      <c r="C19" s="362"/>
      <c r="D19" s="362"/>
      <c r="E19" s="370"/>
      <c r="F19" s="362"/>
      <c r="G19" s="362"/>
      <c r="H19" s="362"/>
      <c r="I19" s="362"/>
      <c r="J19" s="370"/>
      <c r="K19" s="362"/>
      <c r="L19" s="362"/>
      <c r="M19" s="362"/>
      <c r="N19" s="362"/>
      <c r="O19" s="362"/>
    </row>
    <row r="20" spans="1:15" x14ac:dyDescent="0.25">
      <c r="A20" s="366" t="s">
        <v>199</v>
      </c>
      <c r="B20" s="362"/>
      <c r="C20" s="362"/>
      <c r="D20" s="362"/>
      <c r="E20" s="370"/>
      <c r="F20" s="366" t="s">
        <v>199</v>
      </c>
      <c r="G20" s="362"/>
      <c r="H20" s="362"/>
      <c r="I20" s="362"/>
      <c r="J20" s="370"/>
      <c r="K20" s="366" t="s">
        <v>199</v>
      </c>
      <c r="L20" s="362"/>
      <c r="M20" s="362"/>
      <c r="N20" s="362"/>
      <c r="O20" s="362"/>
    </row>
    <row r="21" spans="1:15" x14ac:dyDescent="0.25">
      <c r="A21" s="362" t="s">
        <v>200</v>
      </c>
      <c r="B21" s="362"/>
      <c r="C21" s="362">
        <v>0</v>
      </c>
      <c r="D21" s="365">
        <v>0</v>
      </c>
      <c r="E21" s="370"/>
      <c r="F21" s="362" t="s">
        <v>200</v>
      </c>
      <c r="G21" s="362"/>
      <c r="H21" s="362">
        <v>0</v>
      </c>
      <c r="I21" s="365">
        <v>0</v>
      </c>
      <c r="J21" s="370"/>
      <c r="K21" s="362" t="s">
        <v>200</v>
      </c>
      <c r="L21" s="362"/>
      <c r="M21" s="362">
        <v>0</v>
      </c>
      <c r="N21" s="365">
        <v>0</v>
      </c>
      <c r="O21" s="362"/>
    </row>
    <row r="22" spans="1:15" x14ac:dyDescent="0.25">
      <c r="A22" s="362" t="s">
        <v>201</v>
      </c>
      <c r="B22" s="362"/>
      <c r="C22" s="362">
        <v>0</v>
      </c>
      <c r="D22" s="365">
        <v>0</v>
      </c>
      <c r="E22" s="370"/>
      <c r="F22" s="362" t="s">
        <v>201</v>
      </c>
      <c r="G22" s="362"/>
      <c r="H22" s="362">
        <v>0</v>
      </c>
      <c r="I22" s="365">
        <v>0</v>
      </c>
      <c r="J22" s="370"/>
      <c r="K22" s="362" t="s">
        <v>201</v>
      </c>
      <c r="L22" s="362"/>
      <c r="M22" s="362">
        <v>0</v>
      </c>
      <c r="N22" s="365">
        <v>0</v>
      </c>
      <c r="O22" s="362"/>
    </row>
    <row r="23" spans="1:15" x14ac:dyDescent="0.25">
      <c r="A23" s="362"/>
      <c r="B23" s="362"/>
      <c r="C23" s="362"/>
      <c r="D23" s="362"/>
      <c r="E23" s="370"/>
      <c r="F23" s="362"/>
      <c r="G23" s="362"/>
      <c r="H23" s="362"/>
      <c r="I23" s="362"/>
      <c r="J23" s="370"/>
      <c r="K23" s="362"/>
      <c r="L23" s="362"/>
      <c r="M23" s="362"/>
      <c r="N23" s="362"/>
      <c r="O23" s="362"/>
    </row>
    <row r="24" spans="1:15" x14ac:dyDescent="0.25">
      <c r="A24" s="362" t="s">
        <v>47</v>
      </c>
      <c r="B24" s="362"/>
      <c r="C24" s="362"/>
      <c r="D24" s="362"/>
      <c r="E24" s="370"/>
      <c r="F24" s="362" t="s">
        <v>47</v>
      </c>
      <c r="G24" s="362"/>
      <c r="H24" s="362"/>
      <c r="I24" s="362"/>
      <c r="J24" s="370"/>
      <c r="K24" s="362" t="s">
        <v>47</v>
      </c>
      <c r="L24" s="362"/>
      <c r="M24" s="362"/>
      <c r="N24" s="362"/>
      <c r="O24" s="362"/>
    </row>
    <row r="25" spans="1:15" x14ac:dyDescent="0.25">
      <c r="A25" s="362"/>
      <c r="B25" s="362"/>
      <c r="C25" s="362"/>
      <c r="D25" s="362"/>
      <c r="E25" s="370"/>
      <c r="F25" s="362"/>
      <c r="G25" s="362"/>
      <c r="H25" s="362"/>
      <c r="I25" s="362"/>
      <c r="J25" s="370"/>
      <c r="K25" s="362"/>
      <c r="L25" s="362"/>
      <c r="M25" s="362"/>
      <c r="N25" s="362"/>
      <c r="O25" s="362"/>
    </row>
    <row r="26" spans="1:15" x14ac:dyDescent="0.25">
      <c r="A26" s="362" t="s">
        <v>49</v>
      </c>
      <c r="B26" s="367" t="s">
        <v>50</v>
      </c>
      <c r="C26" s="367" t="s">
        <v>51</v>
      </c>
      <c r="D26" s="367" t="s">
        <v>52</v>
      </c>
      <c r="E26" s="371" t="s">
        <v>1</v>
      </c>
      <c r="F26" s="362" t="s">
        <v>49</v>
      </c>
      <c r="G26" s="367" t="s">
        <v>50</v>
      </c>
      <c r="H26" s="367" t="s">
        <v>51</v>
      </c>
      <c r="I26" s="367" t="s">
        <v>52</v>
      </c>
      <c r="J26" s="371" t="s">
        <v>1</v>
      </c>
      <c r="K26" s="362" t="s">
        <v>49</v>
      </c>
      <c r="L26" s="367" t="s">
        <v>50</v>
      </c>
      <c r="M26" s="367" t="s">
        <v>51</v>
      </c>
      <c r="N26" s="367" t="s">
        <v>52</v>
      </c>
      <c r="O26" s="364" t="s">
        <v>1</v>
      </c>
    </row>
    <row r="27" spans="1:15" x14ac:dyDescent="0.25">
      <c r="A27" s="362" t="s">
        <v>53</v>
      </c>
      <c r="B27" s="368">
        <v>2534.4</v>
      </c>
      <c r="C27" s="368">
        <v>0</v>
      </c>
      <c r="D27" s="368">
        <v>352</v>
      </c>
      <c r="E27" s="372">
        <v>2886.4</v>
      </c>
      <c r="F27" s="362" t="s">
        <v>53</v>
      </c>
      <c r="G27" s="368">
        <v>2534.4</v>
      </c>
      <c r="H27" s="368">
        <v>0</v>
      </c>
      <c r="I27" s="368">
        <v>352</v>
      </c>
      <c r="J27" s="372">
        <v>2886.4</v>
      </c>
      <c r="K27" s="362" t="s">
        <v>53</v>
      </c>
      <c r="L27" s="368">
        <v>806.4</v>
      </c>
      <c r="M27" s="368">
        <v>0</v>
      </c>
      <c r="N27" s="368">
        <v>0</v>
      </c>
      <c r="O27" s="368">
        <v>806.4</v>
      </c>
    </row>
    <row r="28" spans="1:15" x14ac:dyDescent="0.25">
      <c r="A28" s="362" t="s">
        <v>54</v>
      </c>
      <c r="B28" s="368">
        <v>10940.8</v>
      </c>
      <c r="C28" s="368">
        <v>0</v>
      </c>
      <c r="D28" s="368">
        <v>3067.0860000000002</v>
      </c>
      <c r="E28" s="372">
        <v>14007.885999999999</v>
      </c>
      <c r="F28" s="362" t="s">
        <v>54</v>
      </c>
      <c r="G28" s="368">
        <v>10940.8</v>
      </c>
      <c r="H28" s="368">
        <v>0</v>
      </c>
      <c r="I28" s="368">
        <v>3067.0860000000002</v>
      </c>
      <c r="J28" s="372">
        <v>14007.885999999999</v>
      </c>
      <c r="K28" s="362" t="s">
        <v>54</v>
      </c>
      <c r="L28" s="368">
        <v>5356.8</v>
      </c>
      <c r="M28" s="368">
        <v>0</v>
      </c>
      <c r="N28" s="368">
        <v>643.33600000000001</v>
      </c>
      <c r="O28" s="368">
        <v>6000.1360000000004</v>
      </c>
    </row>
    <row r="29" spans="1:15" x14ac:dyDescent="0.25">
      <c r="A29" s="362" t="s">
        <v>55</v>
      </c>
      <c r="B29" s="368">
        <v>0</v>
      </c>
      <c r="C29" s="368">
        <v>0</v>
      </c>
      <c r="D29" s="368">
        <v>19267.264940997338</v>
      </c>
      <c r="E29" s="372">
        <v>19267.264940997338</v>
      </c>
      <c r="F29" s="362" t="s">
        <v>55</v>
      </c>
      <c r="G29" s="368">
        <v>0</v>
      </c>
      <c r="H29" s="368">
        <v>0</v>
      </c>
      <c r="I29" s="368">
        <v>19267.264940997338</v>
      </c>
      <c r="J29" s="372">
        <v>19267.264940997338</v>
      </c>
      <c r="K29" s="362" t="s">
        <v>55</v>
      </c>
      <c r="L29" s="368">
        <v>0</v>
      </c>
      <c r="M29" s="368">
        <v>0</v>
      </c>
      <c r="N29" s="368">
        <v>365</v>
      </c>
      <c r="O29" s="368">
        <v>365</v>
      </c>
    </row>
    <row r="30" spans="1:15" x14ac:dyDescent="0.25">
      <c r="A30" s="362" t="s">
        <v>56</v>
      </c>
      <c r="B30" s="368">
        <v>0</v>
      </c>
      <c r="C30" s="368">
        <v>0</v>
      </c>
      <c r="D30" s="368">
        <v>103044.34716406549</v>
      </c>
      <c r="E30" s="372">
        <v>103044.34716406549</v>
      </c>
      <c r="F30" s="362" t="s">
        <v>56</v>
      </c>
      <c r="G30" s="368">
        <v>0</v>
      </c>
      <c r="H30" s="368">
        <v>0</v>
      </c>
      <c r="I30" s="368">
        <v>48762.874952417209</v>
      </c>
      <c r="J30" s="372">
        <v>48762.874952417209</v>
      </c>
      <c r="K30" s="362" t="s">
        <v>56</v>
      </c>
      <c r="L30" s="368">
        <v>0</v>
      </c>
      <c r="M30" s="368">
        <v>0</v>
      </c>
      <c r="N30" s="368">
        <v>33432.165968785695</v>
      </c>
      <c r="O30" s="368">
        <v>33432.165968785695</v>
      </c>
    </row>
    <row r="31" spans="1:15" x14ac:dyDescent="0.25">
      <c r="A31" s="362" t="s">
        <v>57</v>
      </c>
      <c r="B31" s="368">
        <v>6762.24</v>
      </c>
      <c r="C31" s="368">
        <v>0</v>
      </c>
      <c r="D31" s="368">
        <v>11978.5</v>
      </c>
      <c r="E31" s="372">
        <v>18740.739999999998</v>
      </c>
      <c r="F31" s="362" t="s">
        <v>57</v>
      </c>
      <c r="G31" s="368">
        <v>4818.24</v>
      </c>
      <c r="H31" s="368">
        <v>0</v>
      </c>
      <c r="I31" s="368">
        <v>11978.5</v>
      </c>
      <c r="J31" s="372">
        <v>16796.739999999998</v>
      </c>
      <c r="K31" s="362" t="s">
        <v>57</v>
      </c>
      <c r="L31" s="368">
        <v>2419.1999999999998</v>
      </c>
      <c r="M31" s="368">
        <v>0</v>
      </c>
      <c r="N31" s="368">
        <v>12019.375</v>
      </c>
      <c r="O31" s="368">
        <v>14438.575000000001</v>
      </c>
    </row>
    <row r="32" spans="1:15" x14ac:dyDescent="0.25">
      <c r="A32" s="362" t="s">
        <v>58</v>
      </c>
      <c r="B32" s="368">
        <v>2244.2399999999998</v>
      </c>
      <c r="C32" s="368">
        <v>33854.619999999995</v>
      </c>
      <c r="D32" s="368">
        <v>627.5</v>
      </c>
      <c r="E32" s="372">
        <v>36726.359999999993</v>
      </c>
      <c r="F32" s="362" t="s">
        <v>58</v>
      </c>
      <c r="G32" s="368">
        <v>2129.04</v>
      </c>
      <c r="H32" s="368">
        <v>8463.1949999999997</v>
      </c>
      <c r="I32" s="368">
        <v>502.5</v>
      </c>
      <c r="J32" s="372">
        <v>11094.735000000001</v>
      </c>
      <c r="K32" s="362" t="s">
        <v>58</v>
      </c>
      <c r="L32" s="368">
        <v>3639.12</v>
      </c>
      <c r="M32" s="368">
        <v>26469.894999999997</v>
      </c>
      <c r="N32" s="368">
        <v>692.5</v>
      </c>
      <c r="O32" s="368">
        <v>30801.514999999996</v>
      </c>
    </row>
    <row r="33" spans="1:15" x14ac:dyDescent="0.25">
      <c r="A33" s="362" t="s">
        <v>59</v>
      </c>
      <c r="B33" s="369">
        <v>2570.4960000000001</v>
      </c>
      <c r="C33" s="369">
        <v>11981.068000000001</v>
      </c>
      <c r="D33" s="369">
        <v>692</v>
      </c>
      <c r="E33" s="373">
        <v>15243.564000000002</v>
      </c>
      <c r="F33" s="362" t="s">
        <v>59</v>
      </c>
      <c r="G33" s="369">
        <v>2570.4960000000001</v>
      </c>
      <c r="H33" s="369">
        <v>11981.068000000001</v>
      </c>
      <c r="I33" s="369">
        <v>692</v>
      </c>
      <c r="J33" s="373">
        <v>15243.564000000002</v>
      </c>
      <c r="K33" s="362" t="s">
        <v>59</v>
      </c>
      <c r="L33" s="369">
        <v>2305.5360000000001</v>
      </c>
      <c r="M33" s="369">
        <v>10444.093000000001</v>
      </c>
      <c r="N33" s="369">
        <v>692</v>
      </c>
      <c r="O33" s="369">
        <v>13441.629000000001</v>
      </c>
    </row>
    <row r="34" spans="1:15" x14ac:dyDescent="0.25">
      <c r="A34" s="362"/>
      <c r="B34" s="368">
        <v>25052.175999999999</v>
      </c>
      <c r="C34" s="368">
        <v>45835.687999999995</v>
      </c>
      <c r="D34" s="368">
        <v>139028.69810506282</v>
      </c>
      <c r="E34" s="372">
        <v>209916.56210506283</v>
      </c>
      <c r="F34" s="362"/>
      <c r="G34" s="368">
        <v>22992.975999999999</v>
      </c>
      <c r="H34" s="368">
        <v>20444.262999999999</v>
      </c>
      <c r="I34" s="368">
        <v>84622.22589341455</v>
      </c>
      <c r="J34" s="372">
        <v>128059.46489341455</v>
      </c>
      <c r="K34" s="362"/>
      <c r="L34" s="368">
        <v>14527.056</v>
      </c>
      <c r="M34" s="368">
        <v>36913.987999999998</v>
      </c>
      <c r="N34" s="368">
        <v>47844.376968785698</v>
      </c>
      <c r="O34" s="368">
        <v>99285.420968785693</v>
      </c>
    </row>
    <row r="35" spans="1:15" x14ac:dyDescent="0.25">
      <c r="A35" s="362"/>
      <c r="B35" s="362"/>
      <c r="C35" s="362"/>
      <c r="D35" s="362"/>
      <c r="E35" s="370"/>
      <c r="F35" s="362"/>
      <c r="G35" s="362"/>
      <c r="H35" s="362"/>
      <c r="I35" s="362"/>
      <c r="J35" s="370"/>
      <c r="K35" s="362"/>
      <c r="L35" s="362"/>
      <c r="M35" s="362"/>
      <c r="N35" s="362"/>
      <c r="O35" s="362"/>
    </row>
    <row r="36" spans="1:15" x14ac:dyDescent="0.25">
      <c r="A36" s="374" t="s">
        <v>62</v>
      </c>
      <c r="B36" s="362"/>
      <c r="C36" s="362"/>
      <c r="D36" s="362"/>
      <c r="E36" s="370"/>
      <c r="F36" s="362" t="s">
        <v>62</v>
      </c>
      <c r="G36" s="362"/>
      <c r="H36" s="362"/>
      <c r="I36" s="362"/>
      <c r="J36" s="370"/>
      <c r="K36" s="362" t="s">
        <v>62</v>
      </c>
      <c r="L36" s="362"/>
      <c r="M36" s="362"/>
      <c r="N36" s="362"/>
      <c r="O36" s="362"/>
    </row>
    <row r="37" spans="1:15" x14ac:dyDescent="0.25">
      <c r="A37" s="362" t="s">
        <v>64</v>
      </c>
      <c r="B37" s="368">
        <v>11016</v>
      </c>
      <c r="C37" s="368">
        <v>0</v>
      </c>
      <c r="D37" s="368">
        <v>999.99999999999977</v>
      </c>
      <c r="E37" s="372">
        <v>12016</v>
      </c>
      <c r="F37" s="362" t="s">
        <v>64</v>
      </c>
      <c r="G37" s="368">
        <v>6017.76</v>
      </c>
      <c r="H37" s="368">
        <v>0</v>
      </c>
      <c r="I37" s="368">
        <v>999.99999999999977</v>
      </c>
      <c r="J37" s="372">
        <v>7017.76</v>
      </c>
      <c r="K37" s="362" t="s">
        <v>64</v>
      </c>
      <c r="L37" s="368">
        <v>1101.5999999999999</v>
      </c>
      <c r="M37" s="368">
        <v>0</v>
      </c>
      <c r="N37" s="368">
        <v>0</v>
      </c>
      <c r="O37" s="368">
        <v>1101.5999999999999</v>
      </c>
    </row>
    <row r="38" spans="1:15" x14ac:dyDescent="0.25">
      <c r="A38" s="362" t="s">
        <v>65</v>
      </c>
      <c r="B38" s="368">
        <v>885.14678399999991</v>
      </c>
      <c r="C38" s="368">
        <v>33484.552794499999</v>
      </c>
      <c r="D38" s="368">
        <v>0</v>
      </c>
      <c r="E38" s="372">
        <v>34369.699578499996</v>
      </c>
      <c r="F38" s="362" t="s">
        <v>65</v>
      </c>
      <c r="G38" s="368">
        <v>885.14678399999991</v>
      </c>
      <c r="H38" s="368">
        <v>8020.6777944999994</v>
      </c>
      <c r="I38" s="368">
        <v>0</v>
      </c>
      <c r="J38" s="372">
        <v>8905.8245784999999</v>
      </c>
      <c r="K38" s="362" t="s">
        <v>65</v>
      </c>
      <c r="L38" s="368">
        <v>0</v>
      </c>
      <c r="M38" s="368">
        <v>0</v>
      </c>
      <c r="N38" s="368">
        <v>0</v>
      </c>
      <c r="O38" s="368">
        <v>0</v>
      </c>
    </row>
    <row r="39" spans="1:15" x14ac:dyDescent="0.25">
      <c r="A39" s="362" t="s">
        <v>66</v>
      </c>
      <c r="B39" s="368">
        <v>0</v>
      </c>
      <c r="C39" s="368">
        <v>0</v>
      </c>
      <c r="D39" s="368">
        <v>0</v>
      </c>
      <c r="E39" s="372">
        <v>0</v>
      </c>
      <c r="F39" s="362" t="s">
        <v>66</v>
      </c>
      <c r="G39" s="368">
        <v>0</v>
      </c>
      <c r="H39" s="368">
        <v>0</v>
      </c>
      <c r="I39" s="368">
        <v>0</v>
      </c>
      <c r="J39" s="372">
        <v>0</v>
      </c>
      <c r="K39" s="362" t="s">
        <v>66</v>
      </c>
      <c r="L39" s="368">
        <v>388.62815999999998</v>
      </c>
      <c r="M39" s="368">
        <v>5691.8063199999997</v>
      </c>
      <c r="N39" s="368">
        <v>19.055</v>
      </c>
      <c r="O39" s="368">
        <v>6099.4894800000002</v>
      </c>
    </row>
    <row r="40" spans="1:15" x14ac:dyDescent="0.25">
      <c r="A40" s="362" t="s">
        <v>67</v>
      </c>
      <c r="B40" s="368">
        <v>0</v>
      </c>
      <c r="C40" s="368">
        <v>0</v>
      </c>
      <c r="D40" s="368">
        <v>0</v>
      </c>
      <c r="E40" s="372">
        <v>0</v>
      </c>
      <c r="F40" s="362" t="s">
        <v>67</v>
      </c>
      <c r="G40" s="368">
        <v>0</v>
      </c>
      <c r="H40" s="368">
        <v>0</v>
      </c>
      <c r="I40" s="368">
        <v>0</v>
      </c>
      <c r="J40" s="372">
        <v>0</v>
      </c>
      <c r="K40" s="362" t="s">
        <v>67</v>
      </c>
      <c r="L40" s="368">
        <v>816</v>
      </c>
      <c r="M40" s="368">
        <v>9830.1999999999989</v>
      </c>
      <c r="N40" s="368">
        <v>50</v>
      </c>
      <c r="O40" s="368">
        <v>10696.199999999999</v>
      </c>
    </row>
    <row r="41" spans="1:15" x14ac:dyDescent="0.25">
      <c r="A41" s="362" t="s">
        <v>68</v>
      </c>
      <c r="B41" s="368">
        <v>1163.52</v>
      </c>
      <c r="C41" s="368">
        <v>0</v>
      </c>
      <c r="D41" s="368">
        <v>15881.25</v>
      </c>
      <c r="E41" s="372">
        <v>17044.77</v>
      </c>
      <c r="F41" s="362" t="s">
        <v>68</v>
      </c>
      <c r="G41" s="368">
        <v>1284.48</v>
      </c>
      <c r="H41" s="368">
        <v>0</v>
      </c>
      <c r="I41" s="368">
        <v>1068.75</v>
      </c>
      <c r="J41" s="372">
        <v>2353.23</v>
      </c>
      <c r="K41" s="362" t="s">
        <v>68</v>
      </c>
      <c r="L41" s="368">
        <v>585.61487999999997</v>
      </c>
      <c r="M41" s="368">
        <v>0</v>
      </c>
      <c r="N41" s="368">
        <v>620</v>
      </c>
      <c r="O41" s="368">
        <v>1205.6148800000001</v>
      </c>
    </row>
    <row r="42" spans="1:15" x14ac:dyDescent="0.25">
      <c r="A42" s="362" t="s">
        <v>69</v>
      </c>
      <c r="B42" s="368">
        <v>1252.8</v>
      </c>
      <c r="C42" s="368">
        <v>0</v>
      </c>
      <c r="D42" s="368">
        <v>160</v>
      </c>
      <c r="E42" s="372">
        <v>1412.8</v>
      </c>
      <c r="F42" s="362" t="s">
        <v>69</v>
      </c>
      <c r="G42" s="368">
        <v>1252.8</v>
      </c>
      <c r="H42" s="368">
        <v>0</v>
      </c>
      <c r="I42" s="368">
        <v>160</v>
      </c>
      <c r="J42" s="372">
        <v>1412.8</v>
      </c>
      <c r="K42" s="362" t="s">
        <v>69</v>
      </c>
      <c r="L42" s="368">
        <v>5448</v>
      </c>
      <c r="M42" s="368">
        <v>0</v>
      </c>
      <c r="N42" s="368">
        <v>40</v>
      </c>
      <c r="O42" s="368">
        <v>5488</v>
      </c>
    </row>
    <row r="43" spans="1:15" x14ac:dyDescent="0.25">
      <c r="A43" s="362" t="s">
        <v>70</v>
      </c>
      <c r="B43" s="368">
        <v>2074.3199999999997</v>
      </c>
      <c r="C43" s="368">
        <v>0</v>
      </c>
      <c r="D43" s="368">
        <v>3196.3494480395893</v>
      </c>
      <c r="E43" s="372">
        <v>5270.669448039589</v>
      </c>
      <c r="F43" s="362" t="s">
        <v>70</v>
      </c>
      <c r="G43" s="368">
        <v>2074.3199999999997</v>
      </c>
      <c r="H43" s="368">
        <v>0</v>
      </c>
      <c r="I43" s="368">
        <v>1618.2803578226117</v>
      </c>
      <c r="J43" s="372">
        <v>3692.6003578226114</v>
      </c>
      <c r="K43" s="362" t="s">
        <v>70</v>
      </c>
      <c r="L43" s="368">
        <v>1409.28</v>
      </c>
      <c r="M43" s="368">
        <v>0</v>
      </c>
      <c r="N43" s="368">
        <v>1360.1294251998479</v>
      </c>
      <c r="O43" s="368">
        <v>2769.4094251998476</v>
      </c>
    </row>
    <row r="44" spans="1:15" x14ac:dyDescent="0.25">
      <c r="A44" s="362" t="s">
        <v>71</v>
      </c>
      <c r="B44" s="369">
        <v>3567.4298623999998</v>
      </c>
      <c r="C44" s="369">
        <v>6527.0019711999994</v>
      </c>
      <c r="D44" s="369">
        <v>19797.686610160945</v>
      </c>
      <c r="E44" s="373">
        <v>29892.118443760945</v>
      </c>
      <c r="F44" s="362" t="s">
        <v>71</v>
      </c>
      <c r="G44" s="369">
        <v>3274.1997824</v>
      </c>
      <c r="H44" s="369">
        <v>2911.2630511999996</v>
      </c>
      <c r="I44" s="369">
        <v>12050.204967222231</v>
      </c>
      <c r="J44" s="373">
        <v>18235.66780082223</v>
      </c>
      <c r="K44" s="362" t="s">
        <v>71</v>
      </c>
      <c r="L44" s="369">
        <v>2068.6527744</v>
      </c>
      <c r="M44" s="369">
        <v>5256.5518911999998</v>
      </c>
      <c r="N44" s="369">
        <v>6813.0392803550831</v>
      </c>
      <c r="O44" s="369">
        <v>14138.243945955084</v>
      </c>
    </row>
    <row r="45" spans="1:15" x14ac:dyDescent="0.25">
      <c r="A45" s="362"/>
      <c r="B45" s="362"/>
      <c r="C45" s="362"/>
      <c r="D45" s="362"/>
      <c r="E45" s="370"/>
      <c r="F45" s="362"/>
      <c r="G45" s="362"/>
      <c r="H45" s="362"/>
      <c r="I45" s="362"/>
      <c r="J45" s="370"/>
      <c r="K45" s="362"/>
      <c r="L45" s="362"/>
      <c r="M45" s="362"/>
      <c r="N45" s="362"/>
      <c r="O45" s="362"/>
    </row>
    <row r="46" spans="1:15" x14ac:dyDescent="0.25">
      <c r="A46" s="362" t="s">
        <v>72</v>
      </c>
      <c r="B46" s="368">
        <v>16391.786784</v>
      </c>
      <c r="C46" s="368">
        <v>33484.552794499999</v>
      </c>
      <c r="D46" s="368">
        <v>20237.599448039589</v>
      </c>
      <c r="E46" s="372">
        <v>70113.939026539592</v>
      </c>
      <c r="F46" s="362" t="s">
        <v>72</v>
      </c>
      <c r="G46" s="368">
        <v>11514.506783999999</v>
      </c>
      <c r="H46" s="368">
        <v>8020.6777944999994</v>
      </c>
      <c r="I46" s="368">
        <v>3847.0303578226117</v>
      </c>
      <c r="J46" s="372">
        <v>23382.214936322613</v>
      </c>
      <c r="K46" s="362" t="s">
        <v>72</v>
      </c>
      <c r="L46" s="368">
        <v>9749.1230400000004</v>
      </c>
      <c r="M46" s="368">
        <v>15522.006319999999</v>
      </c>
      <c r="N46" s="368">
        <v>2089.1844251998482</v>
      </c>
      <c r="O46" s="368">
        <v>27360.313785199847</v>
      </c>
    </row>
    <row r="47" spans="1:15" x14ac:dyDescent="0.25">
      <c r="A47" s="362" t="s">
        <v>73</v>
      </c>
      <c r="B47" s="368">
        <v>19959.2166464</v>
      </c>
      <c r="C47" s="368">
        <v>40011.554765699999</v>
      </c>
      <c r="D47" s="368">
        <v>40035.286058200538</v>
      </c>
      <c r="E47" s="372">
        <v>100006.05747030054</v>
      </c>
      <c r="F47" s="362" t="s">
        <v>73</v>
      </c>
      <c r="G47" s="368">
        <v>14788.7065664</v>
      </c>
      <c r="H47" s="368">
        <v>10931.940845699999</v>
      </c>
      <c r="I47" s="368">
        <v>15897.235325044843</v>
      </c>
      <c r="J47" s="372">
        <v>41617.882737144842</v>
      </c>
      <c r="K47" s="362" t="s">
        <v>73</v>
      </c>
      <c r="L47" s="368">
        <v>11817.7758144</v>
      </c>
      <c r="M47" s="368">
        <v>20778.558211199997</v>
      </c>
      <c r="N47" s="368">
        <v>8902.2237055549303</v>
      </c>
      <c r="O47" s="368">
        <v>41498.557731154928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8"/>
  <sheetViews>
    <sheetView topLeftCell="A29" workbookViewId="0">
      <selection activeCell="B3" sqref="B3"/>
    </sheetView>
  </sheetViews>
  <sheetFormatPr defaultRowHeight="15" x14ac:dyDescent="0.25"/>
  <cols>
    <col min="1" max="1" width="18.140625" customWidth="1"/>
    <col min="2" max="2" width="12.5703125" customWidth="1"/>
    <col min="5" max="6" width="12.140625" customWidth="1"/>
    <col min="8" max="8" width="12" customWidth="1"/>
    <col min="10" max="10" width="13.7109375" customWidth="1"/>
    <col min="12" max="12" width="18.7109375" customWidth="1"/>
  </cols>
  <sheetData>
    <row r="1" spans="1:14" x14ac:dyDescent="0.25">
      <c r="A1" s="407" t="s">
        <v>397</v>
      </c>
      <c r="B1" s="545" t="s">
        <v>398</v>
      </c>
      <c r="C1" s="545"/>
      <c r="D1" s="545"/>
      <c r="E1" s="408"/>
      <c r="F1" s="545" t="s">
        <v>399</v>
      </c>
      <c r="G1" s="545"/>
      <c r="H1" s="545"/>
      <c r="I1" s="408"/>
      <c r="J1" s="545" t="s">
        <v>400</v>
      </c>
      <c r="K1" s="545"/>
      <c r="L1" s="545"/>
    </row>
    <row r="2" spans="1:14" x14ac:dyDescent="0.25">
      <c r="A2" s="407">
        <v>610</v>
      </c>
      <c r="B2" s="409" t="s">
        <v>77</v>
      </c>
      <c r="C2" s="409" t="s">
        <v>401</v>
      </c>
      <c r="D2" s="409" t="s">
        <v>402</v>
      </c>
      <c r="E2" s="408"/>
      <c r="F2" s="409" t="s">
        <v>403</v>
      </c>
      <c r="G2" s="409" t="s">
        <v>401</v>
      </c>
      <c r="H2" s="409" t="s">
        <v>402</v>
      </c>
      <c r="I2" s="408"/>
      <c r="J2" s="409" t="s">
        <v>403</v>
      </c>
      <c r="K2" s="409" t="s">
        <v>401</v>
      </c>
      <c r="L2" s="409" t="s">
        <v>402</v>
      </c>
    </row>
    <row r="3" spans="1:14" x14ac:dyDescent="0.25">
      <c r="A3" s="410"/>
      <c r="B3" s="411" t="s">
        <v>404</v>
      </c>
      <c r="C3" s="412">
        <v>463</v>
      </c>
      <c r="D3" s="413">
        <v>76</v>
      </c>
      <c r="E3" s="408"/>
      <c r="F3" s="411" t="s">
        <v>405</v>
      </c>
      <c r="G3" s="414">
        <v>198</v>
      </c>
      <c r="H3" s="413">
        <v>32</v>
      </c>
      <c r="I3" s="408"/>
      <c r="J3" s="411" t="s">
        <v>406</v>
      </c>
      <c r="K3" s="412">
        <v>5</v>
      </c>
      <c r="L3" s="413">
        <v>1</v>
      </c>
      <c r="N3" t="s">
        <v>418</v>
      </c>
    </row>
    <row r="4" spans="1:14" x14ac:dyDescent="0.25">
      <c r="A4" s="410"/>
      <c r="B4" s="411"/>
      <c r="C4" s="412"/>
      <c r="D4" s="413"/>
      <c r="E4" s="408"/>
      <c r="F4" s="411"/>
      <c r="G4" s="414"/>
      <c r="H4" s="413"/>
      <c r="I4" s="408"/>
      <c r="J4" s="411" t="s">
        <v>407</v>
      </c>
      <c r="K4" s="412">
        <v>498</v>
      </c>
      <c r="L4" s="413">
        <v>82</v>
      </c>
      <c r="N4">
        <f>AVERAGE(D3,H3,(L3+L4))/100</f>
        <v>0.6366666666666666</v>
      </c>
    </row>
    <row r="5" spans="1:14" x14ac:dyDescent="0.25">
      <c r="A5" s="410"/>
      <c r="B5" s="411" t="s">
        <v>408</v>
      </c>
      <c r="C5" s="412">
        <v>147</v>
      </c>
      <c r="D5" s="413">
        <v>24</v>
      </c>
      <c r="E5" s="408"/>
      <c r="F5" s="411" t="s">
        <v>408</v>
      </c>
      <c r="G5" s="414">
        <v>412</v>
      </c>
      <c r="H5" s="413">
        <v>68</v>
      </c>
      <c r="I5" s="408"/>
      <c r="J5" s="411" t="s">
        <v>408</v>
      </c>
      <c r="K5" s="412">
        <v>107</v>
      </c>
      <c r="L5" s="413">
        <v>17</v>
      </c>
      <c r="N5" t="s">
        <v>421</v>
      </c>
    </row>
    <row r="6" spans="1:14" x14ac:dyDescent="0.25">
      <c r="A6" s="410"/>
      <c r="B6" s="408"/>
      <c r="C6" s="415"/>
      <c r="D6" s="415"/>
      <c r="E6" s="408"/>
      <c r="F6" s="408"/>
      <c r="G6" s="415"/>
      <c r="H6" s="415"/>
      <c r="I6" s="408"/>
      <c r="J6" s="408"/>
      <c r="K6" s="415"/>
      <c r="L6" s="415"/>
      <c r="N6" s="424">
        <f>AVERAGE(H5,L5,D5)/100</f>
        <v>0.36333333333333334</v>
      </c>
    </row>
    <row r="7" spans="1:14" x14ac:dyDescent="0.25">
      <c r="A7" s="408"/>
      <c r="B7" s="546" t="s">
        <v>409</v>
      </c>
      <c r="C7" s="547"/>
      <c r="D7" s="547"/>
      <c r="E7" s="547"/>
      <c r="F7" s="547"/>
      <c r="G7" s="547"/>
      <c r="H7" s="547"/>
      <c r="I7" s="547"/>
      <c r="J7" s="547"/>
      <c r="K7" s="547"/>
      <c r="L7" s="548"/>
    </row>
    <row r="8" spans="1:14" x14ac:dyDescent="0.25">
      <c r="A8" s="407">
        <v>522</v>
      </c>
      <c r="B8" s="416" t="s">
        <v>267</v>
      </c>
      <c r="C8" s="409" t="s">
        <v>401</v>
      </c>
      <c r="D8" s="409" t="s">
        <v>402</v>
      </c>
      <c r="E8" s="408"/>
      <c r="F8" s="416" t="s">
        <v>267</v>
      </c>
      <c r="G8" s="409" t="s">
        <v>401</v>
      </c>
      <c r="H8" s="409" t="s">
        <v>402</v>
      </c>
      <c r="I8" s="408"/>
      <c r="J8" s="416" t="s">
        <v>267</v>
      </c>
      <c r="K8" s="409" t="s">
        <v>401</v>
      </c>
      <c r="L8" s="409" t="s">
        <v>402</v>
      </c>
      <c r="N8" s="351"/>
    </row>
    <row r="9" spans="1:14" x14ac:dyDescent="0.25">
      <c r="A9" s="410"/>
      <c r="B9" s="411" t="s">
        <v>404</v>
      </c>
      <c r="C9" s="412">
        <v>441</v>
      </c>
      <c r="D9" s="413">
        <v>84</v>
      </c>
      <c r="E9" s="408"/>
      <c r="F9" s="411" t="s">
        <v>405</v>
      </c>
      <c r="G9" s="412">
        <v>188</v>
      </c>
      <c r="H9" s="413">
        <v>36</v>
      </c>
      <c r="I9" s="408"/>
      <c r="J9" s="411" t="s">
        <v>406</v>
      </c>
      <c r="K9" s="412">
        <v>4</v>
      </c>
      <c r="L9" s="413">
        <v>1</v>
      </c>
      <c r="N9" s="351"/>
    </row>
    <row r="10" spans="1:14" x14ac:dyDescent="0.25">
      <c r="A10" s="410"/>
      <c r="B10" s="411"/>
      <c r="C10" s="412"/>
      <c r="D10" s="413"/>
      <c r="E10" s="408"/>
      <c r="F10" s="411"/>
      <c r="G10" s="412"/>
      <c r="H10" s="413"/>
      <c r="I10" s="408"/>
      <c r="J10" s="411" t="s">
        <v>407</v>
      </c>
      <c r="K10" s="412">
        <v>476</v>
      </c>
      <c r="L10" s="413">
        <v>91</v>
      </c>
    </row>
    <row r="11" spans="1:14" x14ac:dyDescent="0.25">
      <c r="A11" s="410"/>
      <c r="B11" s="411" t="s">
        <v>408</v>
      </c>
      <c r="C11" s="412">
        <v>81</v>
      </c>
      <c r="D11" s="413">
        <v>16</v>
      </c>
      <c r="E11" s="408"/>
      <c r="F11" s="411" t="s">
        <v>408</v>
      </c>
      <c r="G11" s="412">
        <v>334</v>
      </c>
      <c r="H11" s="413">
        <v>64</v>
      </c>
      <c r="I11" s="408"/>
      <c r="J11" s="411" t="s">
        <v>408</v>
      </c>
      <c r="K11" s="412">
        <v>42</v>
      </c>
      <c r="L11" s="413">
        <v>8</v>
      </c>
    </row>
    <row r="12" spans="1:14" x14ac:dyDescent="0.25">
      <c r="A12" s="410"/>
      <c r="B12" s="408"/>
      <c r="C12" s="415"/>
      <c r="D12" s="415"/>
      <c r="E12" s="408"/>
      <c r="F12" s="408"/>
      <c r="G12" s="415"/>
      <c r="H12" s="415"/>
      <c r="I12" s="408"/>
      <c r="J12" s="408"/>
      <c r="K12" s="415"/>
      <c r="L12" s="415"/>
    </row>
    <row r="13" spans="1:14" x14ac:dyDescent="0.25">
      <c r="A13" s="408"/>
      <c r="B13" s="546" t="s">
        <v>410</v>
      </c>
      <c r="C13" s="547"/>
      <c r="D13" s="547"/>
      <c r="E13" s="547"/>
      <c r="F13" s="547"/>
      <c r="G13" s="547"/>
      <c r="H13" s="547"/>
      <c r="I13" s="547"/>
      <c r="J13" s="547"/>
      <c r="K13" s="547"/>
      <c r="L13" s="548"/>
    </row>
    <row r="14" spans="1:14" x14ac:dyDescent="0.25">
      <c r="A14" s="407">
        <v>23</v>
      </c>
      <c r="B14" s="416" t="s">
        <v>411</v>
      </c>
      <c r="C14" s="409" t="s">
        <v>401</v>
      </c>
      <c r="D14" s="409" t="s">
        <v>402</v>
      </c>
      <c r="E14" s="408"/>
      <c r="F14" s="416" t="s">
        <v>411</v>
      </c>
      <c r="G14" s="409" t="s">
        <v>401</v>
      </c>
      <c r="H14" s="409" t="s">
        <v>402</v>
      </c>
      <c r="I14" s="408"/>
      <c r="J14" s="416" t="s">
        <v>411</v>
      </c>
      <c r="K14" s="409" t="s">
        <v>401</v>
      </c>
      <c r="L14" s="409" t="s">
        <v>402</v>
      </c>
    </row>
    <row r="15" spans="1:14" x14ac:dyDescent="0.25">
      <c r="A15" s="410"/>
      <c r="B15" s="411" t="s">
        <v>404</v>
      </c>
      <c r="C15" s="412">
        <v>19</v>
      </c>
      <c r="D15" s="413">
        <v>83</v>
      </c>
      <c r="E15" s="408"/>
      <c r="F15" s="411" t="s">
        <v>405</v>
      </c>
      <c r="G15" s="412">
        <v>5</v>
      </c>
      <c r="H15" s="413">
        <v>22</v>
      </c>
      <c r="I15" s="408"/>
      <c r="J15" s="411" t="s">
        <v>406</v>
      </c>
      <c r="K15" s="412">
        <v>0</v>
      </c>
      <c r="L15" s="413">
        <v>0</v>
      </c>
    </row>
    <row r="16" spans="1:14" x14ac:dyDescent="0.25">
      <c r="A16" s="410"/>
      <c r="B16" s="411"/>
      <c r="C16" s="412"/>
      <c r="D16" s="413"/>
      <c r="E16" s="408"/>
      <c r="F16" s="411"/>
      <c r="G16" s="412"/>
      <c r="H16" s="413"/>
      <c r="I16" s="408"/>
      <c r="J16" s="411" t="s">
        <v>407</v>
      </c>
      <c r="K16" s="412">
        <v>18</v>
      </c>
      <c r="L16" s="413">
        <v>78</v>
      </c>
    </row>
    <row r="17" spans="1:12" x14ac:dyDescent="0.25">
      <c r="A17" s="410"/>
      <c r="B17" s="411" t="s">
        <v>408</v>
      </c>
      <c r="C17" s="412">
        <v>4</v>
      </c>
      <c r="D17" s="413">
        <v>17</v>
      </c>
      <c r="E17" s="408"/>
      <c r="F17" s="411" t="s">
        <v>408</v>
      </c>
      <c r="G17" s="412">
        <v>18</v>
      </c>
      <c r="H17" s="413">
        <v>78</v>
      </c>
      <c r="I17" s="408"/>
      <c r="J17" s="411" t="s">
        <v>408</v>
      </c>
      <c r="K17" s="412">
        <v>5</v>
      </c>
      <c r="L17" s="413">
        <v>22</v>
      </c>
    </row>
    <row r="18" spans="1:12" x14ac:dyDescent="0.25">
      <c r="A18" s="410"/>
      <c r="B18" s="408"/>
      <c r="C18" s="415"/>
      <c r="D18" s="415"/>
      <c r="E18" s="408"/>
      <c r="F18" s="408"/>
      <c r="G18" s="415"/>
      <c r="H18" s="415"/>
      <c r="I18" s="408"/>
      <c r="J18" s="408"/>
      <c r="K18" s="415"/>
      <c r="L18" s="415"/>
    </row>
    <row r="19" spans="1:12" x14ac:dyDescent="0.25">
      <c r="A19" s="408"/>
      <c r="B19" s="544" t="s">
        <v>26</v>
      </c>
      <c r="C19" s="544"/>
      <c r="D19" s="544"/>
      <c r="E19" s="544"/>
      <c r="F19" s="544"/>
      <c r="G19" s="544"/>
      <c r="H19" s="544"/>
      <c r="I19" s="544"/>
      <c r="J19" s="544"/>
      <c r="K19" s="544"/>
      <c r="L19" s="544"/>
    </row>
    <row r="20" spans="1:12" x14ac:dyDescent="0.25">
      <c r="A20" s="407">
        <v>3</v>
      </c>
      <c r="B20" s="416" t="s">
        <v>415</v>
      </c>
      <c r="C20" s="409" t="s">
        <v>401</v>
      </c>
      <c r="D20" s="409" t="s">
        <v>402</v>
      </c>
      <c r="E20" s="408"/>
      <c r="F20" s="416" t="s">
        <v>415</v>
      </c>
      <c r="G20" s="409" t="s">
        <v>401</v>
      </c>
      <c r="H20" s="409" t="s">
        <v>402</v>
      </c>
      <c r="I20" s="408"/>
      <c r="J20" s="416" t="s">
        <v>415</v>
      </c>
      <c r="K20" s="409" t="s">
        <v>401</v>
      </c>
      <c r="L20" s="409" t="s">
        <v>402</v>
      </c>
    </row>
    <row r="21" spans="1:12" x14ac:dyDescent="0.25">
      <c r="A21" s="410"/>
      <c r="B21" s="411" t="s">
        <v>404</v>
      </c>
      <c r="C21" s="412">
        <v>0</v>
      </c>
      <c r="D21" s="413">
        <v>0</v>
      </c>
      <c r="E21" s="408"/>
      <c r="F21" s="411" t="s">
        <v>405</v>
      </c>
      <c r="G21" s="412">
        <v>0</v>
      </c>
      <c r="H21" s="413">
        <v>0</v>
      </c>
      <c r="I21" s="408"/>
      <c r="J21" s="411" t="s">
        <v>406</v>
      </c>
      <c r="K21" s="412">
        <v>0</v>
      </c>
      <c r="L21" s="413">
        <v>0</v>
      </c>
    </row>
    <row r="22" spans="1:12" x14ac:dyDescent="0.25">
      <c r="A22" s="410"/>
      <c r="B22" s="411"/>
      <c r="C22" s="412"/>
      <c r="D22" s="413"/>
      <c r="E22" s="408"/>
      <c r="F22" s="411"/>
      <c r="G22" s="412"/>
      <c r="H22" s="413"/>
      <c r="I22" s="408"/>
      <c r="J22" s="411"/>
      <c r="K22" s="412"/>
      <c r="L22" s="413"/>
    </row>
    <row r="23" spans="1:12" x14ac:dyDescent="0.25">
      <c r="A23" s="410"/>
      <c r="B23" s="411" t="s">
        <v>408</v>
      </c>
      <c r="C23" s="412">
        <v>3</v>
      </c>
      <c r="D23" s="413">
        <v>100</v>
      </c>
      <c r="E23" s="408"/>
      <c r="F23" s="411" t="s">
        <v>408</v>
      </c>
      <c r="G23" s="412">
        <v>3</v>
      </c>
      <c r="H23" s="413">
        <v>100</v>
      </c>
      <c r="I23" s="408"/>
      <c r="J23" s="411" t="s">
        <v>408</v>
      </c>
      <c r="K23" s="412">
        <v>3</v>
      </c>
      <c r="L23" s="413">
        <v>100</v>
      </c>
    </row>
    <row r="24" spans="1:12" x14ac:dyDescent="0.25">
      <c r="A24" s="410"/>
      <c r="B24" s="417"/>
      <c r="C24" s="418"/>
      <c r="D24" s="419"/>
      <c r="E24" s="408"/>
      <c r="F24" s="420"/>
      <c r="G24" s="418"/>
      <c r="H24" s="419"/>
      <c r="I24" s="408"/>
      <c r="J24" s="420"/>
      <c r="K24" s="418"/>
      <c r="L24" s="421"/>
    </row>
    <row r="25" spans="1:12" x14ac:dyDescent="0.25">
      <c r="A25" s="408"/>
      <c r="B25" s="546" t="s">
        <v>412</v>
      </c>
      <c r="C25" s="547"/>
      <c r="D25" s="547"/>
      <c r="E25" s="547"/>
      <c r="F25" s="547"/>
      <c r="G25" s="547"/>
      <c r="H25" s="547"/>
      <c r="I25" s="547"/>
      <c r="J25" s="547"/>
      <c r="K25" s="547"/>
      <c r="L25" s="548"/>
    </row>
    <row r="26" spans="1:12" x14ac:dyDescent="0.25">
      <c r="A26" s="407">
        <v>56</v>
      </c>
      <c r="B26" s="416" t="s">
        <v>413</v>
      </c>
      <c r="C26" s="409" t="s">
        <v>401</v>
      </c>
      <c r="D26" s="409" t="s">
        <v>402</v>
      </c>
      <c r="E26" s="408"/>
      <c r="F26" s="416" t="s">
        <v>413</v>
      </c>
      <c r="G26" s="409" t="s">
        <v>401</v>
      </c>
      <c r="H26" s="409" t="s">
        <v>402</v>
      </c>
      <c r="I26" s="408"/>
      <c r="J26" s="416" t="s">
        <v>413</v>
      </c>
      <c r="K26" s="409" t="s">
        <v>401</v>
      </c>
      <c r="L26" s="409" t="s">
        <v>402</v>
      </c>
    </row>
    <row r="27" spans="1:12" x14ac:dyDescent="0.25">
      <c r="A27" s="410"/>
      <c r="B27" s="411" t="s">
        <v>404</v>
      </c>
      <c r="C27" s="412">
        <v>0</v>
      </c>
      <c r="D27" s="413">
        <v>0</v>
      </c>
      <c r="E27" s="408"/>
      <c r="F27" s="411" t="s">
        <v>405</v>
      </c>
      <c r="G27" s="412">
        <v>4</v>
      </c>
      <c r="H27" s="413">
        <v>7</v>
      </c>
      <c r="I27" s="408"/>
      <c r="J27" s="411" t="s">
        <v>406</v>
      </c>
      <c r="K27" s="412">
        <v>0</v>
      </c>
      <c r="L27" s="413">
        <v>0</v>
      </c>
    </row>
    <row r="28" spans="1:12" x14ac:dyDescent="0.25">
      <c r="A28" s="410"/>
      <c r="B28" s="411"/>
      <c r="C28" s="412"/>
      <c r="D28" s="413"/>
      <c r="E28" s="408"/>
      <c r="F28" s="411"/>
      <c r="G28" s="412"/>
      <c r="H28" s="413"/>
      <c r="I28" s="408"/>
      <c r="J28" s="411"/>
      <c r="K28" s="412"/>
      <c r="L28" s="413"/>
    </row>
    <row r="29" spans="1:12" x14ac:dyDescent="0.25">
      <c r="A29" s="410"/>
      <c r="B29" s="411" t="s">
        <v>408</v>
      </c>
      <c r="C29" s="412">
        <v>56</v>
      </c>
      <c r="D29" s="413">
        <v>100</v>
      </c>
      <c r="E29" s="408"/>
      <c r="F29" s="411" t="s">
        <v>408</v>
      </c>
      <c r="G29" s="412">
        <v>52</v>
      </c>
      <c r="H29" s="413">
        <v>93</v>
      </c>
      <c r="I29" s="408"/>
      <c r="J29" s="411" t="s">
        <v>408</v>
      </c>
      <c r="K29" s="412">
        <v>56</v>
      </c>
      <c r="L29" s="413">
        <v>100</v>
      </c>
    </row>
    <row r="30" spans="1:12" x14ac:dyDescent="0.25">
      <c r="A30" s="410"/>
      <c r="B30" s="408"/>
      <c r="C30" s="415"/>
      <c r="D30" s="415"/>
      <c r="E30" s="408"/>
      <c r="F30" s="408"/>
      <c r="G30" s="415"/>
      <c r="H30" s="415"/>
      <c r="I30" s="408"/>
      <c r="J30" s="408"/>
      <c r="K30" s="415"/>
      <c r="L30" s="415"/>
    </row>
    <row r="31" spans="1:12" x14ac:dyDescent="0.25">
      <c r="A31" s="408"/>
      <c r="B31" s="544" t="s">
        <v>414</v>
      </c>
      <c r="C31" s="544"/>
      <c r="D31" s="544"/>
      <c r="E31" s="544"/>
      <c r="F31" s="544"/>
      <c r="G31" s="544"/>
      <c r="H31" s="544"/>
      <c r="I31" s="544"/>
      <c r="J31" s="544"/>
      <c r="K31" s="544"/>
      <c r="L31" s="544"/>
    </row>
    <row r="32" spans="1:12" x14ac:dyDescent="0.25">
      <c r="A32" s="407">
        <v>6</v>
      </c>
      <c r="B32" s="416" t="s">
        <v>415</v>
      </c>
      <c r="C32" s="409" t="s">
        <v>401</v>
      </c>
      <c r="D32" s="409" t="s">
        <v>402</v>
      </c>
      <c r="E32" s="408"/>
      <c r="F32" s="416" t="s">
        <v>415</v>
      </c>
      <c r="G32" s="409" t="s">
        <v>401</v>
      </c>
      <c r="H32" s="409" t="s">
        <v>402</v>
      </c>
      <c r="I32" s="408"/>
      <c r="J32" s="416" t="s">
        <v>415</v>
      </c>
      <c r="K32" s="409" t="s">
        <v>401</v>
      </c>
      <c r="L32" s="409" t="s">
        <v>402</v>
      </c>
    </row>
    <row r="33" spans="1:12" x14ac:dyDescent="0.25">
      <c r="A33" s="410"/>
      <c r="B33" s="411" t="s">
        <v>404</v>
      </c>
      <c r="C33" s="412">
        <v>3</v>
      </c>
      <c r="D33" s="413">
        <v>50</v>
      </c>
      <c r="E33" s="408"/>
      <c r="F33" s="411" t="s">
        <v>405</v>
      </c>
      <c r="G33" s="412">
        <v>1</v>
      </c>
      <c r="H33" s="413">
        <v>17</v>
      </c>
      <c r="I33" s="408"/>
      <c r="J33" s="411" t="s">
        <v>406</v>
      </c>
      <c r="K33" s="412">
        <v>1</v>
      </c>
      <c r="L33" s="413">
        <v>17</v>
      </c>
    </row>
    <row r="34" spans="1:12" x14ac:dyDescent="0.25">
      <c r="A34" s="410"/>
      <c r="B34" s="411"/>
      <c r="C34" s="412"/>
      <c r="D34" s="413"/>
      <c r="E34" s="408"/>
      <c r="F34" s="411"/>
      <c r="G34" s="412"/>
      <c r="H34" s="413"/>
      <c r="I34" s="408">
        <f>8*(0.17+0.66)</f>
        <v>6.6400000000000006</v>
      </c>
      <c r="J34" s="411" t="s">
        <v>407</v>
      </c>
      <c r="K34" s="412">
        <v>4</v>
      </c>
      <c r="L34" s="413">
        <v>66</v>
      </c>
    </row>
    <row r="35" spans="1:12" x14ac:dyDescent="0.25">
      <c r="A35" s="410"/>
      <c r="B35" s="411" t="s">
        <v>408</v>
      </c>
      <c r="C35" s="412">
        <v>3</v>
      </c>
      <c r="D35" s="413">
        <v>50</v>
      </c>
      <c r="E35" s="408"/>
      <c r="F35" s="411" t="s">
        <v>408</v>
      </c>
      <c r="G35" s="412">
        <v>5</v>
      </c>
      <c r="H35" s="413">
        <v>83</v>
      </c>
      <c r="I35" s="408"/>
      <c r="J35" s="411" t="s">
        <v>408</v>
      </c>
      <c r="K35" s="412">
        <v>1</v>
      </c>
      <c r="L35" s="413">
        <v>17</v>
      </c>
    </row>
    <row r="38" spans="1:12" x14ac:dyDescent="0.25">
      <c r="B38" s="408" t="s">
        <v>416</v>
      </c>
      <c r="F38" s="408" t="s">
        <v>417</v>
      </c>
    </row>
  </sheetData>
  <mergeCells count="8">
    <mergeCell ref="B31:L31"/>
    <mergeCell ref="B19:L19"/>
    <mergeCell ref="B1:D1"/>
    <mergeCell ref="F1:H1"/>
    <mergeCell ref="J1:L1"/>
    <mergeCell ref="B7:L7"/>
    <mergeCell ref="B13:L13"/>
    <mergeCell ref="B25:L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0" tint="-0.249977111117893"/>
  </sheetPr>
  <dimension ref="A1:X103"/>
  <sheetViews>
    <sheetView topLeftCell="A37" zoomScaleNormal="100" workbookViewId="0">
      <selection activeCell="M66" sqref="M66"/>
    </sheetView>
  </sheetViews>
  <sheetFormatPr defaultColWidth="9.140625" defaultRowHeight="12.75" x14ac:dyDescent="0.2"/>
  <cols>
    <col min="1" max="1" width="37.42578125" style="18" customWidth="1"/>
    <col min="2" max="5" width="12.28515625" style="18" customWidth="1"/>
    <col min="6" max="6" width="40.28515625" style="18" customWidth="1"/>
    <col min="7" max="10" width="12.28515625" style="18" customWidth="1"/>
    <col min="11" max="11" width="36" style="18" customWidth="1"/>
    <col min="12" max="12" width="11.28515625" style="18" customWidth="1"/>
    <col min="13" max="13" width="11.42578125" style="18" customWidth="1"/>
    <col min="14" max="15" width="11.85546875" style="18" customWidth="1"/>
    <col min="16" max="16" width="9.140625" style="18"/>
    <col min="17" max="17" width="21" style="18" customWidth="1"/>
    <col min="18" max="18" width="10.7109375" style="18" customWidth="1"/>
    <col min="19" max="19" width="12.42578125" style="18" customWidth="1"/>
    <col min="20" max="20" width="12.5703125" style="18" customWidth="1"/>
    <col min="21" max="21" width="14.7109375" style="18" customWidth="1"/>
    <col min="22" max="16384" width="9.140625" style="18"/>
  </cols>
  <sheetData>
    <row r="1" spans="1:8" ht="15.75" x14ac:dyDescent="0.25">
      <c r="A1" s="45" t="s">
        <v>46</v>
      </c>
      <c r="B1" s="149" t="s">
        <v>289</v>
      </c>
      <c r="C1" s="153"/>
      <c r="D1" s="153"/>
      <c r="E1" s="153"/>
      <c r="F1" s="153"/>
      <c r="G1" s="153"/>
      <c r="H1" s="153"/>
    </row>
    <row r="2" spans="1:8" x14ac:dyDescent="0.2">
      <c r="A2" s="19" t="s">
        <v>182</v>
      </c>
      <c r="C2" s="20" t="s">
        <v>183</v>
      </c>
      <c r="D2" s="20" t="s">
        <v>184</v>
      </c>
    </row>
    <row r="3" spans="1:8" x14ac:dyDescent="0.2">
      <c r="A3" s="18" t="s">
        <v>185</v>
      </c>
      <c r="C3" s="21">
        <v>0</v>
      </c>
      <c r="D3" s="21">
        <v>0</v>
      </c>
    </row>
    <row r="4" spans="1:8" x14ac:dyDescent="0.2">
      <c r="A4" s="18" t="s">
        <v>186</v>
      </c>
      <c r="C4" s="21">
        <v>0</v>
      </c>
      <c r="D4" s="21">
        <v>0</v>
      </c>
    </row>
    <row r="5" spans="1:8" x14ac:dyDescent="0.2">
      <c r="A5" s="18" t="s">
        <v>187</v>
      </c>
      <c r="C5" s="21">
        <v>0</v>
      </c>
      <c r="D5" s="21">
        <v>0</v>
      </c>
    </row>
    <row r="6" spans="1:8" x14ac:dyDescent="0.2">
      <c r="A6" s="18" t="s">
        <v>188</v>
      </c>
      <c r="C6" s="21">
        <v>0</v>
      </c>
      <c r="D6" s="21">
        <v>0</v>
      </c>
    </row>
    <row r="7" spans="1:8" x14ac:dyDescent="0.2">
      <c r="A7" s="18" t="s">
        <v>189</v>
      </c>
      <c r="C7" s="21">
        <v>0</v>
      </c>
      <c r="D7" s="21">
        <v>1</v>
      </c>
    </row>
    <row r="8" spans="1:8" x14ac:dyDescent="0.2">
      <c r="A8" s="18" t="s">
        <v>190</v>
      </c>
      <c r="C8" s="21">
        <v>0</v>
      </c>
      <c r="D8" s="21">
        <v>0</v>
      </c>
    </row>
    <row r="9" spans="1:8" x14ac:dyDescent="0.2">
      <c r="A9" s="18" t="s">
        <v>191</v>
      </c>
      <c r="C9" s="21">
        <v>0</v>
      </c>
      <c r="D9" s="21">
        <v>0</v>
      </c>
    </row>
    <row r="10" spans="1:8" x14ac:dyDescent="0.2">
      <c r="A10" s="18" t="s">
        <v>192</v>
      </c>
      <c r="C10" s="21">
        <v>0</v>
      </c>
      <c r="D10" s="21">
        <v>0</v>
      </c>
    </row>
    <row r="12" spans="1:8" x14ac:dyDescent="0.2">
      <c r="A12" s="19" t="s">
        <v>193</v>
      </c>
    </row>
    <row r="13" spans="1:8" x14ac:dyDescent="0.2">
      <c r="A13" s="18" t="s">
        <v>194</v>
      </c>
      <c r="C13" s="18">
        <v>0</v>
      </c>
      <c r="D13" s="21">
        <v>0</v>
      </c>
    </row>
    <row r="14" spans="1:8" x14ac:dyDescent="0.2">
      <c r="A14" s="18" t="s">
        <v>195</v>
      </c>
      <c r="C14" s="18">
        <v>0</v>
      </c>
      <c r="D14" s="21">
        <v>0</v>
      </c>
    </row>
    <row r="15" spans="1:8" x14ac:dyDescent="0.2">
      <c r="A15" s="18" t="s">
        <v>196</v>
      </c>
      <c r="C15" s="18">
        <v>0</v>
      </c>
      <c r="D15" s="21">
        <v>0</v>
      </c>
    </row>
    <row r="16" spans="1:8" x14ac:dyDescent="0.2">
      <c r="A16" s="18" t="s">
        <v>197</v>
      </c>
      <c r="C16" s="18">
        <v>0</v>
      </c>
      <c r="D16" s="21">
        <v>0</v>
      </c>
    </row>
    <row r="17" spans="1:5" x14ac:dyDescent="0.2">
      <c r="A17" s="18" t="s">
        <v>198</v>
      </c>
      <c r="C17" s="18">
        <v>0</v>
      </c>
      <c r="D17" s="21">
        <v>0</v>
      </c>
    </row>
    <row r="19" spans="1:5" x14ac:dyDescent="0.2">
      <c r="A19" s="19" t="s">
        <v>199</v>
      </c>
    </row>
    <row r="20" spans="1:5" x14ac:dyDescent="0.2">
      <c r="A20" s="18" t="s">
        <v>200</v>
      </c>
      <c r="C20" s="18">
        <v>0</v>
      </c>
      <c r="D20" s="21">
        <v>0</v>
      </c>
    </row>
    <row r="21" spans="1:5" x14ac:dyDescent="0.2">
      <c r="A21" s="18" t="s">
        <v>201</v>
      </c>
      <c r="C21" s="18">
        <v>0</v>
      </c>
      <c r="D21" s="21">
        <v>0</v>
      </c>
    </row>
    <row r="23" spans="1:5" ht="15.75" x14ac:dyDescent="0.25">
      <c r="A23" s="45" t="s">
        <v>47</v>
      </c>
    </row>
    <row r="24" spans="1:5" x14ac:dyDescent="0.2">
      <c r="A24" s="18" t="s">
        <v>49</v>
      </c>
      <c r="B24" s="22" t="s">
        <v>50</v>
      </c>
      <c r="C24" s="22" t="s">
        <v>51</v>
      </c>
      <c r="D24" s="22" t="s">
        <v>52</v>
      </c>
      <c r="E24" s="20" t="s">
        <v>1</v>
      </c>
    </row>
    <row r="25" spans="1:5" x14ac:dyDescent="0.2">
      <c r="A25" s="18" t="s">
        <v>53</v>
      </c>
      <c r="B25" s="23">
        <v>2534.4</v>
      </c>
      <c r="C25" s="24">
        <v>0</v>
      </c>
      <c r="D25" s="24">
        <v>352</v>
      </c>
      <c r="E25" s="24">
        <v>2886.4</v>
      </c>
    </row>
    <row r="26" spans="1:5" x14ac:dyDescent="0.2">
      <c r="A26" s="18" t="s">
        <v>54</v>
      </c>
      <c r="B26" s="23">
        <v>8272</v>
      </c>
      <c r="C26" s="24">
        <v>0</v>
      </c>
      <c r="D26" s="24">
        <v>343.33600000000001</v>
      </c>
      <c r="E26" s="24">
        <v>8615.3359999999993</v>
      </c>
    </row>
    <row r="27" spans="1:5" x14ac:dyDescent="0.2">
      <c r="A27" s="18" t="s">
        <v>55</v>
      </c>
      <c r="B27" s="23">
        <v>0</v>
      </c>
      <c r="C27" s="24">
        <v>0</v>
      </c>
      <c r="D27" s="24">
        <v>17865</v>
      </c>
      <c r="E27" s="24">
        <v>17865</v>
      </c>
    </row>
    <row r="28" spans="1:5" x14ac:dyDescent="0.2">
      <c r="A28" s="18" t="s">
        <v>56</v>
      </c>
      <c r="B28" s="23">
        <v>0</v>
      </c>
      <c r="C28" s="24">
        <v>0</v>
      </c>
      <c r="D28" s="24">
        <v>95400</v>
      </c>
      <c r="E28" s="24">
        <v>95400</v>
      </c>
    </row>
    <row r="29" spans="1:5" x14ac:dyDescent="0.2">
      <c r="A29" s="18" t="s">
        <v>57</v>
      </c>
      <c r="B29" s="23">
        <v>6762.24</v>
      </c>
      <c r="C29" s="24">
        <v>0</v>
      </c>
      <c r="D29" s="24">
        <v>11978.5</v>
      </c>
      <c r="E29" s="24">
        <v>18740.739999999998</v>
      </c>
    </row>
    <row r="30" spans="1:5" x14ac:dyDescent="0.2">
      <c r="A30" s="18" t="s">
        <v>58</v>
      </c>
      <c r="B30" s="23">
        <v>2244.2399999999998</v>
      </c>
      <c r="C30" s="24">
        <v>33854.619999999995</v>
      </c>
      <c r="D30" s="24">
        <v>627.5</v>
      </c>
      <c r="E30" s="24">
        <v>36726.359999999993</v>
      </c>
    </row>
    <row r="31" spans="1:5" x14ac:dyDescent="0.2">
      <c r="A31" s="18" t="s">
        <v>59</v>
      </c>
      <c r="B31" s="25">
        <v>2570.4960000000001</v>
      </c>
      <c r="C31" s="26">
        <v>11981.068000000001</v>
      </c>
      <c r="D31" s="26">
        <v>692</v>
      </c>
      <c r="E31" s="26">
        <v>15243.564000000002</v>
      </c>
    </row>
    <row r="32" spans="1:5" x14ac:dyDescent="0.2">
      <c r="B32" s="24">
        <v>22383.375999999997</v>
      </c>
      <c r="C32" s="24">
        <v>45835.687999999995</v>
      </c>
      <c r="D32" s="24">
        <v>127258.336</v>
      </c>
      <c r="E32" s="24">
        <v>195477.39999999997</v>
      </c>
    </row>
    <row r="33" spans="1:8" x14ac:dyDescent="0.2">
      <c r="H33" s="24"/>
    </row>
    <row r="34" spans="1:8" x14ac:dyDescent="0.2">
      <c r="A34" s="18" t="s">
        <v>62</v>
      </c>
    </row>
    <row r="35" spans="1:8" x14ac:dyDescent="0.2">
      <c r="A35" s="18" t="s">
        <v>64</v>
      </c>
      <c r="B35" s="24">
        <v>10310.400000000001</v>
      </c>
      <c r="C35" s="24">
        <v>0</v>
      </c>
      <c r="D35" s="24">
        <v>999.99999999999977</v>
      </c>
      <c r="E35" s="24">
        <v>11310.400000000001</v>
      </c>
    </row>
    <row r="36" spans="1:8" x14ac:dyDescent="0.2">
      <c r="A36" s="18" t="s">
        <v>65</v>
      </c>
      <c r="B36" s="24">
        <v>885.14678399999991</v>
      </c>
      <c r="C36" s="24">
        <v>33484.552794499999</v>
      </c>
      <c r="D36" s="24">
        <v>0</v>
      </c>
      <c r="E36" s="24">
        <v>34369.699578499996</v>
      </c>
    </row>
    <row r="37" spans="1:8" x14ac:dyDescent="0.2">
      <c r="A37" s="18" t="s">
        <v>66</v>
      </c>
      <c r="B37" s="24">
        <v>0</v>
      </c>
      <c r="C37" s="24">
        <v>0</v>
      </c>
      <c r="D37" s="24">
        <v>0</v>
      </c>
      <c r="E37" s="24">
        <v>0</v>
      </c>
    </row>
    <row r="38" spans="1:8" x14ac:dyDescent="0.2">
      <c r="A38" s="18" t="s">
        <v>67</v>
      </c>
      <c r="B38" s="24">
        <v>0</v>
      </c>
      <c r="C38" s="24">
        <v>0</v>
      </c>
      <c r="D38" s="24">
        <v>0</v>
      </c>
      <c r="E38" s="24">
        <v>0</v>
      </c>
    </row>
    <row r="39" spans="1:8" x14ac:dyDescent="0.2">
      <c r="A39" s="18" t="s">
        <v>68</v>
      </c>
      <c r="B39" s="24">
        <v>1163.52</v>
      </c>
      <c r="C39" s="24">
        <v>0</v>
      </c>
      <c r="D39" s="24">
        <v>15881.25</v>
      </c>
      <c r="E39" s="24">
        <v>17044.77</v>
      </c>
    </row>
    <row r="40" spans="1:8" x14ac:dyDescent="0.2">
      <c r="A40" s="18" t="s">
        <v>69</v>
      </c>
      <c r="B40" s="24">
        <v>1252.8</v>
      </c>
      <c r="C40" s="24">
        <v>0</v>
      </c>
      <c r="D40" s="24">
        <v>160</v>
      </c>
      <c r="E40" s="24">
        <v>1412.8</v>
      </c>
    </row>
    <row r="41" spans="1:8" x14ac:dyDescent="0.2">
      <c r="A41" s="18" t="s">
        <v>70</v>
      </c>
      <c r="B41" s="24">
        <v>2074.3199999999997</v>
      </c>
      <c r="C41" s="24">
        <v>0</v>
      </c>
      <c r="D41" s="24">
        <v>2980</v>
      </c>
      <c r="E41" s="24">
        <v>5054.32</v>
      </c>
    </row>
    <row r="42" spans="1:8" x14ac:dyDescent="0.2">
      <c r="A42" s="18" t="s">
        <v>71</v>
      </c>
      <c r="B42" s="26">
        <v>3187.3927423999994</v>
      </c>
      <c r="C42" s="26">
        <v>6527.0019711999994</v>
      </c>
      <c r="D42" s="26">
        <v>18121.5870464</v>
      </c>
      <c r="E42" s="26">
        <v>27835.981759999999</v>
      </c>
    </row>
    <row r="44" spans="1:8" x14ac:dyDescent="0.2">
      <c r="A44" s="18" t="s">
        <v>72</v>
      </c>
      <c r="B44" s="24">
        <v>15686.186784000001</v>
      </c>
      <c r="C44" s="24">
        <v>33484.552794499999</v>
      </c>
      <c r="D44" s="24">
        <v>20021.25</v>
      </c>
      <c r="E44" s="24">
        <v>69191.989578500012</v>
      </c>
    </row>
    <row r="45" spans="1:8" x14ac:dyDescent="0.2">
      <c r="A45" s="18" t="s">
        <v>73</v>
      </c>
      <c r="B45" s="24">
        <v>18873.579526400001</v>
      </c>
      <c r="C45" s="24">
        <v>40011.554765699999</v>
      </c>
      <c r="D45" s="24">
        <v>38142.837046400004</v>
      </c>
      <c r="E45" s="24">
        <v>97027.971338500007</v>
      </c>
    </row>
    <row r="49" spans="1:15" x14ac:dyDescent="0.2">
      <c r="F49" s="46"/>
      <c r="K49" s="82"/>
    </row>
    <row r="50" spans="1:15" ht="15.75" x14ac:dyDescent="0.25">
      <c r="A50" s="45" t="s">
        <v>263</v>
      </c>
    </row>
    <row r="51" spans="1:15" x14ac:dyDescent="0.2">
      <c r="A51" s="47" t="s">
        <v>206</v>
      </c>
      <c r="B51" s="48"/>
      <c r="C51" s="48"/>
      <c r="D51" s="48"/>
      <c r="E51" s="49"/>
      <c r="F51" s="47" t="s">
        <v>207</v>
      </c>
      <c r="G51" s="48"/>
      <c r="H51" s="48"/>
      <c r="I51" s="48"/>
      <c r="J51" s="49"/>
      <c r="K51" s="47" t="s">
        <v>208</v>
      </c>
      <c r="L51" s="48"/>
      <c r="M51" s="48"/>
      <c r="N51" s="48"/>
      <c r="O51" s="49"/>
    </row>
    <row r="52" spans="1:15" x14ac:dyDescent="0.2">
      <c r="A52" s="27"/>
      <c r="B52" s="29"/>
      <c r="C52" s="29"/>
      <c r="D52" s="29"/>
      <c r="E52" s="30"/>
      <c r="F52" s="50"/>
      <c r="G52" s="29"/>
      <c r="H52" s="29"/>
      <c r="I52" s="29"/>
      <c r="J52" s="30"/>
      <c r="K52" s="27"/>
      <c r="L52" s="35"/>
      <c r="M52" s="29"/>
      <c r="N52" s="29"/>
      <c r="O52" s="56"/>
    </row>
    <row r="53" spans="1:15" x14ac:dyDescent="0.2">
      <c r="A53" s="50" t="s">
        <v>49</v>
      </c>
      <c r="B53" s="28" t="s">
        <v>50</v>
      </c>
      <c r="C53" s="28" t="s">
        <v>51</v>
      </c>
      <c r="D53" s="28" t="s">
        <v>52</v>
      </c>
      <c r="E53" s="54" t="s">
        <v>1</v>
      </c>
      <c r="F53" s="50" t="s">
        <v>49</v>
      </c>
      <c r="G53" s="28" t="s">
        <v>50</v>
      </c>
      <c r="H53" s="28" t="s">
        <v>51</v>
      </c>
      <c r="I53" s="28" t="s">
        <v>52</v>
      </c>
      <c r="J53" s="54" t="s">
        <v>1</v>
      </c>
      <c r="K53" s="50" t="s">
        <v>49</v>
      </c>
      <c r="L53" s="35" t="s">
        <v>50</v>
      </c>
      <c r="M53" s="35" t="s">
        <v>51</v>
      </c>
      <c r="N53" s="35" t="s">
        <v>52</v>
      </c>
      <c r="O53" s="56" t="s">
        <v>1</v>
      </c>
    </row>
    <row r="54" spans="1:15" x14ac:dyDescent="0.2">
      <c r="A54" s="50" t="s">
        <v>53</v>
      </c>
      <c r="B54" s="31">
        <f>'HCl 1 monitor_2015'!B164</f>
        <v>2534.4</v>
      </c>
      <c r="C54" s="31">
        <f>'HCl 1 monitor_2015'!C164</f>
        <v>0</v>
      </c>
      <c r="D54" s="31">
        <f>'HCl 1 monitor_2015'!D164</f>
        <v>352</v>
      </c>
      <c r="E54" s="34">
        <v>2886.4</v>
      </c>
      <c r="F54" s="50" t="s">
        <v>53</v>
      </c>
      <c r="G54" s="31">
        <f>AVERAGE('PM 1 monitor_2015'!B164,'PM beta 1 monitor_2015'!B164,'PM extractive_2015'!B164)</f>
        <v>806.4</v>
      </c>
      <c r="H54" s="31">
        <v>0</v>
      </c>
      <c r="I54" s="31">
        <f>'PM 1 monitor_2015'!D164</f>
        <v>0</v>
      </c>
      <c r="J54" s="34">
        <f t="shared" ref="J54:J60" si="0">SUM(G54:I54)</f>
        <v>806.4</v>
      </c>
      <c r="K54" s="50" t="s">
        <v>53</v>
      </c>
      <c r="L54" s="31">
        <f>'Hg 1 monitor_2015'!B164</f>
        <v>2534.4</v>
      </c>
      <c r="M54" s="31">
        <f>'Hg 1 monitor_2015'!C164</f>
        <v>0</v>
      </c>
      <c r="N54" s="31">
        <f>'Hg 1 monitor_2015'!D164</f>
        <v>352</v>
      </c>
      <c r="O54" s="34">
        <f t="shared" ref="O54:O61" si="1">SUM(L54:N54)</f>
        <v>2886.4</v>
      </c>
    </row>
    <row r="55" spans="1:15" x14ac:dyDescent="0.2">
      <c r="A55" s="50" t="s">
        <v>54</v>
      </c>
      <c r="B55" s="31">
        <f>'HCl 1 monitor_2015'!B165</f>
        <v>8272</v>
      </c>
      <c r="C55" s="31">
        <f>'HCl 1 monitor_2015'!C165</f>
        <v>0</v>
      </c>
      <c r="D55" s="31">
        <f>'HCl 1 monitor_2015'!D165</f>
        <v>343.33600000000001</v>
      </c>
      <c r="E55" s="34">
        <v>8615.3359999999993</v>
      </c>
      <c r="F55" s="50" t="s">
        <v>54</v>
      </c>
      <c r="G55" s="31">
        <f>'PM 1 monitor_2015'!B165</f>
        <v>4224</v>
      </c>
      <c r="H55" s="31">
        <v>0</v>
      </c>
      <c r="I55" s="31">
        <f>AVERAGE('PM 1 monitor_2015'!D165,'PM beta 1 monitor_2015'!D165,'PM extractive_2015'!D165)</f>
        <v>343.33600000000001</v>
      </c>
      <c r="J55" s="34">
        <f t="shared" si="0"/>
        <v>4567.3360000000002</v>
      </c>
      <c r="K55" s="50" t="s">
        <v>54</v>
      </c>
      <c r="L55" s="31">
        <f>'Hg 1 monitor_2015'!B165</f>
        <v>8272</v>
      </c>
      <c r="M55" s="31">
        <f>'Hg 1 monitor_2015'!C165</f>
        <v>0</v>
      </c>
      <c r="N55" s="31">
        <f>'Hg 1 monitor_2015'!D165</f>
        <v>343.33600000000001</v>
      </c>
      <c r="O55" s="34">
        <f t="shared" si="1"/>
        <v>8615.3359999999993</v>
      </c>
    </row>
    <row r="56" spans="1:15" x14ac:dyDescent="0.2">
      <c r="A56" s="50" t="s">
        <v>55</v>
      </c>
      <c r="B56" s="31">
        <f>'HCl 1 monitor_2015'!B166</f>
        <v>0</v>
      </c>
      <c r="C56" s="31">
        <f>'HCl 1 monitor_2015'!C166</f>
        <v>0</v>
      </c>
      <c r="D56" s="31">
        <f>'HCl 1 monitor_2015'!D166</f>
        <v>17865</v>
      </c>
      <c r="E56" s="34">
        <v>17865</v>
      </c>
      <c r="F56" s="50" t="s">
        <v>55</v>
      </c>
      <c r="G56" s="31">
        <v>0</v>
      </c>
      <c r="H56" s="31">
        <v>0</v>
      </c>
      <c r="I56" s="31">
        <f>AVERAGE('PM 1 monitor_2015'!D166,'PM beta 1 monitor_2015'!D166,'PM extractive_2015'!D166)</f>
        <v>365</v>
      </c>
      <c r="J56" s="34">
        <f t="shared" si="0"/>
        <v>365</v>
      </c>
      <c r="K56" s="50" t="s">
        <v>55</v>
      </c>
      <c r="L56" s="31">
        <f>'Hg 1 monitor_2015'!B166</f>
        <v>0</v>
      </c>
      <c r="M56" s="31">
        <f>'Hg 1 monitor_2015'!C166</f>
        <v>0</v>
      </c>
      <c r="N56" s="31">
        <f>'Hg 1 monitor_2015'!D166</f>
        <v>17865</v>
      </c>
      <c r="O56" s="34">
        <f t="shared" si="1"/>
        <v>17865</v>
      </c>
    </row>
    <row r="57" spans="1:15" x14ac:dyDescent="0.2">
      <c r="A57" s="50" t="s">
        <v>56</v>
      </c>
      <c r="B57" s="31">
        <f>'HCl 1 monitor_2015'!B167</f>
        <v>0</v>
      </c>
      <c r="C57" s="31">
        <f>'HCl 1 monitor_2015'!C167</f>
        <v>0</v>
      </c>
      <c r="D57" s="31">
        <f>'HCl 1 monitor_2015'!D167</f>
        <v>45145.4</v>
      </c>
      <c r="E57" s="34">
        <v>45145.4</v>
      </c>
      <c r="F57" s="50" t="s">
        <v>56</v>
      </c>
      <c r="G57" s="31">
        <v>0</v>
      </c>
      <c r="H57" s="31">
        <v>0</v>
      </c>
      <c r="I57" s="31">
        <f>'PM 1 monitor_2015'!E167</f>
        <v>30952</v>
      </c>
      <c r="J57" s="34">
        <f t="shared" si="0"/>
        <v>30952</v>
      </c>
      <c r="K57" s="50" t="s">
        <v>56</v>
      </c>
      <c r="L57" s="31">
        <f>'Hg 1 monitor_2015'!B167</f>
        <v>0</v>
      </c>
      <c r="M57" s="31">
        <f>'Hg 1 monitor_2015'!C167</f>
        <v>0</v>
      </c>
      <c r="N57" s="81">
        <v>98451</v>
      </c>
      <c r="O57" s="34">
        <f t="shared" si="1"/>
        <v>98451</v>
      </c>
    </row>
    <row r="58" spans="1:15" x14ac:dyDescent="0.2">
      <c r="A58" s="50" t="s">
        <v>57</v>
      </c>
      <c r="B58" s="31">
        <f>'HCl 1 monitor_2015'!B168</f>
        <v>4818.24</v>
      </c>
      <c r="C58" s="31">
        <f>'HCl 1 monitor_2015'!C168</f>
        <v>0</v>
      </c>
      <c r="D58" s="31">
        <f>'HCl 1 monitor_2015'!D168</f>
        <v>11978.5</v>
      </c>
      <c r="E58" s="34">
        <v>16796.739999999998</v>
      </c>
      <c r="F58" s="50" t="s">
        <v>57</v>
      </c>
      <c r="G58" s="31">
        <f>'PM 1 monitor_2015'!B168</f>
        <v>2419.1999999999998</v>
      </c>
      <c r="H58" s="31">
        <v>0</v>
      </c>
      <c r="I58" s="31">
        <f>'PM 1 monitor_2015'!D168</f>
        <v>12019.375</v>
      </c>
      <c r="J58" s="34">
        <f t="shared" si="0"/>
        <v>14438.575000000001</v>
      </c>
      <c r="K58" s="50" t="s">
        <v>57</v>
      </c>
      <c r="L58" s="31">
        <f>'Hg 1 monitor_2015'!B168</f>
        <v>6762.24</v>
      </c>
      <c r="M58" s="31">
        <f>'Hg 1 monitor_2015'!C168</f>
        <v>0</v>
      </c>
      <c r="N58" s="31">
        <f>'Hg 1 monitor_2015'!D168</f>
        <v>11978.5</v>
      </c>
      <c r="O58" s="34">
        <f t="shared" si="1"/>
        <v>18740.739999999998</v>
      </c>
    </row>
    <row r="59" spans="1:15" x14ac:dyDescent="0.2">
      <c r="A59" s="50" t="s">
        <v>58</v>
      </c>
      <c r="B59" s="31">
        <f>'HCl 1 monitor_2015'!B169</f>
        <v>2129.04</v>
      </c>
      <c r="C59" s="31">
        <f>'HCl 1 monitor_2015'!C169</f>
        <v>8463.1949999999997</v>
      </c>
      <c r="D59" s="31">
        <f>'HCl 1 monitor_2015'!D169</f>
        <v>502.5</v>
      </c>
      <c r="E59" s="34">
        <v>11094.735000000001</v>
      </c>
      <c r="F59" s="50" t="s">
        <v>58</v>
      </c>
      <c r="G59" s="39">
        <f>L59</f>
        <v>2244.2399999999998</v>
      </c>
      <c r="H59" s="39">
        <f>'HCl 1 monitor_2015'!C169</f>
        <v>8463.1949999999997</v>
      </c>
      <c r="I59" s="31">
        <f>AVERAGE('PM 1 monitor_2015'!D169,'PM beta 1 monitor_2015'!D169,'PM extractive_2015'!D169)</f>
        <v>692.5</v>
      </c>
      <c r="J59" s="79">
        <f t="shared" si="0"/>
        <v>11399.934999999999</v>
      </c>
      <c r="K59" s="50" t="s">
        <v>58</v>
      </c>
      <c r="L59" s="31">
        <f>'Hg 1 monitor_2015'!B169</f>
        <v>2244.2399999999998</v>
      </c>
      <c r="M59" s="81">
        <v>20006</v>
      </c>
      <c r="N59" s="31">
        <f>'Hg 1 monitor_2015'!D169</f>
        <v>627.5</v>
      </c>
      <c r="O59" s="34">
        <f t="shared" si="1"/>
        <v>22877.739999999998</v>
      </c>
    </row>
    <row r="60" spans="1:15" x14ac:dyDescent="0.2">
      <c r="A60" s="50" t="s">
        <v>59</v>
      </c>
      <c r="B60" s="32">
        <f>'HCl 1 monitor_2015'!B170</f>
        <v>2570.4960000000001</v>
      </c>
      <c r="C60" s="32">
        <f>'HCl 1 monitor_2015'!C170</f>
        <v>11981.068000000001</v>
      </c>
      <c r="D60" s="32">
        <f>'HCl 1 monitor_2015'!D170</f>
        <v>692</v>
      </c>
      <c r="E60" s="55">
        <v>15243.564000000002</v>
      </c>
      <c r="F60" s="50" t="s">
        <v>59</v>
      </c>
      <c r="G60" s="32">
        <f>AVERAGE('PM 1 monitor_2015'!B170,'PM beta 1 monitor_2015'!B170,'PM extractive_2015'!B170)</f>
        <v>2305.5360000000001</v>
      </c>
      <c r="H60" s="32">
        <f>AVERAGE('PM 1 monitor_2015'!C170,'PM beta 1 monitor_2015'!C170,'PM extractive_2015'!C170)</f>
        <v>10444.093000000001</v>
      </c>
      <c r="I60" s="31">
        <f>AVERAGE('PM 1 monitor_2015'!D170,'PM beta 1 monitor_2015'!D170,'PM extractive_2015'!D170)</f>
        <v>692</v>
      </c>
      <c r="J60" s="34">
        <f t="shared" si="0"/>
        <v>13441.629000000001</v>
      </c>
      <c r="K60" s="50" t="s">
        <v>59</v>
      </c>
      <c r="L60" s="31">
        <f>'Hg 1 monitor_2015'!B170</f>
        <v>2570.4960000000001</v>
      </c>
      <c r="M60" s="31">
        <f>'Hg 1 monitor_2015'!C170</f>
        <v>11981.068000000001</v>
      </c>
      <c r="N60" s="31">
        <f>'Hg 1 monitor_2015'!D170</f>
        <v>692</v>
      </c>
      <c r="O60" s="34">
        <f t="shared" si="1"/>
        <v>15243.564000000002</v>
      </c>
    </row>
    <row r="61" spans="1:15" x14ac:dyDescent="0.2">
      <c r="A61" s="50"/>
      <c r="B61" s="31">
        <f>SUM(B54:B60)</f>
        <v>20324.175999999999</v>
      </c>
      <c r="C61" s="31">
        <f>SUM(C54:C60)</f>
        <v>20444.262999999999</v>
      </c>
      <c r="D61" s="31">
        <f>SUM(D54:D60)</f>
        <v>76878.736000000004</v>
      </c>
      <c r="E61" s="31">
        <f>SUM(E54:E60)</f>
        <v>117647.17499999999</v>
      </c>
      <c r="F61" s="50"/>
      <c r="G61" s="39">
        <f>SUM(G54:G60)</f>
        <v>11999.376</v>
      </c>
      <c r="H61" s="39">
        <f>SUM(H54:H60)</f>
        <v>18907.288</v>
      </c>
      <c r="I61" s="31">
        <f>SUM(I54:I60)</f>
        <v>45064.210999999996</v>
      </c>
      <c r="J61" s="39">
        <f>SUM(J54:J60)</f>
        <v>75970.875</v>
      </c>
      <c r="K61" s="50"/>
      <c r="L61" s="31">
        <f>SUM(L54:L60)</f>
        <v>22383.375999999997</v>
      </c>
      <c r="M61" s="39">
        <f>SUM(M54:M60)</f>
        <v>31987.067999999999</v>
      </c>
      <c r="N61" s="39">
        <f>SUM(N54:N60)</f>
        <v>130309.336</v>
      </c>
      <c r="O61" s="34">
        <f t="shared" si="1"/>
        <v>184679.78</v>
      </c>
    </row>
    <row r="62" spans="1:15" x14ac:dyDescent="0.2">
      <c r="A62" s="53" t="s">
        <v>60</v>
      </c>
      <c r="B62" s="31">
        <f>B61+B72</f>
        <v>23218.338662399998</v>
      </c>
      <c r="C62" s="31">
        <f>C61+C72</f>
        <v>23355.526051199999</v>
      </c>
      <c r="D62" s="31">
        <f>D61+D72</f>
        <v>87826.268006400001</v>
      </c>
      <c r="E62" s="56"/>
      <c r="F62" s="53" t="s">
        <v>60</v>
      </c>
      <c r="G62" s="39">
        <f>G61+G72</f>
        <v>13906.7180544</v>
      </c>
      <c r="H62" s="39">
        <f>H61+H72</f>
        <v>24163.839891200001</v>
      </c>
      <c r="I62" s="31">
        <f>I61+I72</f>
        <v>51481.354646399996</v>
      </c>
      <c r="J62" s="56"/>
      <c r="K62" s="53" t="s">
        <v>60</v>
      </c>
      <c r="L62" s="31">
        <f>L61+L72</f>
        <v>25570.768742399996</v>
      </c>
      <c r="M62" s="39">
        <f>M61+M72</f>
        <v>38514.069971199999</v>
      </c>
      <c r="N62" s="39">
        <f>N61+N72</f>
        <v>148430.92304639998</v>
      </c>
      <c r="O62" s="34"/>
    </row>
    <row r="63" spans="1:15" x14ac:dyDescent="0.2">
      <c r="A63" s="53" t="s">
        <v>61</v>
      </c>
      <c r="B63" s="31">
        <f>B62+D62</f>
        <v>111044.6066688</v>
      </c>
      <c r="C63" s="35"/>
      <c r="D63" s="31"/>
      <c r="E63" s="56"/>
      <c r="F63" s="53" t="s">
        <v>61</v>
      </c>
      <c r="G63" s="39">
        <f>G62+I62</f>
        <v>65388.072700799996</v>
      </c>
      <c r="H63" s="31"/>
      <c r="I63" s="31"/>
      <c r="J63" s="56"/>
      <c r="K63" s="53" t="s">
        <v>61</v>
      </c>
      <c r="L63" s="39">
        <f>L62+N62</f>
        <v>174001.69178879997</v>
      </c>
      <c r="M63" s="31"/>
      <c r="N63" s="31"/>
      <c r="O63" s="34"/>
    </row>
    <row r="64" spans="1:15" x14ac:dyDescent="0.2">
      <c r="A64" s="50" t="s">
        <v>62</v>
      </c>
      <c r="B64" s="35"/>
      <c r="C64" s="35"/>
      <c r="D64" s="35"/>
      <c r="E64" s="56"/>
      <c r="F64" s="50" t="s">
        <v>62</v>
      </c>
      <c r="G64" s="35"/>
      <c r="H64" s="35"/>
      <c r="I64" s="35"/>
      <c r="J64" s="56"/>
      <c r="K64" s="50" t="s">
        <v>63</v>
      </c>
      <c r="L64" s="31"/>
      <c r="M64" s="31"/>
      <c r="N64" s="31"/>
      <c r="O64" s="34"/>
    </row>
    <row r="65" spans="1:22" x14ac:dyDescent="0.2">
      <c r="A65" s="50" t="s">
        <v>64</v>
      </c>
      <c r="B65" s="31">
        <f>'HCl 1 monitor_2015'!B174</f>
        <v>5532.48</v>
      </c>
      <c r="C65" s="31">
        <f>'HCl 1 monitor_2015'!C174</f>
        <v>0</v>
      </c>
      <c r="D65" s="31">
        <f>'HCl 1 monitor_2015'!D174</f>
        <v>999.99999999999977</v>
      </c>
      <c r="E65" s="34">
        <v>6532.48</v>
      </c>
      <c r="F65" s="50" t="s">
        <v>64</v>
      </c>
      <c r="G65" s="31">
        <f>'PM 1 monitor_2015'!B174</f>
        <v>1036.8000000000002</v>
      </c>
      <c r="H65" s="31">
        <f>'PM 1 monitor_2015'!C174</f>
        <v>0</v>
      </c>
      <c r="I65" s="31">
        <f>'PM 1 monitor_2015'!D174</f>
        <v>0</v>
      </c>
      <c r="J65" s="34">
        <f t="shared" ref="J65:J72" si="2">SUM(G65:I65)</f>
        <v>1036.8000000000002</v>
      </c>
      <c r="K65" s="50" t="s">
        <v>64</v>
      </c>
      <c r="L65" s="81">
        <v>28000</v>
      </c>
      <c r="M65" s="31">
        <v>0</v>
      </c>
      <c r="N65" s="81">
        <v>32000</v>
      </c>
      <c r="O65" s="34">
        <f>SUM(L65:N65)</f>
        <v>60000</v>
      </c>
    </row>
    <row r="66" spans="1:22" x14ac:dyDescent="0.2">
      <c r="A66" s="50" t="s">
        <v>65</v>
      </c>
      <c r="B66" s="31">
        <f>'HCl 1 monitor_2015'!B175</f>
        <v>885.14678399999991</v>
      </c>
      <c r="C66" s="31">
        <f>'HCl 1 monitor_2015'!C175</f>
        <v>8020.6777944999994</v>
      </c>
      <c r="D66" s="31">
        <f>'HCl 1 monitor_2015'!D175</f>
        <v>0</v>
      </c>
      <c r="E66" s="34">
        <v>8905.8245784999999</v>
      </c>
      <c r="F66" s="50" t="s">
        <v>65</v>
      </c>
      <c r="G66" s="39">
        <f>'HCl 1 monitor_2015'!B175/2</f>
        <v>442.57339199999996</v>
      </c>
      <c r="H66" s="39">
        <v>0</v>
      </c>
      <c r="I66" s="39">
        <v>0</v>
      </c>
      <c r="J66" s="34">
        <f t="shared" si="2"/>
        <v>442.57339199999996</v>
      </c>
      <c r="K66" s="50" t="s">
        <v>65</v>
      </c>
      <c r="L66" s="31">
        <f>'Hg 1 monitor_2015'!B175</f>
        <v>885.14678399999991</v>
      </c>
      <c r="M66" s="81">
        <v>20006</v>
      </c>
      <c r="N66" s="31">
        <v>0</v>
      </c>
      <c r="O66" s="79">
        <f>SUM(L66:N66)</f>
        <v>20891.146784</v>
      </c>
    </row>
    <row r="67" spans="1:22" x14ac:dyDescent="0.2">
      <c r="A67" s="50" t="s">
        <v>66</v>
      </c>
      <c r="B67" s="31">
        <f>'HCl 1 monitor_2015'!B176</f>
        <v>0</v>
      </c>
      <c r="C67" s="31">
        <f>'HCl 1 monitor_2015'!C176</f>
        <v>0</v>
      </c>
      <c r="D67" s="31">
        <f>'HCl 1 monitor_2015'!D176</f>
        <v>0</v>
      </c>
      <c r="E67" s="34">
        <v>0</v>
      </c>
      <c r="F67" s="50" t="s">
        <v>66</v>
      </c>
      <c r="G67" s="31">
        <f>'PM 1 monitor_2015'!B176</f>
        <v>388.62815999999998</v>
      </c>
      <c r="H67" s="31">
        <f>'PM 1 monitor_2015'!C176</f>
        <v>5691.8063199999997</v>
      </c>
      <c r="I67" s="31">
        <f>'PM 1 monitor_2015'!D176</f>
        <v>19.055</v>
      </c>
      <c r="J67" s="34">
        <f t="shared" si="2"/>
        <v>6099.4894800000002</v>
      </c>
      <c r="K67" s="50" t="s">
        <v>66</v>
      </c>
      <c r="L67" s="31">
        <f>'Hg 1 monitor_2015'!B176</f>
        <v>0</v>
      </c>
      <c r="M67" s="31">
        <v>0</v>
      </c>
      <c r="N67" s="31">
        <v>0</v>
      </c>
      <c r="O67" s="79">
        <f t="shared" ref="O67:O68" si="3">SUM(L67:N67)</f>
        <v>0</v>
      </c>
    </row>
    <row r="68" spans="1:22" x14ac:dyDescent="0.2">
      <c r="A68" s="50" t="s">
        <v>67</v>
      </c>
      <c r="B68" s="31">
        <f>'HCl 1 monitor_2015'!B177</f>
        <v>0</v>
      </c>
      <c r="C68" s="31">
        <f>'HCl 1 monitor_2015'!C177</f>
        <v>0</v>
      </c>
      <c r="D68" s="31">
        <f>'HCl 1 monitor_2015'!D177</f>
        <v>0</v>
      </c>
      <c r="E68" s="34">
        <v>0</v>
      </c>
      <c r="F68" s="50" t="s">
        <v>67</v>
      </c>
      <c r="G68" s="31">
        <f>'PM 1 monitor_2015'!B177</f>
        <v>816</v>
      </c>
      <c r="H68" s="31">
        <f>'PM 1 monitor_2015'!C177</f>
        <v>9830.1999999999989</v>
      </c>
      <c r="I68" s="31">
        <f>'PM 1 monitor_2015'!D177</f>
        <v>50</v>
      </c>
      <c r="J68" s="34">
        <f t="shared" si="2"/>
        <v>10696.199999999999</v>
      </c>
      <c r="K68" s="50" t="s">
        <v>67</v>
      </c>
      <c r="L68" s="31">
        <f>'Hg 1 monitor_2015'!B177</f>
        <v>0</v>
      </c>
      <c r="M68" s="31">
        <v>0</v>
      </c>
      <c r="N68" s="31">
        <v>0</v>
      </c>
      <c r="O68" s="79">
        <f t="shared" si="3"/>
        <v>0</v>
      </c>
    </row>
    <row r="69" spans="1:22" x14ac:dyDescent="0.2">
      <c r="A69" s="50" t="s">
        <v>68</v>
      </c>
      <c r="B69" s="31">
        <f>'HCl 1 monitor_2015'!B178</f>
        <v>1284.48</v>
      </c>
      <c r="C69" s="31">
        <f>'HCl 1 monitor_2015'!C178</f>
        <v>0</v>
      </c>
      <c r="D69" s="31">
        <f>'HCl 1 monitor_2015'!D178</f>
        <v>1068.75</v>
      </c>
      <c r="E69" s="34">
        <v>2353.23</v>
      </c>
      <c r="F69" s="50" t="s">
        <v>68</v>
      </c>
      <c r="G69" s="31">
        <f>'PM 1 monitor_2015'!B178</f>
        <v>585.61487999999997</v>
      </c>
      <c r="H69" s="31">
        <f>'PM 1 monitor_2015'!C178</f>
        <v>0</v>
      </c>
      <c r="I69" s="31">
        <f>'PM 1 monitor_2015'!D178</f>
        <v>620</v>
      </c>
      <c r="J69" s="34">
        <f t="shared" si="2"/>
        <v>1205.6148800000001</v>
      </c>
      <c r="K69" s="50" t="s">
        <v>68</v>
      </c>
      <c r="L69" s="31">
        <f>'Hg 1 monitor_2015'!B178</f>
        <v>1163.52</v>
      </c>
      <c r="M69" s="31">
        <v>0</v>
      </c>
      <c r="N69" s="31">
        <f>'Hg 1 monitor_2015'!D178</f>
        <v>15881.25</v>
      </c>
      <c r="O69" s="34">
        <f>SUM(L69:N69)</f>
        <v>17044.77</v>
      </c>
    </row>
    <row r="70" spans="1:22" x14ac:dyDescent="0.2">
      <c r="A70" s="50" t="s">
        <v>69</v>
      </c>
      <c r="B70" s="31">
        <f>'HCl 1 monitor_2015'!B179</f>
        <v>1252.8</v>
      </c>
      <c r="C70" s="31">
        <f>'HCl 1 monitor_2015'!C179</f>
        <v>0</v>
      </c>
      <c r="D70" s="31">
        <f>'HCl 1 monitor_2015'!D179</f>
        <v>160</v>
      </c>
      <c r="E70" s="34">
        <v>1412.8</v>
      </c>
      <c r="F70" s="50" t="s">
        <v>69</v>
      </c>
      <c r="G70" s="31">
        <f>'PM 1 monitor_2015'!B179</f>
        <v>5448</v>
      </c>
      <c r="H70" s="31">
        <f>'PM 1 monitor_2015'!C179</f>
        <v>0</v>
      </c>
      <c r="I70" s="31">
        <f>'PM 1 monitor_2015'!D179</f>
        <v>40</v>
      </c>
      <c r="J70" s="34">
        <f t="shared" si="2"/>
        <v>5488</v>
      </c>
      <c r="K70" s="50" t="s">
        <v>69</v>
      </c>
      <c r="L70" s="31">
        <f>'Hg 1 monitor_2015'!B179</f>
        <v>1252.8</v>
      </c>
      <c r="M70" s="31">
        <v>0</v>
      </c>
      <c r="N70" s="31">
        <f>'Hg 1 monitor_2015'!D179</f>
        <v>160</v>
      </c>
      <c r="O70" s="34">
        <f>SUM(L70:N70)</f>
        <v>1412.8</v>
      </c>
    </row>
    <row r="71" spans="1:22" x14ac:dyDescent="0.2">
      <c r="A71" s="50" t="s">
        <v>70</v>
      </c>
      <c r="B71" s="31">
        <f>'HCl 1 monitor_2015'!B180</f>
        <v>2074.3199999999997</v>
      </c>
      <c r="C71" s="31">
        <f>'HCl 1 monitor_2015'!C180</f>
        <v>0</v>
      </c>
      <c r="D71" s="31">
        <f>'HCl 1 monitor_2015'!D180</f>
        <v>1519</v>
      </c>
      <c r="E71" s="34">
        <v>3593.3199999999997</v>
      </c>
      <c r="F71" s="50" t="s">
        <v>70</v>
      </c>
      <c r="G71" s="31">
        <f>'PM 1 monitor_2015'!B180</f>
        <v>1409.28</v>
      </c>
      <c r="H71" s="31">
        <f>'PM 1 monitor_2015'!C180</f>
        <v>0</v>
      </c>
      <c r="I71" s="31">
        <f>'PM 1 monitor_2015'!D180</f>
        <v>1280</v>
      </c>
      <c r="J71" s="34">
        <f t="shared" si="2"/>
        <v>2689.2799999999997</v>
      </c>
      <c r="K71" s="50" t="s">
        <v>70</v>
      </c>
      <c r="L71" s="31">
        <f>'Hg 1 monitor_2015'!B180</f>
        <v>2074.3199999999997</v>
      </c>
      <c r="M71" s="31">
        <v>0</v>
      </c>
      <c r="N71" s="31">
        <f>'Hg 1 monitor_2015'!D180</f>
        <v>2980</v>
      </c>
      <c r="O71" s="34">
        <f>SUM(L71:N71)</f>
        <v>5054.32</v>
      </c>
    </row>
    <row r="72" spans="1:22" x14ac:dyDescent="0.2">
      <c r="A72" s="50" t="s">
        <v>71</v>
      </c>
      <c r="B72" s="32">
        <f>'HCl 1 monitor_2015'!B181</f>
        <v>2894.1626624</v>
      </c>
      <c r="C72" s="32">
        <f>'HCl 1 monitor_2015'!C181</f>
        <v>2911.2630511999996</v>
      </c>
      <c r="D72" s="32">
        <f>'HCl 1 monitor_2015'!D181</f>
        <v>10947.532006400001</v>
      </c>
      <c r="E72" s="55">
        <v>16752.957719999999</v>
      </c>
      <c r="F72" s="50" t="s">
        <v>71</v>
      </c>
      <c r="G72" s="32">
        <f>'PM 1 monitor_2015'!B181</f>
        <v>1907.3420543999998</v>
      </c>
      <c r="H72" s="32">
        <f>'PM 1 monitor_2015'!C181</f>
        <v>5256.5518911999998</v>
      </c>
      <c r="I72" s="32">
        <f>'PM 1 monitor_2015'!D181</f>
        <v>6417.1436463999989</v>
      </c>
      <c r="J72" s="34">
        <f t="shared" si="2"/>
        <v>13581.037591999999</v>
      </c>
      <c r="K72" s="50" t="s">
        <v>71</v>
      </c>
      <c r="L72" s="31">
        <f>'Hg 1 monitor_2015'!B181</f>
        <v>3187.3927423999994</v>
      </c>
      <c r="M72" s="31">
        <f>'Hg 1 monitor_2015'!C181</f>
        <v>6527.0019711999994</v>
      </c>
      <c r="N72" s="31">
        <f>'Hg 1 monitor_2015'!D181</f>
        <v>18121.5870464</v>
      </c>
      <c r="O72" s="34">
        <f>SUM(L72:N72)</f>
        <v>27835.981759999999</v>
      </c>
    </row>
    <row r="73" spans="1:22" x14ac:dyDescent="0.2">
      <c r="A73" s="50"/>
      <c r="B73" s="35"/>
      <c r="C73" s="35"/>
      <c r="D73" s="35"/>
      <c r="E73" s="56"/>
      <c r="F73" s="50"/>
      <c r="G73" s="35"/>
      <c r="H73" s="35"/>
      <c r="I73" s="35"/>
      <c r="J73" s="56"/>
      <c r="K73" s="50"/>
      <c r="L73" s="31"/>
      <c r="M73" s="31"/>
      <c r="N73" s="31"/>
      <c r="O73" s="34"/>
    </row>
    <row r="74" spans="1:22" x14ac:dyDescent="0.2">
      <c r="A74" s="50" t="s">
        <v>72</v>
      </c>
      <c r="B74" s="39">
        <f>SUM(B65:B71)</f>
        <v>11029.226783999999</v>
      </c>
      <c r="C74" s="39">
        <f>SUM(C65:C71)</f>
        <v>8020.6777944999994</v>
      </c>
      <c r="D74" s="39">
        <f>SUM(D65:D71)</f>
        <v>3747.75</v>
      </c>
      <c r="E74" s="39">
        <f>SUM(E65:E71)</f>
        <v>22797.654578499998</v>
      </c>
      <c r="F74" s="50" t="s">
        <v>72</v>
      </c>
      <c r="G74" s="39">
        <f>SUM(G65:G71)</f>
        <v>10126.896432000001</v>
      </c>
      <c r="H74" s="39">
        <f>SUM(H65:H71)</f>
        <v>15522.006319999999</v>
      </c>
      <c r="I74" s="39">
        <f>SUM(I65:I71)</f>
        <v>2009.0550000000001</v>
      </c>
      <c r="J74" s="39">
        <f>SUM(J65:J71)</f>
        <v>27657.957751999998</v>
      </c>
      <c r="K74" s="50" t="s">
        <v>72</v>
      </c>
      <c r="L74" s="39">
        <f>SUM(L65:L71)</f>
        <v>33375.786783999996</v>
      </c>
      <c r="M74" s="39">
        <f>SUM(M65:M71)</f>
        <v>20006</v>
      </c>
      <c r="N74" s="39">
        <f>SUM(N65:N71)</f>
        <v>51021.25</v>
      </c>
      <c r="O74" s="79">
        <f>SUM(O65:O71)</f>
        <v>104403.036784</v>
      </c>
    </row>
    <row r="75" spans="1:22" ht="13.5" thickBot="1" x14ac:dyDescent="0.25">
      <c r="A75" s="52" t="s">
        <v>73</v>
      </c>
      <c r="B75" s="51">
        <f>SUM(B65:B72)</f>
        <v>13923.389446399999</v>
      </c>
      <c r="C75" s="51">
        <f>SUM(C65:C72)</f>
        <v>10931.940845699999</v>
      </c>
      <c r="D75" s="51">
        <f>SUM(D65:D72)</f>
        <v>14695.282006400001</v>
      </c>
      <c r="E75" s="51">
        <f>SUM(E65:E72)</f>
        <v>39550.612298499997</v>
      </c>
      <c r="F75" s="52" t="s">
        <v>73</v>
      </c>
      <c r="G75" s="357">
        <f>SUM(G65:G72)</f>
        <v>12034.238486400001</v>
      </c>
      <c r="H75" s="357">
        <f>SUM(H65:H72)</f>
        <v>20778.558211199997</v>
      </c>
      <c r="I75" s="357">
        <f>SUM(I65:I72)</f>
        <v>8426.1986463999983</v>
      </c>
      <c r="J75" s="51">
        <f>SUM(J65:J72)</f>
        <v>41238.995343999995</v>
      </c>
      <c r="K75" s="52" t="s">
        <v>73</v>
      </c>
      <c r="L75" s="357">
        <f>SUM(L65:L72)</f>
        <v>36563.179526399996</v>
      </c>
      <c r="M75" s="357">
        <f>SUM(M65:M72)</f>
        <v>26533.001971199999</v>
      </c>
      <c r="N75" s="357">
        <f>SUM(N65:N72)</f>
        <v>69142.837046400004</v>
      </c>
      <c r="O75" s="80">
        <f>SUM(O65:O72)</f>
        <v>132239.01854399999</v>
      </c>
    </row>
    <row r="76" spans="1:22" x14ac:dyDescent="0.2">
      <c r="A76" s="35"/>
      <c r="B76" s="39"/>
      <c r="C76" s="39"/>
      <c r="D76" s="39"/>
      <c r="E76" s="39"/>
      <c r="F76" s="35"/>
      <c r="G76" s="39"/>
      <c r="H76" s="39"/>
      <c r="I76" s="39"/>
      <c r="J76" s="39"/>
      <c r="K76" s="35"/>
      <c r="L76" s="39"/>
      <c r="M76" s="39"/>
      <c r="N76" s="39"/>
      <c r="O76" s="39"/>
    </row>
    <row r="77" spans="1:22" ht="16.5" thickBot="1" x14ac:dyDescent="0.3">
      <c r="A77" s="45" t="s">
        <v>257</v>
      </c>
      <c r="B77" s="82"/>
      <c r="C77" s="33"/>
      <c r="D77" s="33"/>
      <c r="E77" s="33"/>
      <c r="F77" s="33"/>
      <c r="G77" s="33"/>
      <c r="H77" s="33"/>
      <c r="I77" s="33"/>
      <c r="J77" s="33"/>
      <c r="K77" s="33"/>
      <c r="L77" s="33"/>
      <c r="M77" s="33"/>
      <c r="N77" s="33"/>
      <c r="O77" s="33"/>
      <c r="V77" s="33"/>
    </row>
    <row r="78" spans="1:22" ht="13.5" thickBot="1" x14ac:dyDescent="0.25">
      <c r="A78" s="57" t="s">
        <v>74</v>
      </c>
      <c r="B78" s="78">
        <f>'Regulated Sources_Overview'!K22</f>
        <v>606.52</v>
      </c>
      <c r="C78" s="58"/>
      <c r="D78" s="58"/>
      <c r="E78" s="59"/>
      <c r="F78" s="57" t="s">
        <v>75</v>
      </c>
      <c r="G78" s="78">
        <f>'Regulated Sources_Overview'!K21</f>
        <v>253.94</v>
      </c>
      <c r="H78" s="58"/>
      <c r="I78" s="58"/>
      <c r="J78" s="59"/>
      <c r="K78" s="57" t="s">
        <v>48</v>
      </c>
      <c r="L78" s="78">
        <f>'Regulated Sources_Overview'!K23</f>
        <v>554.78000000000009</v>
      </c>
      <c r="M78" s="58"/>
      <c r="N78" s="58"/>
      <c r="O78" s="59"/>
      <c r="Q78" s="57" t="s">
        <v>76</v>
      </c>
      <c r="R78" s="58" t="s">
        <v>77</v>
      </c>
      <c r="S78" s="257">
        <f>L78+G78+B78</f>
        <v>1415.24</v>
      </c>
      <c r="T78" s="58" t="s">
        <v>78</v>
      </c>
      <c r="U78" s="59"/>
      <c r="V78" s="33"/>
    </row>
    <row r="79" spans="1:22" x14ac:dyDescent="0.2">
      <c r="A79" s="50"/>
      <c r="B79" s="35"/>
      <c r="C79" s="35"/>
      <c r="D79" s="35"/>
      <c r="E79" s="56"/>
      <c r="F79" s="50"/>
      <c r="G79" s="35"/>
      <c r="H79" s="35"/>
      <c r="I79" s="35"/>
      <c r="J79" s="56"/>
      <c r="K79" s="50"/>
      <c r="L79" s="35"/>
      <c r="M79" s="35"/>
      <c r="N79" s="35"/>
      <c r="O79" s="56"/>
      <c r="Q79" s="50"/>
      <c r="R79" s="35"/>
      <c r="S79" s="58">
        <f>S78/1244</f>
        <v>1.137652733118971</v>
      </c>
      <c r="T79" s="35" t="s">
        <v>79</v>
      </c>
      <c r="U79" s="56"/>
      <c r="V79" s="33"/>
    </row>
    <row r="80" spans="1:22" x14ac:dyDescent="0.2">
      <c r="A80" s="50" t="s">
        <v>49</v>
      </c>
      <c r="B80" s="28" t="s">
        <v>50</v>
      </c>
      <c r="C80" s="28" t="s">
        <v>51</v>
      </c>
      <c r="D80" s="28" t="s">
        <v>52</v>
      </c>
      <c r="E80" s="54" t="s">
        <v>1</v>
      </c>
      <c r="F80" s="50" t="s">
        <v>49</v>
      </c>
      <c r="G80" s="28" t="s">
        <v>50</v>
      </c>
      <c r="H80" s="28" t="s">
        <v>51</v>
      </c>
      <c r="I80" s="28" t="s">
        <v>52</v>
      </c>
      <c r="J80" s="54" t="s">
        <v>1</v>
      </c>
      <c r="K80" s="50" t="s">
        <v>49</v>
      </c>
      <c r="L80" s="28" t="s">
        <v>50</v>
      </c>
      <c r="M80" s="28" t="s">
        <v>51</v>
      </c>
      <c r="N80" s="28" t="s">
        <v>52</v>
      </c>
      <c r="O80" s="85" t="s">
        <v>1</v>
      </c>
      <c r="Q80" s="50" t="s">
        <v>49</v>
      </c>
      <c r="R80" s="28" t="s">
        <v>50</v>
      </c>
      <c r="S80" s="28" t="s">
        <v>51</v>
      </c>
      <c r="T80" s="28" t="s">
        <v>52</v>
      </c>
      <c r="U80" s="85" t="s">
        <v>1</v>
      </c>
      <c r="V80" s="33"/>
    </row>
    <row r="81" spans="1:24" x14ac:dyDescent="0.2">
      <c r="A81" s="50" t="s">
        <v>53</v>
      </c>
      <c r="B81" s="31">
        <f t="shared" ref="B81:D87" si="4">B54*$B$78</f>
        <v>1537164.2879999999</v>
      </c>
      <c r="C81" s="31">
        <f t="shared" si="4"/>
        <v>0</v>
      </c>
      <c r="D81" s="31">
        <f t="shared" si="4"/>
        <v>213495.03999999998</v>
      </c>
      <c r="E81" s="34">
        <f>SUM(B81:D81)</f>
        <v>1750659.328</v>
      </c>
      <c r="F81" s="50" t="s">
        <v>53</v>
      </c>
      <c r="G81" s="39">
        <f>G54*$G$78</f>
        <v>204777.21599999999</v>
      </c>
      <c r="H81" s="31">
        <f>H54*$G$78</f>
        <v>0</v>
      </c>
      <c r="I81" s="31">
        <f>I54*$G$78</f>
        <v>0</v>
      </c>
      <c r="J81" s="79">
        <f t="shared" ref="J81:J87" si="5">SUM(G81:I81)</f>
        <v>204777.21599999999</v>
      </c>
      <c r="K81" s="50" t="s">
        <v>53</v>
      </c>
      <c r="L81" s="31">
        <f>L54*$L$78</f>
        <v>1406034.4320000003</v>
      </c>
      <c r="M81" s="31">
        <f>M54*$L$78</f>
        <v>0</v>
      </c>
      <c r="N81" s="31">
        <f>N54*$L$78</f>
        <v>195282.56000000003</v>
      </c>
      <c r="O81" s="34">
        <f t="shared" ref="O81:O87" si="6">SUM(L81:N81)</f>
        <v>1601316.9920000003</v>
      </c>
      <c r="Q81" s="50" t="s">
        <v>53</v>
      </c>
      <c r="R81" s="31">
        <f>L81+G81+B81</f>
        <v>3147975.9360000002</v>
      </c>
      <c r="S81" s="31">
        <f>M81+H81+C81</f>
        <v>0</v>
      </c>
      <c r="T81" s="31">
        <f>N81+I81+D81</f>
        <v>408777.6</v>
      </c>
      <c r="U81" s="34">
        <f>O81+J81+E81</f>
        <v>3556753.5360000003</v>
      </c>
      <c r="V81" s="23"/>
    </row>
    <row r="82" spans="1:24" x14ac:dyDescent="0.2">
      <c r="A82" s="50" t="s">
        <v>54</v>
      </c>
      <c r="B82" s="31">
        <f t="shared" si="4"/>
        <v>5017133.4399999995</v>
      </c>
      <c r="C82" s="31">
        <f t="shared" si="4"/>
        <v>0</v>
      </c>
      <c r="D82" s="31">
        <f t="shared" si="4"/>
        <v>208240.15072000001</v>
      </c>
      <c r="E82" s="34">
        <f t="shared" ref="E82:E87" si="7">SUM(B82:D82)</f>
        <v>5225373.5907199997</v>
      </c>
      <c r="F82" s="50" t="s">
        <v>54</v>
      </c>
      <c r="G82" s="39">
        <f t="shared" ref="G82:I87" si="8">G55*$G$78</f>
        <v>1072642.5600000001</v>
      </c>
      <c r="H82" s="31">
        <f t="shared" si="8"/>
        <v>0</v>
      </c>
      <c r="I82" s="31">
        <f t="shared" si="8"/>
        <v>87186.743839999996</v>
      </c>
      <c r="J82" s="79">
        <f t="shared" si="5"/>
        <v>1159829.3038399999</v>
      </c>
      <c r="K82" s="50" t="s">
        <v>54</v>
      </c>
      <c r="L82" s="31">
        <f t="shared" ref="L82:N87" si="9">L55*$L$78</f>
        <v>4589140.1600000011</v>
      </c>
      <c r="M82" s="31">
        <f t="shared" si="9"/>
        <v>0</v>
      </c>
      <c r="N82" s="31">
        <f>N55*$L$78</f>
        <v>190475.94608000002</v>
      </c>
      <c r="O82" s="34">
        <f t="shared" si="6"/>
        <v>4779616.1060800012</v>
      </c>
      <c r="Q82" s="50" t="s">
        <v>54</v>
      </c>
      <c r="R82" s="31">
        <f t="shared" ref="R82:T87" si="10">L82+G82+B82</f>
        <v>10678916.16</v>
      </c>
      <c r="S82" s="31">
        <f t="shared" si="10"/>
        <v>0</v>
      </c>
      <c r="T82" s="31">
        <f t="shared" si="10"/>
        <v>485902.84064000007</v>
      </c>
      <c r="U82" s="34">
        <f t="shared" ref="U82:U87" si="11">O82+J82+E82</f>
        <v>11164819.000640001</v>
      </c>
      <c r="V82" s="23"/>
      <c r="X82" s="33"/>
    </row>
    <row r="83" spans="1:24" x14ac:dyDescent="0.2">
      <c r="A83" s="50" t="s">
        <v>55</v>
      </c>
      <c r="B83" s="31">
        <f t="shared" si="4"/>
        <v>0</v>
      </c>
      <c r="C83" s="31">
        <f t="shared" si="4"/>
        <v>0</v>
      </c>
      <c r="D83" s="31">
        <f t="shared" si="4"/>
        <v>10835479.799999999</v>
      </c>
      <c r="E83" s="34">
        <f t="shared" si="7"/>
        <v>10835479.799999999</v>
      </c>
      <c r="F83" s="50" t="s">
        <v>55</v>
      </c>
      <c r="G83" s="39">
        <f t="shared" si="8"/>
        <v>0</v>
      </c>
      <c r="H83" s="31">
        <f t="shared" si="8"/>
        <v>0</v>
      </c>
      <c r="I83" s="31">
        <f t="shared" si="8"/>
        <v>92688.1</v>
      </c>
      <c r="J83" s="79">
        <f t="shared" si="5"/>
        <v>92688.1</v>
      </c>
      <c r="K83" s="50" t="s">
        <v>55</v>
      </c>
      <c r="L83" s="31">
        <f t="shared" si="9"/>
        <v>0</v>
      </c>
      <c r="M83" s="31">
        <f t="shared" si="9"/>
        <v>0</v>
      </c>
      <c r="N83" s="31">
        <f t="shared" si="9"/>
        <v>9911144.7000000011</v>
      </c>
      <c r="O83" s="34">
        <f t="shared" si="6"/>
        <v>9911144.7000000011</v>
      </c>
      <c r="Q83" s="50" t="s">
        <v>55</v>
      </c>
      <c r="R83" s="31">
        <f t="shared" si="10"/>
        <v>0</v>
      </c>
      <c r="S83" s="31">
        <f t="shared" si="10"/>
        <v>0</v>
      </c>
      <c r="T83" s="31">
        <f t="shared" si="10"/>
        <v>20839312.600000001</v>
      </c>
      <c r="U83" s="34">
        <f t="shared" si="11"/>
        <v>20839312.600000001</v>
      </c>
      <c r="V83" s="23"/>
    </row>
    <row r="84" spans="1:24" x14ac:dyDescent="0.2">
      <c r="A84" s="50" t="s">
        <v>56</v>
      </c>
      <c r="B84" s="31">
        <f t="shared" si="4"/>
        <v>0</v>
      </c>
      <c r="C84" s="31">
        <f t="shared" si="4"/>
        <v>0</v>
      </c>
      <c r="D84" s="31">
        <f t="shared" si="4"/>
        <v>27381588.008000001</v>
      </c>
      <c r="E84" s="34">
        <f t="shared" si="7"/>
        <v>27381588.008000001</v>
      </c>
      <c r="F84" s="50" t="s">
        <v>56</v>
      </c>
      <c r="G84" s="39">
        <f t="shared" si="8"/>
        <v>0</v>
      </c>
      <c r="H84" s="31">
        <f t="shared" si="8"/>
        <v>0</v>
      </c>
      <c r="I84" s="31">
        <f t="shared" si="8"/>
        <v>7859950.8799999999</v>
      </c>
      <c r="J84" s="79">
        <f t="shared" si="5"/>
        <v>7859950.8799999999</v>
      </c>
      <c r="K84" s="50" t="s">
        <v>56</v>
      </c>
      <c r="L84" s="31">
        <f t="shared" si="9"/>
        <v>0</v>
      </c>
      <c r="M84" s="31">
        <f t="shared" si="9"/>
        <v>0</v>
      </c>
      <c r="N84" s="31">
        <f t="shared" si="9"/>
        <v>54618645.780000009</v>
      </c>
      <c r="O84" s="34">
        <f t="shared" si="6"/>
        <v>54618645.780000009</v>
      </c>
      <c r="Q84" s="50" t="s">
        <v>56</v>
      </c>
      <c r="R84" s="31">
        <f t="shared" si="10"/>
        <v>0</v>
      </c>
      <c r="S84" s="31">
        <f t="shared" si="10"/>
        <v>0</v>
      </c>
      <c r="T84" s="31">
        <f t="shared" si="10"/>
        <v>89860184.668000013</v>
      </c>
      <c r="U84" s="34">
        <f t="shared" si="11"/>
        <v>89860184.668000013</v>
      </c>
      <c r="V84" s="23"/>
    </row>
    <row r="85" spans="1:24" x14ac:dyDescent="0.2">
      <c r="A85" s="50" t="s">
        <v>57</v>
      </c>
      <c r="B85" s="31">
        <f t="shared" si="4"/>
        <v>2922358.9247999997</v>
      </c>
      <c r="C85" s="31">
        <f t="shared" si="4"/>
        <v>0</v>
      </c>
      <c r="D85" s="31">
        <f t="shared" si="4"/>
        <v>7265199.8199999994</v>
      </c>
      <c r="E85" s="34">
        <f t="shared" si="7"/>
        <v>10187558.7448</v>
      </c>
      <c r="F85" s="50" t="s">
        <v>57</v>
      </c>
      <c r="G85" s="39">
        <f t="shared" si="8"/>
        <v>614331.64799999993</v>
      </c>
      <c r="H85" s="31">
        <f t="shared" si="8"/>
        <v>0</v>
      </c>
      <c r="I85" s="31">
        <f t="shared" si="8"/>
        <v>3052200.0874999999</v>
      </c>
      <c r="J85" s="79">
        <f t="shared" si="5"/>
        <v>3666531.7355</v>
      </c>
      <c r="K85" s="50" t="s">
        <v>57</v>
      </c>
      <c r="L85" s="31">
        <f t="shared" si="9"/>
        <v>3751555.5072000003</v>
      </c>
      <c r="M85" s="31">
        <f t="shared" si="9"/>
        <v>0</v>
      </c>
      <c r="N85" s="31">
        <f t="shared" si="9"/>
        <v>6645432.2300000014</v>
      </c>
      <c r="O85" s="34">
        <f t="shared" si="6"/>
        <v>10396987.737200001</v>
      </c>
      <c r="Q85" s="50" t="s">
        <v>57</v>
      </c>
      <c r="R85" s="31">
        <f t="shared" si="10"/>
        <v>7288246.0800000001</v>
      </c>
      <c r="S85" s="31">
        <f t="shared" si="10"/>
        <v>0</v>
      </c>
      <c r="T85" s="31">
        <f t="shared" si="10"/>
        <v>16962832.137499999</v>
      </c>
      <c r="U85" s="34">
        <f t="shared" si="11"/>
        <v>24251078.217500001</v>
      </c>
      <c r="V85" s="23"/>
    </row>
    <row r="86" spans="1:24" x14ac:dyDescent="0.2">
      <c r="A86" s="50" t="s">
        <v>58</v>
      </c>
      <c r="B86" s="31">
        <f t="shared" si="4"/>
        <v>1291305.3407999999</v>
      </c>
      <c r="C86" s="31">
        <f t="shared" si="4"/>
        <v>5133097.0313999997</v>
      </c>
      <c r="D86" s="31">
        <f t="shared" si="4"/>
        <v>304776.3</v>
      </c>
      <c r="E86" s="34">
        <f t="shared" si="7"/>
        <v>6729178.672199999</v>
      </c>
      <c r="F86" s="50" t="s">
        <v>58</v>
      </c>
      <c r="G86" s="39">
        <f t="shared" si="8"/>
        <v>569902.30559999996</v>
      </c>
      <c r="H86" s="31">
        <f t="shared" si="8"/>
        <v>2149143.7382999999</v>
      </c>
      <c r="I86" s="31">
        <f t="shared" si="8"/>
        <v>175853.45</v>
      </c>
      <c r="J86" s="79">
        <f t="shared" si="5"/>
        <v>2894899.4939000001</v>
      </c>
      <c r="K86" s="50" t="s">
        <v>58</v>
      </c>
      <c r="L86" s="31">
        <f t="shared" si="9"/>
        <v>1245059.4672000001</v>
      </c>
      <c r="M86" s="31">
        <f t="shared" si="9"/>
        <v>11098928.680000002</v>
      </c>
      <c r="N86" s="31">
        <f t="shared" si="9"/>
        <v>348124.45000000007</v>
      </c>
      <c r="O86" s="34">
        <f t="shared" si="6"/>
        <v>12692112.597200001</v>
      </c>
      <c r="Q86" s="50" t="s">
        <v>58</v>
      </c>
      <c r="R86" s="31">
        <f t="shared" si="10"/>
        <v>3106267.1135999998</v>
      </c>
      <c r="S86" s="31">
        <f t="shared" si="10"/>
        <v>18381169.449700002</v>
      </c>
      <c r="T86" s="31">
        <f t="shared" si="10"/>
        <v>828754.20000000007</v>
      </c>
      <c r="U86" s="34">
        <f t="shared" si="11"/>
        <v>22316190.763299998</v>
      </c>
      <c r="V86" s="23"/>
    </row>
    <row r="87" spans="1:24" x14ac:dyDescent="0.2">
      <c r="A87" s="50" t="s">
        <v>59</v>
      </c>
      <c r="B87" s="31">
        <f t="shared" si="4"/>
        <v>1559057.23392</v>
      </c>
      <c r="C87" s="31">
        <f t="shared" si="4"/>
        <v>7266757.3633600008</v>
      </c>
      <c r="D87" s="31">
        <f t="shared" si="4"/>
        <v>419711.83999999997</v>
      </c>
      <c r="E87" s="34">
        <f t="shared" si="7"/>
        <v>9245526.4372800011</v>
      </c>
      <c r="F87" s="50" t="s">
        <v>59</v>
      </c>
      <c r="G87" s="39">
        <f>G60*$G$78</f>
        <v>585467.81183999998</v>
      </c>
      <c r="H87" s="31">
        <f t="shared" si="8"/>
        <v>2652172.9764200002</v>
      </c>
      <c r="I87" s="31">
        <f t="shared" si="8"/>
        <v>175726.48</v>
      </c>
      <c r="J87" s="79">
        <f t="shared" si="5"/>
        <v>3413367.2682600003</v>
      </c>
      <c r="K87" s="50" t="s">
        <v>59</v>
      </c>
      <c r="L87" s="31">
        <f t="shared" si="9"/>
        <v>1426059.7708800002</v>
      </c>
      <c r="M87" s="31">
        <f>M60*$L$78</f>
        <v>6646856.9050400015</v>
      </c>
      <c r="N87" s="31">
        <f t="shared" si="9"/>
        <v>383907.76000000007</v>
      </c>
      <c r="O87" s="34">
        <f t="shared" si="6"/>
        <v>8456824.4359200019</v>
      </c>
      <c r="Q87" s="50" t="s">
        <v>59</v>
      </c>
      <c r="R87" s="31">
        <f t="shared" si="10"/>
        <v>3570584.8166400003</v>
      </c>
      <c r="S87" s="31">
        <f t="shared" si="10"/>
        <v>16565787.244820002</v>
      </c>
      <c r="T87" s="31">
        <f t="shared" si="10"/>
        <v>979346.08000000007</v>
      </c>
      <c r="U87" s="34">
        <f t="shared" si="11"/>
        <v>21115718.141460001</v>
      </c>
      <c r="V87" s="23"/>
    </row>
    <row r="88" spans="1:24" x14ac:dyDescent="0.2">
      <c r="A88" s="50"/>
      <c r="B88" s="31"/>
      <c r="C88" s="31"/>
      <c r="D88" s="31"/>
      <c r="E88" s="34"/>
      <c r="F88" s="50"/>
      <c r="G88" s="39"/>
      <c r="H88" s="31"/>
      <c r="I88" s="31"/>
      <c r="J88" s="79"/>
      <c r="K88" s="50"/>
      <c r="L88" s="31"/>
      <c r="M88" s="31"/>
      <c r="N88" s="31"/>
      <c r="O88" s="34"/>
      <c r="P88" s="33"/>
      <c r="Q88" s="50"/>
      <c r="R88" s="31"/>
      <c r="S88" s="31"/>
      <c r="T88" s="31"/>
      <c r="U88" s="34"/>
      <c r="V88" s="23"/>
    </row>
    <row r="89" spans="1:24" x14ac:dyDescent="0.2">
      <c r="A89" s="50"/>
      <c r="B89" s="31"/>
      <c r="C89" s="31"/>
      <c r="D89" s="31"/>
      <c r="E89" s="34"/>
      <c r="F89" s="50"/>
      <c r="G89" s="39"/>
      <c r="H89" s="31"/>
      <c r="I89" s="31"/>
      <c r="J89" s="79"/>
      <c r="K89" s="50"/>
      <c r="L89" s="31"/>
      <c r="M89" s="31"/>
      <c r="N89" s="31"/>
      <c r="O89" s="34"/>
      <c r="P89" s="33"/>
      <c r="Q89" s="50"/>
      <c r="R89" s="31"/>
      <c r="S89" s="31"/>
      <c r="T89" s="31"/>
      <c r="U89" s="34"/>
      <c r="V89" s="23"/>
    </row>
    <row r="90" spans="1:24" x14ac:dyDescent="0.2">
      <c r="A90" s="50" t="s">
        <v>62</v>
      </c>
      <c r="B90" s="31"/>
      <c r="C90" s="31"/>
      <c r="D90" s="31"/>
      <c r="E90" s="34"/>
      <c r="F90" s="50" t="s">
        <v>62</v>
      </c>
      <c r="G90" s="39"/>
      <c r="H90" s="31"/>
      <c r="I90" s="31"/>
      <c r="J90" s="79"/>
      <c r="K90" s="50" t="s">
        <v>62</v>
      </c>
      <c r="L90" s="31"/>
      <c r="M90" s="31"/>
      <c r="N90" s="31"/>
      <c r="O90" s="34"/>
      <c r="P90" s="33"/>
      <c r="Q90" s="50" t="s">
        <v>62</v>
      </c>
      <c r="R90" s="31"/>
      <c r="S90" s="31"/>
      <c r="T90" s="31"/>
      <c r="U90" s="34"/>
      <c r="V90" s="23"/>
      <c r="W90" s="33"/>
    </row>
    <row r="91" spans="1:24" x14ac:dyDescent="0.2">
      <c r="A91" s="50" t="s">
        <v>64</v>
      </c>
      <c r="B91" s="31">
        <f t="shared" ref="B91:D98" si="12">B65*$B$78</f>
        <v>3355559.7695999998</v>
      </c>
      <c r="C91" s="31">
        <f t="shared" si="12"/>
        <v>0</v>
      </c>
      <c r="D91" s="31">
        <f t="shared" si="12"/>
        <v>606519.99999999988</v>
      </c>
      <c r="E91" s="34">
        <f t="shared" ref="E91:E98" si="13">SUM(B91:D91)</f>
        <v>3962079.7695999998</v>
      </c>
      <c r="F91" s="50" t="s">
        <v>64</v>
      </c>
      <c r="G91" s="39">
        <f>G65*$G$78</f>
        <v>263284.99200000003</v>
      </c>
      <c r="H91" s="31">
        <f>H65*$G$78</f>
        <v>0</v>
      </c>
      <c r="I91" s="31">
        <f>I65*$G$78</f>
        <v>0</v>
      </c>
      <c r="J91" s="79">
        <f t="shared" ref="J91:J98" si="14">SUM(G91:I91)</f>
        <v>263284.99200000003</v>
      </c>
      <c r="K91" s="50" t="s">
        <v>64</v>
      </c>
      <c r="L91" s="31">
        <f>L65*$L$78</f>
        <v>15533840.000000002</v>
      </c>
      <c r="M91" s="31">
        <f>M65*$L$78</f>
        <v>0</v>
      </c>
      <c r="N91" s="31">
        <f>N65*$L$78</f>
        <v>17752960.000000004</v>
      </c>
      <c r="O91" s="34">
        <f>SUM(L91:N91)</f>
        <v>33286800.000000007</v>
      </c>
      <c r="P91" s="33"/>
      <c r="Q91" s="50" t="s">
        <v>64</v>
      </c>
      <c r="R91" s="31">
        <f>L91+G91+B91</f>
        <v>19152684.761600003</v>
      </c>
      <c r="S91" s="31">
        <f>M91+H91+C91</f>
        <v>0</v>
      </c>
      <c r="T91" s="31">
        <f>N91+I91+D91</f>
        <v>18359480.000000004</v>
      </c>
      <c r="U91" s="34">
        <f t="shared" ref="R91:U98" si="15">O91+J91+E91</f>
        <v>37512164.761600003</v>
      </c>
      <c r="V91" s="23"/>
      <c r="W91" s="33"/>
    </row>
    <row r="92" spans="1:24" x14ac:dyDescent="0.2">
      <c r="A92" s="50" t="s">
        <v>65</v>
      </c>
      <c r="B92" s="31">
        <f t="shared" si="12"/>
        <v>536859.22743167996</v>
      </c>
      <c r="C92" s="31">
        <f t="shared" si="12"/>
        <v>4864701.4959201394</v>
      </c>
      <c r="D92" s="31">
        <f t="shared" si="12"/>
        <v>0</v>
      </c>
      <c r="E92" s="34">
        <f t="shared" si="13"/>
        <v>5401560.7233518194</v>
      </c>
      <c r="F92" s="50" t="s">
        <v>65</v>
      </c>
      <c r="G92" s="39">
        <f t="shared" ref="G92:I98" si="16">G66*$G$78</f>
        <v>112387.08716447999</v>
      </c>
      <c r="H92" s="31">
        <f t="shared" si="16"/>
        <v>0</v>
      </c>
      <c r="I92" s="31">
        <f t="shared" si="16"/>
        <v>0</v>
      </c>
      <c r="J92" s="79">
        <f t="shared" si="14"/>
        <v>112387.08716447999</v>
      </c>
      <c r="K92" s="50" t="s">
        <v>65</v>
      </c>
      <c r="L92" s="31">
        <f t="shared" ref="L92:N98" si="17">L66*$L$78</f>
        <v>491061.73282752006</v>
      </c>
      <c r="M92" s="31">
        <f t="shared" si="17"/>
        <v>11098928.680000002</v>
      </c>
      <c r="N92" s="31">
        <f t="shared" si="17"/>
        <v>0</v>
      </c>
      <c r="O92" s="34">
        <f>SUM(L92:N92)</f>
        <v>11589990.412827522</v>
      </c>
      <c r="P92" s="33"/>
      <c r="Q92" s="50" t="s">
        <v>65</v>
      </c>
      <c r="R92" s="31">
        <f t="shared" si="15"/>
        <v>1140308.0474236798</v>
      </c>
      <c r="S92" s="31">
        <f t="shared" si="15"/>
        <v>15963630.17592014</v>
      </c>
      <c r="T92" s="31">
        <f t="shared" si="15"/>
        <v>0</v>
      </c>
      <c r="U92" s="34">
        <f t="shared" si="15"/>
        <v>17103938.223343819</v>
      </c>
      <c r="V92" s="23"/>
      <c r="W92" s="35"/>
    </row>
    <row r="93" spans="1:24" x14ac:dyDescent="0.2">
      <c r="A93" s="50" t="s">
        <v>66</v>
      </c>
      <c r="B93" s="31">
        <f t="shared" si="12"/>
        <v>0</v>
      </c>
      <c r="C93" s="31">
        <f t="shared" si="12"/>
        <v>0</v>
      </c>
      <c r="D93" s="31">
        <f t="shared" si="12"/>
        <v>0</v>
      </c>
      <c r="E93" s="34">
        <f t="shared" si="13"/>
        <v>0</v>
      </c>
      <c r="F93" s="50" t="s">
        <v>66</v>
      </c>
      <c r="G93" s="39">
        <f t="shared" si="16"/>
        <v>98688.234950400001</v>
      </c>
      <c r="H93" s="31">
        <f t="shared" si="16"/>
        <v>1445377.2969008</v>
      </c>
      <c r="I93" s="31">
        <f t="shared" si="16"/>
        <v>4838.8266999999996</v>
      </c>
      <c r="J93" s="79">
        <f t="shared" si="14"/>
        <v>1548904.3585512</v>
      </c>
      <c r="K93" s="50" t="s">
        <v>66</v>
      </c>
      <c r="L93" s="31">
        <f t="shared" si="17"/>
        <v>0</v>
      </c>
      <c r="M93" s="31">
        <f t="shared" si="17"/>
        <v>0</v>
      </c>
      <c r="N93" s="31">
        <f t="shared" si="17"/>
        <v>0</v>
      </c>
      <c r="O93" s="34">
        <f t="shared" ref="O93:O94" si="18">SUM(L93:N93)</f>
        <v>0</v>
      </c>
      <c r="P93" s="33"/>
      <c r="Q93" s="50" t="s">
        <v>66</v>
      </c>
      <c r="R93" s="31">
        <f t="shared" si="15"/>
        <v>98688.234950400001</v>
      </c>
      <c r="S93" s="31">
        <f t="shared" si="15"/>
        <v>1445377.2969008</v>
      </c>
      <c r="T93" s="31">
        <f t="shared" si="15"/>
        <v>4838.8266999999996</v>
      </c>
      <c r="U93" s="34">
        <f t="shared" si="15"/>
        <v>1548904.3585512</v>
      </c>
      <c r="V93" s="23"/>
      <c r="W93" s="33"/>
    </row>
    <row r="94" spans="1:24" x14ac:dyDescent="0.2">
      <c r="A94" s="50" t="s">
        <v>67</v>
      </c>
      <c r="B94" s="31">
        <f t="shared" si="12"/>
        <v>0</v>
      </c>
      <c r="C94" s="31">
        <f t="shared" si="12"/>
        <v>0</v>
      </c>
      <c r="D94" s="31">
        <f t="shared" si="12"/>
        <v>0</v>
      </c>
      <c r="E94" s="34">
        <f t="shared" si="13"/>
        <v>0</v>
      </c>
      <c r="F94" s="50" t="s">
        <v>67</v>
      </c>
      <c r="G94" s="39">
        <f>G68*$G$78</f>
        <v>207215.04</v>
      </c>
      <c r="H94" s="31">
        <f t="shared" si="16"/>
        <v>2496280.9879999999</v>
      </c>
      <c r="I94" s="31">
        <f t="shared" si="16"/>
        <v>12697</v>
      </c>
      <c r="J94" s="79">
        <f t="shared" si="14"/>
        <v>2716193.0279999999</v>
      </c>
      <c r="K94" s="50" t="s">
        <v>67</v>
      </c>
      <c r="L94" s="31">
        <f t="shared" si="17"/>
        <v>0</v>
      </c>
      <c r="M94" s="31">
        <f t="shared" si="17"/>
        <v>0</v>
      </c>
      <c r="N94" s="31">
        <f t="shared" si="17"/>
        <v>0</v>
      </c>
      <c r="O94" s="34">
        <f t="shared" si="18"/>
        <v>0</v>
      </c>
      <c r="P94" s="33"/>
      <c r="Q94" s="50" t="s">
        <v>67</v>
      </c>
      <c r="R94" s="31">
        <f t="shared" si="15"/>
        <v>207215.04</v>
      </c>
      <c r="S94" s="31">
        <f t="shared" si="15"/>
        <v>2496280.9879999999</v>
      </c>
      <c r="T94" s="31">
        <f t="shared" si="15"/>
        <v>12697</v>
      </c>
      <c r="U94" s="34">
        <f t="shared" si="15"/>
        <v>2716193.0279999999</v>
      </c>
      <c r="V94" s="23"/>
      <c r="W94" s="33"/>
    </row>
    <row r="95" spans="1:24" x14ac:dyDescent="0.2">
      <c r="A95" s="50" t="s">
        <v>68</v>
      </c>
      <c r="B95" s="31">
        <f t="shared" si="12"/>
        <v>779062.80960000004</v>
      </c>
      <c r="C95" s="31">
        <f t="shared" si="12"/>
        <v>0</v>
      </c>
      <c r="D95" s="31">
        <f t="shared" si="12"/>
        <v>648218.25</v>
      </c>
      <c r="E95" s="34">
        <f t="shared" si="13"/>
        <v>1427281.0596</v>
      </c>
      <c r="F95" s="50" t="s">
        <v>68</v>
      </c>
      <c r="G95" s="39">
        <f t="shared" si="16"/>
        <v>148711.04262719999</v>
      </c>
      <c r="H95" s="31">
        <f t="shared" si="16"/>
        <v>0</v>
      </c>
      <c r="I95" s="31">
        <f t="shared" si="16"/>
        <v>157442.79999999999</v>
      </c>
      <c r="J95" s="79">
        <f t="shared" si="14"/>
        <v>306153.84262719995</v>
      </c>
      <c r="K95" s="50" t="s">
        <v>68</v>
      </c>
      <c r="L95" s="31">
        <f t="shared" si="17"/>
        <v>645497.62560000014</v>
      </c>
      <c r="M95" s="31">
        <f t="shared" si="17"/>
        <v>0</v>
      </c>
      <c r="N95" s="31">
        <f t="shared" si="17"/>
        <v>8810599.8750000019</v>
      </c>
      <c r="O95" s="34">
        <f>SUM(L95:N95)</f>
        <v>9456097.5006000027</v>
      </c>
      <c r="P95" s="33"/>
      <c r="Q95" s="50" t="s">
        <v>68</v>
      </c>
      <c r="R95" s="31">
        <f t="shared" si="15"/>
        <v>1573271.4778272002</v>
      </c>
      <c r="S95" s="31">
        <f t="shared" si="15"/>
        <v>0</v>
      </c>
      <c r="T95" s="31">
        <f t="shared" si="15"/>
        <v>9616260.9250000026</v>
      </c>
      <c r="U95" s="34">
        <f t="shared" si="15"/>
        <v>11189532.402827201</v>
      </c>
      <c r="V95" s="23"/>
      <c r="W95" s="33"/>
    </row>
    <row r="96" spans="1:24" x14ac:dyDescent="0.2">
      <c r="A96" s="50" t="s">
        <v>69</v>
      </c>
      <c r="B96" s="31">
        <f t="shared" si="12"/>
        <v>759848.25599999994</v>
      </c>
      <c r="C96" s="31">
        <f t="shared" si="12"/>
        <v>0</v>
      </c>
      <c r="D96" s="31">
        <f t="shared" si="12"/>
        <v>97043.199999999997</v>
      </c>
      <c r="E96" s="34">
        <f t="shared" si="13"/>
        <v>856891.45599999989</v>
      </c>
      <c r="F96" s="50" t="s">
        <v>69</v>
      </c>
      <c r="G96" s="39">
        <f t="shared" si="16"/>
        <v>1383465.1199999999</v>
      </c>
      <c r="H96" s="31">
        <f t="shared" si="16"/>
        <v>0</v>
      </c>
      <c r="I96" s="31">
        <f t="shared" si="16"/>
        <v>10157.6</v>
      </c>
      <c r="J96" s="79">
        <f t="shared" si="14"/>
        <v>1393622.72</v>
      </c>
      <c r="K96" s="50" t="s">
        <v>69</v>
      </c>
      <c r="L96" s="31">
        <f t="shared" si="17"/>
        <v>695028.38400000008</v>
      </c>
      <c r="M96" s="31">
        <f t="shared" si="17"/>
        <v>0</v>
      </c>
      <c r="N96" s="31">
        <f t="shared" si="17"/>
        <v>88764.800000000017</v>
      </c>
      <c r="O96" s="34">
        <f>SUM(L96:N96)</f>
        <v>783793.18400000012</v>
      </c>
      <c r="P96" s="33"/>
      <c r="Q96" s="50" t="s">
        <v>69</v>
      </c>
      <c r="R96" s="31">
        <f t="shared" si="15"/>
        <v>2838341.76</v>
      </c>
      <c r="S96" s="31">
        <f t="shared" si="15"/>
        <v>0</v>
      </c>
      <c r="T96" s="31">
        <f t="shared" si="15"/>
        <v>195965.60000000003</v>
      </c>
      <c r="U96" s="34">
        <f t="shared" si="15"/>
        <v>3034307.36</v>
      </c>
      <c r="V96" s="23"/>
      <c r="W96" s="33"/>
    </row>
    <row r="97" spans="1:23" x14ac:dyDescent="0.2">
      <c r="A97" s="50" t="s">
        <v>70</v>
      </c>
      <c r="B97" s="31">
        <f t="shared" si="12"/>
        <v>1258116.5663999999</v>
      </c>
      <c r="C97" s="31">
        <f t="shared" si="12"/>
        <v>0</v>
      </c>
      <c r="D97" s="31">
        <f t="shared" si="12"/>
        <v>921303.88</v>
      </c>
      <c r="E97" s="34">
        <f t="shared" si="13"/>
        <v>2179420.4463999998</v>
      </c>
      <c r="F97" s="50" t="s">
        <v>70</v>
      </c>
      <c r="G97" s="39">
        <f t="shared" si="16"/>
        <v>357872.56319999998</v>
      </c>
      <c r="H97" s="31">
        <f t="shared" si="16"/>
        <v>0</v>
      </c>
      <c r="I97" s="31">
        <f t="shared" si="16"/>
        <v>325043.20000000001</v>
      </c>
      <c r="J97" s="79">
        <f t="shared" si="14"/>
        <v>682915.76319999993</v>
      </c>
      <c r="K97" s="50" t="s">
        <v>70</v>
      </c>
      <c r="L97" s="31">
        <f t="shared" si="17"/>
        <v>1150791.2496</v>
      </c>
      <c r="M97" s="31">
        <f t="shared" si="17"/>
        <v>0</v>
      </c>
      <c r="N97" s="31">
        <f t="shared" si="17"/>
        <v>1653244.4000000004</v>
      </c>
      <c r="O97" s="34">
        <f>SUM(L97:N97)</f>
        <v>2804035.6496000001</v>
      </c>
      <c r="P97" s="33"/>
      <c r="Q97" s="50" t="s">
        <v>70</v>
      </c>
      <c r="R97" s="31">
        <f t="shared" si="15"/>
        <v>2766780.3791999999</v>
      </c>
      <c r="S97" s="31">
        <f t="shared" si="15"/>
        <v>0</v>
      </c>
      <c r="T97" s="31">
        <f t="shared" si="15"/>
        <v>2899591.4800000004</v>
      </c>
      <c r="U97" s="34">
        <f t="shared" si="15"/>
        <v>5666371.8591999998</v>
      </c>
      <c r="V97" s="23"/>
      <c r="W97" s="33"/>
    </row>
    <row r="98" spans="1:23" x14ac:dyDescent="0.2">
      <c r="A98" s="50" t="s">
        <v>71</v>
      </c>
      <c r="B98" s="31">
        <f t="shared" si="12"/>
        <v>1755367.5379988479</v>
      </c>
      <c r="C98" s="31">
        <f t="shared" si="12"/>
        <v>1765739.2658138238</v>
      </c>
      <c r="D98" s="31">
        <f t="shared" si="12"/>
        <v>6639897.1125217285</v>
      </c>
      <c r="E98" s="34">
        <f t="shared" si="13"/>
        <v>10161003.9163344</v>
      </c>
      <c r="F98" s="50" t="s">
        <v>71</v>
      </c>
      <c r="G98" s="39">
        <f t="shared" si="16"/>
        <v>484350.44129433593</v>
      </c>
      <c r="H98" s="31">
        <f>H72*$G$78</f>
        <v>1334848.7872513279</v>
      </c>
      <c r="I98" s="31">
        <f t="shared" si="16"/>
        <v>1629569.4575668157</v>
      </c>
      <c r="J98" s="79">
        <f t="shared" si="14"/>
        <v>3448768.6861124793</v>
      </c>
      <c r="K98" s="50" t="s">
        <v>71</v>
      </c>
      <c r="L98" s="31">
        <f t="shared" si="17"/>
        <v>1768301.745628672</v>
      </c>
      <c r="M98" s="31">
        <f t="shared" si="17"/>
        <v>3621050.1535823364</v>
      </c>
      <c r="N98" s="31">
        <f t="shared" si="17"/>
        <v>10053494.061601793</v>
      </c>
      <c r="O98" s="34">
        <f>SUM(L98:N98)</f>
        <v>15442845.960812801</v>
      </c>
      <c r="P98" s="33"/>
      <c r="Q98" s="50" t="s">
        <v>71</v>
      </c>
      <c r="R98" s="31">
        <f t="shared" si="15"/>
        <v>4008019.7249218561</v>
      </c>
      <c r="S98" s="31">
        <f t="shared" si="15"/>
        <v>6721638.2066474883</v>
      </c>
      <c r="T98" s="31">
        <f t="shared" si="15"/>
        <v>18322960.631690338</v>
      </c>
      <c r="U98" s="34">
        <f t="shared" si="15"/>
        <v>29052618.563259684</v>
      </c>
      <c r="V98" s="23"/>
      <c r="W98" s="33"/>
    </row>
    <row r="99" spans="1:23" x14ac:dyDescent="0.2">
      <c r="A99" s="50"/>
      <c r="B99" s="31"/>
      <c r="C99" s="31"/>
      <c r="D99" s="31"/>
      <c r="E99" s="34"/>
      <c r="F99" s="50"/>
      <c r="G99" s="87"/>
      <c r="H99" s="31"/>
      <c r="I99" s="31"/>
      <c r="J99" s="84"/>
      <c r="K99" s="50"/>
      <c r="L99" s="31"/>
      <c r="M99" s="31"/>
      <c r="N99" s="31"/>
      <c r="O99" s="34"/>
      <c r="P99" s="33"/>
      <c r="Q99" s="50"/>
      <c r="R99" s="31"/>
      <c r="S99" s="31"/>
      <c r="T99" s="31"/>
      <c r="U99" s="34"/>
      <c r="V99" s="23"/>
      <c r="W99" s="33"/>
    </row>
    <row r="100" spans="1:23" x14ac:dyDescent="0.2">
      <c r="A100" s="50" t="s">
        <v>72</v>
      </c>
      <c r="B100" s="31">
        <f>SUM(B91:B97)</f>
        <v>6689446.6290316796</v>
      </c>
      <c r="C100" s="31">
        <f>SUM(C91:C97)</f>
        <v>4864701.4959201394</v>
      </c>
      <c r="D100" s="31">
        <f>SUM(D91:D97)</f>
        <v>2273085.33</v>
      </c>
      <c r="E100" s="31">
        <f>SUM(E91:E97)</f>
        <v>13827233.454951819</v>
      </c>
      <c r="F100" s="50" t="s">
        <v>72</v>
      </c>
      <c r="G100" s="39">
        <f>SUM(G91:G97)</f>
        <v>2571624.0799420802</v>
      </c>
      <c r="H100" s="39">
        <f>SUM(H91:H97)</f>
        <v>3941658.2849007999</v>
      </c>
      <c r="I100" s="39">
        <f>SUM(I91:I97)</f>
        <v>510179.42670000001</v>
      </c>
      <c r="J100" s="31">
        <f>SUM(J91:J97)</f>
        <v>7023461.7915428802</v>
      </c>
      <c r="K100" s="35" t="s">
        <v>72</v>
      </c>
      <c r="L100" s="31">
        <f>SUM(L91:L97)</f>
        <v>18516218.992027525</v>
      </c>
      <c r="M100" s="31">
        <f>SUM(M91:M97)</f>
        <v>11098928.680000002</v>
      </c>
      <c r="N100" s="31">
        <f>SUM(N91:N97)</f>
        <v>28305569.07500001</v>
      </c>
      <c r="O100" s="34">
        <f>SUM(O91:O97)</f>
        <v>57920716.747027531</v>
      </c>
      <c r="Q100" s="50" t="s">
        <v>72</v>
      </c>
      <c r="R100" s="31">
        <f>L100+G100+B100</f>
        <v>27777289.701001287</v>
      </c>
      <c r="S100" s="31">
        <f>M100+H100+C100</f>
        <v>19905288.460820939</v>
      </c>
      <c r="T100" s="31">
        <f t="shared" ref="T100:U101" si="19">N100+I100+D100</f>
        <v>31088833.831700012</v>
      </c>
      <c r="U100" s="34">
        <f t="shared" si="19"/>
        <v>78771411.993522227</v>
      </c>
      <c r="V100" s="23"/>
    </row>
    <row r="101" spans="1:23" ht="13.5" thickBot="1" x14ac:dyDescent="0.25">
      <c r="A101" s="52" t="s">
        <v>73</v>
      </c>
      <c r="B101" s="60">
        <f>SUM(B91:B98)</f>
        <v>8444814.1670305282</v>
      </c>
      <c r="C101" s="60">
        <f>SUM(C91:C98)</f>
        <v>6630440.7617339632</v>
      </c>
      <c r="D101" s="60">
        <f>SUM(D91:D98)</f>
        <v>8912982.4425217286</v>
      </c>
      <c r="E101" s="60">
        <f>SUM(E91:E98)</f>
        <v>23988237.371286221</v>
      </c>
      <c r="F101" s="52" t="s">
        <v>73</v>
      </c>
      <c r="G101" s="51">
        <f>SUM(G91:G98)</f>
        <v>3055974.521236416</v>
      </c>
      <c r="H101" s="51">
        <f>SUM(H91:H98)</f>
        <v>5276507.0721521275</v>
      </c>
      <c r="I101" s="51">
        <f>SUM(I91:I98)</f>
        <v>2139748.8842668156</v>
      </c>
      <c r="J101" s="360">
        <f>SUM(J91:J98)</f>
        <v>10472230.477655359</v>
      </c>
      <c r="K101" s="83" t="s">
        <v>73</v>
      </c>
      <c r="L101" s="60">
        <f>SUM(L91:L98)</f>
        <v>20284520.737656198</v>
      </c>
      <c r="M101" s="60">
        <f>SUM(M91:M98)</f>
        <v>14719978.833582338</v>
      </c>
      <c r="N101" s="60">
        <f>SUM(N91:N98)</f>
        <v>38359063.136601806</v>
      </c>
      <c r="O101" s="361">
        <f>SUM(O91:O98)</f>
        <v>73363562.707840338</v>
      </c>
      <c r="Q101" s="52" t="s">
        <v>73</v>
      </c>
      <c r="R101" s="60">
        <f>L101+G101+B101</f>
        <v>31785309.425923143</v>
      </c>
      <c r="S101" s="60">
        <f>M101+H101+C101</f>
        <v>26626926.667468429</v>
      </c>
      <c r="T101" s="60">
        <f t="shared" si="19"/>
        <v>49411794.46339035</v>
      </c>
      <c r="U101" s="86">
        <f t="shared" si="19"/>
        <v>107824030.55678192</v>
      </c>
      <c r="V101" s="23"/>
    </row>
    <row r="102" spans="1:23" x14ac:dyDescent="0.2">
      <c r="F102" s="33"/>
      <c r="J102" s="33"/>
      <c r="K102" s="33"/>
      <c r="L102" s="33"/>
      <c r="M102" s="33"/>
      <c r="N102" s="33"/>
      <c r="O102" s="33"/>
      <c r="V102" s="33"/>
    </row>
    <row r="103" spans="1:23" x14ac:dyDescent="0.2">
      <c r="J103" s="33"/>
    </row>
  </sheetData>
  <pageMargins left="0.75" right="0.75" top="1" bottom="1" header="0.5" footer="0.5"/>
  <pageSetup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Regulated Sources_Overview</vt:lpstr>
      <vt:lpstr>Table 1a </vt:lpstr>
      <vt:lpstr>Table 1b</vt:lpstr>
      <vt:lpstr>Table 1c</vt:lpstr>
      <vt:lpstr>Table 2</vt:lpstr>
      <vt:lpstr>Annual Responses</vt:lpstr>
      <vt:lpstr>Summary of CEMS Costs_2018</vt:lpstr>
      <vt:lpstr>%CEMSCPMSvs.testing</vt:lpstr>
      <vt:lpstr>Summary Info_2015</vt:lpstr>
      <vt:lpstr>Hg 1 monitor_2015</vt:lpstr>
      <vt:lpstr>HCl 1 monitor_2015</vt:lpstr>
      <vt:lpstr>PM 1 monitor_2015</vt:lpstr>
      <vt:lpstr>PM beta 1 monitor_2015</vt:lpstr>
      <vt:lpstr>PM extractive_2015</vt:lpstr>
      <vt:lpstr>'Annual Responses'!Print_Area</vt:lpstr>
      <vt:lpstr>'Table 2'!Print_Area</vt:lpstr>
    </vt:vector>
  </TitlesOfParts>
  <Company>RTI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C. Colville-Taylor</dc:creator>
  <cp:lastModifiedBy>wwrigley</cp:lastModifiedBy>
  <cp:lastPrinted>2011-12-06T19:50:55Z</cp:lastPrinted>
  <dcterms:created xsi:type="dcterms:W3CDTF">2008-04-10T17:53:28Z</dcterms:created>
  <dcterms:modified xsi:type="dcterms:W3CDTF">2018-12-07T18:13:41Z</dcterms:modified>
</cp:coreProperties>
</file>