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6090" tabRatio="888" firstSheet="3" activeTab="3"/>
  </bookViews>
  <sheets>
    <sheet name="Summary 2" sheetId="150" state="hidden" r:id="rId1"/>
    <sheet name="Testing Costs" sheetId="136" state="hidden" r:id="rId2"/>
    <sheet name="Sheet1" sheetId="177" state="hidden" r:id="rId3"/>
    <sheet name="SUMMARY TABLE 1" sheetId="192" r:id="rId4"/>
    <sheet name="Responses" sheetId="174" state="hidden" r:id="rId5"/>
    <sheet name="QA" sheetId="176" state="hidden" r:id="rId6"/>
    <sheet name="Fac-ExistLrgSolid-Yr0" sheetId="10" state="hidden" r:id="rId7"/>
    <sheet name="SUMMARY TABLE 2-Agency" sheetId="169" r:id="rId8"/>
    <sheet name="SUMMARY TBL 3 UNIT-SUBCAT" sheetId="195" r:id="rId9"/>
    <sheet name="BURDEN SUMMARY" sheetId="175" r:id="rId10"/>
    <sheet name="Respondents" sheetId="194" state="hidden" r:id="rId11"/>
    <sheet name="Base Data" sheetId="49" r:id="rId12"/>
    <sheet name="Monitors" sheetId="137" state="hidden" r:id="rId13"/>
    <sheet name="Agency Base Data" sheetId="152" r:id="rId14"/>
    <sheet name="Fac-ExistLrgSolid-Avg" sheetId="104" r:id="rId15"/>
    <sheet name="Fac-ExistLrgLiquid-Yr0" sheetId="105" state="hidden" r:id="rId16"/>
    <sheet name="Fac-ExistLrgLiquid-Avg" sheetId="107" r:id="rId17"/>
    <sheet name="Fac-ExistLrgGas-Yr0" sheetId="108" state="hidden" r:id="rId18"/>
    <sheet name="Fac-ExistLrgGas-Avg" sheetId="110" r:id="rId19"/>
    <sheet name="Fac-NewLrgSolid-Yr0" sheetId="111" state="hidden" r:id="rId20"/>
    <sheet name="Fac-NewLrgSolid-Avg" sheetId="139" r:id="rId21"/>
    <sheet name="Fac-NewLrgLiquid-Yr0" sheetId="114" state="hidden" r:id="rId22"/>
    <sheet name="Fac-NewLrgLiquid-Avg" sheetId="141" r:id="rId23"/>
    <sheet name="Fac-NewLrgGas-Yr0" sheetId="170" state="hidden" r:id="rId24"/>
    <sheet name="Fac-NewLrgGas-Avg" sheetId="172" r:id="rId25"/>
    <sheet name="Fac - ExistSmlSolid-Yr0" sheetId="51" state="hidden" r:id="rId26"/>
    <sheet name="Fac - ExistSmlSolid-Avg" sheetId="89" r:id="rId27"/>
    <sheet name="Fac - ExistSmlLiquid-Yr0" sheetId="90" state="hidden" r:id="rId28"/>
    <sheet name="Fac - ExistSmlLiquid-Avg" sheetId="92" r:id="rId29"/>
    <sheet name="Fac - ExistSmlGas-Yr0" sheetId="123" state="hidden" r:id="rId30"/>
    <sheet name="Fac - ExistSmlGas-Avg" sheetId="127" r:id="rId31"/>
    <sheet name="Fac-NewSmlSolid-Yr0" sheetId="156" state="hidden" r:id="rId32"/>
    <sheet name="Fac-NewSmlSolid-Avg" sheetId="158" r:id="rId33"/>
    <sheet name="Fac-NewSmlLiquid-Yr0" sheetId="159" state="hidden" r:id="rId34"/>
    <sheet name="Fac-NewSmlLiquid-Avg" sheetId="163" r:id="rId35"/>
    <sheet name="Fac-NewSmlGas-Yr0" sheetId="164" state="hidden" r:id="rId36"/>
    <sheet name="Fac-NewSmlGas-avg" sheetId="166" r:id="rId37"/>
    <sheet name="AgencyYR0" sheetId="167" state="hidden" r:id="rId38"/>
    <sheet name="Capital vs. O&amp;M" sheetId="173" r:id="rId39"/>
  </sheets>
  <externalReferences>
    <externalReference r:id="rId40"/>
  </externalReferences>
  <definedNames>
    <definedName name="_xlnm._FilterDatabase" localSheetId="26" hidden="1">'Fac - ExistSmlSolid-Avg'!$A$3:$S$3</definedName>
    <definedName name="_xlnm._FilterDatabase" localSheetId="6" hidden="1">'Fac-ExistLrgSolid-Yr0'!$A$3:$S$3</definedName>
    <definedName name="cler">[1]basis!$C$26</definedName>
    <definedName name="comptime" localSheetId="37">AgencyYR0!#REF!</definedName>
    <definedName name="comptime" localSheetId="7">'SUMMARY TABLE 2-Agency'!#REF!</definedName>
    <definedName name="excd">[1]basis!$C$19</definedName>
    <definedName name="lit">[1]basis!$C$13</definedName>
    <definedName name="mang">[1]basis!$C$25</definedName>
    <definedName name="new_respondents">[1]basis!$C$17</definedName>
    <definedName name="noexcd">[1]basis!$C$20</definedName>
    <definedName name="_xlnm.Print_Area" localSheetId="37">AgencyYR0!$A$1:$N$40</definedName>
    <definedName name="_xlnm.Print_Area" localSheetId="15">'Fac-ExistLrgLiquid-Yr0'!$A$1:$Q$87</definedName>
    <definedName name="_xlnm.Print_Area" localSheetId="23">'Fac-NewLrgGas-Yr0'!$A$1:$Q$73</definedName>
    <definedName name="_xlnm.Print_Area" localSheetId="19">'Fac-NewLrgSolid-Yr0'!$A$1:$Q$76</definedName>
    <definedName name="_xlnm.Print_Area" localSheetId="7">'SUMMARY TABLE 2-Agency'!$A$1:$N$39</definedName>
    <definedName name="_xlnm.Print_Titles" localSheetId="30">'Fac - ExistSmlGas-Avg'!$1:$3</definedName>
    <definedName name="_xlnm.Print_Titles" localSheetId="29">'Fac - ExistSmlGas-Yr0'!$1:$3</definedName>
    <definedName name="_xlnm.Print_Titles" localSheetId="28">'Fac - ExistSmlLiquid-Avg'!$1:$3</definedName>
    <definedName name="_xlnm.Print_Titles" localSheetId="27">'Fac - ExistSmlLiquid-Yr0'!$1:$3</definedName>
    <definedName name="_xlnm.Print_Titles" localSheetId="26">'Fac - ExistSmlSolid-Avg'!$1:$3</definedName>
    <definedName name="_xlnm.Print_Titles" localSheetId="25">'Fac - ExistSmlSolid-Yr0'!$1:$3</definedName>
    <definedName name="_xlnm.Print_Titles" localSheetId="18">'Fac-ExistLrgGas-Avg'!$1:$3</definedName>
    <definedName name="_xlnm.Print_Titles" localSheetId="17">'Fac-ExistLrgGas-Yr0'!$1:$3</definedName>
    <definedName name="_xlnm.Print_Titles" localSheetId="16">'Fac-ExistLrgLiquid-Avg'!$1:$3</definedName>
    <definedName name="_xlnm.Print_Titles" localSheetId="15">'Fac-ExistLrgLiquid-Yr0'!$1:$3</definedName>
    <definedName name="_xlnm.Print_Titles" localSheetId="14">'Fac-ExistLrgSolid-Avg'!$1:$3</definedName>
    <definedName name="_xlnm.Print_Titles" localSheetId="6">'Fac-ExistLrgSolid-Yr0'!$1:$3</definedName>
    <definedName name="_xlnm.Print_Titles" localSheetId="24">'Fac-NewLrgGas-Avg'!$1:$3</definedName>
    <definedName name="_xlnm.Print_Titles" localSheetId="23">'Fac-NewLrgGas-Yr0'!$1:$3</definedName>
    <definedName name="_xlnm.Print_Titles" localSheetId="22">'Fac-NewLrgLiquid-Avg'!$1:$3</definedName>
    <definedName name="_xlnm.Print_Titles" localSheetId="21">'Fac-NewLrgLiquid-Yr0'!$1:$3</definedName>
    <definedName name="_xlnm.Print_Titles" localSheetId="20">'Fac-NewLrgSolid-Avg'!$1:$3</definedName>
    <definedName name="_xlnm.Print_Titles" localSheetId="19">'Fac-NewLrgSolid-Yr0'!$1:$3</definedName>
    <definedName name="_xlnm.Print_Titles" localSheetId="36">'Fac-NewSmlGas-avg'!$1:$2</definedName>
    <definedName name="_xlnm.Print_Titles" localSheetId="35">'Fac-NewSmlGas-Yr0'!$1:$2</definedName>
    <definedName name="_xlnm.Print_Titles" localSheetId="34">'Fac-NewSmlLiquid-Avg'!$1:$2</definedName>
    <definedName name="_xlnm.Print_Titles" localSheetId="33">'Fac-NewSmlLiquid-Yr0'!$1:$2</definedName>
    <definedName name="_xlnm.Print_Titles" localSheetId="32">'Fac-NewSmlSolid-Avg'!$1:$3</definedName>
    <definedName name="_xlnm.Print_Titles" localSheetId="31">'Fac-NewSmlSolid-Yr0'!$1:$3</definedName>
    <definedName name="read1">#REF!</definedName>
    <definedName name="respondents" localSheetId="37">AgencyYR0!#REF!</definedName>
    <definedName name="respondents" localSheetId="7">'SUMMARY TABLE 2-Agency'!#REF!</definedName>
    <definedName name="retest" localSheetId="37">AgencyYR0!#REF!</definedName>
    <definedName name="retest" localSheetId="7">'SUMMARY TABLE 2-Agency'!#REF!</definedName>
    <definedName name="sperfac" localSheetId="37">AgencyYR0!#REF!</definedName>
    <definedName name="sperfac" localSheetId="7">'SUMMARY TABLE 2-Agency'!#REF!</definedName>
    <definedName name="ssmalf">[1]basis!$C$21</definedName>
    <definedName name="tech">[1]basis!$C$24</definedName>
  </definedNames>
  <calcPr calcId="171027"/>
</workbook>
</file>

<file path=xl/calcChain.xml><?xml version="1.0" encoding="utf-8"?>
<calcChain xmlns="http://schemas.openxmlformats.org/spreadsheetml/2006/main">
  <c r="B16" i="173" l="1"/>
  <c r="B15" i="173"/>
  <c r="C16" i="173" l="1"/>
  <c r="S52" i="110"/>
  <c r="I9" i="158" l="1"/>
  <c r="E5" i="195"/>
  <c r="E9" i="195" l="1"/>
  <c r="E8" i="195"/>
  <c r="C6" i="192"/>
  <c r="C8" i="192"/>
  <c r="C10" i="192"/>
  <c r="C12" i="192"/>
  <c r="C14" i="192"/>
  <c r="C16" i="192"/>
  <c r="E4" i="195"/>
  <c r="E7" i="195"/>
  <c r="E6" i="195"/>
  <c r="E10" i="195" l="1"/>
  <c r="C13" i="175"/>
  <c r="B10" i="173" l="1"/>
  <c r="I46" i="104"/>
  <c r="I43" i="104"/>
  <c r="I31" i="104"/>
  <c r="I37" i="104"/>
  <c r="I40" i="104"/>
  <c r="I34" i="104"/>
  <c r="I28" i="104"/>
  <c r="I24" i="139"/>
  <c r="C5" i="173"/>
  <c r="I37" i="172"/>
  <c r="I20" i="139"/>
  <c r="H23" i="169" l="1"/>
  <c r="I23" i="169" s="1"/>
  <c r="J23" i="169" s="1"/>
  <c r="I19" i="169"/>
  <c r="J19" i="169" s="1"/>
  <c r="L14" i="169"/>
  <c r="J14" i="169"/>
  <c r="I5" i="169"/>
  <c r="J5" i="169" s="1"/>
  <c r="H23" i="167"/>
  <c r="I23" i="167" s="1"/>
  <c r="J23" i="167" s="1"/>
  <c r="H21" i="167"/>
  <c r="I21" i="167" s="1"/>
  <c r="J21" i="167" s="1"/>
  <c r="L19" i="167"/>
  <c r="J19" i="167"/>
  <c r="K19" i="167" s="1"/>
  <c r="I19" i="167"/>
  <c r="K14" i="167"/>
  <c r="J14" i="167"/>
  <c r="L14" i="167" s="1"/>
  <c r="M14" i="167" s="1"/>
  <c r="I5" i="167"/>
  <c r="J5" i="167" s="1"/>
  <c r="P28" i="166"/>
  <c r="H25" i="166"/>
  <c r="H24" i="166"/>
  <c r="H23" i="166"/>
  <c r="S17" i="166"/>
  <c r="C14" i="173" s="1"/>
  <c r="H15" i="166"/>
  <c r="H14" i="166"/>
  <c r="H13" i="166"/>
  <c r="I9" i="166"/>
  <c r="O9" i="166" s="1"/>
  <c r="H9" i="166"/>
  <c r="H7" i="166"/>
  <c r="P26" i="164"/>
  <c r="H24" i="164"/>
  <c r="H23" i="164"/>
  <c r="H22" i="164"/>
  <c r="S16" i="164"/>
  <c r="H15" i="164"/>
  <c r="H14" i="164"/>
  <c r="H13" i="164"/>
  <c r="I9" i="164"/>
  <c r="H9" i="164"/>
  <c r="H7" i="164"/>
  <c r="P28" i="163"/>
  <c r="O25" i="163"/>
  <c r="J25" i="163"/>
  <c r="H25" i="163"/>
  <c r="I24" i="163"/>
  <c r="J24" i="163" s="1"/>
  <c r="H24" i="163"/>
  <c r="I23" i="163"/>
  <c r="J23" i="163" s="1"/>
  <c r="K23" i="163" s="1"/>
  <c r="H23" i="163"/>
  <c r="S17" i="163"/>
  <c r="C10" i="173" s="1"/>
  <c r="H15" i="163"/>
  <c r="P14" i="163"/>
  <c r="O14" i="163"/>
  <c r="M14" i="163"/>
  <c r="H14" i="163"/>
  <c r="J14" i="163" s="1"/>
  <c r="P13" i="163"/>
  <c r="O13" i="163"/>
  <c r="M13" i="163"/>
  <c r="H13" i="163"/>
  <c r="J13" i="163" s="1"/>
  <c r="O9" i="163"/>
  <c r="K9" i="163"/>
  <c r="H9" i="163"/>
  <c r="J9" i="163" s="1"/>
  <c r="O7" i="163"/>
  <c r="R17" i="163" s="1"/>
  <c r="D10" i="173" s="1"/>
  <c r="E10" i="173" s="1"/>
  <c r="M7" i="163"/>
  <c r="J7" i="163"/>
  <c r="H7" i="163"/>
  <c r="P26" i="159"/>
  <c r="H24" i="159"/>
  <c r="H23" i="159"/>
  <c r="H22" i="159"/>
  <c r="S16" i="159"/>
  <c r="H15" i="159"/>
  <c r="H14" i="159"/>
  <c r="H13" i="159"/>
  <c r="I9" i="159"/>
  <c r="H9" i="159"/>
  <c r="H7" i="159"/>
  <c r="P28" i="158"/>
  <c r="O25" i="158"/>
  <c r="H25" i="158"/>
  <c r="J25" i="158" s="1"/>
  <c r="I24" i="158"/>
  <c r="M24" i="158" s="1"/>
  <c r="H24" i="158"/>
  <c r="H23" i="158"/>
  <c r="S17" i="158"/>
  <c r="C6" i="173" s="1"/>
  <c r="H15" i="158"/>
  <c r="H14" i="158"/>
  <c r="H13" i="158"/>
  <c r="O9" i="158"/>
  <c r="H9" i="158"/>
  <c r="J9" i="158" s="1"/>
  <c r="H7" i="158"/>
  <c r="P26" i="156"/>
  <c r="H24" i="156"/>
  <c r="H23" i="156"/>
  <c r="H22" i="156"/>
  <c r="S16" i="156"/>
  <c r="H15" i="156"/>
  <c r="H14" i="156"/>
  <c r="H13" i="156"/>
  <c r="I9" i="156"/>
  <c r="I23" i="156" s="1"/>
  <c r="M23" i="156" s="1"/>
  <c r="H9" i="156"/>
  <c r="H7" i="156"/>
  <c r="P33" i="127"/>
  <c r="H30" i="127"/>
  <c r="H29" i="127"/>
  <c r="O28" i="127"/>
  <c r="M28" i="127"/>
  <c r="H28" i="127"/>
  <c r="J28" i="127" s="1"/>
  <c r="H27" i="127"/>
  <c r="S21" i="127"/>
  <c r="C13" i="173" s="1"/>
  <c r="P19" i="127"/>
  <c r="O19" i="127"/>
  <c r="M19" i="127"/>
  <c r="H19" i="127"/>
  <c r="J19" i="127" s="1"/>
  <c r="H18" i="127"/>
  <c r="P17" i="127"/>
  <c r="O17" i="127"/>
  <c r="M17" i="127"/>
  <c r="L17" i="127"/>
  <c r="J17" i="127"/>
  <c r="K17" i="127" s="1"/>
  <c r="H17" i="127"/>
  <c r="P16" i="127"/>
  <c r="O16" i="127"/>
  <c r="M16" i="127"/>
  <c r="L16" i="127"/>
  <c r="J16" i="127"/>
  <c r="K16" i="127" s="1"/>
  <c r="H16" i="127"/>
  <c r="H12" i="127"/>
  <c r="O11" i="127"/>
  <c r="M11" i="127"/>
  <c r="L11" i="127"/>
  <c r="J11" i="127"/>
  <c r="K11" i="127" s="1"/>
  <c r="H11" i="127"/>
  <c r="O10" i="127"/>
  <c r="M10" i="127"/>
  <c r="K10" i="127"/>
  <c r="H10" i="127"/>
  <c r="J10" i="127" s="1"/>
  <c r="H7" i="127"/>
  <c r="R31" i="123"/>
  <c r="P29" i="123"/>
  <c r="O29" i="123"/>
  <c r="O31" i="123" s="1"/>
  <c r="J29" i="123"/>
  <c r="H29" i="123"/>
  <c r="P28" i="123"/>
  <c r="O28" i="123"/>
  <c r="M28" i="123"/>
  <c r="J28" i="123"/>
  <c r="H28" i="123"/>
  <c r="P27" i="123"/>
  <c r="O27" i="123"/>
  <c r="M27" i="123"/>
  <c r="J27" i="123"/>
  <c r="H27" i="123"/>
  <c r="P26" i="123"/>
  <c r="P31" i="123" s="1"/>
  <c r="O26" i="123"/>
  <c r="M26" i="123"/>
  <c r="M31" i="123" s="1"/>
  <c r="J26" i="123"/>
  <c r="H26" i="123"/>
  <c r="S20" i="123"/>
  <c r="P19" i="123"/>
  <c r="O19" i="123"/>
  <c r="M19" i="123"/>
  <c r="H19" i="123"/>
  <c r="J19" i="123" s="1"/>
  <c r="P18" i="123"/>
  <c r="O18" i="123"/>
  <c r="M18" i="123"/>
  <c r="K18" i="123"/>
  <c r="H18" i="123"/>
  <c r="J18" i="123" s="1"/>
  <c r="P17" i="123"/>
  <c r="O17" i="123"/>
  <c r="M17" i="123"/>
  <c r="H17" i="123"/>
  <c r="J17" i="123" s="1"/>
  <c r="H16" i="123"/>
  <c r="O12" i="123"/>
  <c r="J12" i="123"/>
  <c r="H12" i="123"/>
  <c r="O11" i="123"/>
  <c r="M11" i="123"/>
  <c r="H11" i="123"/>
  <c r="J11" i="123" s="1"/>
  <c r="O10" i="123"/>
  <c r="M10" i="123"/>
  <c r="L10" i="123"/>
  <c r="J10" i="123"/>
  <c r="K10" i="123" s="1"/>
  <c r="H10" i="123"/>
  <c r="H7" i="123"/>
  <c r="P33" i="92"/>
  <c r="H30" i="92"/>
  <c r="H29" i="92"/>
  <c r="O28" i="92"/>
  <c r="M28" i="92"/>
  <c r="H28" i="92"/>
  <c r="J28" i="92" s="1"/>
  <c r="H27" i="92"/>
  <c r="S21" i="92"/>
  <c r="C9" i="173" s="1"/>
  <c r="P19" i="92"/>
  <c r="O19" i="92"/>
  <c r="M19" i="92"/>
  <c r="H19" i="92"/>
  <c r="J19" i="92" s="1"/>
  <c r="H18" i="92"/>
  <c r="P17" i="92"/>
  <c r="O17" i="92"/>
  <c r="M17" i="92"/>
  <c r="J17" i="92"/>
  <c r="H17" i="92"/>
  <c r="P16" i="92"/>
  <c r="O16" i="92"/>
  <c r="M16" i="92"/>
  <c r="J16" i="92"/>
  <c r="H16" i="92"/>
  <c r="H12" i="92"/>
  <c r="O11" i="92"/>
  <c r="M11" i="92"/>
  <c r="J11" i="92"/>
  <c r="H11" i="92"/>
  <c r="O10" i="92"/>
  <c r="M10" i="92"/>
  <c r="H10" i="92"/>
  <c r="J10" i="92" s="1"/>
  <c r="H7" i="92"/>
  <c r="P31" i="90"/>
  <c r="O31" i="90"/>
  <c r="J31" i="90"/>
  <c r="O29" i="90"/>
  <c r="K29" i="90"/>
  <c r="H29" i="90"/>
  <c r="J29" i="90" s="1"/>
  <c r="O28" i="90"/>
  <c r="M28" i="90"/>
  <c r="J28" i="90"/>
  <c r="H28" i="90"/>
  <c r="O27" i="90"/>
  <c r="R31" i="90" s="1"/>
  <c r="M27" i="90"/>
  <c r="H27" i="90"/>
  <c r="J27" i="90" s="1"/>
  <c r="O26" i="90"/>
  <c r="M26" i="90"/>
  <c r="L26" i="90"/>
  <c r="J26" i="90"/>
  <c r="K26" i="90" s="1"/>
  <c r="H26" i="90"/>
  <c r="S20" i="90"/>
  <c r="P19" i="90"/>
  <c r="O19" i="90"/>
  <c r="M19" i="90"/>
  <c r="H19" i="90"/>
  <c r="J19" i="90" s="1"/>
  <c r="P18" i="90"/>
  <c r="O18" i="90"/>
  <c r="M18" i="90"/>
  <c r="H18" i="90"/>
  <c r="J18" i="90" s="1"/>
  <c r="P17" i="90"/>
  <c r="O17" i="90"/>
  <c r="M17" i="90"/>
  <c r="H17" i="90"/>
  <c r="J17" i="90" s="1"/>
  <c r="H16" i="90"/>
  <c r="O12" i="90"/>
  <c r="L12" i="90"/>
  <c r="J12" i="90"/>
  <c r="K12" i="90" s="1"/>
  <c r="H12" i="90"/>
  <c r="O11" i="90"/>
  <c r="M11" i="90"/>
  <c r="H11" i="90"/>
  <c r="J11" i="90" s="1"/>
  <c r="O10" i="90"/>
  <c r="M10" i="90"/>
  <c r="J10" i="90"/>
  <c r="H10" i="90"/>
  <c r="H7" i="90"/>
  <c r="P33" i="89"/>
  <c r="H30" i="89"/>
  <c r="H29" i="89"/>
  <c r="O28" i="89"/>
  <c r="M28" i="89"/>
  <c r="H28" i="89"/>
  <c r="J28" i="89" s="1"/>
  <c r="H27" i="89"/>
  <c r="S22" i="89"/>
  <c r="P19" i="89"/>
  <c r="O19" i="89"/>
  <c r="M19" i="89"/>
  <c r="H19" i="89"/>
  <c r="J19" i="89" s="1"/>
  <c r="H18" i="89"/>
  <c r="P17" i="89"/>
  <c r="O17" i="89"/>
  <c r="M17" i="89"/>
  <c r="L17" i="89"/>
  <c r="J17" i="89"/>
  <c r="K17" i="89" s="1"/>
  <c r="H17" i="89"/>
  <c r="P16" i="89"/>
  <c r="O16" i="89"/>
  <c r="M16" i="89"/>
  <c r="L16" i="89"/>
  <c r="J16" i="89"/>
  <c r="K16" i="89" s="1"/>
  <c r="H16" i="89"/>
  <c r="H12" i="89"/>
  <c r="O11" i="89"/>
  <c r="M11" i="89"/>
  <c r="L11" i="89"/>
  <c r="J11" i="89"/>
  <c r="K11" i="89" s="1"/>
  <c r="H11" i="89"/>
  <c r="H10" i="89"/>
  <c r="H7" i="89"/>
  <c r="P31" i="51"/>
  <c r="O31" i="51"/>
  <c r="J31" i="51"/>
  <c r="O29" i="51"/>
  <c r="H29" i="51"/>
  <c r="J29" i="51" s="1"/>
  <c r="O28" i="51"/>
  <c r="M28" i="51"/>
  <c r="J28" i="51"/>
  <c r="H28" i="51"/>
  <c r="O27" i="51"/>
  <c r="R31" i="51" s="1"/>
  <c r="M27" i="51"/>
  <c r="H27" i="51"/>
  <c r="J27" i="51" s="1"/>
  <c r="O26" i="51"/>
  <c r="M26" i="51"/>
  <c r="M31" i="51" s="1"/>
  <c r="L26" i="51"/>
  <c r="J26" i="51"/>
  <c r="K26" i="51" s="1"/>
  <c r="H26" i="51"/>
  <c r="S20" i="51"/>
  <c r="P19" i="51"/>
  <c r="O19" i="51"/>
  <c r="M19" i="51"/>
  <c r="H19" i="51"/>
  <c r="J19" i="51" s="1"/>
  <c r="P18" i="51"/>
  <c r="O18" i="51"/>
  <c r="M18" i="51"/>
  <c r="H18" i="51"/>
  <c r="J18" i="51" s="1"/>
  <c r="P17" i="51"/>
  <c r="O17" i="51"/>
  <c r="M17" i="51"/>
  <c r="H17" i="51"/>
  <c r="J17" i="51" s="1"/>
  <c r="H16" i="51"/>
  <c r="O12" i="51"/>
  <c r="L12" i="51"/>
  <c r="J12" i="51"/>
  <c r="K12" i="51" s="1"/>
  <c r="H12" i="51"/>
  <c r="O11" i="51"/>
  <c r="M11" i="51"/>
  <c r="K11" i="51"/>
  <c r="H11" i="51"/>
  <c r="J11" i="51" s="1"/>
  <c r="O10" i="51"/>
  <c r="M10" i="51"/>
  <c r="J10" i="51"/>
  <c r="H10" i="51"/>
  <c r="H7" i="51"/>
  <c r="H62" i="172"/>
  <c r="I61" i="172"/>
  <c r="M61" i="172" s="1"/>
  <c r="H61" i="172"/>
  <c r="I60" i="172"/>
  <c r="O60" i="172" s="1"/>
  <c r="H60" i="172"/>
  <c r="I59" i="172"/>
  <c r="M59" i="172" s="1"/>
  <c r="H59" i="172"/>
  <c r="H58" i="172"/>
  <c r="O57" i="172"/>
  <c r="J57" i="172"/>
  <c r="H57" i="172"/>
  <c r="O56" i="172"/>
  <c r="H56" i="172"/>
  <c r="J56" i="172" s="1"/>
  <c r="O55" i="172"/>
  <c r="M55" i="172"/>
  <c r="H55" i="172"/>
  <c r="J55" i="172" s="1"/>
  <c r="O54" i="172"/>
  <c r="H54" i="172"/>
  <c r="J54" i="172" s="1"/>
  <c r="P46" i="172"/>
  <c r="O46" i="172"/>
  <c r="M46" i="172"/>
  <c r="H46" i="172"/>
  <c r="J46" i="172" s="1"/>
  <c r="P45" i="172"/>
  <c r="O45" i="172"/>
  <c r="M45" i="172"/>
  <c r="H45" i="172"/>
  <c r="J45" i="172" s="1"/>
  <c r="H44" i="172"/>
  <c r="H43" i="172"/>
  <c r="H42" i="172"/>
  <c r="O38" i="172"/>
  <c r="H38" i="172"/>
  <c r="J38" i="172" s="1"/>
  <c r="O37" i="172"/>
  <c r="H37" i="172"/>
  <c r="J37" i="172" s="1"/>
  <c r="H36" i="172"/>
  <c r="I35" i="172"/>
  <c r="H35" i="172"/>
  <c r="F35" i="172"/>
  <c r="O33" i="172"/>
  <c r="H33" i="172"/>
  <c r="I32" i="172"/>
  <c r="O32" i="172" s="1"/>
  <c r="H32" i="172"/>
  <c r="L30" i="172"/>
  <c r="J30" i="172"/>
  <c r="K30" i="172" s="1"/>
  <c r="H30" i="172"/>
  <c r="F30" i="172"/>
  <c r="O30" i="172" s="1"/>
  <c r="J29" i="172"/>
  <c r="H29" i="172"/>
  <c r="F29" i="172"/>
  <c r="O29" i="172" s="1"/>
  <c r="O27" i="172"/>
  <c r="H27" i="172"/>
  <c r="J27" i="172" s="1"/>
  <c r="O26" i="172"/>
  <c r="L26" i="172"/>
  <c r="J26" i="172"/>
  <c r="K26" i="172" s="1"/>
  <c r="H26" i="172"/>
  <c r="O24" i="172"/>
  <c r="H24" i="172"/>
  <c r="J24" i="172" s="1"/>
  <c r="O23" i="172"/>
  <c r="H23" i="172"/>
  <c r="J23" i="172" s="1"/>
  <c r="O21" i="172"/>
  <c r="H21" i="172"/>
  <c r="J21" i="172" s="1"/>
  <c r="O19" i="172"/>
  <c r="H19" i="172"/>
  <c r="J19" i="172" s="1"/>
  <c r="O18" i="172"/>
  <c r="H18" i="172"/>
  <c r="J18" i="172" s="1"/>
  <c r="O17" i="172"/>
  <c r="H17" i="172"/>
  <c r="J17" i="172" s="1"/>
  <c r="H16" i="172"/>
  <c r="E16" i="172"/>
  <c r="O16" i="172" s="1"/>
  <c r="H15" i="172"/>
  <c r="E15" i="172"/>
  <c r="O15" i="172" s="1"/>
  <c r="H14" i="172"/>
  <c r="E14" i="172"/>
  <c r="O14" i="172" s="1"/>
  <c r="O13" i="172"/>
  <c r="H13" i="172"/>
  <c r="E13" i="172"/>
  <c r="H12" i="172"/>
  <c r="J12" i="172" s="1"/>
  <c r="E12" i="172"/>
  <c r="O12" i="172" s="1"/>
  <c r="H11" i="172"/>
  <c r="J11" i="172" s="1"/>
  <c r="E11" i="172"/>
  <c r="O11" i="172" s="1"/>
  <c r="H10" i="172"/>
  <c r="J10" i="172" s="1"/>
  <c r="E10" i="172"/>
  <c r="O10" i="172" s="1"/>
  <c r="O9" i="172"/>
  <c r="H9" i="172"/>
  <c r="J9" i="172" s="1"/>
  <c r="E9" i="172"/>
  <c r="H7" i="172"/>
  <c r="H62" i="170"/>
  <c r="H61" i="170"/>
  <c r="H60" i="170"/>
  <c r="I59" i="170"/>
  <c r="H59" i="170"/>
  <c r="H58" i="170"/>
  <c r="O57" i="170"/>
  <c r="N57" i="170"/>
  <c r="K57" i="170"/>
  <c r="H57" i="170"/>
  <c r="J57" i="170" s="1"/>
  <c r="L57" i="170" s="1"/>
  <c r="O56" i="170"/>
  <c r="N56" i="170"/>
  <c r="K56" i="170"/>
  <c r="H56" i="170"/>
  <c r="J56" i="170" s="1"/>
  <c r="L56" i="170" s="1"/>
  <c r="O55" i="170"/>
  <c r="M55" i="170"/>
  <c r="J55" i="170"/>
  <c r="H55" i="170"/>
  <c r="O54" i="170"/>
  <c r="J54" i="170"/>
  <c r="H54" i="170"/>
  <c r="P47" i="170"/>
  <c r="O47" i="170"/>
  <c r="N47" i="170"/>
  <c r="M47" i="170"/>
  <c r="L47" i="170"/>
  <c r="J47" i="170"/>
  <c r="K47" i="170" s="1"/>
  <c r="H47" i="170"/>
  <c r="P46" i="170"/>
  <c r="O46" i="170"/>
  <c r="M46" i="170"/>
  <c r="L46" i="170"/>
  <c r="J46" i="170"/>
  <c r="K46" i="170" s="1"/>
  <c r="H46" i="170"/>
  <c r="P45" i="170"/>
  <c r="O45" i="170"/>
  <c r="M45" i="170"/>
  <c r="H45" i="170"/>
  <c r="J45" i="170" s="1"/>
  <c r="H44" i="170"/>
  <c r="H43" i="170"/>
  <c r="H42" i="170"/>
  <c r="O38" i="170"/>
  <c r="L38" i="170"/>
  <c r="J38" i="170"/>
  <c r="H38" i="170"/>
  <c r="I37" i="170"/>
  <c r="J37" i="170" s="1"/>
  <c r="H37" i="170"/>
  <c r="O36" i="170"/>
  <c r="J36" i="170"/>
  <c r="I36" i="170"/>
  <c r="H36" i="170"/>
  <c r="I35" i="170"/>
  <c r="H35" i="170"/>
  <c r="F35" i="170"/>
  <c r="O35" i="170" s="1"/>
  <c r="I33" i="170"/>
  <c r="O33" i="170" s="1"/>
  <c r="H33" i="170"/>
  <c r="J32" i="170"/>
  <c r="I32" i="170"/>
  <c r="O32" i="170" s="1"/>
  <c r="H32" i="170"/>
  <c r="O30" i="170"/>
  <c r="J30" i="170"/>
  <c r="H30" i="170"/>
  <c r="F30" i="170"/>
  <c r="L29" i="170"/>
  <c r="N29" i="170" s="1"/>
  <c r="H29" i="170"/>
  <c r="J29" i="170" s="1"/>
  <c r="K29" i="170" s="1"/>
  <c r="F29" i="170"/>
  <c r="O29" i="170" s="1"/>
  <c r="O27" i="170"/>
  <c r="L27" i="170"/>
  <c r="K27" i="170"/>
  <c r="J27" i="170"/>
  <c r="H27" i="170"/>
  <c r="O26" i="170"/>
  <c r="H26" i="170"/>
  <c r="J26" i="170" s="1"/>
  <c r="O24" i="170"/>
  <c r="L24" i="170"/>
  <c r="K24" i="170"/>
  <c r="J24" i="170"/>
  <c r="N24" i="170" s="1"/>
  <c r="H24" i="170"/>
  <c r="I23" i="170"/>
  <c r="H23" i="170"/>
  <c r="O21" i="170"/>
  <c r="L21" i="170"/>
  <c r="N21" i="170" s="1"/>
  <c r="H21" i="170"/>
  <c r="J21" i="170" s="1"/>
  <c r="K21" i="170" s="1"/>
  <c r="O19" i="170"/>
  <c r="J19" i="170"/>
  <c r="H19" i="170"/>
  <c r="O18" i="170"/>
  <c r="L18" i="170"/>
  <c r="N18" i="170" s="1"/>
  <c r="H18" i="170"/>
  <c r="J18" i="170" s="1"/>
  <c r="K18" i="170" s="1"/>
  <c r="O17" i="170"/>
  <c r="J17" i="170"/>
  <c r="H17" i="170"/>
  <c r="H16" i="170"/>
  <c r="J16" i="170" s="1"/>
  <c r="E16" i="170"/>
  <c r="O16" i="170" s="1"/>
  <c r="L15" i="170"/>
  <c r="K15" i="170"/>
  <c r="J15" i="170"/>
  <c r="N15" i="170" s="1"/>
  <c r="H15" i="170"/>
  <c r="E15" i="170"/>
  <c r="O15" i="170" s="1"/>
  <c r="O14" i="170"/>
  <c r="K14" i="170"/>
  <c r="J14" i="170"/>
  <c r="H14" i="170"/>
  <c r="E14" i="170"/>
  <c r="O13" i="170"/>
  <c r="H13" i="170"/>
  <c r="J13" i="170" s="1"/>
  <c r="E13" i="170"/>
  <c r="H12" i="170"/>
  <c r="J12" i="170" s="1"/>
  <c r="K12" i="170" s="1"/>
  <c r="E12" i="170"/>
  <c r="O12" i="170" s="1"/>
  <c r="H11" i="170"/>
  <c r="J11" i="170" s="1"/>
  <c r="E11" i="170"/>
  <c r="O11" i="170" s="1"/>
  <c r="O10" i="170"/>
  <c r="J10" i="170"/>
  <c r="H10" i="170"/>
  <c r="E10" i="170"/>
  <c r="O9" i="170"/>
  <c r="J9" i="170"/>
  <c r="H9" i="170"/>
  <c r="E9" i="170"/>
  <c r="H7" i="170"/>
  <c r="R63" i="141"/>
  <c r="P63" i="141"/>
  <c r="H60" i="141"/>
  <c r="H59" i="141"/>
  <c r="H58" i="141"/>
  <c r="H57" i="141"/>
  <c r="H56" i="141"/>
  <c r="H55" i="141"/>
  <c r="H54" i="141"/>
  <c r="P46" i="141"/>
  <c r="O46" i="141"/>
  <c r="H46" i="141"/>
  <c r="H45" i="141"/>
  <c r="H44" i="141"/>
  <c r="O40" i="141"/>
  <c r="H40" i="141"/>
  <c r="I39" i="141"/>
  <c r="O39" i="141" s="1"/>
  <c r="H39" i="141"/>
  <c r="O37" i="141"/>
  <c r="H37" i="141"/>
  <c r="I36" i="141"/>
  <c r="O36" i="141" s="1"/>
  <c r="H36" i="141"/>
  <c r="F36" i="141"/>
  <c r="O34" i="141"/>
  <c r="J34" i="141"/>
  <c r="H34" i="141"/>
  <c r="I33" i="141"/>
  <c r="O33" i="141" s="1"/>
  <c r="H33" i="141"/>
  <c r="O31" i="141"/>
  <c r="H31" i="141"/>
  <c r="F31" i="141"/>
  <c r="I30" i="141"/>
  <c r="H30" i="141"/>
  <c r="F30" i="141"/>
  <c r="O28" i="141"/>
  <c r="H28" i="141"/>
  <c r="O27" i="141"/>
  <c r="J27" i="141"/>
  <c r="H27" i="141"/>
  <c r="O25" i="141"/>
  <c r="H25" i="141"/>
  <c r="O24" i="141"/>
  <c r="I24" i="141"/>
  <c r="H24" i="141"/>
  <c r="J24" i="141" s="1"/>
  <c r="H22" i="141"/>
  <c r="O20" i="141"/>
  <c r="H20" i="141"/>
  <c r="J20" i="141" s="1"/>
  <c r="O19" i="141"/>
  <c r="H19" i="141"/>
  <c r="I18" i="141"/>
  <c r="O18" i="141" s="1"/>
  <c r="H18" i="141"/>
  <c r="H17" i="141"/>
  <c r="J17" i="141" s="1"/>
  <c r="H16" i="141"/>
  <c r="E16" i="141"/>
  <c r="O16" i="141" s="1"/>
  <c r="H15" i="141"/>
  <c r="E15" i="141"/>
  <c r="O15" i="141" s="1"/>
  <c r="H14" i="141"/>
  <c r="E14" i="141"/>
  <c r="O14" i="141" s="1"/>
  <c r="O13" i="141"/>
  <c r="H13" i="141"/>
  <c r="E13" i="141"/>
  <c r="I12" i="141"/>
  <c r="H12" i="141"/>
  <c r="E12" i="141"/>
  <c r="H11" i="141"/>
  <c r="J11" i="141" s="1"/>
  <c r="E11" i="141"/>
  <c r="O11" i="141" s="1"/>
  <c r="H10" i="141"/>
  <c r="J10" i="141" s="1"/>
  <c r="E10" i="141"/>
  <c r="I9" i="141"/>
  <c r="H9" i="141"/>
  <c r="E9" i="141"/>
  <c r="H7" i="141"/>
  <c r="R62" i="114"/>
  <c r="H60" i="114"/>
  <c r="H59" i="114"/>
  <c r="H58" i="114"/>
  <c r="H57" i="114"/>
  <c r="H56" i="114"/>
  <c r="H55" i="114"/>
  <c r="H54" i="114"/>
  <c r="P47" i="114"/>
  <c r="O47" i="114"/>
  <c r="M47" i="114"/>
  <c r="L47" i="114"/>
  <c r="H47" i="114"/>
  <c r="J47" i="114" s="1"/>
  <c r="H46" i="114"/>
  <c r="H45" i="114"/>
  <c r="H44" i="114"/>
  <c r="J40" i="114"/>
  <c r="I40" i="114"/>
  <c r="O40" i="114" s="1"/>
  <c r="H40" i="114"/>
  <c r="I39" i="114"/>
  <c r="O39" i="114" s="1"/>
  <c r="H39" i="114"/>
  <c r="L37" i="114"/>
  <c r="K37" i="114"/>
  <c r="I37" i="114"/>
  <c r="O37" i="114" s="1"/>
  <c r="H37" i="114"/>
  <c r="J37" i="114" s="1"/>
  <c r="K36" i="114"/>
  <c r="J36" i="114"/>
  <c r="I36" i="114"/>
  <c r="H36" i="114"/>
  <c r="F36" i="114"/>
  <c r="O36" i="114" s="1"/>
  <c r="O34" i="114"/>
  <c r="J34" i="114"/>
  <c r="I34" i="114"/>
  <c r="H34" i="114"/>
  <c r="J33" i="114"/>
  <c r="I33" i="114"/>
  <c r="O33" i="114" s="1"/>
  <c r="H33" i="114"/>
  <c r="I31" i="114"/>
  <c r="H31" i="114"/>
  <c r="F31" i="114"/>
  <c r="O31" i="114" s="1"/>
  <c r="I30" i="114"/>
  <c r="H30" i="114"/>
  <c r="J30" i="114" s="1"/>
  <c r="K30" i="114" s="1"/>
  <c r="F30" i="114"/>
  <c r="O30" i="114" s="1"/>
  <c r="I28" i="114"/>
  <c r="O28" i="114" s="1"/>
  <c r="H28" i="114"/>
  <c r="J28" i="114" s="1"/>
  <c r="I27" i="114"/>
  <c r="O27" i="114" s="1"/>
  <c r="H27" i="114"/>
  <c r="J27" i="114" s="1"/>
  <c r="O25" i="114"/>
  <c r="J25" i="114"/>
  <c r="I25" i="114"/>
  <c r="H25" i="114"/>
  <c r="J24" i="114"/>
  <c r="I24" i="114"/>
  <c r="O24" i="114" s="1"/>
  <c r="H24" i="114"/>
  <c r="H22" i="114"/>
  <c r="O20" i="114"/>
  <c r="H20" i="114"/>
  <c r="J20" i="114" s="1"/>
  <c r="O19" i="114"/>
  <c r="L19" i="114"/>
  <c r="K19" i="114"/>
  <c r="J19" i="114"/>
  <c r="N19" i="114" s="1"/>
  <c r="H19" i="114"/>
  <c r="I18" i="114"/>
  <c r="J18" i="114" s="1"/>
  <c r="H18" i="114"/>
  <c r="L17" i="114"/>
  <c r="K17" i="114"/>
  <c r="J17" i="114"/>
  <c r="H17" i="114"/>
  <c r="E17" i="114"/>
  <c r="O17" i="114" s="1"/>
  <c r="O16" i="114"/>
  <c r="K16" i="114"/>
  <c r="J16" i="114"/>
  <c r="H16" i="114"/>
  <c r="E16" i="114"/>
  <c r="O15" i="114"/>
  <c r="H15" i="114"/>
  <c r="J15" i="114" s="1"/>
  <c r="E15" i="114"/>
  <c r="H14" i="114"/>
  <c r="J14" i="114" s="1"/>
  <c r="E14" i="114"/>
  <c r="O14" i="114" s="1"/>
  <c r="H13" i="114"/>
  <c r="J13" i="114" s="1"/>
  <c r="E13" i="114"/>
  <c r="O13" i="114" s="1"/>
  <c r="I12" i="114"/>
  <c r="O12" i="114" s="1"/>
  <c r="H12" i="114"/>
  <c r="E12" i="114"/>
  <c r="O11" i="114"/>
  <c r="H11" i="114"/>
  <c r="J11" i="114" s="1"/>
  <c r="E11" i="114"/>
  <c r="H10" i="114"/>
  <c r="J10" i="114" s="1"/>
  <c r="E10" i="114"/>
  <c r="O10" i="114" s="1"/>
  <c r="I9" i="114"/>
  <c r="I56" i="114" s="1"/>
  <c r="H9" i="114"/>
  <c r="E9" i="114"/>
  <c r="H7" i="114"/>
  <c r="R64" i="139"/>
  <c r="P64" i="139"/>
  <c r="H61" i="139"/>
  <c r="H60" i="139"/>
  <c r="H59" i="139"/>
  <c r="H58" i="139"/>
  <c r="H57" i="139"/>
  <c r="H56" i="139"/>
  <c r="H55" i="139"/>
  <c r="P47" i="139"/>
  <c r="O47" i="139"/>
  <c r="M47" i="139"/>
  <c r="H47" i="139"/>
  <c r="J47" i="139" s="1"/>
  <c r="H46" i="139"/>
  <c r="H45" i="139"/>
  <c r="H44" i="139"/>
  <c r="P40" i="139"/>
  <c r="O40" i="139"/>
  <c r="J40" i="139"/>
  <c r="H40" i="139"/>
  <c r="P39" i="139"/>
  <c r="O39" i="139"/>
  <c r="H39" i="139"/>
  <c r="J39" i="139" s="1"/>
  <c r="H37" i="139"/>
  <c r="I36" i="139"/>
  <c r="H36" i="139"/>
  <c r="F36" i="139"/>
  <c r="P34" i="139"/>
  <c r="O34" i="139"/>
  <c r="H34" i="139"/>
  <c r="J34" i="139" s="1"/>
  <c r="P33" i="139"/>
  <c r="O33" i="139"/>
  <c r="H33" i="139"/>
  <c r="J33" i="139" s="1"/>
  <c r="H31" i="139"/>
  <c r="F31" i="139"/>
  <c r="O31" i="139" s="1"/>
  <c r="I30" i="139"/>
  <c r="H30" i="139"/>
  <c r="F30" i="139"/>
  <c r="P28" i="139"/>
  <c r="O28" i="139"/>
  <c r="H28" i="139"/>
  <c r="J28" i="139" s="1"/>
  <c r="P27" i="139"/>
  <c r="O27" i="139"/>
  <c r="H27" i="139"/>
  <c r="J27" i="139" s="1"/>
  <c r="O25" i="139"/>
  <c r="H25" i="139"/>
  <c r="O24" i="139"/>
  <c r="H24" i="139"/>
  <c r="J24" i="139" s="1"/>
  <c r="K24" i="139" s="1"/>
  <c r="H22" i="139"/>
  <c r="O20" i="139"/>
  <c r="H20" i="139"/>
  <c r="J20" i="139" s="1"/>
  <c r="L20" i="139" s="1"/>
  <c r="P19" i="139"/>
  <c r="O19" i="139"/>
  <c r="H19" i="139"/>
  <c r="J19" i="139" s="1"/>
  <c r="P18" i="139"/>
  <c r="O18" i="139"/>
  <c r="H18" i="139"/>
  <c r="J18" i="139" s="1"/>
  <c r="I17" i="139"/>
  <c r="J17" i="139" s="1"/>
  <c r="H17" i="139"/>
  <c r="J16" i="139"/>
  <c r="L16" i="139" s="1"/>
  <c r="H16" i="139"/>
  <c r="E16" i="139"/>
  <c r="O16" i="139" s="1"/>
  <c r="H15" i="139"/>
  <c r="J15" i="139" s="1"/>
  <c r="E15" i="139"/>
  <c r="O15" i="139" s="1"/>
  <c r="H14" i="139"/>
  <c r="J14" i="139" s="1"/>
  <c r="E14" i="139"/>
  <c r="O14" i="139" s="1"/>
  <c r="H13" i="139"/>
  <c r="J13" i="139" s="1"/>
  <c r="K13" i="139" s="1"/>
  <c r="E13" i="139"/>
  <c r="O13" i="139" s="1"/>
  <c r="I12" i="139"/>
  <c r="H12" i="139"/>
  <c r="E12" i="139"/>
  <c r="I11" i="139"/>
  <c r="H11" i="139"/>
  <c r="E11" i="139"/>
  <c r="I10" i="139"/>
  <c r="H10" i="139"/>
  <c r="E10" i="139"/>
  <c r="I9" i="139"/>
  <c r="H9" i="139"/>
  <c r="E9" i="139"/>
  <c r="H7" i="139"/>
  <c r="R62" i="111"/>
  <c r="H60" i="111"/>
  <c r="H59" i="111"/>
  <c r="H58" i="111"/>
  <c r="H57" i="111"/>
  <c r="H56" i="111"/>
  <c r="H55" i="111"/>
  <c r="H54" i="111"/>
  <c r="P47" i="111"/>
  <c r="O47" i="111"/>
  <c r="M47" i="111"/>
  <c r="J47" i="111"/>
  <c r="H47" i="111"/>
  <c r="H46" i="111"/>
  <c r="H45" i="111"/>
  <c r="H44" i="111"/>
  <c r="O40" i="111"/>
  <c r="L40" i="111"/>
  <c r="K40" i="111"/>
  <c r="J40" i="111"/>
  <c r="N40" i="111" s="1"/>
  <c r="H40" i="111"/>
  <c r="O39" i="111"/>
  <c r="J39" i="111"/>
  <c r="H39" i="111"/>
  <c r="K37" i="111"/>
  <c r="I37" i="111"/>
  <c r="O37" i="111" s="1"/>
  <c r="H37" i="111"/>
  <c r="J37" i="111" s="1"/>
  <c r="L37" i="111" s="1"/>
  <c r="J36" i="111"/>
  <c r="I36" i="111"/>
  <c r="H36" i="111"/>
  <c r="F36" i="111"/>
  <c r="O36" i="111" s="1"/>
  <c r="O34" i="111"/>
  <c r="K34" i="111"/>
  <c r="J34" i="111"/>
  <c r="H34" i="111"/>
  <c r="O33" i="111"/>
  <c r="H33" i="111"/>
  <c r="J33" i="111" s="1"/>
  <c r="K33" i="111" s="1"/>
  <c r="O31" i="111"/>
  <c r="K31" i="111"/>
  <c r="J31" i="111"/>
  <c r="I31" i="111"/>
  <c r="H31" i="111"/>
  <c r="F31" i="111"/>
  <c r="J30" i="111"/>
  <c r="I30" i="111"/>
  <c r="H30" i="111"/>
  <c r="F30" i="111"/>
  <c r="O30" i="111" s="1"/>
  <c r="O28" i="111"/>
  <c r="K28" i="111"/>
  <c r="J28" i="111"/>
  <c r="H28" i="111"/>
  <c r="O27" i="111"/>
  <c r="H27" i="111"/>
  <c r="J27" i="111" s="1"/>
  <c r="O25" i="111"/>
  <c r="I25" i="111"/>
  <c r="H25" i="111"/>
  <c r="J25" i="111" s="1"/>
  <c r="O24" i="111"/>
  <c r="J24" i="111"/>
  <c r="I24" i="111"/>
  <c r="H24" i="111"/>
  <c r="H22" i="111"/>
  <c r="I20" i="111"/>
  <c r="O20" i="111" s="1"/>
  <c r="H20" i="111"/>
  <c r="O19" i="111"/>
  <c r="H19" i="111"/>
  <c r="J19" i="111" s="1"/>
  <c r="O18" i="111"/>
  <c r="J18" i="111"/>
  <c r="H18" i="111"/>
  <c r="I17" i="111"/>
  <c r="H17" i="111"/>
  <c r="E17" i="111"/>
  <c r="L16" i="111"/>
  <c r="K16" i="111"/>
  <c r="J16" i="111"/>
  <c r="H16" i="111"/>
  <c r="E16" i="111"/>
  <c r="O16" i="111" s="1"/>
  <c r="O15" i="111"/>
  <c r="J15" i="111"/>
  <c r="H15" i="111"/>
  <c r="E15" i="111"/>
  <c r="O14" i="111"/>
  <c r="H14" i="111"/>
  <c r="J14" i="111" s="1"/>
  <c r="E14" i="111"/>
  <c r="L13" i="111"/>
  <c r="H13" i="111"/>
  <c r="J13" i="111" s="1"/>
  <c r="E13" i="111"/>
  <c r="O13" i="111" s="1"/>
  <c r="I12" i="111"/>
  <c r="H12" i="111"/>
  <c r="E12" i="111"/>
  <c r="I11" i="111"/>
  <c r="O11" i="111" s="1"/>
  <c r="H11" i="111"/>
  <c r="E11" i="111"/>
  <c r="I10" i="111"/>
  <c r="H10" i="111"/>
  <c r="E10" i="111"/>
  <c r="I9" i="111"/>
  <c r="H9" i="111"/>
  <c r="E9" i="111"/>
  <c r="H7" i="111"/>
  <c r="H66" i="110"/>
  <c r="H65" i="110"/>
  <c r="H64" i="110"/>
  <c r="H63" i="110"/>
  <c r="H62" i="110"/>
  <c r="H61" i="110"/>
  <c r="H60" i="110"/>
  <c r="H59" i="110"/>
  <c r="H58" i="110"/>
  <c r="H50" i="110"/>
  <c r="H49" i="110"/>
  <c r="H48" i="110"/>
  <c r="P47" i="110"/>
  <c r="O47" i="110"/>
  <c r="M47" i="110"/>
  <c r="J47" i="110"/>
  <c r="K47" i="110" s="1"/>
  <c r="H47" i="110"/>
  <c r="P46" i="110"/>
  <c r="O46" i="110"/>
  <c r="M46" i="110"/>
  <c r="H46" i="110"/>
  <c r="J46" i="110" s="1"/>
  <c r="P45" i="110"/>
  <c r="O45" i="110"/>
  <c r="M45" i="110"/>
  <c r="H45" i="110"/>
  <c r="J45" i="110" s="1"/>
  <c r="K45" i="110" s="1"/>
  <c r="I41" i="110"/>
  <c r="O41" i="110" s="1"/>
  <c r="H41" i="110"/>
  <c r="H40" i="110"/>
  <c r="I39" i="110"/>
  <c r="O39" i="110" s="1"/>
  <c r="H39" i="110"/>
  <c r="I38" i="110"/>
  <c r="H38" i="110"/>
  <c r="F38" i="110"/>
  <c r="O38" i="110" s="1"/>
  <c r="I36" i="110"/>
  <c r="O36" i="110" s="1"/>
  <c r="H36" i="110"/>
  <c r="O35" i="110"/>
  <c r="J35" i="110"/>
  <c r="H35" i="110"/>
  <c r="I33" i="110"/>
  <c r="H33" i="110"/>
  <c r="F33" i="110"/>
  <c r="O33" i="110" s="1"/>
  <c r="J32" i="110"/>
  <c r="K32" i="110" s="1"/>
  <c r="H32" i="110"/>
  <c r="F32" i="110"/>
  <c r="O32" i="110" s="1"/>
  <c r="O30" i="110"/>
  <c r="H30" i="110"/>
  <c r="J30" i="110" s="1"/>
  <c r="O29" i="110"/>
  <c r="H29" i="110"/>
  <c r="J29" i="110" s="1"/>
  <c r="I27" i="110"/>
  <c r="O27" i="110" s="1"/>
  <c r="H27" i="110"/>
  <c r="I26" i="110"/>
  <c r="O26" i="110" s="1"/>
  <c r="H26" i="110"/>
  <c r="J26" i="110" s="1"/>
  <c r="O24" i="110"/>
  <c r="H24" i="110"/>
  <c r="J24" i="110" s="1"/>
  <c r="H22" i="110"/>
  <c r="O21" i="110"/>
  <c r="H21" i="110"/>
  <c r="J21" i="110" s="1"/>
  <c r="H20" i="110"/>
  <c r="J20" i="110" s="1"/>
  <c r="H19" i="110"/>
  <c r="E19" i="110"/>
  <c r="H18" i="110"/>
  <c r="E18" i="110"/>
  <c r="H17" i="110"/>
  <c r="E17" i="110"/>
  <c r="H16" i="110"/>
  <c r="E16" i="110"/>
  <c r="H15" i="110"/>
  <c r="J15" i="110" s="1"/>
  <c r="E15" i="110"/>
  <c r="O15" i="110" s="1"/>
  <c r="H14" i="110"/>
  <c r="J14" i="110" s="1"/>
  <c r="E14" i="110"/>
  <c r="O14" i="110" s="1"/>
  <c r="H13" i="110"/>
  <c r="J13" i="110" s="1"/>
  <c r="E13" i="110"/>
  <c r="H12" i="110"/>
  <c r="J12" i="110" s="1"/>
  <c r="E12" i="110"/>
  <c r="O12" i="110" s="1"/>
  <c r="O11" i="110"/>
  <c r="M11" i="110"/>
  <c r="H11" i="110"/>
  <c r="J11" i="110" s="1"/>
  <c r="O10" i="110"/>
  <c r="M10" i="110"/>
  <c r="H10" i="110"/>
  <c r="J10" i="110" s="1"/>
  <c r="H7" i="110"/>
  <c r="P68" i="108"/>
  <c r="O66" i="108"/>
  <c r="L66" i="108"/>
  <c r="H66" i="108"/>
  <c r="J66" i="108" s="1"/>
  <c r="O65" i="108"/>
  <c r="M65" i="108"/>
  <c r="L65" i="108"/>
  <c r="K65" i="108"/>
  <c r="J65" i="108"/>
  <c r="N65" i="108" s="1"/>
  <c r="H65" i="108"/>
  <c r="O64" i="108"/>
  <c r="H64" i="108"/>
  <c r="J64" i="108" s="1"/>
  <c r="O63" i="108"/>
  <c r="M63" i="108"/>
  <c r="H63" i="108"/>
  <c r="J63" i="108" s="1"/>
  <c r="L63" i="108" s="1"/>
  <c r="O62" i="108"/>
  <c r="M62" i="108"/>
  <c r="L62" i="108"/>
  <c r="K62" i="108"/>
  <c r="J62" i="108"/>
  <c r="H62" i="108"/>
  <c r="O61" i="108"/>
  <c r="H61" i="108"/>
  <c r="J61" i="108" s="1"/>
  <c r="O60" i="108"/>
  <c r="L60" i="108"/>
  <c r="K60" i="108"/>
  <c r="J60" i="108"/>
  <c r="H60" i="108"/>
  <c r="O59" i="108"/>
  <c r="M59" i="108"/>
  <c r="M68" i="108" s="1"/>
  <c r="J59" i="108"/>
  <c r="H59" i="108"/>
  <c r="O58" i="108"/>
  <c r="H58" i="108"/>
  <c r="J58" i="108" s="1"/>
  <c r="P51" i="108"/>
  <c r="O51" i="108"/>
  <c r="M51" i="108"/>
  <c r="H51" i="108"/>
  <c r="J51" i="108" s="1"/>
  <c r="P50" i="108"/>
  <c r="O50" i="108"/>
  <c r="M50" i="108"/>
  <c r="H50" i="108"/>
  <c r="J50" i="108" s="1"/>
  <c r="P49" i="108"/>
  <c r="O49" i="108"/>
  <c r="M49" i="108"/>
  <c r="H49" i="108"/>
  <c r="J49" i="108" s="1"/>
  <c r="P48" i="108"/>
  <c r="O48" i="108"/>
  <c r="M48" i="108"/>
  <c r="H48" i="108"/>
  <c r="J48" i="108" s="1"/>
  <c r="P47" i="108"/>
  <c r="O47" i="108"/>
  <c r="M47" i="108"/>
  <c r="H47" i="108"/>
  <c r="J47" i="108" s="1"/>
  <c r="P46" i="108"/>
  <c r="O46" i="108"/>
  <c r="M46" i="108"/>
  <c r="H46" i="108"/>
  <c r="J46" i="108" s="1"/>
  <c r="H45" i="108"/>
  <c r="O41" i="108"/>
  <c r="L41" i="108"/>
  <c r="H41" i="108"/>
  <c r="J41" i="108" s="1"/>
  <c r="O40" i="108"/>
  <c r="J40" i="108"/>
  <c r="H40" i="108"/>
  <c r="O39" i="108"/>
  <c r="L39" i="108"/>
  <c r="H39" i="108"/>
  <c r="J39" i="108" s="1"/>
  <c r="O38" i="108"/>
  <c r="J38" i="108"/>
  <c r="H38" i="108"/>
  <c r="F38" i="108"/>
  <c r="O36" i="108"/>
  <c r="H36" i="108"/>
  <c r="J36" i="108" s="1"/>
  <c r="O35" i="108"/>
  <c r="L35" i="108"/>
  <c r="K35" i="108"/>
  <c r="J35" i="108"/>
  <c r="N35" i="108" s="1"/>
  <c r="H35" i="108"/>
  <c r="O33" i="108"/>
  <c r="H33" i="108"/>
  <c r="J33" i="108" s="1"/>
  <c r="F33" i="108"/>
  <c r="L32" i="108"/>
  <c r="H32" i="108"/>
  <c r="J32" i="108" s="1"/>
  <c r="F32" i="108"/>
  <c r="O32" i="108" s="1"/>
  <c r="S52" i="108" s="1"/>
  <c r="O30" i="108"/>
  <c r="L30" i="108"/>
  <c r="K30" i="108"/>
  <c r="J30" i="108"/>
  <c r="N30" i="108" s="1"/>
  <c r="H30" i="108"/>
  <c r="O29" i="108"/>
  <c r="H29" i="108"/>
  <c r="J29" i="108" s="1"/>
  <c r="O27" i="108"/>
  <c r="L27" i="108"/>
  <c r="K27" i="108"/>
  <c r="J27" i="108"/>
  <c r="N27" i="108" s="1"/>
  <c r="H27" i="108"/>
  <c r="O26" i="108"/>
  <c r="H26" i="108"/>
  <c r="J26" i="108" s="1"/>
  <c r="O24" i="108"/>
  <c r="L24" i="108"/>
  <c r="K24" i="108"/>
  <c r="J24" i="108"/>
  <c r="N24" i="108" s="1"/>
  <c r="H24" i="108"/>
  <c r="O22" i="108"/>
  <c r="H22" i="108"/>
  <c r="J22" i="108" s="1"/>
  <c r="O21" i="108"/>
  <c r="L21" i="108"/>
  <c r="K21" i="108"/>
  <c r="J21" i="108"/>
  <c r="N21" i="108" s="1"/>
  <c r="H21" i="108"/>
  <c r="H20" i="108"/>
  <c r="J20" i="108" s="1"/>
  <c r="L19" i="108"/>
  <c r="H19" i="108"/>
  <c r="J19" i="108" s="1"/>
  <c r="E19" i="108"/>
  <c r="O19" i="108" s="1"/>
  <c r="L18" i="108"/>
  <c r="K18" i="108"/>
  <c r="J18" i="108"/>
  <c r="H18" i="108"/>
  <c r="E18" i="108"/>
  <c r="O18" i="108" s="1"/>
  <c r="O17" i="108"/>
  <c r="J17" i="108"/>
  <c r="H17" i="108"/>
  <c r="E17" i="108"/>
  <c r="O16" i="108"/>
  <c r="H16" i="108"/>
  <c r="J16" i="108" s="1"/>
  <c r="E16" i="108"/>
  <c r="L15" i="108"/>
  <c r="H15" i="108"/>
  <c r="J15" i="108" s="1"/>
  <c r="E15" i="108"/>
  <c r="O15" i="108" s="1"/>
  <c r="L14" i="108"/>
  <c r="K14" i="108"/>
  <c r="J14" i="108"/>
  <c r="H14" i="108"/>
  <c r="E14" i="108"/>
  <c r="E20" i="108" s="1"/>
  <c r="O20" i="108" s="1"/>
  <c r="O13" i="108"/>
  <c r="J13" i="108"/>
  <c r="H13" i="108"/>
  <c r="E13" i="108"/>
  <c r="O12" i="108"/>
  <c r="H12" i="108"/>
  <c r="J12" i="108" s="1"/>
  <c r="E12" i="108"/>
  <c r="O11" i="108"/>
  <c r="M11" i="108"/>
  <c r="H11" i="108"/>
  <c r="J11" i="108" s="1"/>
  <c r="O10" i="108"/>
  <c r="M10" i="108"/>
  <c r="H10" i="108"/>
  <c r="J10" i="108" s="1"/>
  <c r="L10" i="108" s="1"/>
  <c r="H7" i="108"/>
  <c r="R70" i="107"/>
  <c r="P70" i="107"/>
  <c r="H67" i="107"/>
  <c r="H66" i="107"/>
  <c r="H65" i="107"/>
  <c r="H64" i="107"/>
  <c r="H63" i="107"/>
  <c r="H62" i="107"/>
  <c r="H61" i="107"/>
  <c r="H53" i="107"/>
  <c r="P52" i="107"/>
  <c r="O52" i="107"/>
  <c r="M52" i="107"/>
  <c r="H52" i="107"/>
  <c r="J52" i="107" s="1"/>
  <c r="L52" i="107" s="1"/>
  <c r="P51" i="107"/>
  <c r="O51" i="107"/>
  <c r="M51" i="107"/>
  <c r="H51" i="107"/>
  <c r="J51" i="107" s="1"/>
  <c r="K51" i="107" s="1"/>
  <c r="P50" i="107"/>
  <c r="O50" i="107"/>
  <c r="M50" i="107"/>
  <c r="H50" i="107"/>
  <c r="J50" i="107" s="1"/>
  <c r="L50" i="107" s="1"/>
  <c r="I46" i="107"/>
  <c r="O46" i="107" s="1"/>
  <c r="H46" i="107"/>
  <c r="O45" i="107"/>
  <c r="H45" i="107"/>
  <c r="J45" i="107" s="1"/>
  <c r="I43" i="107"/>
  <c r="O43" i="107" s="1"/>
  <c r="H43" i="107"/>
  <c r="O42" i="107"/>
  <c r="H42" i="107"/>
  <c r="J42" i="107" s="1"/>
  <c r="I40" i="107"/>
  <c r="O40" i="107" s="1"/>
  <c r="H40" i="107"/>
  <c r="H39" i="107"/>
  <c r="J39" i="107" s="1"/>
  <c r="F39" i="107"/>
  <c r="O39" i="107" s="1"/>
  <c r="I37" i="107"/>
  <c r="O37" i="107" s="1"/>
  <c r="H37" i="107"/>
  <c r="O36" i="107"/>
  <c r="H36" i="107"/>
  <c r="J36" i="107" s="1"/>
  <c r="I34" i="107"/>
  <c r="H34" i="107"/>
  <c r="F34" i="107"/>
  <c r="H33" i="107"/>
  <c r="J33" i="107" s="1"/>
  <c r="F33" i="107"/>
  <c r="O33" i="107" s="1"/>
  <c r="I31" i="107"/>
  <c r="O31" i="107" s="1"/>
  <c r="H31" i="107"/>
  <c r="O30" i="107"/>
  <c r="J30" i="107"/>
  <c r="L30" i="107" s="1"/>
  <c r="H30" i="107"/>
  <c r="I28" i="107"/>
  <c r="O28" i="107" s="1"/>
  <c r="H28" i="107"/>
  <c r="O27" i="107"/>
  <c r="H27" i="107"/>
  <c r="J27" i="107" s="1"/>
  <c r="O25" i="107"/>
  <c r="H25" i="107"/>
  <c r="J25" i="107" s="1"/>
  <c r="H23" i="107"/>
  <c r="H22" i="107"/>
  <c r="O21" i="107"/>
  <c r="H21" i="107"/>
  <c r="J21" i="107" s="1"/>
  <c r="H20" i="107"/>
  <c r="J20" i="107" s="1"/>
  <c r="H19" i="107"/>
  <c r="E19" i="107"/>
  <c r="H18" i="107"/>
  <c r="J18" i="107" s="1"/>
  <c r="E18" i="107"/>
  <c r="O18" i="107" s="1"/>
  <c r="H17" i="107"/>
  <c r="J17" i="107" s="1"/>
  <c r="E17" i="107"/>
  <c r="O17" i="107" s="1"/>
  <c r="H16" i="107"/>
  <c r="E16" i="107"/>
  <c r="H15" i="107"/>
  <c r="J15" i="107" s="1"/>
  <c r="E15" i="107"/>
  <c r="O15" i="107" s="1"/>
  <c r="H14" i="107"/>
  <c r="J14" i="107" s="1"/>
  <c r="E14" i="107"/>
  <c r="H13" i="107"/>
  <c r="J13" i="107" s="1"/>
  <c r="E13" i="107"/>
  <c r="O13" i="107" s="1"/>
  <c r="H12" i="107"/>
  <c r="J12" i="107" s="1"/>
  <c r="E12" i="107"/>
  <c r="O12" i="107" s="1"/>
  <c r="O11" i="107"/>
  <c r="M11" i="107"/>
  <c r="H11" i="107"/>
  <c r="J11" i="107" s="1"/>
  <c r="K11" i="107" s="1"/>
  <c r="O10" i="107"/>
  <c r="M10" i="107"/>
  <c r="H10" i="107"/>
  <c r="J10" i="107" s="1"/>
  <c r="H7" i="107"/>
  <c r="R69" i="105"/>
  <c r="P69" i="105"/>
  <c r="O67" i="105"/>
  <c r="L67" i="105"/>
  <c r="H67" i="105"/>
  <c r="J67" i="105" s="1"/>
  <c r="K67" i="105" s="1"/>
  <c r="O66" i="105"/>
  <c r="J66" i="105"/>
  <c r="H66" i="105"/>
  <c r="O65" i="105"/>
  <c r="M65" i="105"/>
  <c r="H65" i="105"/>
  <c r="J65" i="105" s="1"/>
  <c r="O64" i="105"/>
  <c r="L64" i="105"/>
  <c r="K64" i="105"/>
  <c r="J64" i="105"/>
  <c r="N64" i="105" s="1"/>
  <c r="H64" i="105"/>
  <c r="O63" i="105"/>
  <c r="J63" i="105"/>
  <c r="H63" i="105"/>
  <c r="O62" i="105"/>
  <c r="M62" i="105"/>
  <c r="L62" i="105"/>
  <c r="H62" i="105"/>
  <c r="J62" i="105" s="1"/>
  <c r="O61" i="105"/>
  <c r="J61" i="105"/>
  <c r="H61" i="105"/>
  <c r="P54" i="105"/>
  <c r="O54" i="105"/>
  <c r="M54" i="105"/>
  <c r="L54" i="105"/>
  <c r="K54" i="105"/>
  <c r="J54" i="105"/>
  <c r="H54" i="105"/>
  <c r="P53" i="105"/>
  <c r="O53" i="105"/>
  <c r="M53" i="105"/>
  <c r="L53" i="105"/>
  <c r="K53" i="105"/>
  <c r="J53" i="105"/>
  <c r="H53" i="105"/>
  <c r="P52" i="105"/>
  <c r="O52" i="105"/>
  <c r="M52" i="105"/>
  <c r="L52" i="105"/>
  <c r="K52" i="105"/>
  <c r="J52" i="105"/>
  <c r="H52" i="105"/>
  <c r="P51" i="105"/>
  <c r="O51" i="105"/>
  <c r="M51" i="105"/>
  <c r="L51" i="105"/>
  <c r="K51" i="105"/>
  <c r="J51" i="105"/>
  <c r="N51" i="105" s="1"/>
  <c r="H51" i="105"/>
  <c r="H50" i="105"/>
  <c r="O46" i="105"/>
  <c r="K46" i="105"/>
  <c r="J46" i="105"/>
  <c r="H46" i="105"/>
  <c r="O45" i="105"/>
  <c r="H45" i="105"/>
  <c r="J45" i="105" s="1"/>
  <c r="K45" i="105" s="1"/>
  <c r="O43" i="105"/>
  <c r="K43" i="105"/>
  <c r="J43" i="105"/>
  <c r="H43" i="105"/>
  <c r="O42" i="105"/>
  <c r="H42" i="105"/>
  <c r="J42" i="105" s="1"/>
  <c r="K42" i="105" s="1"/>
  <c r="O40" i="105"/>
  <c r="K40" i="105"/>
  <c r="J40" i="105"/>
  <c r="H40" i="105"/>
  <c r="L39" i="105"/>
  <c r="N39" i="105" s="1"/>
  <c r="H39" i="105"/>
  <c r="J39" i="105" s="1"/>
  <c r="K39" i="105" s="1"/>
  <c r="F39" i="105"/>
  <c r="O39" i="105" s="1"/>
  <c r="O37" i="105"/>
  <c r="L37" i="105"/>
  <c r="K37" i="105"/>
  <c r="J37" i="105"/>
  <c r="H37" i="105"/>
  <c r="O36" i="105"/>
  <c r="J36" i="105"/>
  <c r="H36" i="105"/>
  <c r="L34" i="105"/>
  <c r="K34" i="105"/>
  <c r="J34" i="105"/>
  <c r="H34" i="105"/>
  <c r="F34" i="105"/>
  <c r="O34" i="105" s="1"/>
  <c r="O33" i="105"/>
  <c r="K33" i="105"/>
  <c r="J33" i="105"/>
  <c r="H33" i="105"/>
  <c r="F33" i="105"/>
  <c r="O31" i="105"/>
  <c r="J31" i="105"/>
  <c r="H31" i="105"/>
  <c r="O30" i="105"/>
  <c r="L30" i="105"/>
  <c r="K30" i="105"/>
  <c r="J30" i="105"/>
  <c r="H30" i="105"/>
  <c r="O28" i="105"/>
  <c r="H28" i="105"/>
  <c r="J28" i="105" s="1"/>
  <c r="O27" i="105"/>
  <c r="L27" i="105"/>
  <c r="K27" i="105"/>
  <c r="J27" i="105"/>
  <c r="H27" i="105"/>
  <c r="O25" i="105"/>
  <c r="J25" i="105"/>
  <c r="H25" i="105"/>
  <c r="O23" i="105"/>
  <c r="L23" i="105"/>
  <c r="K23" i="105"/>
  <c r="J23" i="105"/>
  <c r="H23" i="105"/>
  <c r="O22" i="105"/>
  <c r="H22" i="105"/>
  <c r="J22" i="105" s="1"/>
  <c r="O21" i="105"/>
  <c r="L21" i="105"/>
  <c r="K21" i="105"/>
  <c r="J21" i="105"/>
  <c r="N21" i="105" s="1"/>
  <c r="H21" i="105"/>
  <c r="J20" i="105"/>
  <c r="H20" i="105"/>
  <c r="H19" i="105"/>
  <c r="J19" i="105" s="1"/>
  <c r="K19" i="105" s="1"/>
  <c r="E19" i="105"/>
  <c r="O19" i="105" s="1"/>
  <c r="L18" i="105"/>
  <c r="K18" i="105"/>
  <c r="J18" i="105"/>
  <c r="N18" i="105" s="1"/>
  <c r="H18" i="105"/>
  <c r="E18" i="105"/>
  <c r="O18" i="105" s="1"/>
  <c r="O17" i="105"/>
  <c r="K17" i="105"/>
  <c r="J17" i="105"/>
  <c r="H17" i="105"/>
  <c r="E17" i="105"/>
  <c r="O16" i="105"/>
  <c r="J16" i="105"/>
  <c r="H16" i="105"/>
  <c r="E16" i="105"/>
  <c r="L15" i="105"/>
  <c r="H15" i="105"/>
  <c r="J15" i="105" s="1"/>
  <c r="K15" i="105" s="1"/>
  <c r="E15" i="105"/>
  <c r="O15" i="105" s="1"/>
  <c r="L14" i="105"/>
  <c r="K14" i="105"/>
  <c r="J14" i="105"/>
  <c r="H14" i="105"/>
  <c r="E14" i="105"/>
  <c r="O13" i="105"/>
  <c r="J13" i="105"/>
  <c r="K13" i="105" s="1"/>
  <c r="H13" i="105"/>
  <c r="E13" i="105"/>
  <c r="O12" i="105"/>
  <c r="H12" i="105"/>
  <c r="J12" i="105" s="1"/>
  <c r="E12" i="105"/>
  <c r="O11" i="105"/>
  <c r="M11" i="105"/>
  <c r="H11" i="105"/>
  <c r="J11" i="105" s="1"/>
  <c r="O10" i="105"/>
  <c r="M10" i="105"/>
  <c r="H10" i="105"/>
  <c r="J10" i="105" s="1"/>
  <c r="H7" i="105"/>
  <c r="P70" i="104"/>
  <c r="R69" i="104"/>
  <c r="H67" i="104"/>
  <c r="H66" i="104"/>
  <c r="H65" i="104"/>
  <c r="H64" i="104"/>
  <c r="H63" i="104"/>
  <c r="H62" i="104"/>
  <c r="H61" i="104"/>
  <c r="H53" i="104"/>
  <c r="P52" i="104"/>
  <c r="O52" i="104"/>
  <c r="M52" i="104"/>
  <c r="H52" i="104"/>
  <c r="J52" i="104" s="1"/>
  <c r="P51" i="104"/>
  <c r="O51" i="104"/>
  <c r="M51" i="104"/>
  <c r="H51" i="104"/>
  <c r="J51" i="104" s="1"/>
  <c r="P50" i="104"/>
  <c r="O50" i="104"/>
  <c r="M50" i="104"/>
  <c r="H50" i="104"/>
  <c r="J50" i="104" s="1"/>
  <c r="O46" i="104"/>
  <c r="H46" i="104"/>
  <c r="J46" i="104" s="1"/>
  <c r="L46" i="104" s="1"/>
  <c r="O45" i="104"/>
  <c r="H45" i="104"/>
  <c r="J45" i="104" s="1"/>
  <c r="O43" i="104"/>
  <c r="H43" i="104"/>
  <c r="J43" i="104" s="1"/>
  <c r="O42" i="104"/>
  <c r="H42" i="104"/>
  <c r="J42" i="104" s="1"/>
  <c r="O40" i="104"/>
  <c r="H40" i="104"/>
  <c r="J40" i="104" s="1"/>
  <c r="K40" i="104" s="1"/>
  <c r="H39" i="104"/>
  <c r="J39" i="104" s="1"/>
  <c r="F39" i="104"/>
  <c r="O39" i="104" s="1"/>
  <c r="O37" i="104"/>
  <c r="H37" i="104"/>
  <c r="J37" i="104" s="1"/>
  <c r="O36" i="104"/>
  <c r="H36" i="104"/>
  <c r="J36" i="104" s="1"/>
  <c r="H34" i="104"/>
  <c r="J34" i="104" s="1"/>
  <c r="F34" i="104"/>
  <c r="O34" i="104" s="1"/>
  <c r="H33" i="104"/>
  <c r="J33" i="104" s="1"/>
  <c r="F33" i="104"/>
  <c r="O33" i="104" s="1"/>
  <c r="O31" i="104"/>
  <c r="H31" i="104"/>
  <c r="J31" i="104" s="1"/>
  <c r="O30" i="104"/>
  <c r="H30" i="104"/>
  <c r="J30" i="104" s="1"/>
  <c r="O28" i="104"/>
  <c r="H28" i="104"/>
  <c r="J28" i="104" s="1"/>
  <c r="O27" i="104"/>
  <c r="H27" i="104"/>
  <c r="J27" i="104" s="1"/>
  <c r="O25" i="104"/>
  <c r="H25" i="104"/>
  <c r="J25" i="104" s="1"/>
  <c r="H23" i="104"/>
  <c r="O22" i="104"/>
  <c r="H22" i="104"/>
  <c r="J22" i="104" s="1"/>
  <c r="O21" i="104"/>
  <c r="H21" i="104"/>
  <c r="J21" i="104" s="1"/>
  <c r="H20" i="104"/>
  <c r="H19" i="104"/>
  <c r="E19" i="104"/>
  <c r="H18" i="104"/>
  <c r="E18" i="104"/>
  <c r="H17" i="104"/>
  <c r="E17" i="104"/>
  <c r="H16" i="104"/>
  <c r="E16" i="104"/>
  <c r="H15" i="104"/>
  <c r="J15" i="104" s="1"/>
  <c r="E15" i="104"/>
  <c r="O15" i="104" s="1"/>
  <c r="H14" i="104"/>
  <c r="J14" i="104" s="1"/>
  <c r="E14" i="104"/>
  <c r="O14" i="104" s="1"/>
  <c r="H13" i="104"/>
  <c r="J13" i="104" s="1"/>
  <c r="E13" i="104"/>
  <c r="O13" i="104" s="1"/>
  <c r="J12" i="104"/>
  <c r="H12" i="104"/>
  <c r="E12" i="104"/>
  <c r="O12" i="104" s="1"/>
  <c r="O11" i="104"/>
  <c r="M11" i="104"/>
  <c r="H11" i="104"/>
  <c r="J11" i="104" s="1"/>
  <c r="K11" i="104" s="1"/>
  <c r="O10" i="104"/>
  <c r="M10" i="104"/>
  <c r="H10" i="104"/>
  <c r="J10" i="104" s="1"/>
  <c r="H7" i="104"/>
  <c r="D118" i="49"/>
  <c r="D117" i="49"/>
  <c r="D116" i="49"/>
  <c r="D115" i="49"/>
  <c r="D114" i="49"/>
  <c r="D111" i="49"/>
  <c r="D110" i="49"/>
  <c r="D108" i="49"/>
  <c r="E105" i="49" s="1"/>
  <c r="F105" i="49" s="1"/>
  <c r="D107" i="49"/>
  <c r="D105" i="49"/>
  <c r="D104" i="49"/>
  <c r="F97" i="49" s="1"/>
  <c r="E92" i="49"/>
  <c r="D26" i="175" s="1"/>
  <c r="AH82" i="49"/>
  <c r="AG82" i="49"/>
  <c r="H82" i="49"/>
  <c r="D82" i="49"/>
  <c r="H80" i="49"/>
  <c r="AH73" i="49"/>
  <c r="E73" i="49"/>
  <c r="AC72" i="49"/>
  <c r="AC73" i="49" s="1"/>
  <c r="E72" i="49"/>
  <c r="H67" i="49"/>
  <c r="AH65" i="49"/>
  <c r="AC65" i="49"/>
  <c r="H65" i="49"/>
  <c r="E65" i="49"/>
  <c r="E64" i="49" s="1"/>
  <c r="AC64" i="49"/>
  <c r="O51" i="49"/>
  <c r="O50" i="49"/>
  <c r="O49" i="49"/>
  <c r="O48" i="49"/>
  <c r="AG47" i="49"/>
  <c r="AA47" i="49"/>
  <c r="AL46" i="49"/>
  <c r="AG46" i="49"/>
  <c r="AB46" i="49"/>
  <c r="O46" i="49"/>
  <c r="S45" i="49"/>
  <c r="D45" i="49"/>
  <c r="AH44" i="49"/>
  <c r="S44" i="49"/>
  <c r="D44" i="49" s="1"/>
  <c r="S43" i="49"/>
  <c r="D43" i="49"/>
  <c r="S42" i="49"/>
  <c r="D42" i="49"/>
  <c r="AG41" i="49"/>
  <c r="AB41" i="49"/>
  <c r="AB42" i="49" s="1"/>
  <c r="D41" i="49"/>
  <c r="S40" i="49"/>
  <c r="D40" i="49" s="1"/>
  <c r="S39" i="49"/>
  <c r="D39" i="49" s="1"/>
  <c r="S38" i="49"/>
  <c r="D38" i="49"/>
  <c r="S37" i="49"/>
  <c r="D37" i="49" s="1"/>
  <c r="AB36" i="49"/>
  <c r="D36" i="49"/>
  <c r="AH35" i="49"/>
  <c r="S30" i="49"/>
  <c r="AH29" i="49"/>
  <c r="S29" i="49"/>
  <c r="S28" i="49"/>
  <c r="S27" i="49"/>
  <c r="AG26" i="49"/>
  <c r="AB26" i="49"/>
  <c r="W26" i="49"/>
  <c r="D26" i="49"/>
  <c r="S25" i="49"/>
  <c r="S24" i="49"/>
  <c r="S23" i="49"/>
  <c r="AH22" i="49"/>
  <c r="S22" i="49"/>
  <c r="AG21" i="49"/>
  <c r="AB21" i="49"/>
  <c r="D21" i="49"/>
  <c r="S20" i="49"/>
  <c r="D20" i="49" s="1"/>
  <c r="S19" i="49"/>
  <c r="D19" i="49" s="1"/>
  <c r="S18" i="49"/>
  <c r="J18" i="49"/>
  <c r="D18" i="49"/>
  <c r="S17" i="49"/>
  <c r="D17" i="49" s="1"/>
  <c r="D16" i="49"/>
  <c r="D25" i="175"/>
  <c r="R69" i="10"/>
  <c r="O67" i="10"/>
  <c r="H67" i="10"/>
  <c r="J67" i="10" s="1"/>
  <c r="O66" i="10"/>
  <c r="H66" i="10"/>
  <c r="J66" i="10" s="1"/>
  <c r="O65" i="10"/>
  <c r="M65" i="10"/>
  <c r="J65" i="10"/>
  <c r="H65" i="10"/>
  <c r="O64" i="10"/>
  <c r="L64" i="10"/>
  <c r="J64" i="10"/>
  <c r="K64" i="10" s="1"/>
  <c r="H64" i="10"/>
  <c r="O63" i="10"/>
  <c r="J63" i="10"/>
  <c r="H63" i="10"/>
  <c r="O62" i="10"/>
  <c r="O69" i="10" s="1"/>
  <c r="M62" i="10"/>
  <c r="M69" i="10" s="1"/>
  <c r="H62" i="10"/>
  <c r="J62" i="10" s="1"/>
  <c r="O61" i="10"/>
  <c r="H61" i="10"/>
  <c r="J61" i="10" s="1"/>
  <c r="P54" i="10"/>
  <c r="O54" i="10"/>
  <c r="M54" i="10"/>
  <c r="L54" i="10"/>
  <c r="J54" i="10"/>
  <c r="K54" i="10" s="1"/>
  <c r="H54" i="10"/>
  <c r="P53" i="10"/>
  <c r="O53" i="10"/>
  <c r="M53" i="10"/>
  <c r="L53" i="10"/>
  <c r="J53" i="10"/>
  <c r="K53" i="10" s="1"/>
  <c r="H53" i="10"/>
  <c r="P52" i="10"/>
  <c r="O52" i="10"/>
  <c r="M52" i="10"/>
  <c r="L52" i="10"/>
  <c r="J52" i="10"/>
  <c r="K52" i="10" s="1"/>
  <c r="H52" i="10"/>
  <c r="P51" i="10"/>
  <c r="O51" i="10"/>
  <c r="M51" i="10"/>
  <c r="L51" i="10"/>
  <c r="J51" i="10"/>
  <c r="K51" i="10" s="1"/>
  <c r="H51" i="10"/>
  <c r="H50" i="10"/>
  <c r="O46" i="10"/>
  <c r="H46" i="10"/>
  <c r="J46" i="10" s="1"/>
  <c r="O45" i="10"/>
  <c r="H45" i="10"/>
  <c r="J45" i="10" s="1"/>
  <c r="O43" i="10"/>
  <c r="H43" i="10"/>
  <c r="J43" i="10" s="1"/>
  <c r="O42" i="10"/>
  <c r="H42" i="10"/>
  <c r="J42" i="10" s="1"/>
  <c r="O40" i="10"/>
  <c r="H40" i="10"/>
  <c r="J40" i="10" s="1"/>
  <c r="O39" i="10"/>
  <c r="H39" i="10"/>
  <c r="J39" i="10" s="1"/>
  <c r="F39" i="10"/>
  <c r="O37" i="10"/>
  <c r="L37" i="10"/>
  <c r="J37" i="10"/>
  <c r="K37" i="10" s="1"/>
  <c r="H37" i="10"/>
  <c r="O36" i="10"/>
  <c r="J36" i="10"/>
  <c r="H36" i="10"/>
  <c r="L34" i="10"/>
  <c r="J34" i="10"/>
  <c r="K34" i="10" s="1"/>
  <c r="H34" i="10"/>
  <c r="F34" i="10"/>
  <c r="O34" i="10" s="1"/>
  <c r="H33" i="10"/>
  <c r="J33" i="10" s="1"/>
  <c r="F33" i="10"/>
  <c r="O33" i="10" s="1"/>
  <c r="O31" i="10"/>
  <c r="J31" i="10"/>
  <c r="H31" i="10"/>
  <c r="O30" i="10"/>
  <c r="L30" i="10"/>
  <c r="J30" i="10"/>
  <c r="K30" i="10" s="1"/>
  <c r="H30" i="10"/>
  <c r="O28" i="10"/>
  <c r="J28" i="10"/>
  <c r="H28" i="10"/>
  <c r="O27" i="10"/>
  <c r="L27" i="10"/>
  <c r="J27" i="10"/>
  <c r="K27" i="10" s="1"/>
  <c r="H27" i="10"/>
  <c r="O25" i="10"/>
  <c r="J25" i="10"/>
  <c r="H25" i="10"/>
  <c r="O23" i="10"/>
  <c r="L23" i="10"/>
  <c r="J23" i="10"/>
  <c r="K23" i="10" s="1"/>
  <c r="H23" i="10"/>
  <c r="O22" i="10"/>
  <c r="J22" i="10"/>
  <c r="H22" i="10"/>
  <c r="O21" i="10"/>
  <c r="L21" i="10"/>
  <c r="J21" i="10"/>
  <c r="K21" i="10" s="1"/>
  <c r="H21" i="10"/>
  <c r="J20" i="10"/>
  <c r="H20" i="10"/>
  <c r="O19" i="10"/>
  <c r="H19" i="10"/>
  <c r="J19" i="10" s="1"/>
  <c r="E19" i="10"/>
  <c r="L18" i="10"/>
  <c r="J18" i="10"/>
  <c r="K18" i="10" s="1"/>
  <c r="H18" i="10"/>
  <c r="E18" i="10"/>
  <c r="O18" i="10" s="1"/>
  <c r="H17" i="10"/>
  <c r="J17" i="10" s="1"/>
  <c r="E17" i="10"/>
  <c r="O17" i="10" s="1"/>
  <c r="O16" i="10"/>
  <c r="J16" i="10"/>
  <c r="H16" i="10"/>
  <c r="E16" i="10"/>
  <c r="O15" i="10"/>
  <c r="H15" i="10"/>
  <c r="J15" i="10" s="1"/>
  <c r="E15" i="10"/>
  <c r="L14" i="10"/>
  <c r="J14" i="10"/>
  <c r="K14" i="10" s="1"/>
  <c r="H14" i="10"/>
  <c r="E14" i="10"/>
  <c r="E20" i="10" s="1"/>
  <c r="O20" i="10" s="1"/>
  <c r="H13" i="10"/>
  <c r="J13" i="10" s="1"/>
  <c r="E13" i="10"/>
  <c r="O13" i="10" s="1"/>
  <c r="O12" i="10"/>
  <c r="J12" i="10"/>
  <c r="H12" i="10"/>
  <c r="E12" i="10"/>
  <c r="O11" i="10"/>
  <c r="M11" i="10"/>
  <c r="J11" i="10"/>
  <c r="L11" i="10" s="1"/>
  <c r="H11" i="10"/>
  <c r="O10" i="10"/>
  <c r="M10" i="10"/>
  <c r="H10" i="10"/>
  <c r="J10" i="10" s="1"/>
  <c r="H7" i="10"/>
  <c r="B24" i="136"/>
  <c r="C23" i="136" s="1"/>
  <c r="C22" i="136"/>
  <c r="B18" i="136"/>
  <c r="D7" i="150"/>
  <c r="L45" i="10" l="1"/>
  <c r="K45" i="10"/>
  <c r="N45" i="10" s="1"/>
  <c r="N36" i="10"/>
  <c r="L66" i="10"/>
  <c r="K66" i="10"/>
  <c r="N66" i="10" s="1"/>
  <c r="L12" i="105"/>
  <c r="N12" i="105" s="1"/>
  <c r="K12" i="105"/>
  <c r="L11" i="108"/>
  <c r="K11" i="108"/>
  <c r="N11" i="108" s="1"/>
  <c r="L17" i="10"/>
  <c r="N17" i="10" s="1"/>
  <c r="K17" i="10"/>
  <c r="L39" i="10"/>
  <c r="K39" i="10"/>
  <c r="N39" i="10"/>
  <c r="L65" i="105"/>
  <c r="K65" i="105"/>
  <c r="N65" i="105"/>
  <c r="L15" i="10"/>
  <c r="K15" i="10"/>
  <c r="N15" i="10"/>
  <c r="L28" i="105"/>
  <c r="K28" i="105"/>
  <c r="N28" i="105" s="1"/>
  <c r="L19" i="10"/>
  <c r="K19" i="10"/>
  <c r="N19" i="10" s="1"/>
  <c r="S55" i="10"/>
  <c r="L40" i="10"/>
  <c r="N40" i="10" s="1"/>
  <c r="K40" i="10"/>
  <c r="K43" i="10"/>
  <c r="N43" i="10" s="1"/>
  <c r="L43" i="10"/>
  <c r="K46" i="10"/>
  <c r="N46" i="10" s="1"/>
  <c r="L46" i="10"/>
  <c r="N65" i="10"/>
  <c r="L22" i="105"/>
  <c r="K22" i="105"/>
  <c r="N22" i="105"/>
  <c r="L42" i="10"/>
  <c r="K42" i="10"/>
  <c r="N42" i="10"/>
  <c r="J69" i="10"/>
  <c r="L61" i="10"/>
  <c r="L69" i="10" s="1"/>
  <c r="K61" i="10"/>
  <c r="L11" i="105"/>
  <c r="K11" i="105"/>
  <c r="N11" i="105"/>
  <c r="L10" i="10"/>
  <c r="K10" i="10"/>
  <c r="N10" i="10"/>
  <c r="N13" i="10"/>
  <c r="L13" i="10"/>
  <c r="K13" i="10"/>
  <c r="N33" i="10"/>
  <c r="L33" i="10"/>
  <c r="K33" i="10"/>
  <c r="L62" i="10"/>
  <c r="K62" i="10"/>
  <c r="N62" i="10" s="1"/>
  <c r="L67" i="10"/>
  <c r="N67" i="10"/>
  <c r="K67" i="10"/>
  <c r="K10" i="105"/>
  <c r="N10" i="105"/>
  <c r="L31" i="105"/>
  <c r="K31" i="105"/>
  <c r="J69" i="105"/>
  <c r="N61" i="105"/>
  <c r="L61" i="105"/>
  <c r="L63" i="105"/>
  <c r="K63" i="105"/>
  <c r="L22" i="108"/>
  <c r="K22" i="108"/>
  <c r="L26" i="108"/>
  <c r="K26" i="108"/>
  <c r="L29" i="108"/>
  <c r="N29" i="108" s="1"/>
  <c r="K29" i="108"/>
  <c r="L64" i="108"/>
  <c r="K64" i="108"/>
  <c r="L14" i="111"/>
  <c r="N14" i="111" s="1"/>
  <c r="K14" i="111"/>
  <c r="L18" i="111"/>
  <c r="K18" i="111"/>
  <c r="N18" i="111" s="1"/>
  <c r="L25" i="111"/>
  <c r="K11" i="10"/>
  <c r="N11" i="10" s="1"/>
  <c r="K12" i="10"/>
  <c r="N12" i="10" s="1"/>
  <c r="N14" i="10"/>
  <c r="K16" i="10"/>
  <c r="N16" i="10" s="1"/>
  <c r="N18" i="10"/>
  <c r="K20" i="10"/>
  <c r="N20" i="10" s="1"/>
  <c r="N21" i="10"/>
  <c r="K22" i="10"/>
  <c r="N22" i="10" s="1"/>
  <c r="N23" i="10"/>
  <c r="K25" i="10"/>
  <c r="N25" i="10" s="1"/>
  <c r="N27" i="10"/>
  <c r="K28" i="10"/>
  <c r="N28" i="10" s="1"/>
  <c r="N30" i="10"/>
  <c r="K31" i="10"/>
  <c r="N31" i="10" s="1"/>
  <c r="N34" i="10"/>
  <c r="K36" i="10"/>
  <c r="N37" i="10"/>
  <c r="K63" i="10"/>
  <c r="N63" i="10" s="1"/>
  <c r="N64" i="10"/>
  <c r="K65" i="10"/>
  <c r="S26" i="49"/>
  <c r="U23" i="49" s="1"/>
  <c r="S50" i="49"/>
  <c r="L10" i="105"/>
  <c r="N14" i="105"/>
  <c r="L19" i="105"/>
  <c r="N23" i="105"/>
  <c r="S55" i="105"/>
  <c r="N31" i="105"/>
  <c r="N33" i="105"/>
  <c r="L33" i="105"/>
  <c r="N54" i="105"/>
  <c r="K61" i="105"/>
  <c r="M69" i="105"/>
  <c r="N63" i="105"/>
  <c r="L20" i="108"/>
  <c r="K20" i="108"/>
  <c r="N20" i="108" s="1"/>
  <c r="N22" i="108"/>
  <c r="N26" i="108"/>
  <c r="K32" i="108"/>
  <c r="N32" i="108"/>
  <c r="L38" i="108"/>
  <c r="K38" i="108"/>
  <c r="N38" i="108" s="1"/>
  <c r="K41" i="108"/>
  <c r="N41" i="108" s="1"/>
  <c r="L46" i="108"/>
  <c r="K46" i="108"/>
  <c r="N46" i="108"/>
  <c r="L47" i="108"/>
  <c r="K47" i="108"/>
  <c r="N47" i="108"/>
  <c r="L48" i="108"/>
  <c r="N48" i="108" s="1"/>
  <c r="K48" i="108"/>
  <c r="L49" i="108"/>
  <c r="K49" i="108"/>
  <c r="N49" i="108" s="1"/>
  <c r="L50" i="108"/>
  <c r="K50" i="108"/>
  <c r="N50" i="108"/>
  <c r="L51" i="108"/>
  <c r="K51" i="108"/>
  <c r="N51" i="108"/>
  <c r="O68" i="108"/>
  <c r="N64" i="108"/>
  <c r="K66" i="108"/>
  <c r="N66" i="108"/>
  <c r="K13" i="111"/>
  <c r="N13" i="111" s="1"/>
  <c r="L15" i="111"/>
  <c r="N15" i="111" s="1"/>
  <c r="K15" i="111"/>
  <c r="N16" i="111"/>
  <c r="L30" i="111"/>
  <c r="N30" i="111" s="1"/>
  <c r="K30" i="111"/>
  <c r="L36" i="111"/>
  <c r="K36" i="111"/>
  <c r="N36" i="111" s="1"/>
  <c r="L47" i="111"/>
  <c r="K47" i="111"/>
  <c r="N47" i="111" s="1"/>
  <c r="L11" i="114"/>
  <c r="N11" i="114" s="1"/>
  <c r="K11" i="114"/>
  <c r="K14" i="114"/>
  <c r="N14" i="114"/>
  <c r="L14" i="114"/>
  <c r="L40" i="114"/>
  <c r="K40" i="114"/>
  <c r="N40" i="114"/>
  <c r="L9" i="170"/>
  <c r="K9" i="170"/>
  <c r="N9" i="170"/>
  <c r="K16" i="170"/>
  <c r="N16" i="170" s="1"/>
  <c r="L16" i="170"/>
  <c r="L19" i="170"/>
  <c r="N19" i="170" s="1"/>
  <c r="K19" i="170"/>
  <c r="L26" i="170"/>
  <c r="K26" i="170"/>
  <c r="N26" i="170"/>
  <c r="L30" i="170"/>
  <c r="K30" i="170"/>
  <c r="N30" i="170"/>
  <c r="K55" i="170"/>
  <c r="N55" i="170" s="1"/>
  <c r="L55" i="170"/>
  <c r="L17" i="51"/>
  <c r="K17" i="51"/>
  <c r="N17" i="51" s="1"/>
  <c r="L18" i="51"/>
  <c r="K18" i="51"/>
  <c r="N18" i="51"/>
  <c r="L19" i="51"/>
  <c r="K19" i="51"/>
  <c r="N19" i="51"/>
  <c r="N19" i="89"/>
  <c r="L19" i="89"/>
  <c r="K19" i="89"/>
  <c r="L21" i="167"/>
  <c r="M21" i="167" s="1"/>
  <c r="K21" i="167"/>
  <c r="K10" i="108"/>
  <c r="N10" i="108" s="1"/>
  <c r="L36" i="108"/>
  <c r="K36" i="108"/>
  <c r="N36" i="108" s="1"/>
  <c r="K63" i="108"/>
  <c r="N63" i="108" s="1"/>
  <c r="L27" i="114"/>
  <c r="K27" i="114"/>
  <c r="N27" i="114" s="1"/>
  <c r="L12" i="10"/>
  <c r="O14" i="10"/>
  <c r="L16" i="10"/>
  <c r="L20" i="10"/>
  <c r="L22" i="10"/>
  <c r="L25" i="10"/>
  <c r="L31" i="10"/>
  <c r="N51" i="10"/>
  <c r="N54" i="10"/>
  <c r="L65" i="10"/>
  <c r="C9" i="192"/>
  <c r="C6" i="195"/>
  <c r="G6" i="195" s="1"/>
  <c r="I6" i="195" s="1"/>
  <c r="K6" i="195" s="1"/>
  <c r="E45" i="49"/>
  <c r="L16" i="105"/>
  <c r="K16" i="105"/>
  <c r="N19" i="105"/>
  <c r="L25" i="105"/>
  <c r="K25" i="105"/>
  <c r="N27" i="105"/>
  <c r="N34" i="105"/>
  <c r="L36" i="105"/>
  <c r="K36" i="105"/>
  <c r="N37" i="105"/>
  <c r="N53" i="105"/>
  <c r="O69" i="105"/>
  <c r="L66" i="105"/>
  <c r="L12" i="108"/>
  <c r="N12" i="108" s="1"/>
  <c r="K12" i="108"/>
  <c r="L16" i="108"/>
  <c r="K16" i="108"/>
  <c r="J68" i="108"/>
  <c r="K58" i="108"/>
  <c r="L59" i="108"/>
  <c r="K59" i="108"/>
  <c r="N59" i="108" s="1"/>
  <c r="K12" i="110"/>
  <c r="L12" i="110"/>
  <c r="K19" i="111"/>
  <c r="N19" i="111"/>
  <c r="L24" i="111"/>
  <c r="K24" i="111"/>
  <c r="N24" i="111" s="1"/>
  <c r="K25" i="111"/>
  <c r="N25" i="111" s="1"/>
  <c r="L39" i="111"/>
  <c r="K39" i="111"/>
  <c r="N39" i="111"/>
  <c r="L20" i="114"/>
  <c r="N20" i="114" s="1"/>
  <c r="K20" i="114"/>
  <c r="S48" i="114"/>
  <c r="K28" i="114"/>
  <c r="N28" i="114" s="1"/>
  <c r="L28" i="114"/>
  <c r="L33" i="114"/>
  <c r="K33" i="114"/>
  <c r="N33" i="114" s="1"/>
  <c r="L19" i="92"/>
  <c r="K19" i="92"/>
  <c r="N19" i="92"/>
  <c r="L13" i="105"/>
  <c r="N13" i="105" s="1"/>
  <c r="L20" i="105"/>
  <c r="K20" i="105"/>
  <c r="N20" i="105" s="1"/>
  <c r="L33" i="108"/>
  <c r="K33" i="108"/>
  <c r="N33" i="108" s="1"/>
  <c r="L27" i="111"/>
  <c r="N27" i="111" s="1"/>
  <c r="K27" i="111"/>
  <c r="L13" i="170"/>
  <c r="K13" i="170"/>
  <c r="N13" i="170"/>
  <c r="L28" i="10"/>
  <c r="L36" i="10"/>
  <c r="N52" i="10"/>
  <c r="N53" i="10"/>
  <c r="L63" i="10"/>
  <c r="I60" i="110"/>
  <c r="O60" i="110" s="1"/>
  <c r="I22" i="110"/>
  <c r="O22" i="110" s="1"/>
  <c r="I64" i="110"/>
  <c r="I19" i="110"/>
  <c r="I16" i="110"/>
  <c r="E20" i="105"/>
  <c r="O20" i="105" s="1"/>
  <c r="O14" i="105"/>
  <c r="N15" i="105"/>
  <c r="N16" i="105"/>
  <c r="L17" i="105"/>
  <c r="N17" i="105" s="1"/>
  <c r="N25" i="105"/>
  <c r="N30" i="105"/>
  <c r="N36" i="105"/>
  <c r="N40" i="105"/>
  <c r="L40" i="105"/>
  <c r="L42" i="105"/>
  <c r="N42" i="105" s="1"/>
  <c r="L43" i="105"/>
  <c r="N43" i="105" s="1"/>
  <c r="L45" i="105"/>
  <c r="N45" i="105" s="1"/>
  <c r="L46" i="105"/>
  <c r="N46" i="105" s="1"/>
  <c r="N52" i="105"/>
  <c r="K62" i="105"/>
  <c r="N62" i="105"/>
  <c r="K66" i="105"/>
  <c r="N66" i="105" s="1"/>
  <c r="N69" i="105" s="1"/>
  <c r="N67" i="105"/>
  <c r="L13" i="108"/>
  <c r="K13" i="108"/>
  <c r="N13" i="108" s="1"/>
  <c r="N14" i="108"/>
  <c r="K15" i="108"/>
  <c r="N15" i="108"/>
  <c r="N16" i="108"/>
  <c r="L17" i="108"/>
  <c r="K17" i="108"/>
  <c r="N17" i="108" s="1"/>
  <c r="N18" i="108"/>
  <c r="K19" i="108"/>
  <c r="N19" i="108"/>
  <c r="K39" i="108"/>
  <c r="N39" i="108"/>
  <c r="L40" i="108"/>
  <c r="K40" i="108"/>
  <c r="N40" i="108" s="1"/>
  <c r="L58" i="108"/>
  <c r="L68" i="108" s="1"/>
  <c r="N60" i="108"/>
  <c r="L61" i="108"/>
  <c r="K61" i="108"/>
  <c r="N61" i="108" s="1"/>
  <c r="N62" i="108"/>
  <c r="L19" i="111"/>
  <c r="S48" i="111"/>
  <c r="K10" i="114"/>
  <c r="N10" i="114"/>
  <c r="L10" i="114"/>
  <c r="L13" i="114"/>
  <c r="K13" i="114"/>
  <c r="N13" i="114" s="1"/>
  <c r="L15" i="114"/>
  <c r="K15" i="114"/>
  <c r="N15" i="114"/>
  <c r="L24" i="114"/>
  <c r="N24" i="114" s="1"/>
  <c r="K24" i="114"/>
  <c r="L17" i="170"/>
  <c r="N17" i="170" s="1"/>
  <c r="K17" i="170"/>
  <c r="O23" i="170"/>
  <c r="S45" i="170" s="1"/>
  <c r="J23" i="170"/>
  <c r="L10" i="172"/>
  <c r="N10" i="172" s="1"/>
  <c r="K10" i="172"/>
  <c r="J22" i="110"/>
  <c r="J10" i="111"/>
  <c r="N25" i="114"/>
  <c r="L25" i="114"/>
  <c r="L34" i="114"/>
  <c r="N10" i="170"/>
  <c r="L10" i="170"/>
  <c r="L32" i="170"/>
  <c r="N32" i="170" s="1"/>
  <c r="K36" i="170"/>
  <c r="L45" i="170"/>
  <c r="K54" i="170"/>
  <c r="N54" i="170" s="1"/>
  <c r="L54" i="170"/>
  <c r="L11" i="90"/>
  <c r="L16" i="92"/>
  <c r="K16" i="92"/>
  <c r="N16" i="92" s="1"/>
  <c r="L28" i="127"/>
  <c r="K28" i="127"/>
  <c r="N28" i="127"/>
  <c r="L25" i="163"/>
  <c r="K25" i="163"/>
  <c r="N25" i="163" s="1"/>
  <c r="K23" i="167"/>
  <c r="M23" i="167" s="1"/>
  <c r="C7" i="195"/>
  <c r="G7" i="195" s="1"/>
  <c r="I7" i="195" s="1"/>
  <c r="K7" i="195" s="1"/>
  <c r="C11" i="192"/>
  <c r="S48" i="49"/>
  <c r="E91" i="49"/>
  <c r="F98" i="49"/>
  <c r="S54" i="104"/>
  <c r="C3" i="173" s="1"/>
  <c r="J17" i="111"/>
  <c r="L17" i="111" s="1"/>
  <c r="L28" i="111"/>
  <c r="N28" i="111" s="1"/>
  <c r="L31" i="111"/>
  <c r="N31" i="111" s="1"/>
  <c r="L33" i="111"/>
  <c r="L34" i="111"/>
  <c r="N34" i="111" s="1"/>
  <c r="N16" i="114"/>
  <c r="L16" i="114"/>
  <c r="K25" i="114"/>
  <c r="J31" i="114"/>
  <c r="K34" i="114"/>
  <c r="N34" i="114" s="1"/>
  <c r="N37" i="114"/>
  <c r="J39" i="114"/>
  <c r="K47" i="114"/>
  <c r="N47" i="114"/>
  <c r="K10" i="170"/>
  <c r="K11" i="170"/>
  <c r="N11" i="170" s="1"/>
  <c r="L12" i="170"/>
  <c r="N27" i="170"/>
  <c r="K32" i="170"/>
  <c r="L36" i="170"/>
  <c r="N36" i="170" s="1"/>
  <c r="K45" i="170"/>
  <c r="N45" i="170" s="1"/>
  <c r="O59" i="170"/>
  <c r="M59" i="170"/>
  <c r="L28" i="89"/>
  <c r="K28" i="89"/>
  <c r="N28" i="89"/>
  <c r="L10" i="90"/>
  <c r="K10" i="90"/>
  <c r="N10" i="90"/>
  <c r="K11" i="90"/>
  <c r="N11" i="90" s="1"/>
  <c r="L17" i="90"/>
  <c r="K17" i="90"/>
  <c r="N17" i="90"/>
  <c r="L18" i="90"/>
  <c r="N18" i="90" s="1"/>
  <c r="K18" i="90"/>
  <c r="L19" i="90"/>
  <c r="K19" i="90"/>
  <c r="N19" i="90" s="1"/>
  <c r="M31" i="90"/>
  <c r="L19" i="123"/>
  <c r="L29" i="123"/>
  <c r="K29" i="123"/>
  <c r="N29" i="123" s="1"/>
  <c r="L23" i="167"/>
  <c r="O14" i="108"/>
  <c r="O12" i="111"/>
  <c r="N33" i="111"/>
  <c r="N37" i="111"/>
  <c r="N17" i="114"/>
  <c r="L30" i="114"/>
  <c r="N30" i="114" s="1"/>
  <c r="L36" i="114"/>
  <c r="N36" i="114" s="1"/>
  <c r="L11" i="170"/>
  <c r="N12" i="170"/>
  <c r="L14" i="170"/>
  <c r="N14" i="170" s="1"/>
  <c r="J33" i="170"/>
  <c r="K19" i="123"/>
  <c r="N19" i="123" s="1"/>
  <c r="L27" i="123"/>
  <c r="K27" i="123"/>
  <c r="N27" i="123" s="1"/>
  <c r="J36" i="139"/>
  <c r="E17" i="141"/>
  <c r="O17" i="141" s="1"/>
  <c r="O30" i="141"/>
  <c r="S48" i="141" s="1"/>
  <c r="J35" i="170"/>
  <c r="K38" i="170"/>
  <c r="N38" i="170"/>
  <c r="N46" i="170"/>
  <c r="L27" i="51"/>
  <c r="L31" i="51" s="1"/>
  <c r="K27" i="51"/>
  <c r="K31" i="51" s="1"/>
  <c r="N27" i="51"/>
  <c r="L28" i="51"/>
  <c r="K28" i="51"/>
  <c r="N28" i="51" s="1"/>
  <c r="L29" i="51"/>
  <c r="L10" i="92"/>
  <c r="K10" i="92"/>
  <c r="N10" i="92"/>
  <c r="L11" i="92"/>
  <c r="K11" i="92"/>
  <c r="L17" i="92"/>
  <c r="K17" i="92"/>
  <c r="N17" i="92" s="1"/>
  <c r="N28" i="92"/>
  <c r="L28" i="92"/>
  <c r="L17" i="123"/>
  <c r="L19" i="127"/>
  <c r="L13" i="163"/>
  <c r="K13" i="163"/>
  <c r="N13" i="163"/>
  <c r="L14" i="163"/>
  <c r="K14" i="163"/>
  <c r="N14" i="163"/>
  <c r="L5" i="167"/>
  <c r="M5" i="167" s="1"/>
  <c r="K5" i="167"/>
  <c r="L5" i="169"/>
  <c r="S49" i="139"/>
  <c r="C4" i="173" s="1"/>
  <c r="O30" i="139"/>
  <c r="O36" i="139"/>
  <c r="J56" i="114"/>
  <c r="J59" i="170"/>
  <c r="L10" i="51"/>
  <c r="K10" i="51"/>
  <c r="N10" i="51" s="1"/>
  <c r="L11" i="51"/>
  <c r="N11" i="51" s="1"/>
  <c r="K29" i="51"/>
  <c r="N29" i="51" s="1"/>
  <c r="L27" i="90"/>
  <c r="L31" i="90" s="1"/>
  <c r="K27" i="90"/>
  <c r="L28" i="90"/>
  <c r="K28" i="90"/>
  <c r="N28" i="90" s="1"/>
  <c r="L29" i="90"/>
  <c r="N29" i="90" s="1"/>
  <c r="K28" i="92"/>
  <c r="L11" i="123"/>
  <c r="N11" i="123" s="1"/>
  <c r="K11" i="123"/>
  <c r="L12" i="123"/>
  <c r="N12" i="123" s="1"/>
  <c r="K12" i="123"/>
  <c r="K17" i="123"/>
  <c r="N17" i="123" s="1"/>
  <c r="L18" i="123"/>
  <c r="N18" i="123" s="1"/>
  <c r="J31" i="123"/>
  <c r="L26" i="123"/>
  <c r="K26" i="123"/>
  <c r="L28" i="123"/>
  <c r="K28" i="123"/>
  <c r="L10" i="127"/>
  <c r="N10" i="127" s="1"/>
  <c r="K19" i="127"/>
  <c r="N19" i="127" s="1"/>
  <c r="L7" i="163"/>
  <c r="K7" i="163"/>
  <c r="N7" i="163" s="1"/>
  <c r="L9" i="163"/>
  <c r="N9" i="163" s="1"/>
  <c r="K5" i="169"/>
  <c r="M5" i="169" s="1"/>
  <c r="N12" i="51"/>
  <c r="N12" i="90"/>
  <c r="M19" i="167"/>
  <c r="N26" i="51"/>
  <c r="N11" i="89"/>
  <c r="N16" i="89"/>
  <c r="N17" i="89"/>
  <c r="N26" i="90"/>
  <c r="N10" i="123"/>
  <c r="N11" i="127"/>
  <c r="N16" i="127"/>
  <c r="N17" i="127"/>
  <c r="K14" i="169"/>
  <c r="M14" i="169" s="1"/>
  <c r="K25" i="158"/>
  <c r="L25" i="158"/>
  <c r="V23" i="49"/>
  <c r="W23" i="49"/>
  <c r="D28" i="49" s="1"/>
  <c r="U24" i="49"/>
  <c r="S46" i="49"/>
  <c r="E20" i="49"/>
  <c r="U22" i="49"/>
  <c r="U25" i="49"/>
  <c r="J16" i="110"/>
  <c r="L16" i="110" s="1"/>
  <c r="O19" i="110"/>
  <c r="O17" i="110"/>
  <c r="I61" i="110"/>
  <c r="O61" i="110" s="1"/>
  <c r="I59" i="110"/>
  <c r="J59" i="110" s="1"/>
  <c r="E40" i="49"/>
  <c r="H79" i="49"/>
  <c r="H77" i="49"/>
  <c r="H74" i="49"/>
  <c r="P68" i="49" s="1"/>
  <c r="H72" i="49"/>
  <c r="H70" i="49"/>
  <c r="H68" i="49"/>
  <c r="H66" i="49"/>
  <c r="H64" i="49"/>
  <c r="H63" i="49"/>
  <c r="H62" i="49"/>
  <c r="I91" i="49"/>
  <c r="H76" i="49"/>
  <c r="D7" i="195" s="1"/>
  <c r="H73" i="49"/>
  <c r="J57" i="49"/>
  <c r="H81" i="49"/>
  <c r="H78" i="49"/>
  <c r="H75" i="49"/>
  <c r="H71" i="49"/>
  <c r="I58" i="110"/>
  <c r="O58" i="110" s="1"/>
  <c r="S49" i="49"/>
  <c r="S51" i="49"/>
  <c r="H69" i="49"/>
  <c r="I12" i="92"/>
  <c r="I65" i="107"/>
  <c r="I61" i="107"/>
  <c r="O61" i="107" s="1"/>
  <c r="I16" i="107"/>
  <c r="J16" i="107" s="1"/>
  <c r="I66" i="107"/>
  <c r="O66" i="107" s="1"/>
  <c r="I19" i="107"/>
  <c r="J19" i="107" s="1"/>
  <c r="I64" i="107"/>
  <c r="O64" i="107" s="1"/>
  <c r="I23" i="107"/>
  <c r="O23" i="107" s="1"/>
  <c r="I63" i="107"/>
  <c r="O63" i="107" s="1"/>
  <c r="I22" i="107"/>
  <c r="O22" i="107" s="1"/>
  <c r="I62" i="107"/>
  <c r="J62" i="107" s="1"/>
  <c r="K62" i="107" s="1"/>
  <c r="O16" i="107"/>
  <c r="J63" i="107"/>
  <c r="K63" i="107" s="1"/>
  <c r="J65" i="107"/>
  <c r="K65" i="107" s="1"/>
  <c r="J17" i="110"/>
  <c r="K17" i="110" s="1"/>
  <c r="J19" i="110"/>
  <c r="K19" i="110" s="1"/>
  <c r="O18" i="110"/>
  <c r="O19" i="107"/>
  <c r="J64" i="107"/>
  <c r="L64" i="107" s="1"/>
  <c r="J18" i="110"/>
  <c r="L18" i="110" s="1"/>
  <c r="J9" i="139"/>
  <c r="L9" i="139" s="1"/>
  <c r="L23" i="163"/>
  <c r="O23" i="163"/>
  <c r="O10" i="111"/>
  <c r="J11" i="111"/>
  <c r="L11" i="111" s="1"/>
  <c r="J12" i="111"/>
  <c r="O9" i="114"/>
  <c r="O24" i="163"/>
  <c r="O59" i="110"/>
  <c r="H14" i="167"/>
  <c r="J11" i="139"/>
  <c r="K11" i="139" s="1"/>
  <c r="O9" i="111"/>
  <c r="O17" i="111"/>
  <c r="I55" i="111"/>
  <c r="O12" i="139"/>
  <c r="O18" i="114"/>
  <c r="I57" i="114"/>
  <c r="O57" i="114" s="1"/>
  <c r="I59" i="114"/>
  <c r="J59" i="114" s="1"/>
  <c r="K59" i="114" s="1"/>
  <c r="I56" i="111"/>
  <c r="O11" i="139"/>
  <c r="J9" i="114"/>
  <c r="K9" i="114" s="1"/>
  <c r="J12" i="114"/>
  <c r="K12" i="114" s="1"/>
  <c r="O9" i="141"/>
  <c r="I60" i="170"/>
  <c r="O60" i="170" s="1"/>
  <c r="I59" i="111"/>
  <c r="O59" i="111" s="1"/>
  <c r="I58" i="114"/>
  <c r="O58" i="114" s="1"/>
  <c r="J23" i="156"/>
  <c r="L23" i="156" s="1"/>
  <c r="J9" i="111"/>
  <c r="L9" i="111" s="1"/>
  <c r="I54" i="114"/>
  <c r="J54" i="114" s="1"/>
  <c r="I61" i="170"/>
  <c r="P61" i="170" s="1"/>
  <c r="O23" i="156"/>
  <c r="L10" i="111"/>
  <c r="K10" i="111"/>
  <c r="O56" i="114"/>
  <c r="L37" i="170"/>
  <c r="K37" i="170"/>
  <c r="L12" i="111"/>
  <c r="K12" i="111"/>
  <c r="J58" i="110"/>
  <c r="L58" i="110" s="1"/>
  <c r="K56" i="114"/>
  <c r="L56" i="114"/>
  <c r="I23" i="159"/>
  <c r="I22" i="159"/>
  <c r="O9" i="159"/>
  <c r="J9" i="159"/>
  <c r="H10" i="169"/>
  <c r="I10" i="169" s="1"/>
  <c r="J10" i="169" s="1"/>
  <c r="J12" i="139"/>
  <c r="L12" i="139" s="1"/>
  <c r="O9" i="164"/>
  <c r="J9" i="164"/>
  <c r="I23" i="164"/>
  <c r="O10" i="139"/>
  <c r="L18" i="114"/>
  <c r="K18" i="114"/>
  <c r="H17" i="167"/>
  <c r="I17" i="167" s="1"/>
  <c r="J17" i="167" s="1"/>
  <c r="H11" i="167"/>
  <c r="I11" i="167" s="1"/>
  <c r="J11" i="167" s="1"/>
  <c r="I57" i="111"/>
  <c r="H12" i="167"/>
  <c r="I12" i="167" s="1"/>
  <c r="J12" i="167" s="1"/>
  <c r="H10" i="167"/>
  <c r="J20" i="111"/>
  <c r="I54" i="111"/>
  <c r="I58" i="111"/>
  <c r="L9" i="114"/>
  <c r="N9" i="114" s="1"/>
  <c r="O37" i="170"/>
  <c r="O9" i="156"/>
  <c r="L24" i="163"/>
  <c r="J9" i="156"/>
  <c r="K24" i="163"/>
  <c r="O9" i="139"/>
  <c r="J10" i="139"/>
  <c r="L10" i="139" s="1"/>
  <c r="I55" i="114"/>
  <c r="J9" i="141"/>
  <c r="L9" i="141" s="1"/>
  <c r="O24" i="158"/>
  <c r="J27" i="163"/>
  <c r="M23" i="163"/>
  <c r="M24" i="163"/>
  <c r="I24" i="166"/>
  <c r="J9" i="166"/>
  <c r="L27" i="139"/>
  <c r="K27" i="139"/>
  <c r="N27" i="139" s="1"/>
  <c r="L34" i="139"/>
  <c r="K34" i="139"/>
  <c r="K36" i="139"/>
  <c r="N36" i="139"/>
  <c r="L36" i="139"/>
  <c r="L11" i="139"/>
  <c r="K14" i="139"/>
  <c r="L14" i="139"/>
  <c r="L17" i="139"/>
  <c r="K17" i="139"/>
  <c r="K19" i="139"/>
  <c r="L19" i="139"/>
  <c r="N19" i="139" s="1"/>
  <c r="K33" i="139"/>
  <c r="L33" i="139"/>
  <c r="N33" i="139" s="1"/>
  <c r="K18" i="139"/>
  <c r="L18" i="139"/>
  <c r="N18" i="139" s="1"/>
  <c r="K9" i="139"/>
  <c r="K15" i="139"/>
  <c r="L15" i="139"/>
  <c r="N15" i="139" s="1"/>
  <c r="L39" i="139"/>
  <c r="K39" i="139"/>
  <c r="N39" i="139" s="1"/>
  <c r="K28" i="139"/>
  <c r="J30" i="139"/>
  <c r="K40" i="139"/>
  <c r="H17" i="169"/>
  <c r="I17" i="169" s="1"/>
  <c r="J17" i="169" s="1"/>
  <c r="K17" i="169" s="1"/>
  <c r="H12" i="169"/>
  <c r="I12" i="169" s="1"/>
  <c r="J12" i="169" s="1"/>
  <c r="K12" i="169" s="1"/>
  <c r="I60" i="139"/>
  <c r="O60" i="139" s="1"/>
  <c r="I56" i="139"/>
  <c r="I55" i="139"/>
  <c r="I58" i="139"/>
  <c r="O58" i="139" s="1"/>
  <c r="I59" i="139"/>
  <c r="I57" i="139"/>
  <c r="O57" i="139" s="1"/>
  <c r="E17" i="139"/>
  <c r="O17" i="139" s="1"/>
  <c r="L28" i="139"/>
  <c r="L40" i="139"/>
  <c r="L47" i="139"/>
  <c r="K47" i="139"/>
  <c r="N47" i="139" s="1"/>
  <c r="K11" i="110"/>
  <c r="L11" i="110"/>
  <c r="N11" i="110" s="1"/>
  <c r="K46" i="110"/>
  <c r="L46" i="110"/>
  <c r="N46" i="110" s="1"/>
  <c r="E20" i="110"/>
  <c r="O20" i="110" s="1"/>
  <c r="C11" i="173"/>
  <c r="L32" i="110"/>
  <c r="N32" i="110" s="1"/>
  <c r="J38" i="110"/>
  <c r="J41" i="110"/>
  <c r="L41" i="110" s="1"/>
  <c r="L45" i="110"/>
  <c r="N45" i="110" s="1"/>
  <c r="L47" i="110"/>
  <c r="N47" i="110" s="1"/>
  <c r="J39" i="110"/>
  <c r="K39" i="110" s="1"/>
  <c r="N39" i="110" s="1"/>
  <c r="J33" i="110"/>
  <c r="K33" i="110" s="1"/>
  <c r="K30" i="110"/>
  <c r="L30" i="110"/>
  <c r="L10" i="110"/>
  <c r="K10" i="110"/>
  <c r="L20" i="110"/>
  <c r="K20" i="110"/>
  <c r="K22" i="110"/>
  <c r="L22" i="110"/>
  <c r="L13" i="110"/>
  <c r="K13" i="110"/>
  <c r="L21" i="110"/>
  <c r="K21" i="110"/>
  <c r="L24" i="110"/>
  <c r="K24" i="110"/>
  <c r="L29" i="110"/>
  <c r="K29" i="110"/>
  <c r="N29" i="110"/>
  <c r="L39" i="110"/>
  <c r="K15" i="110"/>
  <c r="L15" i="110"/>
  <c r="L33" i="110"/>
  <c r="K59" i="110"/>
  <c r="L59" i="110"/>
  <c r="N12" i="110"/>
  <c r="O13" i="110"/>
  <c r="K14" i="110"/>
  <c r="K26" i="110"/>
  <c r="K35" i="110"/>
  <c r="L14" i="110"/>
  <c r="L26" i="110"/>
  <c r="L35" i="110"/>
  <c r="M59" i="110"/>
  <c r="J27" i="110"/>
  <c r="J36" i="110"/>
  <c r="J60" i="110"/>
  <c r="J40" i="107"/>
  <c r="L40" i="107" s="1"/>
  <c r="S55" i="107"/>
  <c r="C7" i="173" s="1"/>
  <c r="E20" i="107"/>
  <c r="O20" i="107" s="1"/>
  <c r="J31" i="107"/>
  <c r="K31" i="107" s="1"/>
  <c r="K13" i="107"/>
  <c r="L13" i="107"/>
  <c r="L18" i="107"/>
  <c r="K18" i="107"/>
  <c r="L36" i="107"/>
  <c r="K36" i="107"/>
  <c r="L45" i="107"/>
  <c r="K45" i="107"/>
  <c r="J34" i="107"/>
  <c r="L34" i="107" s="1"/>
  <c r="J46" i="107"/>
  <c r="L46" i="107" s="1"/>
  <c r="K30" i="107"/>
  <c r="N30" i="107" s="1"/>
  <c r="J37" i="107"/>
  <c r="K37" i="107" s="1"/>
  <c r="K27" i="107"/>
  <c r="L27" i="107"/>
  <c r="L33" i="107"/>
  <c r="K33" i="107"/>
  <c r="K34" i="107"/>
  <c r="K46" i="107"/>
  <c r="L10" i="107"/>
  <c r="K10" i="107"/>
  <c r="K20" i="107"/>
  <c r="L20" i="107"/>
  <c r="L39" i="107"/>
  <c r="K39" i="107"/>
  <c r="K42" i="107"/>
  <c r="L42" i="107"/>
  <c r="L15" i="107"/>
  <c r="K15" i="107"/>
  <c r="K14" i="107"/>
  <c r="L14" i="107"/>
  <c r="K21" i="107"/>
  <c r="O34" i="107"/>
  <c r="K52" i="107"/>
  <c r="N52" i="107" s="1"/>
  <c r="K17" i="107"/>
  <c r="K25" i="107"/>
  <c r="J28" i="107"/>
  <c r="K40" i="107"/>
  <c r="J43" i="107"/>
  <c r="K50" i="107"/>
  <c r="N50" i="107" s="1"/>
  <c r="L11" i="107"/>
  <c r="L12" i="107"/>
  <c r="O14" i="107"/>
  <c r="L17" i="107"/>
  <c r="L21" i="107"/>
  <c r="L25" i="107"/>
  <c r="L51" i="107"/>
  <c r="N51" i="107" s="1"/>
  <c r="N11" i="107"/>
  <c r="K12" i="107"/>
  <c r="N12" i="107" s="1"/>
  <c r="L63" i="107"/>
  <c r="N63" i="107" s="1"/>
  <c r="L65" i="107"/>
  <c r="N65" i="107" s="1"/>
  <c r="K14" i="104"/>
  <c r="L14" i="104"/>
  <c r="L22" i="104"/>
  <c r="N22" i="104" s="1"/>
  <c r="K22" i="104"/>
  <c r="K25" i="104"/>
  <c r="L25" i="104"/>
  <c r="K51" i="104"/>
  <c r="L51" i="104"/>
  <c r="L10" i="104"/>
  <c r="K10" i="104"/>
  <c r="L21" i="104"/>
  <c r="K21" i="104"/>
  <c r="L33" i="104"/>
  <c r="K33" i="104"/>
  <c r="L39" i="104"/>
  <c r="K39" i="104"/>
  <c r="L45" i="104"/>
  <c r="K45" i="104"/>
  <c r="K50" i="104"/>
  <c r="L50" i="104"/>
  <c r="K52" i="104"/>
  <c r="N52" i="104" s="1"/>
  <c r="L52" i="104"/>
  <c r="L13" i="104"/>
  <c r="K13" i="104"/>
  <c r="N13" i="104" s="1"/>
  <c r="L15" i="104"/>
  <c r="K15" i="104"/>
  <c r="N15" i="104" s="1"/>
  <c r="L30" i="104"/>
  <c r="K30" i="104"/>
  <c r="L36" i="104"/>
  <c r="K36" i="104"/>
  <c r="L11" i="104"/>
  <c r="N11" i="104" s="1"/>
  <c r="E20" i="104"/>
  <c r="L27" i="104"/>
  <c r="K12" i="104"/>
  <c r="K27" i="104"/>
  <c r="K42" i="104"/>
  <c r="L12" i="104"/>
  <c r="L42" i="104"/>
  <c r="K46" i="104"/>
  <c r="N46" i="104" s="1"/>
  <c r="K43" i="104"/>
  <c r="L43" i="104"/>
  <c r="K31" i="104"/>
  <c r="L31" i="104"/>
  <c r="K37" i="104"/>
  <c r="L37" i="104"/>
  <c r="L40" i="104"/>
  <c r="N40" i="104" s="1"/>
  <c r="K34" i="104"/>
  <c r="L34" i="104"/>
  <c r="K28" i="104"/>
  <c r="N28" i="104" s="1"/>
  <c r="L28" i="104"/>
  <c r="L24" i="139"/>
  <c r="N24" i="139" s="1"/>
  <c r="J24" i="158"/>
  <c r="L24" i="158" s="1"/>
  <c r="K9" i="158"/>
  <c r="L9" i="158"/>
  <c r="K17" i="172"/>
  <c r="N17" i="172" s="1"/>
  <c r="L17" i="172"/>
  <c r="L19" i="172"/>
  <c r="K19" i="172"/>
  <c r="N19" i="172" s="1"/>
  <c r="K23" i="172"/>
  <c r="J59" i="172"/>
  <c r="L59" i="172" s="1"/>
  <c r="L23" i="172"/>
  <c r="J32" i="172"/>
  <c r="K32" i="172" s="1"/>
  <c r="O59" i="172"/>
  <c r="N26" i="172"/>
  <c r="N30" i="172"/>
  <c r="K38" i="172"/>
  <c r="L38" i="172"/>
  <c r="N38" i="172" s="1"/>
  <c r="L45" i="172"/>
  <c r="K45" i="172"/>
  <c r="L46" i="172"/>
  <c r="K46" i="172"/>
  <c r="N46" i="172" s="1"/>
  <c r="L12" i="172"/>
  <c r="K12" i="172"/>
  <c r="L21" i="172"/>
  <c r="K21" i="172"/>
  <c r="N21" i="172" s="1"/>
  <c r="L18" i="172"/>
  <c r="K18" i="172"/>
  <c r="K37" i="172"/>
  <c r="L37" i="172"/>
  <c r="K55" i="172"/>
  <c r="L55" i="172"/>
  <c r="L24" i="172"/>
  <c r="N24" i="172" s="1"/>
  <c r="K24" i="172"/>
  <c r="L54" i="172"/>
  <c r="K54" i="172"/>
  <c r="K56" i="172"/>
  <c r="L56" i="172"/>
  <c r="K11" i="172"/>
  <c r="L11" i="172"/>
  <c r="L27" i="172"/>
  <c r="N27" i="172" s="1"/>
  <c r="K27" i="172"/>
  <c r="K57" i="172"/>
  <c r="N57" i="172" s="1"/>
  <c r="L9" i="172"/>
  <c r="L29" i="172"/>
  <c r="L57" i="172"/>
  <c r="K9" i="172"/>
  <c r="K29" i="172"/>
  <c r="N29" i="172" s="1"/>
  <c r="O35" i="172"/>
  <c r="S45" i="172" s="1"/>
  <c r="J13" i="172"/>
  <c r="J14" i="172"/>
  <c r="J15" i="172"/>
  <c r="J16" i="172"/>
  <c r="J33" i="172"/>
  <c r="J35" i="172"/>
  <c r="J61" i="172"/>
  <c r="L61" i="172" s="1"/>
  <c r="J60" i="172"/>
  <c r="O61" i="172"/>
  <c r="P61" i="172"/>
  <c r="K10" i="141"/>
  <c r="L10" i="141"/>
  <c r="K20" i="141"/>
  <c r="N20" i="141" s="1"/>
  <c r="L20" i="141"/>
  <c r="L11" i="141"/>
  <c r="K11" i="141"/>
  <c r="K19" i="169"/>
  <c r="L19" i="169"/>
  <c r="J12" i="141"/>
  <c r="O12" i="141"/>
  <c r="K17" i="141"/>
  <c r="N17" i="141" s="1"/>
  <c r="K24" i="141"/>
  <c r="K27" i="141"/>
  <c r="N27" i="141" s="1"/>
  <c r="K23" i="169"/>
  <c r="I59" i="141"/>
  <c r="O59" i="141" s="1"/>
  <c r="I55" i="141"/>
  <c r="M55" i="141" s="1"/>
  <c r="I58" i="141"/>
  <c r="O58" i="141" s="1"/>
  <c r="I54" i="141"/>
  <c r="O54" i="141" s="1"/>
  <c r="I57" i="141"/>
  <c r="I56" i="141"/>
  <c r="O56" i="141" s="1"/>
  <c r="O10" i="141"/>
  <c r="L17" i="141"/>
  <c r="L24" i="141"/>
  <c r="L27" i="141"/>
  <c r="H14" i="169"/>
  <c r="L23" i="169"/>
  <c r="J36" i="141"/>
  <c r="K36" i="141" s="1"/>
  <c r="J13" i="141"/>
  <c r="J14" i="141"/>
  <c r="J15" i="141"/>
  <c r="J16" i="141"/>
  <c r="J25" i="141"/>
  <c r="J33" i="141"/>
  <c r="K34" i="141"/>
  <c r="J40" i="141"/>
  <c r="M46" i="141"/>
  <c r="J19" i="141"/>
  <c r="J28" i="141"/>
  <c r="J30" i="141"/>
  <c r="J31" i="141"/>
  <c r="L34" i="141"/>
  <c r="J39" i="141"/>
  <c r="J46" i="141"/>
  <c r="J18" i="141"/>
  <c r="J37" i="141"/>
  <c r="J37" i="139"/>
  <c r="O37" i="139"/>
  <c r="J31" i="139"/>
  <c r="J25" i="139"/>
  <c r="K20" i="139"/>
  <c r="N20" i="139" s="1"/>
  <c r="L13" i="139"/>
  <c r="K16" i="139"/>
  <c r="N16" i="139" s="1"/>
  <c r="N31" i="51" l="1"/>
  <c r="B6" i="192"/>
  <c r="D4" i="195"/>
  <c r="D6" i="195"/>
  <c r="B10" i="192"/>
  <c r="M10" i="192" s="1"/>
  <c r="N24" i="141"/>
  <c r="K9" i="141"/>
  <c r="N10" i="141"/>
  <c r="N56" i="172"/>
  <c r="N36" i="104"/>
  <c r="N50" i="104"/>
  <c r="N21" i="104"/>
  <c r="N51" i="104"/>
  <c r="K64" i="107"/>
  <c r="N64" i="107" s="1"/>
  <c r="N45" i="107"/>
  <c r="N18" i="107"/>
  <c r="N14" i="110"/>
  <c r="N10" i="110"/>
  <c r="N28" i="139"/>
  <c r="J60" i="170"/>
  <c r="B12" i="192"/>
  <c r="K31" i="123"/>
  <c r="N26" i="123"/>
  <c r="K31" i="90"/>
  <c r="K31" i="114"/>
  <c r="L31" i="114"/>
  <c r="N31" i="114" s="1"/>
  <c r="L23" i="170"/>
  <c r="N23" i="170" s="1"/>
  <c r="K23" i="170"/>
  <c r="K69" i="105"/>
  <c r="B16" i="192"/>
  <c r="D9" i="195"/>
  <c r="L59" i="170"/>
  <c r="K59" i="170"/>
  <c r="N59" i="170" s="1"/>
  <c r="N33" i="110"/>
  <c r="K17" i="111"/>
  <c r="L31" i="123"/>
  <c r="N27" i="90"/>
  <c r="N31" i="90" s="1"/>
  <c r="K39" i="114"/>
  <c r="L39" i="114"/>
  <c r="N39" i="114" s="1"/>
  <c r="N58" i="108"/>
  <c r="N68" i="108" s="1"/>
  <c r="N61" i="10"/>
  <c r="N69" i="10" s="1"/>
  <c r="N11" i="141"/>
  <c r="K59" i="172"/>
  <c r="N59" i="172" s="1"/>
  <c r="N11" i="172"/>
  <c r="N54" i="172"/>
  <c r="L32" i="172"/>
  <c r="N32" i="172" s="1"/>
  <c r="N23" i="172"/>
  <c r="N34" i="104"/>
  <c r="N42" i="104"/>
  <c r="N45" i="104"/>
  <c r="N25" i="104"/>
  <c r="N14" i="104"/>
  <c r="N27" i="107"/>
  <c r="N36" i="107"/>
  <c r="N35" i="110"/>
  <c r="N24" i="110"/>
  <c r="N20" i="110"/>
  <c r="N30" i="110"/>
  <c r="N40" i="139"/>
  <c r="N34" i="139"/>
  <c r="J57" i="114"/>
  <c r="O59" i="114"/>
  <c r="B14" i="192"/>
  <c r="D8" i="195"/>
  <c r="D5" i="195"/>
  <c r="B8" i="192"/>
  <c r="P65" i="49"/>
  <c r="N25" i="158"/>
  <c r="N28" i="123"/>
  <c r="N11" i="92"/>
  <c r="L35" i="170"/>
  <c r="K35" i="170"/>
  <c r="N35" i="170" s="1"/>
  <c r="L33" i="170"/>
  <c r="K33" i="170"/>
  <c r="N33" i="170"/>
  <c r="E26" i="175"/>
  <c r="E25" i="175"/>
  <c r="K68" i="108"/>
  <c r="L69" i="105"/>
  <c r="K69" i="10"/>
  <c r="N21" i="110"/>
  <c r="L19" i="110"/>
  <c r="L27" i="163"/>
  <c r="K16" i="110"/>
  <c r="N16" i="110" s="1"/>
  <c r="L12" i="169"/>
  <c r="M12" i="169" s="1"/>
  <c r="N23" i="163"/>
  <c r="L59" i="114"/>
  <c r="N59" i="114" s="1"/>
  <c r="J61" i="110"/>
  <c r="L61" i="110" s="1"/>
  <c r="L12" i="114"/>
  <c r="N12" i="114" s="1"/>
  <c r="K11" i="111"/>
  <c r="O16" i="110"/>
  <c r="J23" i="107"/>
  <c r="L16" i="107"/>
  <c r="K16" i="107"/>
  <c r="L62" i="107"/>
  <c r="N62" i="107" s="1"/>
  <c r="L17" i="110"/>
  <c r="K18" i="110"/>
  <c r="N18" i="110" s="1"/>
  <c r="K10" i="139"/>
  <c r="J55" i="141"/>
  <c r="L55" i="141" s="1"/>
  <c r="K19" i="107"/>
  <c r="L19" i="107"/>
  <c r="M62" i="107"/>
  <c r="O62" i="107"/>
  <c r="B9" i="150"/>
  <c r="P64" i="49"/>
  <c r="B3" i="150"/>
  <c r="V25" i="49"/>
  <c r="W25" i="49"/>
  <c r="D30" i="49" s="1"/>
  <c r="C13" i="192" s="1"/>
  <c r="J66" i="107"/>
  <c r="O65" i="107"/>
  <c r="M65" i="107"/>
  <c r="I73" i="49"/>
  <c r="I7" i="170"/>
  <c r="I7" i="172"/>
  <c r="B14" i="194"/>
  <c r="B6" i="150"/>
  <c r="P67" i="49"/>
  <c r="I7" i="158"/>
  <c r="B10" i="150"/>
  <c r="I7" i="156"/>
  <c r="I82" i="49"/>
  <c r="P62" i="49"/>
  <c r="B8" i="194"/>
  <c r="J12" i="92"/>
  <c r="I29" i="92"/>
  <c r="O12" i="92"/>
  <c r="J22" i="107"/>
  <c r="P69" i="49"/>
  <c r="B8" i="150"/>
  <c r="I22" i="111"/>
  <c r="I7" i="139"/>
  <c r="I65" i="49"/>
  <c r="P63" i="49" s="1"/>
  <c r="I22" i="139"/>
  <c r="I7" i="111"/>
  <c r="B4" i="150"/>
  <c r="I7" i="166"/>
  <c r="I7" i="164"/>
  <c r="B12" i="150"/>
  <c r="B13" i="174" s="1"/>
  <c r="P66" i="49"/>
  <c r="I22" i="141"/>
  <c r="I22" i="114"/>
  <c r="B5" i="150"/>
  <c r="B7" i="174" s="1"/>
  <c r="P71" i="49"/>
  <c r="I7" i="141"/>
  <c r="I7" i="114"/>
  <c r="V22" i="49"/>
  <c r="W22" i="49"/>
  <c r="D27" i="49" s="1"/>
  <c r="J61" i="107"/>
  <c r="V24" i="49"/>
  <c r="W24" i="49"/>
  <c r="D29" i="49" s="1"/>
  <c r="C8" i="195" s="1"/>
  <c r="G8" i="195" s="1"/>
  <c r="I14" i="159"/>
  <c r="P70" i="49"/>
  <c r="I15" i="163"/>
  <c r="I15" i="159"/>
  <c r="I13" i="159"/>
  <c r="I7" i="159"/>
  <c r="B11" i="150"/>
  <c r="B9" i="174" s="1"/>
  <c r="X23" i="49"/>
  <c r="D23" i="49" s="1"/>
  <c r="K9" i="111"/>
  <c r="N9" i="111" s="1"/>
  <c r="J58" i="114"/>
  <c r="K58" i="114" s="1"/>
  <c r="M58" i="114"/>
  <c r="N9" i="139"/>
  <c r="K55" i="141"/>
  <c r="N55" i="141" s="1"/>
  <c r="N11" i="139"/>
  <c r="N18" i="114"/>
  <c r="K23" i="156"/>
  <c r="N23" i="156" s="1"/>
  <c r="O28" i="163"/>
  <c r="R28" i="163" s="1"/>
  <c r="N17" i="111"/>
  <c r="K58" i="110"/>
  <c r="N58" i="110" s="1"/>
  <c r="K12" i="139"/>
  <c r="N12" i="139" s="1"/>
  <c r="O54" i="114"/>
  <c r="N24" i="163"/>
  <c r="O61" i="170"/>
  <c r="K41" i="110"/>
  <c r="N41" i="110" s="1"/>
  <c r="K27" i="163"/>
  <c r="J28" i="163" s="1"/>
  <c r="N37" i="172"/>
  <c r="N37" i="170"/>
  <c r="N56" i="114"/>
  <c r="J59" i="111"/>
  <c r="K59" i="111" s="1"/>
  <c r="J58" i="141"/>
  <c r="L58" i="141" s="1"/>
  <c r="K24" i="158"/>
  <c r="N24" i="158" s="1"/>
  <c r="J61" i="170"/>
  <c r="L61" i="170" s="1"/>
  <c r="O55" i="141"/>
  <c r="M61" i="170"/>
  <c r="N12" i="111"/>
  <c r="J59" i="141"/>
  <c r="L59" i="141" s="1"/>
  <c r="M28" i="163"/>
  <c r="N10" i="111"/>
  <c r="J56" i="111"/>
  <c r="O56" i="111"/>
  <c r="L54" i="114"/>
  <c r="K54" i="114"/>
  <c r="M58" i="141"/>
  <c r="M63" i="141" s="1"/>
  <c r="N59" i="110"/>
  <c r="N10" i="139"/>
  <c r="N11" i="111"/>
  <c r="O55" i="111"/>
  <c r="M55" i="111"/>
  <c r="J55" i="111"/>
  <c r="J24" i="166"/>
  <c r="M24" i="166"/>
  <c r="O24" i="166"/>
  <c r="K9" i="156"/>
  <c r="L9" i="156"/>
  <c r="N17" i="139"/>
  <c r="L9" i="166"/>
  <c r="K9" i="166"/>
  <c r="N28" i="163"/>
  <c r="J58" i="111"/>
  <c r="O58" i="111"/>
  <c r="M58" i="111"/>
  <c r="L20" i="111"/>
  <c r="K20" i="111"/>
  <c r="L11" i="167"/>
  <c r="K11" i="167"/>
  <c r="J57" i="111"/>
  <c r="O57" i="111"/>
  <c r="L9" i="159"/>
  <c r="K9" i="159"/>
  <c r="L17" i="169"/>
  <c r="M17" i="169" s="1"/>
  <c r="N9" i="158"/>
  <c r="M55" i="114"/>
  <c r="J55" i="114"/>
  <c r="O55" i="114"/>
  <c r="M24" i="167"/>
  <c r="I10" i="167"/>
  <c r="J10" i="167" s="1"/>
  <c r="L17" i="167"/>
  <c r="K17" i="167"/>
  <c r="O23" i="164"/>
  <c r="M23" i="164"/>
  <c r="J23" i="164"/>
  <c r="O22" i="159"/>
  <c r="J22" i="159"/>
  <c r="M22" i="159"/>
  <c r="N9" i="141"/>
  <c r="K57" i="114"/>
  <c r="L57" i="114"/>
  <c r="H13" i="167"/>
  <c r="I13" i="167" s="1"/>
  <c r="J13" i="167" s="1"/>
  <c r="O54" i="111"/>
  <c r="J54" i="111"/>
  <c r="K12" i="167"/>
  <c r="L12" i="167"/>
  <c r="L60" i="170"/>
  <c r="K60" i="170"/>
  <c r="K9" i="164"/>
  <c r="L9" i="164"/>
  <c r="M23" i="159"/>
  <c r="O23" i="159"/>
  <c r="J23" i="159"/>
  <c r="O55" i="139"/>
  <c r="J55" i="139"/>
  <c r="O56" i="139"/>
  <c r="M56" i="139"/>
  <c r="J56" i="139"/>
  <c r="L30" i="139"/>
  <c r="K30" i="139"/>
  <c r="N30" i="139" s="1"/>
  <c r="M59" i="139"/>
  <c r="O59" i="139"/>
  <c r="J59" i="139"/>
  <c r="N14" i="139"/>
  <c r="J60" i="139"/>
  <c r="J58" i="139"/>
  <c r="J57" i="139"/>
  <c r="N13" i="110"/>
  <c r="N19" i="110"/>
  <c r="N15" i="110"/>
  <c r="K38" i="110"/>
  <c r="N38" i="110" s="1"/>
  <c r="N22" i="110"/>
  <c r="L38" i="110"/>
  <c r="N26" i="110"/>
  <c r="L60" i="110"/>
  <c r="K60" i="110"/>
  <c r="L36" i="110"/>
  <c r="K36" i="110"/>
  <c r="N36" i="110" s="1"/>
  <c r="N17" i="110"/>
  <c r="L27" i="110"/>
  <c r="K27" i="110"/>
  <c r="N17" i="107"/>
  <c r="L31" i="107"/>
  <c r="N14" i="107"/>
  <c r="N42" i="107"/>
  <c r="N39" i="107"/>
  <c r="N20" i="107"/>
  <c r="N13" i="107"/>
  <c r="N25" i="107"/>
  <c r="L37" i="107"/>
  <c r="N37" i="107" s="1"/>
  <c r="N15" i="107"/>
  <c r="N40" i="107"/>
  <c r="N46" i="107"/>
  <c r="N10" i="107"/>
  <c r="N31" i="107"/>
  <c r="N34" i="107"/>
  <c r="N21" i="107"/>
  <c r="N33" i="107"/>
  <c r="L43" i="107"/>
  <c r="K43" i="107"/>
  <c r="L28" i="107"/>
  <c r="K28" i="107"/>
  <c r="N16" i="107"/>
  <c r="M19" i="169"/>
  <c r="N43" i="104"/>
  <c r="N27" i="104"/>
  <c r="N12" i="104"/>
  <c r="N30" i="104"/>
  <c r="N39" i="104"/>
  <c r="N33" i="104"/>
  <c r="N10" i="104"/>
  <c r="N31" i="104"/>
  <c r="N37" i="104"/>
  <c r="C8" i="173"/>
  <c r="C12" i="173"/>
  <c r="R45" i="172"/>
  <c r="D12" i="173" s="1"/>
  <c r="E12" i="173" s="1"/>
  <c r="L36" i="141"/>
  <c r="N36" i="141" s="1"/>
  <c r="N55" i="172"/>
  <c r="N9" i="172"/>
  <c r="N18" i="172"/>
  <c r="N12" i="172"/>
  <c r="N45" i="172"/>
  <c r="K61" i="172"/>
  <c r="N61" i="172" s="1"/>
  <c r="M23" i="169"/>
  <c r="K15" i="172"/>
  <c r="N15" i="172"/>
  <c r="L15" i="172"/>
  <c r="K35" i="172"/>
  <c r="L35" i="172"/>
  <c r="K14" i="172"/>
  <c r="L14" i="172"/>
  <c r="K33" i="172"/>
  <c r="L33" i="172"/>
  <c r="K13" i="172"/>
  <c r="N13" i="172" s="1"/>
  <c r="L13" i="172"/>
  <c r="K16" i="172"/>
  <c r="L16" i="172"/>
  <c r="O36" i="172"/>
  <c r="J36" i="172"/>
  <c r="L60" i="172"/>
  <c r="K60" i="172"/>
  <c r="L12" i="141"/>
  <c r="K12" i="141"/>
  <c r="J54" i="141"/>
  <c r="L54" i="141" s="1"/>
  <c r="N34" i="141"/>
  <c r="J56" i="141"/>
  <c r="J57" i="141"/>
  <c r="O57" i="141"/>
  <c r="L10" i="169"/>
  <c r="K10" i="169"/>
  <c r="L37" i="141"/>
  <c r="K37" i="141"/>
  <c r="K46" i="141"/>
  <c r="L46" i="141"/>
  <c r="K31" i="141"/>
  <c r="L31" i="141"/>
  <c r="L16" i="141"/>
  <c r="K16" i="141"/>
  <c r="L18" i="141"/>
  <c r="K18" i="141"/>
  <c r="K59" i="141"/>
  <c r="K39" i="141"/>
  <c r="L39" i="141"/>
  <c r="K30" i="141"/>
  <c r="L30" i="141"/>
  <c r="L15" i="141"/>
  <c r="K15" i="141"/>
  <c r="K28" i="141"/>
  <c r="L28" i="141"/>
  <c r="L33" i="141"/>
  <c r="K33" i="141"/>
  <c r="L14" i="141"/>
  <c r="K14" i="141"/>
  <c r="K19" i="141"/>
  <c r="L19" i="141"/>
  <c r="L40" i="141"/>
  <c r="K40" i="141"/>
  <c r="N40" i="141" s="1"/>
  <c r="L25" i="141"/>
  <c r="K25" i="141"/>
  <c r="L13" i="141"/>
  <c r="K13" i="141"/>
  <c r="L25" i="139"/>
  <c r="K25" i="139"/>
  <c r="L31" i="139"/>
  <c r="K31" i="139"/>
  <c r="K37" i="139"/>
  <c r="L37" i="139"/>
  <c r="N13" i="139"/>
  <c r="I8" i="195" l="1"/>
  <c r="K8" i="195" s="1"/>
  <c r="D10" i="195"/>
  <c r="K61" i="110"/>
  <c r="N61" i="110" s="1"/>
  <c r="X24" i="49"/>
  <c r="D24" i="49" s="1"/>
  <c r="I61" i="104" s="1"/>
  <c r="B10" i="194"/>
  <c r="I40" i="110"/>
  <c r="I65" i="110" s="1"/>
  <c r="C9" i="195"/>
  <c r="G9" i="195" s="1"/>
  <c r="I9" i="195" s="1"/>
  <c r="K9" i="195" s="1"/>
  <c r="C15" i="192"/>
  <c r="N31" i="123"/>
  <c r="N28" i="141"/>
  <c r="N37" i="139"/>
  <c r="L59" i="111"/>
  <c r="N59" i="111" s="1"/>
  <c r="K61" i="170"/>
  <c r="M12" i="192"/>
  <c r="B12" i="194"/>
  <c r="M62" i="114"/>
  <c r="F12" i="192"/>
  <c r="M62" i="111"/>
  <c r="L23" i="107"/>
  <c r="K23" i="107"/>
  <c r="K58" i="141"/>
  <c r="N58" i="141" s="1"/>
  <c r="L58" i="114"/>
  <c r="N19" i="107"/>
  <c r="O40" i="110"/>
  <c r="J40" i="110"/>
  <c r="M15" i="163"/>
  <c r="M17" i="163" s="1"/>
  <c r="J15" i="163"/>
  <c r="O15" i="163"/>
  <c r="O17" i="163" s="1"/>
  <c r="O30" i="163" s="1"/>
  <c r="I12" i="192" s="1"/>
  <c r="P15" i="163"/>
  <c r="P17" i="163" s="1"/>
  <c r="O64" i="110"/>
  <c r="J64" i="110"/>
  <c r="I15" i="164"/>
  <c r="I13" i="164"/>
  <c r="J7" i="164"/>
  <c r="I24" i="164"/>
  <c r="O7" i="164"/>
  <c r="R16" i="164" s="1"/>
  <c r="M7" i="164"/>
  <c r="I14" i="164"/>
  <c r="K22" i="107"/>
  <c r="L22" i="107"/>
  <c r="P72" i="49"/>
  <c r="I15" i="158"/>
  <c r="O7" i="158"/>
  <c r="I14" i="158"/>
  <c r="M7" i="158"/>
  <c r="I13" i="158"/>
  <c r="J7" i="158"/>
  <c r="I42" i="172"/>
  <c r="I44" i="172"/>
  <c r="J7" i="172"/>
  <c r="B12" i="173"/>
  <c r="M7" i="172"/>
  <c r="I43" i="172"/>
  <c r="O7" i="172"/>
  <c r="I62" i="172"/>
  <c r="M30" i="163"/>
  <c r="J7" i="159"/>
  <c r="I24" i="159"/>
  <c r="O7" i="159"/>
  <c r="M7" i="159"/>
  <c r="E35" i="49"/>
  <c r="B52" i="49"/>
  <c r="I50" i="110" s="1"/>
  <c r="L61" i="107"/>
  <c r="K61" i="107"/>
  <c r="M7" i="114"/>
  <c r="O7" i="114"/>
  <c r="R48" i="114" s="1"/>
  <c r="I45" i="114"/>
  <c r="I46" i="114"/>
  <c r="J7" i="114"/>
  <c r="I60" i="114"/>
  <c r="I44" i="114"/>
  <c r="O22" i="114"/>
  <c r="J22" i="114"/>
  <c r="B16" i="194"/>
  <c r="B14" i="173"/>
  <c r="I25" i="166"/>
  <c r="I13" i="166"/>
  <c r="M7" i="166"/>
  <c r="J7" i="166"/>
  <c r="O7" i="166"/>
  <c r="R17" i="166" s="1"/>
  <c r="D14" i="173" s="1"/>
  <c r="E14" i="173" s="1"/>
  <c r="I14" i="166"/>
  <c r="I15" i="166"/>
  <c r="I46" i="139"/>
  <c r="I61" i="139"/>
  <c r="J7" i="139"/>
  <c r="I45" i="139"/>
  <c r="O7" i="139"/>
  <c r="R49" i="139" s="1"/>
  <c r="D4" i="173" s="1"/>
  <c r="E4" i="173" s="1"/>
  <c r="M7" i="139"/>
  <c r="I44" i="139"/>
  <c r="I44" i="170"/>
  <c r="I62" i="170"/>
  <c r="J7" i="170"/>
  <c r="I58" i="170"/>
  <c r="I43" i="170"/>
  <c r="M7" i="170"/>
  <c r="I42" i="170"/>
  <c r="O7" i="170"/>
  <c r="R45" i="170" s="1"/>
  <c r="B6" i="173"/>
  <c r="B5" i="174"/>
  <c r="M13" i="159"/>
  <c r="P13" i="159"/>
  <c r="J13" i="159"/>
  <c r="O13" i="159"/>
  <c r="M14" i="159"/>
  <c r="P14" i="159"/>
  <c r="J14" i="159"/>
  <c r="O14" i="159"/>
  <c r="I12" i="127"/>
  <c r="I29" i="127"/>
  <c r="I60" i="141"/>
  <c r="J7" i="141"/>
  <c r="I44" i="141"/>
  <c r="M7" i="141"/>
  <c r="I45" i="141"/>
  <c r="O7" i="141"/>
  <c r="R48" i="141" s="1"/>
  <c r="J22" i="141"/>
  <c r="O22" i="141"/>
  <c r="I46" i="111"/>
  <c r="M7" i="111"/>
  <c r="J7" i="111"/>
  <c r="O7" i="111"/>
  <c r="R48" i="111" s="1"/>
  <c r="I45" i="111"/>
  <c r="I60" i="111"/>
  <c r="I44" i="111"/>
  <c r="B6" i="194"/>
  <c r="O29" i="92"/>
  <c r="J29" i="92"/>
  <c r="M29" i="92"/>
  <c r="I13" i="156"/>
  <c r="I24" i="156"/>
  <c r="O7" i="156"/>
  <c r="R16" i="156" s="1"/>
  <c r="I15" i="156"/>
  <c r="I14" i="156"/>
  <c r="J7" i="156"/>
  <c r="M7" i="156"/>
  <c r="B11" i="174"/>
  <c r="X25" i="49"/>
  <c r="D25" i="49" s="1"/>
  <c r="I18" i="104" s="1"/>
  <c r="J15" i="159"/>
  <c r="M15" i="159"/>
  <c r="P15" i="159"/>
  <c r="O15" i="159"/>
  <c r="X22" i="49"/>
  <c r="D22" i="49" s="1"/>
  <c r="V26" i="49"/>
  <c r="X26" i="49" s="1"/>
  <c r="O22" i="139"/>
  <c r="J22" i="139"/>
  <c r="H9" i="169"/>
  <c r="I9" i="169" s="1"/>
  <c r="J9" i="169" s="1"/>
  <c r="H8" i="169"/>
  <c r="I8" i="169" s="1"/>
  <c r="J8" i="169" s="1"/>
  <c r="H9" i="167"/>
  <c r="I9" i="167" s="1"/>
  <c r="J9" i="167" s="1"/>
  <c r="O22" i="111"/>
  <c r="H8" i="167"/>
  <c r="I8" i="167" s="1"/>
  <c r="J8" i="167" s="1"/>
  <c r="J22" i="111"/>
  <c r="L12" i="92"/>
  <c r="K12" i="92"/>
  <c r="L66" i="107"/>
  <c r="K66" i="107"/>
  <c r="B3" i="174"/>
  <c r="M70" i="107"/>
  <c r="N9" i="164"/>
  <c r="N60" i="170"/>
  <c r="N9" i="166"/>
  <c r="N54" i="114"/>
  <c r="K54" i="141"/>
  <c r="N54" i="141" s="1"/>
  <c r="N61" i="170"/>
  <c r="N9" i="159"/>
  <c r="N20" i="111"/>
  <c r="N58" i="114"/>
  <c r="M17" i="167"/>
  <c r="M11" i="167"/>
  <c r="N9" i="156"/>
  <c r="L55" i="111"/>
  <c r="K55" i="111"/>
  <c r="L56" i="111"/>
  <c r="K56" i="111"/>
  <c r="N12" i="141"/>
  <c r="M12" i="167"/>
  <c r="N57" i="114"/>
  <c r="L22" i="159"/>
  <c r="K22" i="159"/>
  <c r="K54" i="111"/>
  <c r="L54" i="111"/>
  <c r="L23" i="164"/>
  <c r="K23" i="164"/>
  <c r="L55" i="114"/>
  <c r="K55" i="114"/>
  <c r="K57" i="111"/>
  <c r="L57" i="111"/>
  <c r="L58" i="111"/>
  <c r="K58" i="111"/>
  <c r="N60" i="110"/>
  <c r="L23" i="159"/>
  <c r="K23" i="159"/>
  <c r="L13" i="167"/>
  <c r="K13" i="167"/>
  <c r="M26" i="159"/>
  <c r="K10" i="167"/>
  <c r="L10" i="167"/>
  <c r="K24" i="166"/>
  <c r="L24" i="166"/>
  <c r="L56" i="139"/>
  <c r="K56" i="139"/>
  <c r="L55" i="139"/>
  <c r="K55" i="139"/>
  <c r="K57" i="139"/>
  <c r="L57" i="139"/>
  <c r="L59" i="139"/>
  <c r="K59" i="139"/>
  <c r="M64" i="139"/>
  <c r="N25" i="139"/>
  <c r="L58" i="139"/>
  <c r="K58" i="139"/>
  <c r="L60" i="139"/>
  <c r="K60" i="139"/>
  <c r="N27" i="110"/>
  <c r="N43" i="107"/>
  <c r="N28" i="107"/>
  <c r="M10" i="169"/>
  <c r="C15" i="173"/>
  <c r="N16" i="172"/>
  <c r="N35" i="172"/>
  <c r="N33" i="172"/>
  <c r="N14" i="172"/>
  <c r="K36" i="172"/>
  <c r="L36" i="172"/>
  <c r="N60" i="172"/>
  <c r="K56" i="141"/>
  <c r="L56" i="141"/>
  <c r="N14" i="141"/>
  <c r="N18" i="141"/>
  <c r="N16" i="141"/>
  <c r="K57" i="141"/>
  <c r="L57" i="141"/>
  <c r="N19" i="141"/>
  <c r="N33" i="141"/>
  <c r="N59" i="141"/>
  <c r="N37" i="141"/>
  <c r="N31" i="141"/>
  <c r="N39" i="141"/>
  <c r="N25" i="141"/>
  <c r="N30" i="141"/>
  <c r="N46" i="141"/>
  <c r="N15" i="141"/>
  <c r="N13" i="141"/>
  <c r="N31" i="139"/>
  <c r="B4" i="175" l="1"/>
  <c r="B3" i="175"/>
  <c r="B5" i="175"/>
  <c r="C5" i="192"/>
  <c r="I17" i="104"/>
  <c r="I64" i="104"/>
  <c r="I66" i="104"/>
  <c r="C4" i="195"/>
  <c r="I20" i="104"/>
  <c r="C7" i="192"/>
  <c r="C5" i="195"/>
  <c r="G5" i="195" s="1"/>
  <c r="I5" i="195" s="1"/>
  <c r="K5" i="195" s="1"/>
  <c r="I23" i="104"/>
  <c r="I62" i="104"/>
  <c r="I63" i="104"/>
  <c r="F49" i="49"/>
  <c r="I19" i="104"/>
  <c r="I16" i="104"/>
  <c r="I65" i="104"/>
  <c r="D8" i="173"/>
  <c r="E8" i="173" s="1"/>
  <c r="N22" i="107"/>
  <c r="N23" i="107"/>
  <c r="N12" i="92"/>
  <c r="N66" i="107"/>
  <c r="O18" i="104"/>
  <c r="J18" i="104"/>
  <c r="O19" i="104"/>
  <c r="J19" i="104"/>
  <c r="K8" i="167"/>
  <c r="L8" i="167"/>
  <c r="K9" i="169"/>
  <c r="L9" i="169"/>
  <c r="E25" i="49"/>
  <c r="J24" i="49" s="1"/>
  <c r="J25" i="49" s="1"/>
  <c r="J26" i="49" s="1"/>
  <c r="I12" i="89"/>
  <c r="D46" i="49"/>
  <c r="H25" i="49" s="1"/>
  <c r="I29" i="89"/>
  <c r="J15" i="156"/>
  <c r="I22" i="156"/>
  <c r="P15" i="156"/>
  <c r="O15" i="156"/>
  <c r="M15" i="156"/>
  <c r="M29" i="127"/>
  <c r="J29" i="127"/>
  <c r="O29" i="127"/>
  <c r="J42" i="170"/>
  <c r="P42" i="170"/>
  <c r="O42" i="170"/>
  <c r="M42" i="170"/>
  <c r="K7" i="170"/>
  <c r="L7" i="170"/>
  <c r="O61" i="139"/>
  <c r="O64" i="139" s="1"/>
  <c r="J61" i="139"/>
  <c r="J25" i="166"/>
  <c r="O25" i="166"/>
  <c r="K22" i="114"/>
  <c r="L22" i="114"/>
  <c r="L7" i="114"/>
  <c r="K7" i="114"/>
  <c r="P50" i="110"/>
  <c r="J50" i="110"/>
  <c r="M50" i="110"/>
  <c r="O50" i="110"/>
  <c r="O24" i="159"/>
  <c r="O26" i="159" s="1"/>
  <c r="R26" i="159" s="1"/>
  <c r="J24" i="159"/>
  <c r="P42" i="172"/>
  <c r="J42" i="172"/>
  <c r="O42" i="172"/>
  <c r="M42" i="172"/>
  <c r="M14" i="158"/>
  <c r="J14" i="158"/>
  <c r="P14" i="158"/>
  <c r="O14" i="158"/>
  <c r="M15" i="164"/>
  <c r="H22" i="167"/>
  <c r="I22" i="167" s="1"/>
  <c r="J22" i="167" s="1"/>
  <c r="I22" i="164"/>
  <c r="P15" i="164"/>
  <c r="J15" i="164"/>
  <c r="O15" i="164"/>
  <c r="C9" i="174"/>
  <c r="D9" i="174" s="1"/>
  <c r="D12" i="192"/>
  <c r="P30" i="163"/>
  <c r="K40" i="110"/>
  <c r="L40" i="110"/>
  <c r="O61" i="104"/>
  <c r="J61" i="104"/>
  <c r="H13" i="169"/>
  <c r="I13" i="169" s="1"/>
  <c r="J13" i="169" s="1"/>
  <c r="L22" i="139"/>
  <c r="K22" i="139"/>
  <c r="L15" i="159"/>
  <c r="K15" i="159"/>
  <c r="N15" i="159" s="1"/>
  <c r="K29" i="92"/>
  <c r="L29" i="92"/>
  <c r="P44" i="111"/>
  <c r="J44" i="111"/>
  <c r="O44" i="111"/>
  <c r="M44" i="111"/>
  <c r="L7" i="111"/>
  <c r="K7" i="111"/>
  <c r="N7" i="111" s="1"/>
  <c r="L22" i="141"/>
  <c r="K22" i="141"/>
  <c r="J44" i="141"/>
  <c r="O44" i="141"/>
  <c r="P44" i="141"/>
  <c r="M44" i="141"/>
  <c r="O12" i="127"/>
  <c r="J12" i="127"/>
  <c r="K14" i="159"/>
  <c r="L14" i="159"/>
  <c r="L13" i="159"/>
  <c r="K13" i="159"/>
  <c r="N13" i="159" s="1"/>
  <c r="O62" i="170"/>
  <c r="J62" i="170"/>
  <c r="O46" i="139"/>
  <c r="P46" i="139"/>
  <c r="M46" i="139"/>
  <c r="J46" i="139"/>
  <c r="K7" i="166"/>
  <c r="L7" i="166"/>
  <c r="O46" i="114"/>
  <c r="J46" i="114"/>
  <c r="M46" i="114"/>
  <c r="P46" i="114"/>
  <c r="N61" i="107"/>
  <c r="K7" i="159"/>
  <c r="L7" i="159"/>
  <c r="J16" i="159"/>
  <c r="J62" i="172"/>
  <c r="O62" i="172"/>
  <c r="L7" i="158"/>
  <c r="K7" i="158"/>
  <c r="R17" i="158"/>
  <c r="D6" i="173" s="1"/>
  <c r="E6" i="173" s="1"/>
  <c r="O24" i="164"/>
  <c r="J24" i="164"/>
  <c r="O17" i="104"/>
  <c r="J17" i="104"/>
  <c r="L9" i="167"/>
  <c r="K9" i="167"/>
  <c r="L7" i="156"/>
  <c r="K7" i="156"/>
  <c r="J24" i="156"/>
  <c r="O24" i="156"/>
  <c r="O60" i="111"/>
  <c r="O62" i="111" s="1"/>
  <c r="J60" i="111"/>
  <c r="L7" i="141"/>
  <c r="K7" i="141"/>
  <c r="P16" i="159"/>
  <c r="P27" i="159" s="1"/>
  <c r="O43" i="170"/>
  <c r="M43" i="170"/>
  <c r="J43" i="170"/>
  <c r="P43" i="170"/>
  <c r="M44" i="170"/>
  <c r="P44" i="170"/>
  <c r="J44" i="170"/>
  <c r="O44" i="170"/>
  <c r="M45" i="139"/>
  <c r="P45" i="139"/>
  <c r="O45" i="139"/>
  <c r="H18" i="169"/>
  <c r="J45" i="139"/>
  <c r="P15" i="166"/>
  <c r="J15" i="166"/>
  <c r="M15" i="166"/>
  <c r="O15" i="166"/>
  <c r="I23" i="166"/>
  <c r="O44" i="114"/>
  <c r="J44" i="114"/>
  <c r="M44" i="114"/>
  <c r="P44" i="114"/>
  <c r="M45" i="114"/>
  <c r="O45" i="114"/>
  <c r="P45" i="114"/>
  <c r="J45" i="114"/>
  <c r="M16" i="159"/>
  <c r="M27" i="159" s="1"/>
  <c r="K7" i="172"/>
  <c r="L7" i="172"/>
  <c r="P13" i="158"/>
  <c r="J13" i="158"/>
  <c r="M13" i="158"/>
  <c r="O13" i="158"/>
  <c r="J15" i="158"/>
  <c r="P15" i="158"/>
  <c r="I23" i="158"/>
  <c r="O15" i="158"/>
  <c r="M15" i="158"/>
  <c r="M14" i="164"/>
  <c r="P14" i="164"/>
  <c r="O14" i="164"/>
  <c r="J14" i="164"/>
  <c r="L7" i="164"/>
  <c r="K7" i="164"/>
  <c r="K64" i="110"/>
  <c r="L64" i="110"/>
  <c r="J16" i="163"/>
  <c r="L15" i="163"/>
  <c r="L16" i="163" s="1"/>
  <c r="L29" i="163" s="1"/>
  <c r="K15" i="163"/>
  <c r="K16" i="163" s="1"/>
  <c r="K29" i="163" s="1"/>
  <c r="K22" i="111"/>
  <c r="L22" i="111"/>
  <c r="K8" i="169"/>
  <c r="L8" i="169"/>
  <c r="J14" i="156"/>
  <c r="O14" i="156"/>
  <c r="M14" i="156"/>
  <c r="P14" i="156"/>
  <c r="P13" i="156"/>
  <c r="M13" i="156"/>
  <c r="O13" i="156"/>
  <c r="O16" i="156" s="1"/>
  <c r="J13" i="156"/>
  <c r="O45" i="111"/>
  <c r="H18" i="167"/>
  <c r="I18" i="167" s="1"/>
  <c r="J18" i="167" s="1"/>
  <c r="M45" i="111"/>
  <c r="J45" i="111"/>
  <c r="P45" i="111"/>
  <c r="O46" i="111"/>
  <c r="J46" i="111"/>
  <c r="P46" i="111"/>
  <c r="M46" i="111"/>
  <c r="H20" i="167"/>
  <c r="I20" i="167" s="1"/>
  <c r="J20" i="167" s="1"/>
  <c r="J45" i="141"/>
  <c r="J47" i="141" s="1"/>
  <c r="O45" i="141"/>
  <c r="P45" i="141"/>
  <c r="M45" i="141"/>
  <c r="O60" i="141"/>
  <c r="O63" i="141" s="1"/>
  <c r="J60" i="141"/>
  <c r="M65" i="110"/>
  <c r="O65" i="110"/>
  <c r="J65" i="110"/>
  <c r="M58" i="170"/>
  <c r="M64" i="170" s="1"/>
  <c r="J58" i="170"/>
  <c r="O58" i="170"/>
  <c r="M44" i="139"/>
  <c r="H16" i="169"/>
  <c r="I16" i="169" s="1"/>
  <c r="J16" i="169" s="1"/>
  <c r="P44" i="139"/>
  <c r="O44" i="139"/>
  <c r="O49" i="139" s="1"/>
  <c r="I6" i="192" s="1"/>
  <c r="J44" i="139"/>
  <c r="K7" i="139"/>
  <c r="L7" i="139"/>
  <c r="O14" i="166"/>
  <c r="J14" i="166"/>
  <c r="M14" i="166"/>
  <c r="P14" i="166"/>
  <c r="J13" i="166"/>
  <c r="O13" i="166"/>
  <c r="P13" i="166"/>
  <c r="M13" i="166"/>
  <c r="O60" i="114"/>
  <c r="O62" i="114" s="1"/>
  <c r="J60" i="114"/>
  <c r="O16" i="159"/>
  <c r="R16" i="159"/>
  <c r="O43" i="172"/>
  <c r="P43" i="172"/>
  <c r="J43" i="172"/>
  <c r="M43" i="172"/>
  <c r="O44" i="172"/>
  <c r="M44" i="172"/>
  <c r="P44" i="172"/>
  <c r="I58" i="172"/>
  <c r="J44" i="172"/>
  <c r="P13" i="164"/>
  <c r="O13" i="164"/>
  <c r="M13" i="164"/>
  <c r="J13" i="164"/>
  <c r="N60" i="139"/>
  <c r="N24" i="166"/>
  <c r="M10" i="167"/>
  <c r="N56" i="111"/>
  <c r="N23" i="159"/>
  <c r="N56" i="139"/>
  <c r="N57" i="111"/>
  <c r="M13" i="167"/>
  <c r="N58" i="111"/>
  <c r="N23" i="164"/>
  <c r="N54" i="111"/>
  <c r="N55" i="111"/>
  <c r="N56" i="141"/>
  <c r="N57" i="139"/>
  <c r="N59" i="139"/>
  <c r="N55" i="114"/>
  <c r="N22" i="159"/>
  <c r="N55" i="139"/>
  <c r="N58" i="139"/>
  <c r="N36" i="172"/>
  <c r="N57" i="141"/>
  <c r="G4" i="195" l="1"/>
  <c r="C10" i="195"/>
  <c r="P48" i="141"/>
  <c r="D10" i="192" s="1"/>
  <c r="H22" i="49"/>
  <c r="C17" i="192"/>
  <c r="B7" i="175"/>
  <c r="B6" i="175"/>
  <c r="M48" i="141"/>
  <c r="M65" i="141" s="1"/>
  <c r="M8" i="167"/>
  <c r="L16" i="159"/>
  <c r="P16" i="164"/>
  <c r="P27" i="164" s="1"/>
  <c r="M49" i="139"/>
  <c r="M66" i="139" s="1"/>
  <c r="N7" i="156"/>
  <c r="N7" i="114"/>
  <c r="N7" i="141"/>
  <c r="O16" i="164"/>
  <c r="M48" i="172"/>
  <c r="P49" i="139"/>
  <c r="P66" i="139" s="1"/>
  <c r="D6" i="192" s="1"/>
  <c r="L6" i="192" s="1"/>
  <c r="M6" i="192" s="1"/>
  <c r="O64" i="170"/>
  <c r="M9" i="169"/>
  <c r="P48" i="114"/>
  <c r="P63" i="114" s="1"/>
  <c r="N40" i="110"/>
  <c r="N22" i="114"/>
  <c r="M17" i="158"/>
  <c r="N7" i="139"/>
  <c r="M16" i="164"/>
  <c r="O17" i="166"/>
  <c r="O48" i="141"/>
  <c r="O65" i="141" s="1"/>
  <c r="I10" i="192" s="1"/>
  <c r="N22" i="111"/>
  <c r="O17" i="158"/>
  <c r="M48" i="114"/>
  <c r="M63" i="114" s="1"/>
  <c r="M9" i="167"/>
  <c r="N14" i="159"/>
  <c r="M17" i="166"/>
  <c r="M16" i="156"/>
  <c r="M8" i="169"/>
  <c r="K16" i="159"/>
  <c r="O27" i="159"/>
  <c r="P17" i="158"/>
  <c r="C5" i="174" s="1"/>
  <c r="D5" i="174" s="1"/>
  <c r="E5" i="174" s="1"/>
  <c r="P17" i="166"/>
  <c r="K16" i="169"/>
  <c r="L16" i="169"/>
  <c r="L58" i="170"/>
  <c r="K58" i="170"/>
  <c r="J64" i="170"/>
  <c r="C7" i="174"/>
  <c r="D7" i="174" s="1"/>
  <c r="P65" i="141"/>
  <c r="P16" i="156"/>
  <c r="P27" i="156" s="1"/>
  <c r="J16" i="156"/>
  <c r="L14" i="156"/>
  <c r="K14" i="156"/>
  <c r="N15" i="163"/>
  <c r="N17" i="163" s="1"/>
  <c r="N30" i="163" s="1"/>
  <c r="H12" i="192" s="1"/>
  <c r="J12" i="192" s="1"/>
  <c r="N64" i="110"/>
  <c r="K14" i="164"/>
  <c r="L14" i="164"/>
  <c r="M62" i="104"/>
  <c r="O62" i="104"/>
  <c r="J62" i="104"/>
  <c r="L13" i="158"/>
  <c r="K13" i="158"/>
  <c r="O48" i="114"/>
  <c r="O63" i="114" s="1"/>
  <c r="L15" i="166"/>
  <c r="K15" i="166"/>
  <c r="P48" i="170"/>
  <c r="P65" i="170" s="1"/>
  <c r="B8" i="173"/>
  <c r="L24" i="156"/>
  <c r="K24" i="156"/>
  <c r="L62" i="170"/>
  <c r="K62" i="170"/>
  <c r="N22" i="141"/>
  <c r="M48" i="111"/>
  <c r="M63" i="111" s="1"/>
  <c r="N29" i="92"/>
  <c r="N22" i="139"/>
  <c r="M22" i="164"/>
  <c r="M26" i="164" s="1"/>
  <c r="J22" i="164"/>
  <c r="O22" i="164"/>
  <c r="O26" i="164" s="1"/>
  <c r="L24" i="159"/>
  <c r="L26" i="159" s="1"/>
  <c r="L27" i="159" s="1"/>
  <c r="K24" i="159"/>
  <c r="J26" i="159"/>
  <c r="J27" i="159" s="1"/>
  <c r="L50" i="110"/>
  <c r="K50" i="110"/>
  <c r="L61" i="139"/>
  <c r="L63" i="139" s="1"/>
  <c r="J63" i="139"/>
  <c r="K61" i="139"/>
  <c r="N7" i="170"/>
  <c r="J22" i="156"/>
  <c r="M22" i="156"/>
  <c r="M26" i="156" s="1"/>
  <c r="O22" i="156"/>
  <c r="O26" i="156" s="1"/>
  <c r="O27" i="156" s="1"/>
  <c r="O12" i="89"/>
  <c r="J12" i="89"/>
  <c r="L19" i="104"/>
  <c r="K19" i="104"/>
  <c r="L44" i="172"/>
  <c r="K44" i="172"/>
  <c r="J62" i="114"/>
  <c r="L60" i="114"/>
  <c r="L62" i="114" s="1"/>
  <c r="K60" i="114"/>
  <c r="J16" i="166"/>
  <c r="L14" i="166"/>
  <c r="K14" i="166"/>
  <c r="L44" i="139"/>
  <c r="K44" i="139"/>
  <c r="J48" i="139"/>
  <c r="J65" i="139" s="1"/>
  <c r="L60" i="141"/>
  <c r="L62" i="141" s="1"/>
  <c r="K60" i="141"/>
  <c r="K62" i="141" s="1"/>
  <c r="J62" i="141"/>
  <c r="J64" i="141" s="1"/>
  <c r="J48" i="111"/>
  <c r="K45" i="111"/>
  <c r="L45" i="111"/>
  <c r="K13" i="156"/>
  <c r="L13" i="156"/>
  <c r="L15" i="158"/>
  <c r="K15" i="158"/>
  <c r="D8" i="192"/>
  <c r="L8" i="192" s="1"/>
  <c r="M8" i="192" s="1"/>
  <c r="K45" i="114"/>
  <c r="L45" i="114"/>
  <c r="J23" i="166"/>
  <c r="M23" i="166"/>
  <c r="M28" i="166" s="1"/>
  <c r="O23" i="166"/>
  <c r="O28" i="166" s="1"/>
  <c r="L44" i="170"/>
  <c r="K44" i="170"/>
  <c r="K43" i="170"/>
  <c r="L43" i="170"/>
  <c r="K60" i="111"/>
  <c r="L60" i="111"/>
  <c r="L62" i="111" s="1"/>
  <c r="J62" i="111"/>
  <c r="L17" i="104"/>
  <c r="K17" i="104"/>
  <c r="L24" i="164"/>
  <c r="K24" i="164"/>
  <c r="N24" i="164" s="1"/>
  <c r="O48" i="111"/>
  <c r="O63" i="111" s="1"/>
  <c r="K22" i="167"/>
  <c r="L22" i="167"/>
  <c r="O48" i="172"/>
  <c r="O66" i="139"/>
  <c r="K42" i="170"/>
  <c r="L42" i="170"/>
  <c r="K15" i="156"/>
  <c r="L15" i="156"/>
  <c r="M58" i="172"/>
  <c r="M65" i="172" s="1"/>
  <c r="M67" i="172" s="1"/>
  <c r="O58" i="172"/>
  <c r="O65" i="172" s="1"/>
  <c r="J58" i="172"/>
  <c r="K13" i="166"/>
  <c r="L13" i="166"/>
  <c r="O66" i="104"/>
  <c r="J66" i="104"/>
  <c r="L65" i="110"/>
  <c r="K65" i="110"/>
  <c r="K45" i="141"/>
  <c r="L45" i="141"/>
  <c r="L46" i="111"/>
  <c r="K46" i="111"/>
  <c r="N7" i="164"/>
  <c r="N7" i="172"/>
  <c r="K45" i="139"/>
  <c r="L45" i="139"/>
  <c r="J16" i="158"/>
  <c r="L62" i="172"/>
  <c r="K62" i="172"/>
  <c r="N7" i="166"/>
  <c r="L12" i="127"/>
  <c r="K12" i="127"/>
  <c r="K44" i="111"/>
  <c r="L44" i="111"/>
  <c r="L13" i="169"/>
  <c r="K13" i="169"/>
  <c r="J16" i="164"/>
  <c r="L15" i="164"/>
  <c r="K15" i="164"/>
  <c r="L14" i="158"/>
  <c r="K14" i="158"/>
  <c r="K16" i="158" s="1"/>
  <c r="K42" i="172"/>
  <c r="L42" i="172"/>
  <c r="J47" i="172"/>
  <c r="O63" i="104"/>
  <c r="J63" i="104"/>
  <c r="M48" i="170"/>
  <c r="M65" i="170" s="1"/>
  <c r="M29" i="89"/>
  <c r="J29" i="89"/>
  <c r="O29" i="89"/>
  <c r="L18" i="104"/>
  <c r="K18" i="104"/>
  <c r="L13" i="164"/>
  <c r="K13" i="164"/>
  <c r="M65" i="104"/>
  <c r="O65" i="104"/>
  <c r="J65" i="104"/>
  <c r="K43" i="172"/>
  <c r="L43" i="172"/>
  <c r="C3" i="174"/>
  <c r="D3" i="174" s="1"/>
  <c r="E3" i="174" s="1"/>
  <c r="K20" i="167"/>
  <c r="L20" i="167"/>
  <c r="L18" i="167"/>
  <c r="K18" i="167"/>
  <c r="J29" i="163"/>
  <c r="J30" i="163" s="1"/>
  <c r="E12" i="192"/>
  <c r="G12" i="192" s="1"/>
  <c r="J17" i="163"/>
  <c r="O23" i="158"/>
  <c r="J23" i="158"/>
  <c r="M23" i="158"/>
  <c r="M28" i="158" s="1"/>
  <c r="L44" i="114"/>
  <c r="K44" i="114"/>
  <c r="J48" i="114"/>
  <c r="J63" i="114" s="1"/>
  <c r="H6" i="169"/>
  <c r="I6" i="169" s="1"/>
  <c r="J6" i="169" s="1"/>
  <c r="I18" i="169"/>
  <c r="J18" i="169" s="1"/>
  <c r="J20" i="104"/>
  <c r="H11" i="169"/>
  <c r="O20" i="104"/>
  <c r="O16" i="104"/>
  <c r="J16" i="104"/>
  <c r="N7" i="158"/>
  <c r="N7" i="159"/>
  <c r="L46" i="114"/>
  <c r="K46" i="114"/>
  <c r="L46" i="139"/>
  <c r="K46" i="139"/>
  <c r="O64" i="104"/>
  <c r="J64" i="104"/>
  <c r="K44" i="141"/>
  <c r="K47" i="141" s="1"/>
  <c r="L44" i="141"/>
  <c r="P48" i="111"/>
  <c r="P63" i="111" s="1"/>
  <c r="L61" i="104"/>
  <c r="K61" i="104"/>
  <c r="O23" i="104"/>
  <c r="J23" i="104"/>
  <c r="P48" i="172"/>
  <c r="K25" i="166"/>
  <c r="L25" i="166"/>
  <c r="J48" i="170"/>
  <c r="O48" i="170"/>
  <c r="L29" i="127"/>
  <c r="K29" i="127"/>
  <c r="J77" i="49"/>
  <c r="H43" i="49"/>
  <c r="H42" i="49"/>
  <c r="H41" i="49"/>
  <c r="H39" i="49"/>
  <c r="H21" i="49"/>
  <c r="D13" i="150" s="1"/>
  <c r="H17" i="49"/>
  <c r="H16" i="49"/>
  <c r="H20" i="49"/>
  <c r="H26" i="49"/>
  <c r="H19" i="49"/>
  <c r="H36" i="49"/>
  <c r="H38" i="49"/>
  <c r="H44" i="49"/>
  <c r="H37" i="49"/>
  <c r="H45" i="49"/>
  <c r="H18" i="49"/>
  <c r="H40" i="49"/>
  <c r="H28" i="49"/>
  <c r="H23" i="49"/>
  <c r="H30" i="49"/>
  <c r="H27" i="49"/>
  <c r="H24" i="49"/>
  <c r="H29" i="49"/>
  <c r="D9" i="150" l="1"/>
  <c r="F6" i="195"/>
  <c r="H6" i="195" s="1"/>
  <c r="J6" i="195" s="1"/>
  <c r="B9" i="192"/>
  <c r="B6" i="195"/>
  <c r="I7" i="107"/>
  <c r="J63" i="111"/>
  <c r="B5" i="192"/>
  <c r="B4" i="195"/>
  <c r="F4" i="195"/>
  <c r="F8" i="195"/>
  <c r="H8" i="195" s="1"/>
  <c r="J8" i="195" s="1"/>
  <c r="B8" i="195"/>
  <c r="B13" i="192"/>
  <c r="B13" i="194" s="1"/>
  <c r="I66" i="110"/>
  <c r="I48" i="110"/>
  <c r="I62" i="110" s="1"/>
  <c r="I7" i="110"/>
  <c r="B15" i="192"/>
  <c r="B15" i="194" s="1"/>
  <c r="B9" i="195"/>
  <c r="F9" i="195"/>
  <c r="H9" i="195" s="1"/>
  <c r="J9" i="195" s="1"/>
  <c r="I25" i="49"/>
  <c r="I45" i="49"/>
  <c r="F5" i="195"/>
  <c r="H5" i="195" s="1"/>
  <c r="J5" i="195" s="1"/>
  <c r="B7" i="192"/>
  <c r="B5" i="195"/>
  <c r="B7" i="195"/>
  <c r="B11" i="192"/>
  <c r="F7" i="195"/>
  <c r="H7" i="195" s="1"/>
  <c r="J7" i="195" s="1"/>
  <c r="L47" i="141"/>
  <c r="M30" i="158"/>
  <c r="L16" i="166"/>
  <c r="N19" i="104"/>
  <c r="O27" i="164"/>
  <c r="N13" i="158"/>
  <c r="I4" i="195"/>
  <c r="G10" i="195"/>
  <c r="O30" i="166"/>
  <c r="I16" i="192" s="1"/>
  <c r="O65" i="170"/>
  <c r="P30" i="158"/>
  <c r="J63" i="141"/>
  <c r="N45" i="141"/>
  <c r="N44" i="170"/>
  <c r="M27" i="156"/>
  <c r="N15" i="166"/>
  <c r="N14" i="156"/>
  <c r="N15" i="156"/>
  <c r="N43" i="170"/>
  <c r="M30" i="166"/>
  <c r="N15" i="158"/>
  <c r="N45" i="111"/>
  <c r="N62" i="170"/>
  <c r="L48" i="170"/>
  <c r="R28" i="166"/>
  <c r="L48" i="111"/>
  <c r="L63" i="111" s="1"/>
  <c r="N46" i="111"/>
  <c r="N65" i="110"/>
  <c r="N44" i="172"/>
  <c r="M27" i="164"/>
  <c r="N25" i="166"/>
  <c r="N43" i="172"/>
  <c r="N42" i="172"/>
  <c r="N42" i="170"/>
  <c r="N48" i="170" s="1"/>
  <c r="R26" i="156"/>
  <c r="N44" i="141"/>
  <c r="N45" i="139"/>
  <c r="K16" i="166"/>
  <c r="E16" i="192" s="1"/>
  <c r="K48" i="170"/>
  <c r="M22" i="167"/>
  <c r="N17" i="104"/>
  <c r="N13" i="156"/>
  <c r="N16" i="156" s="1"/>
  <c r="M20" i="167"/>
  <c r="R26" i="164"/>
  <c r="L64" i="141"/>
  <c r="N16" i="159"/>
  <c r="L16" i="158"/>
  <c r="J17" i="158" s="1"/>
  <c r="M13" i="169"/>
  <c r="N12" i="127"/>
  <c r="N45" i="114"/>
  <c r="N50" i="110"/>
  <c r="M16" i="169"/>
  <c r="E10" i="192"/>
  <c r="J48" i="141"/>
  <c r="K64" i="141"/>
  <c r="I7" i="123"/>
  <c r="I16" i="123"/>
  <c r="S67" i="49"/>
  <c r="T67" i="49" s="1"/>
  <c r="U67" i="49" s="1"/>
  <c r="V67" i="49" s="1"/>
  <c r="D16" i="150"/>
  <c r="D12" i="150" s="1"/>
  <c r="B12" i="174" s="1"/>
  <c r="I18" i="127"/>
  <c r="I7" i="127"/>
  <c r="I30" i="127"/>
  <c r="I67" i="107"/>
  <c r="I50" i="105"/>
  <c r="D5" i="150"/>
  <c r="B6" i="174" s="1"/>
  <c r="I7" i="105"/>
  <c r="S63" i="49"/>
  <c r="T63" i="49" s="1"/>
  <c r="U63" i="49" s="1"/>
  <c r="V63" i="49" s="1"/>
  <c r="B9" i="194"/>
  <c r="I53" i="107"/>
  <c r="C11" i="174"/>
  <c r="D11" i="174" s="1"/>
  <c r="E11" i="174" s="1"/>
  <c r="P67" i="172"/>
  <c r="D14" i="192"/>
  <c r="L14" i="192" s="1"/>
  <c r="M14" i="192" s="1"/>
  <c r="N61" i="104"/>
  <c r="N46" i="139"/>
  <c r="L20" i="104"/>
  <c r="K20" i="104"/>
  <c r="N44" i="114"/>
  <c r="K48" i="114"/>
  <c r="O28" i="158"/>
  <c r="O30" i="158" s="1"/>
  <c r="I8" i="192" s="1"/>
  <c r="M18" i="167"/>
  <c r="K65" i="104"/>
  <c r="L65" i="104"/>
  <c r="L16" i="164"/>
  <c r="K63" i="104"/>
  <c r="L63" i="104"/>
  <c r="L47" i="172"/>
  <c r="N15" i="164"/>
  <c r="N60" i="141"/>
  <c r="N63" i="141" s="1"/>
  <c r="K48" i="139"/>
  <c r="N44" i="139"/>
  <c r="K63" i="139"/>
  <c r="N61" i="139"/>
  <c r="N64" i="139" s="1"/>
  <c r="N48" i="141"/>
  <c r="K64" i="170"/>
  <c r="N58" i="170"/>
  <c r="N64" i="170" s="1"/>
  <c r="D16" i="192"/>
  <c r="L16" i="192" s="1"/>
  <c r="M16" i="192" s="1"/>
  <c r="P30" i="166"/>
  <c r="C13" i="174"/>
  <c r="D13" i="174" s="1"/>
  <c r="E13" i="174" s="1"/>
  <c r="K47" i="172"/>
  <c r="I7" i="10"/>
  <c r="S62" i="49"/>
  <c r="I50" i="10"/>
  <c r="D4" i="150"/>
  <c r="I7" i="104"/>
  <c r="I67" i="104"/>
  <c r="I49" i="110"/>
  <c r="D8" i="150"/>
  <c r="L23" i="104"/>
  <c r="K23" i="104"/>
  <c r="L18" i="169"/>
  <c r="K18" i="169"/>
  <c r="L48" i="114"/>
  <c r="L63" i="114" s="1"/>
  <c r="L29" i="89"/>
  <c r="K29" i="89"/>
  <c r="N13" i="166"/>
  <c r="J64" i="172"/>
  <c r="J66" i="172" s="1"/>
  <c r="L58" i="172"/>
  <c r="L64" i="172" s="1"/>
  <c r="K58" i="172"/>
  <c r="K64" i="172" s="1"/>
  <c r="F10" i="192"/>
  <c r="L48" i="139"/>
  <c r="L65" i="139" s="1"/>
  <c r="N60" i="114"/>
  <c r="N62" i="114" s="1"/>
  <c r="K62" i="114"/>
  <c r="K12" i="89"/>
  <c r="L12" i="89"/>
  <c r="N12" i="89" s="1"/>
  <c r="L22" i="156"/>
  <c r="L26" i="156" s="1"/>
  <c r="J26" i="156"/>
  <c r="J27" i="156" s="1"/>
  <c r="K22" i="156"/>
  <c r="K62" i="104"/>
  <c r="L62" i="104"/>
  <c r="N14" i="164"/>
  <c r="L64" i="170"/>
  <c r="D3" i="150"/>
  <c r="I30" i="89"/>
  <c r="I10" i="89"/>
  <c r="S65" i="49"/>
  <c r="T65" i="49" s="1"/>
  <c r="U65" i="49" s="1"/>
  <c r="V65" i="49" s="1"/>
  <c r="I16" i="51"/>
  <c r="I7" i="51"/>
  <c r="D14" i="150"/>
  <c r="D10" i="150" s="1"/>
  <c r="B4" i="174" s="1"/>
  <c r="B7" i="194"/>
  <c r="B11" i="194"/>
  <c r="S66" i="49"/>
  <c r="D15" i="150"/>
  <c r="D11" i="150" s="1"/>
  <c r="B8" i="174" s="1"/>
  <c r="N29" i="127"/>
  <c r="K64" i="104"/>
  <c r="L64" i="104"/>
  <c r="N46" i="114"/>
  <c r="K6" i="169"/>
  <c r="L6" i="169"/>
  <c r="N18" i="104"/>
  <c r="N14" i="158"/>
  <c r="N44" i="111"/>
  <c r="K48" i="111"/>
  <c r="N62" i="172"/>
  <c r="O67" i="172"/>
  <c r="I14" i="192" s="1"/>
  <c r="L16" i="156"/>
  <c r="N14" i="166"/>
  <c r="J26" i="164"/>
  <c r="J27" i="164" s="1"/>
  <c r="K22" i="164"/>
  <c r="L22" i="164"/>
  <c r="L26" i="164" s="1"/>
  <c r="N24" i="156"/>
  <c r="I45" i="108"/>
  <c r="I7" i="108"/>
  <c r="I40" i="49"/>
  <c r="D6" i="150"/>
  <c r="B10" i="174" s="1"/>
  <c r="S64" i="49"/>
  <c r="T64" i="49" s="1"/>
  <c r="U64" i="49" s="1"/>
  <c r="V64" i="49" s="1"/>
  <c r="I20" i="49"/>
  <c r="J19" i="49" s="1"/>
  <c r="I18" i="92"/>
  <c r="I30" i="92"/>
  <c r="I7" i="92"/>
  <c r="I7" i="90"/>
  <c r="I16" i="90"/>
  <c r="L16" i="104"/>
  <c r="K16" i="104"/>
  <c r="I11" i="169"/>
  <c r="J11" i="169" s="1"/>
  <c r="M24" i="169"/>
  <c r="K23" i="158"/>
  <c r="K27" i="158" s="1"/>
  <c r="J27" i="158"/>
  <c r="J29" i="158" s="1"/>
  <c r="L23" i="158"/>
  <c r="L27" i="158" s="1"/>
  <c r="N13" i="164"/>
  <c r="K16" i="164"/>
  <c r="K66" i="104"/>
  <c r="L66" i="104"/>
  <c r="N60" i="111"/>
  <c r="N62" i="111" s="1"/>
  <c r="K62" i="111"/>
  <c r="K23" i="166"/>
  <c r="L23" i="166"/>
  <c r="L27" i="166" s="1"/>
  <c r="L29" i="166" s="1"/>
  <c r="J27" i="166"/>
  <c r="K16" i="156"/>
  <c r="N24" i="159"/>
  <c r="N26" i="159" s="1"/>
  <c r="K26" i="159"/>
  <c r="K27" i="159" s="1"/>
  <c r="M69" i="104"/>
  <c r="J65" i="170"/>
  <c r="B17" i="192" l="1"/>
  <c r="B10" i="195"/>
  <c r="N27" i="159"/>
  <c r="N48" i="111"/>
  <c r="N63" i="111" s="1"/>
  <c r="J17" i="166"/>
  <c r="K4" i="195"/>
  <c r="K10" i="195" s="1"/>
  <c r="I10" i="195"/>
  <c r="H4" i="195"/>
  <c r="F10" i="195"/>
  <c r="E8" i="192"/>
  <c r="L29" i="158"/>
  <c r="L65" i="170"/>
  <c r="N23" i="104"/>
  <c r="N49" i="139"/>
  <c r="N66" i="139" s="1"/>
  <c r="H6" i="192" s="1"/>
  <c r="J6" i="192" s="1"/>
  <c r="N48" i="172"/>
  <c r="N16" i="164"/>
  <c r="N17" i="158"/>
  <c r="N63" i="104"/>
  <c r="N29" i="89"/>
  <c r="N66" i="104"/>
  <c r="M18" i="169"/>
  <c r="J65" i="141"/>
  <c r="K65" i="170"/>
  <c r="J65" i="172"/>
  <c r="N65" i="141"/>
  <c r="H10" i="192" s="1"/>
  <c r="J10" i="192" s="1"/>
  <c r="R28" i="158"/>
  <c r="N20" i="104"/>
  <c r="F8" i="192"/>
  <c r="N58" i="172"/>
  <c r="N23" i="158"/>
  <c r="N28" i="158" s="1"/>
  <c r="M16" i="90"/>
  <c r="P16" i="90"/>
  <c r="P20" i="90" s="1"/>
  <c r="P32" i="90" s="1"/>
  <c r="O16" i="90"/>
  <c r="J16" i="90"/>
  <c r="I27" i="92"/>
  <c r="M18" i="92"/>
  <c r="J18" i="92"/>
  <c r="P18" i="92"/>
  <c r="P21" i="92" s="1"/>
  <c r="O18" i="92"/>
  <c r="B5" i="173"/>
  <c r="J7" i="89"/>
  <c r="O7" i="89"/>
  <c r="M7" i="89"/>
  <c r="L27" i="156"/>
  <c r="N65" i="172"/>
  <c r="N17" i="166"/>
  <c r="I53" i="104"/>
  <c r="B3" i="173"/>
  <c r="P7" i="104"/>
  <c r="O7" i="104"/>
  <c r="M7" i="104"/>
  <c r="J7" i="104"/>
  <c r="J7" i="10"/>
  <c r="C12" i="175"/>
  <c r="O7" i="10"/>
  <c r="M7" i="10"/>
  <c r="N48" i="114"/>
  <c r="N63" i="114" s="1"/>
  <c r="O67" i="107"/>
  <c r="O70" i="107" s="1"/>
  <c r="J67" i="107"/>
  <c r="B13" i="173"/>
  <c r="M7" i="127"/>
  <c r="J7" i="127"/>
  <c r="O7" i="127"/>
  <c r="O16" i="123"/>
  <c r="M16" i="123"/>
  <c r="J16" i="123"/>
  <c r="P16" i="123"/>
  <c r="P20" i="123" s="1"/>
  <c r="P32" i="123" s="1"/>
  <c r="J29" i="166"/>
  <c r="L11" i="169"/>
  <c r="K11" i="169"/>
  <c r="M7" i="90"/>
  <c r="J7" i="90"/>
  <c r="O7" i="90"/>
  <c r="R20" i="90" s="1"/>
  <c r="O7" i="108"/>
  <c r="R52" i="108" s="1"/>
  <c r="M7" i="108"/>
  <c r="J7" i="108"/>
  <c r="K26" i="164"/>
  <c r="N22" i="164"/>
  <c r="N26" i="164" s="1"/>
  <c r="N27" i="164" s="1"/>
  <c r="K63" i="111"/>
  <c r="P16" i="51"/>
  <c r="P20" i="51" s="1"/>
  <c r="P32" i="51" s="1"/>
  <c r="J16" i="51"/>
  <c r="M16" i="51"/>
  <c r="O16" i="51"/>
  <c r="O30" i="89"/>
  <c r="J30" i="89"/>
  <c r="M49" i="110"/>
  <c r="I63" i="110"/>
  <c r="J49" i="110"/>
  <c r="P49" i="110"/>
  <c r="O49" i="110"/>
  <c r="K66" i="172"/>
  <c r="E14" i="192"/>
  <c r="N65" i="170"/>
  <c r="F6" i="192"/>
  <c r="J64" i="139"/>
  <c r="J48" i="172"/>
  <c r="L66" i="172"/>
  <c r="L27" i="164"/>
  <c r="B7" i="173"/>
  <c r="P7" i="107"/>
  <c r="O7" i="107"/>
  <c r="M7" i="107"/>
  <c r="J7" i="107"/>
  <c r="P7" i="105"/>
  <c r="M7" i="105"/>
  <c r="O7" i="105"/>
  <c r="J7" i="105"/>
  <c r="J18" i="127"/>
  <c r="P18" i="127"/>
  <c r="P21" i="127" s="1"/>
  <c r="I27" i="127"/>
  <c r="O18" i="127"/>
  <c r="M18" i="127"/>
  <c r="J7" i="123"/>
  <c r="O7" i="123"/>
  <c r="M7" i="123"/>
  <c r="G10" i="192"/>
  <c r="K27" i="164"/>
  <c r="J28" i="158"/>
  <c r="N16" i="104"/>
  <c r="B9" i="173"/>
  <c r="O7" i="92"/>
  <c r="M7" i="92"/>
  <c r="M21" i="92" s="1"/>
  <c r="J7" i="92"/>
  <c r="B11" i="173"/>
  <c r="J7" i="110"/>
  <c r="M7" i="110"/>
  <c r="O7" i="110"/>
  <c r="O48" i="110"/>
  <c r="P48" i="110"/>
  <c r="H21" i="169"/>
  <c r="I21" i="169" s="1"/>
  <c r="J21" i="169" s="1"/>
  <c r="M48" i="110"/>
  <c r="J48" i="110"/>
  <c r="M45" i="108"/>
  <c r="J45" i="108"/>
  <c r="P45" i="108"/>
  <c r="P52" i="108" s="1"/>
  <c r="P69" i="108" s="1"/>
  <c r="O45" i="108"/>
  <c r="J18" i="89"/>
  <c r="P18" i="89"/>
  <c r="P21" i="89" s="1"/>
  <c r="I27" i="89"/>
  <c r="O18" i="89"/>
  <c r="M18" i="89"/>
  <c r="H22" i="169"/>
  <c r="I22" i="169" s="1"/>
  <c r="J22" i="169" s="1"/>
  <c r="N62" i="104"/>
  <c r="K26" i="156"/>
  <c r="K27" i="156" s="1"/>
  <c r="N22" i="156"/>
  <c r="N26" i="156" s="1"/>
  <c r="N27" i="156" s="1"/>
  <c r="F14" i="192"/>
  <c r="B5" i="194"/>
  <c r="B17" i="194" s="1"/>
  <c r="P50" i="10"/>
  <c r="P55" i="10" s="1"/>
  <c r="M50" i="10"/>
  <c r="J50" i="10"/>
  <c r="O50" i="10"/>
  <c r="H6" i="167"/>
  <c r="N65" i="104"/>
  <c r="P53" i="107"/>
  <c r="P55" i="107" s="1"/>
  <c r="O53" i="107"/>
  <c r="M53" i="107"/>
  <c r="J53" i="107"/>
  <c r="K27" i="166"/>
  <c r="K29" i="166" s="1"/>
  <c r="N23" i="166"/>
  <c r="N28" i="166" s="1"/>
  <c r="J30" i="92"/>
  <c r="O30" i="92"/>
  <c r="O66" i="110"/>
  <c r="J66" i="110"/>
  <c r="M6" i="169"/>
  <c r="N64" i="104"/>
  <c r="U66" i="49"/>
  <c r="T66" i="49"/>
  <c r="O7" i="51"/>
  <c r="R20" i="51" s="1"/>
  <c r="M7" i="51"/>
  <c r="J7" i="51"/>
  <c r="O10" i="89"/>
  <c r="M10" i="89"/>
  <c r="J10" i="89"/>
  <c r="D19" i="150"/>
  <c r="B2" i="174"/>
  <c r="K29" i="158"/>
  <c r="O67" i="104"/>
  <c r="O70" i="104" s="1"/>
  <c r="J67" i="104"/>
  <c r="S68" i="49"/>
  <c r="C3" i="175" s="1"/>
  <c r="T62" i="49"/>
  <c r="E6" i="192"/>
  <c r="K65" i="139"/>
  <c r="J66" i="139" s="1"/>
  <c r="J49" i="139"/>
  <c r="K63" i="114"/>
  <c r="O50" i="105"/>
  <c r="M50" i="105"/>
  <c r="J50" i="105"/>
  <c r="P50" i="105"/>
  <c r="P55" i="105" s="1"/>
  <c r="P70" i="105" s="1"/>
  <c r="O30" i="127"/>
  <c r="J30" i="127"/>
  <c r="J30" i="158" l="1"/>
  <c r="R21" i="89"/>
  <c r="D5" i="173" s="1"/>
  <c r="E5" i="173" s="1"/>
  <c r="N30" i="166"/>
  <c r="H16" i="192" s="1"/>
  <c r="J16" i="192" s="1"/>
  <c r="G8" i="192"/>
  <c r="J4" i="195"/>
  <c r="J10" i="195" s="1"/>
  <c r="H10" i="195"/>
  <c r="N30" i="158"/>
  <c r="H8" i="192" s="1"/>
  <c r="J8" i="192" s="1"/>
  <c r="N67" i="172"/>
  <c r="H14" i="192" s="1"/>
  <c r="J14" i="192" s="1"/>
  <c r="O52" i="108"/>
  <c r="O69" i="108" s="1"/>
  <c r="M20" i="51"/>
  <c r="M32" i="51" s="1"/>
  <c r="M20" i="90"/>
  <c r="M32" i="90" s="1"/>
  <c r="M21" i="127"/>
  <c r="M20" i="123"/>
  <c r="M32" i="123" s="1"/>
  <c r="P52" i="110"/>
  <c r="P71" i="110" s="1"/>
  <c r="M11" i="169"/>
  <c r="L30" i="92"/>
  <c r="K30" i="92"/>
  <c r="I6" i="167"/>
  <c r="J6" i="167" s="1"/>
  <c r="H16" i="167"/>
  <c r="I16" i="167" s="1"/>
  <c r="J16" i="167" s="1"/>
  <c r="P70" i="10"/>
  <c r="D12" i="175"/>
  <c r="L18" i="89"/>
  <c r="K18" i="89"/>
  <c r="L45" i="108"/>
  <c r="K45" i="108"/>
  <c r="L21" i="169"/>
  <c r="K21" i="169"/>
  <c r="R52" i="110"/>
  <c r="O52" i="110"/>
  <c r="K7" i="92"/>
  <c r="L7" i="92"/>
  <c r="J20" i="92"/>
  <c r="K7" i="105"/>
  <c r="J55" i="105"/>
  <c r="J70" i="105" s="1"/>
  <c r="L7" i="105"/>
  <c r="L7" i="107"/>
  <c r="K7" i="107"/>
  <c r="J54" i="107"/>
  <c r="O63" i="110"/>
  <c r="M63" i="110"/>
  <c r="J63" i="110"/>
  <c r="O20" i="51"/>
  <c r="O32" i="51" s="1"/>
  <c r="L7" i="108"/>
  <c r="J52" i="108"/>
  <c r="J69" i="108" s="1"/>
  <c r="K7" i="108"/>
  <c r="K52" i="108" s="1"/>
  <c r="K69" i="108" s="1"/>
  <c r="L7" i="90"/>
  <c r="K7" i="90"/>
  <c r="J20" i="90"/>
  <c r="J32" i="90" s="1"/>
  <c r="J30" i="166"/>
  <c r="R54" i="104"/>
  <c r="O21" i="89"/>
  <c r="D11" i="192"/>
  <c r="L11" i="192" s="1"/>
  <c r="M11" i="192" s="1"/>
  <c r="P35" i="92"/>
  <c r="C8" i="174"/>
  <c r="D8" i="174" s="1"/>
  <c r="E8" i="174" s="1"/>
  <c r="L16" i="90"/>
  <c r="K16" i="90"/>
  <c r="F12" i="175"/>
  <c r="L50" i="105"/>
  <c r="K50" i="105"/>
  <c r="K30" i="127"/>
  <c r="L30" i="127"/>
  <c r="L67" i="104"/>
  <c r="L69" i="104" s="1"/>
  <c r="K67" i="104"/>
  <c r="J69" i="104"/>
  <c r="K7" i="51"/>
  <c r="L7" i="51"/>
  <c r="J20" i="51"/>
  <c r="J32" i="51" s="1"/>
  <c r="V66" i="49"/>
  <c r="K66" i="110"/>
  <c r="L66" i="110"/>
  <c r="R20" i="123"/>
  <c r="O20" i="123"/>
  <c r="O32" i="123" s="1"/>
  <c r="O27" i="127"/>
  <c r="O33" i="127" s="1"/>
  <c r="R33" i="127" s="1"/>
  <c r="J27" i="127"/>
  <c r="M27" i="127"/>
  <c r="M33" i="127" s="1"/>
  <c r="O55" i="105"/>
  <c r="O70" i="105" s="1"/>
  <c r="R55" i="105"/>
  <c r="M55" i="107"/>
  <c r="M72" i="107" s="1"/>
  <c r="G6" i="192"/>
  <c r="M52" i="108"/>
  <c r="M69" i="108" s="1"/>
  <c r="L7" i="10"/>
  <c r="K7" i="10"/>
  <c r="J55" i="10"/>
  <c r="L7" i="89"/>
  <c r="K7" i="89"/>
  <c r="J20" i="89"/>
  <c r="K18" i="92"/>
  <c r="L18" i="92"/>
  <c r="L20" i="92" s="1"/>
  <c r="O20" i="90"/>
  <c r="O32" i="90" s="1"/>
  <c r="D9" i="192"/>
  <c r="L9" i="192" s="1"/>
  <c r="M9" i="192" s="1"/>
  <c r="C6" i="174"/>
  <c r="D6" i="174" s="1"/>
  <c r="E6" i="174" s="1"/>
  <c r="P72" i="107"/>
  <c r="K50" i="10"/>
  <c r="L50" i="10"/>
  <c r="M27" i="89"/>
  <c r="M33" i="89" s="1"/>
  <c r="J27" i="89"/>
  <c r="O27" i="89"/>
  <c r="K48" i="110"/>
  <c r="L48" i="110"/>
  <c r="O62" i="110"/>
  <c r="O69" i="110" s="1"/>
  <c r="J62" i="110"/>
  <c r="M62" i="110"/>
  <c r="K7" i="110"/>
  <c r="L7" i="110"/>
  <c r="J51" i="110"/>
  <c r="R21" i="92"/>
  <c r="D9" i="173" s="1"/>
  <c r="E9" i="173" s="1"/>
  <c r="O21" i="92"/>
  <c r="J20" i="123"/>
  <c r="J32" i="123" s="1"/>
  <c r="K7" i="123"/>
  <c r="L7" i="123"/>
  <c r="P35" i="127"/>
  <c r="D15" i="192"/>
  <c r="L15" i="192" s="1"/>
  <c r="M15" i="192" s="1"/>
  <c r="C12" i="174"/>
  <c r="D12" i="174" s="1"/>
  <c r="E12" i="174" s="1"/>
  <c r="M55" i="105"/>
  <c r="M70" i="105" s="1"/>
  <c r="R55" i="107"/>
  <c r="D7" i="173" s="1"/>
  <c r="E7" i="173" s="1"/>
  <c r="O55" i="107"/>
  <c r="O72" i="107" s="1"/>
  <c r="I9" i="192" s="1"/>
  <c r="J67" i="172"/>
  <c r="L30" i="89"/>
  <c r="K30" i="89"/>
  <c r="L16" i="51"/>
  <c r="L20" i="51" s="1"/>
  <c r="L32" i="51" s="1"/>
  <c r="K16" i="51"/>
  <c r="J28" i="166"/>
  <c r="O21" i="127"/>
  <c r="R21" i="127"/>
  <c r="D13" i="173" s="1"/>
  <c r="E13" i="173" s="1"/>
  <c r="K67" i="107"/>
  <c r="K69" i="107" s="1"/>
  <c r="L67" i="107"/>
  <c r="L69" i="107" s="1"/>
  <c r="J69" i="107"/>
  <c r="M55" i="10"/>
  <c r="M70" i="10" s="1"/>
  <c r="L7" i="104"/>
  <c r="K7" i="104"/>
  <c r="L10" i="89"/>
  <c r="K10" i="89"/>
  <c r="T68" i="49"/>
  <c r="C4" i="175" s="1"/>
  <c r="U62" i="49"/>
  <c r="L53" i="107"/>
  <c r="K53" i="107"/>
  <c r="K22" i="169"/>
  <c r="L22" i="169"/>
  <c r="D7" i="192"/>
  <c r="L7" i="192" s="1"/>
  <c r="M7" i="192" s="1"/>
  <c r="C4" i="174"/>
  <c r="D4" i="174" s="1"/>
  <c r="E4" i="174" s="1"/>
  <c r="P35" i="89"/>
  <c r="M52" i="110"/>
  <c r="L18" i="127"/>
  <c r="K18" i="127"/>
  <c r="G14" i="192"/>
  <c r="L49" i="110"/>
  <c r="K49" i="110"/>
  <c r="F16" i="192"/>
  <c r="G16" i="192" s="1"/>
  <c r="K16" i="123"/>
  <c r="L16" i="123"/>
  <c r="K7" i="127"/>
  <c r="L7" i="127"/>
  <c r="J20" i="127"/>
  <c r="R55" i="10"/>
  <c r="O55" i="10"/>
  <c r="O70" i="10" s="1"/>
  <c r="P53" i="104"/>
  <c r="P55" i="104" s="1"/>
  <c r="O53" i="104"/>
  <c r="O55" i="104" s="1"/>
  <c r="O72" i="104" s="1"/>
  <c r="I5" i="192" s="1"/>
  <c r="M53" i="104"/>
  <c r="M54" i="104" s="1"/>
  <c r="M71" i="104" s="1"/>
  <c r="J53" i="104"/>
  <c r="J54" i="104" s="1"/>
  <c r="H20" i="169"/>
  <c r="I20" i="169" s="1"/>
  <c r="J20" i="169" s="1"/>
  <c r="M21" i="89"/>
  <c r="O27" i="92"/>
  <c r="O33" i="92" s="1"/>
  <c r="R33" i="92" s="1"/>
  <c r="M27" i="92"/>
  <c r="M33" i="92" s="1"/>
  <c r="M35" i="92" s="1"/>
  <c r="J27" i="92"/>
  <c r="C10" i="174" l="1"/>
  <c r="D10" i="174" s="1"/>
  <c r="E10" i="174" s="1"/>
  <c r="K20" i="51"/>
  <c r="K32" i="51" s="1"/>
  <c r="D13" i="192"/>
  <c r="L13" i="192" s="1"/>
  <c r="M13" i="192" s="1"/>
  <c r="N18" i="89"/>
  <c r="D11" i="173"/>
  <c r="E11" i="173" s="1"/>
  <c r="E13" i="175"/>
  <c r="N7" i="90"/>
  <c r="N18" i="92"/>
  <c r="L20" i="89"/>
  <c r="E7" i="192" s="1"/>
  <c r="L52" i="108"/>
  <c r="L69" i="108" s="1"/>
  <c r="O35" i="127"/>
  <c r="I15" i="192" s="1"/>
  <c r="M35" i="127"/>
  <c r="N7" i="104"/>
  <c r="M69" i="110"/>
  <c r="M71" i="110" s="1"/>
  <c r="N30" i="92"/>
  <c r="N16" i="123"/>
  <c r="N50" i="10"/>
  <c r="N30" i="127"/>
  <c r="N7" i="108"/>
  <c r="N53" i="107"/>
  <c r="N7" i="110"/>
  <c r="N30" i="89"/>
  <c r="N45" i="108"/>
  <c r="M22" i="169"/>
  <c r="N18" i="127"/>
  <c r="N16" i="51"/>
  <c r="N50" i="105"/>
  <c r="E12" i="175"/>
  <c r="N49" i="110"/>
  <c r="K20" i="89"/>
  <c r="L55" i="10"/>
  <c r="L70" i="10" s="1"/>
  <c r="N7" i="10"/>
  <c r="N55" i="10" s="1"/>
  <c r="N70" i="10" s="1"/>
  <c r="N7" i="92"/>
  <c r="N21" i="92" s="1"/>
  <c r="M21" i="169"/>
  <c r="J71" i="104"/>
  <c r="K20" i="127"/>
  <c r="N10" i="89"/>
  <c r="N67" i="107"/>
  <c r="N70" i="107" s="1"/>
  <c r="L20" i="123"/>
  <c r="L32" i="123" s="1"/>
  <c r="K51" i="110"/>
  <c r="N48" i="110"/>
  <c r="M35" i="89"/>
  <c r="N7" i="89"/>
  <c r="J32" i="127"/>
  <c r="J34" i="127" s="1"/>
  <c r="L27" i="127"/>
  <c r="L32" i="127" s="1"/>
  <c r="K27" i="127"/>
  <c r="K32" i="127" s="1"/>
  <c r="J71" i="107"/>
  <c r="L55" i="105"/>
  <c r="L70" i="105" s="1"/>
  <c r="K20" i="123"/>
  <c r="K32" i="123" s="1"/>
  <c r="D3" i="173"/>
  <c r="E3" i="173" s="1"/>
  <c r="L63" i="110"/>
  <c r="K63" i="110"/>
  <c r="N7" i="107"/>
  <c r="N55" i="107" s="1"/>
  <c r="K54" i="107"/>
  <c r="K71" i="107" s="1"/>
  <c r="K20" i="92"/>
  <c r="J32" i="92"/>
  <c r="J34" i="92" s="1"/>
  <c r="K27" i="92"/>
  <c r="K32" i="92" s="1"/>
  <c r="L27" i="92"/>
  <c r="L32" i="92" s="1"/>
  <c r="L34" i="92" s="1"/>
  <c r="C2" i="174"/>
  <c r="D2" i="174" s="1"/>
  <c r="P72" i="104"/>
  <c r="D5" i="192"/>
  <c r="D13" i="175"/>
  <c r="C24" i="175" s="1"/>
  <c r="V62" i="49"/>
  <c r="V68" i="49" s="1"/>
  <c r="U68" i="49"/>
  <c r="C5" i="175" s="1"/>
  <c r="C6" i="175" s="1"/>
  <c r="L62" i="110"/>
  <c r="K62" i="110"/>
  <c r="J68" i="110"/>
  <c r="O33" i="89"/>
  <c r="O35" i="89" s="1"/>
  <c r="I7" i="192" s="1"/>
  <c r="J70" i="10"/>
  <c r="N67" i="104"/>
  <c r="N70" i="104" s="1"/>
  <c r="K69" i="104"/>
  <c r="J70" i="104" s="1"/>
  <c r="F5" i="192" s="1"/>
  <c r="K20" i="90"/>
  <c r="K32" i="90" s="1"/>
  <c r="L54" i="107"/>
  <c r="L71" i="107" s="1"/>
  <c r="K55" i="105"/>
  <c r="K70" i="105" s="1"/>
  <c r="O71" i="110"/>
  <c r="I13" i="192" s="1"/>
  <c r="L16" i="167"/>
  <c r="K16" i="167"/>
  <c r="K20" i="169"/>
  <c r="J25" i="169" s="1"/>
  <c r="L20" i="169"/>
  <c r="L53" i="104"/>
  <c r="L54" i="104" s="1"/>
  <c r="L71" i="104" s="1"/>
  <c r="K53" i="104"/>
  <c r="N7" i="127"/>
  <c r="L20" i="127"/>
  <c r="J70" i="107"/>
  <c r="F9" i="192"/>
  <c r="N7" i="123"/>
  <c r="O35" i="92"/>
  <c r="I11" i="192" s="1"/>
  <c r="L51" i="110"/>
  <c r="J32" i="89"/>
  <c r="L27" i="89"/>
  <c r="L32" i="89" s="1"/>
  <c r="K27" i="89"/>
  <c r="K32" i="89" s="1"/>
  <c r="K55" i="10"/>
  <c r="K70" i="10" s="1"/>
  <c r="J34" i="89"/>
  <c r="N66" i="110"/>
  <c r="N7" i="51"/>
  <c r="N20" i="51" s="1"/>
  <c r="N32" i="51" s="1"/>
  <c r="N16" i="90"/>
  <c r="N20" i="90" s="1"/>
  <c r="N32" i="90" s="1"/>
  <c r="L20" i="90"/>
  <c r="L32" i="90" s="1"/>
  <c r="N7" i="105"/>
  <c r="N55" i="105" s="1"/>
  <c r="N70" i="105" s="1"/>
  <c r="J21" i="92"/>
  <c r="J25" i="167"/>
  <c r="K6" i="167"/>
  <c r="L6" i="167"/>
  <c r="C7" i="175" l="1"/>
  <c r="K25" i="167"/>
  <c r="L34" i="89"/>
  <c r="N20" i="123"/>
  <c r="N32" i="123" s="1"/>
  <c r="N21" i="127"/>
  <c r="J21" i="89"/>
  <c r="D17" i="192"/>
  <c r="L17" i="192" s="1"/>
  <c r="M17" i="192" s="1"/>
  <c r="L5" i="192"/>
  <c r="M5" i="192" s="1"/>
  <c r="L25" i="167"/>
  <c r="E13" i="192"/>
  <c r="N52" i="108"/>
  <c r="N69" i="108" s="1"/>
  <c r="N27" i="89"/>
  <c r="N33" i="89" s="1"/>
  <c r="F7" i="192"/>
  <c r="G7" i="192" s="1"/>
  <c r="J21" i="127"/>
  <c r="N52" i="110"/>
  <c r="N21" i="89"/>
  <c r="N63" i="110"/>
  <c r="L26" i="167"/>
  <c r="N53" i="104"/>
  <c r="N55" i="104" s="1"/>
  <c r="N72" i="104" s="1"/>
  <c r="H5" i="192" s="1"/>
  <c r="M16" i="167"/>
  <c r="R33" i="89"/>
  <c r="L68" i="110"/>
  <c r="L70" i="110" s="1"/>
  <c r="N72" i="107"/>
  <c r="H9" i="192" s="1"/>
  <c r="J9" i="192" s="1"/>
  <c r="I18" i="192"/>
  <c r="I17" i="192"/>
  <c r="I21" i="192" s="1"/>
  <c r="B21" i="175"/>
  <c r="J55" i="107"/>
  <c r="K54" i="104"/>
  <c r="E2" i="174"/>
  <c r="D14" i="174"/>
  <c r="F11" i="192"/>
  <c r="J33" i="92"/>
  <c r="D16" i="173"/>
  <c r="D15" i="173"/>
  <c r="E15" i="173" s="1"/>
  <c r="K34" i="89"/>
  <c r="J35" i="89" s="1"/>
  <c r="E9" i="192"/>
  <c r="G9" i="192" s="1"/>
  <c r="F15" i="192"/>
  <c r="J33" i="127"/>
  <c r="J52" i="110"/>
  <c r="K34" i="127"/>
  <c r="M6" i="167"/>
  <c r="E15" i="192"/>
  <c r="L34" i="127"/>
  <c r="B12" i="175"/>
  <c r="J70" i="110"/>
  <c r="E24" i="175"/>
  <c r="D24" i="175"/>
  <c r="N27" i="92"/>
  <c r="N33" i="92" s="1"/>
  <c r="N35" i="92" s="1"/>
  <c r="H11" i="192" s="1"/>
  <c r="J11" i="192" s="1"/>
  <c r="E11" i="192"/>
  <c r="K34" i="92"/>
  <c r="J35" i="92" s="1"/>
  <c r="J72" i="107"/>
  <c r="N27" i="127"/>
  <c r="N33" i="127" s="1"/>
  <c r="N35" i="127" s="1"/>
  <c r="H15" i="192" s="1"/>
  <c r="J15" i="192" s="1"/>
  <c r="J33" i="89"/>
  <c r="M20" i="169"/>
  <c r="M25" i="169" s="1"/>
  <c r="N62" i="110"/>
  <c r="N69" i="110" s="1"/>
  <c r="K68" i="110"/>
  <c r="K70" i="110" s="1"/>
  <c r="N35" i="89" l="1"/>
  <c r="H7" i="192" s="1"/>
  <c r="J7" i="192" s="1"/>
  <c r="N71" i="110"/>
  <c r="H13" i="192" s="1"/>
  <c r="J13" i="192" s="1"/>
  <c r="D21" i="192"/>
  <c r="D20" i="192"/>
  <c r="J71" i="110"/>
  <c r="M25" i="167"/>
  <c r="G15" i="192"/>
  <c r="K71" i="104"/>
  <c r="J72" i="104" s="1"/>
  <c r="J55" i="104"/>
  <c r="E5" i="192" s="1"/>
  <c r="B13" i="175"/>
  <c r="C21" i="175"/>
  <c r="J69" i="110"/>
  <c r="B30" i="175"/>
  <c r="C30" i="175" s="1"/>
  <c r="G11" i="192"/>
  <c r="I20" i="192"/>
  <c r="F13" i="192"/>
  <c r="G13" i="192" s="1"/>
  <c r="J35" i="127"/>
  <c r="B31" i="175"/>
  <c r="C31" i="175" s="1"/>
  <c r="F13" i="175"/>
  <c r="C19" i="175" s="1"/>
  <c r="E16" i="173"/>
  <c r="J5" i="192"/>
  <c r="B22" i="175" l="1"/>
  <c r="B23" i="175" s="1"/>
  <c r="F17" i="192"/>
  <c r="F20" i="192" s="1"/>
  <c r="H18" i="192"/>
  <c r="H17" i="192"/>
  <c r="H21" i="192" s="1"/>
  <c r="G5" i="192"/>
  <c r="E17" i="192"/>
  <c r="J18" i="192"/>
  <c r="J17" i="192"/>
  <c r="D19" i="175"/>
  <c r="E19" i="175"/>
  <c r="E21" i="175"/>
  <c r="D21" i="175"/>
  <c r="C18" i="175"/>
  <c r="B20" i="175"/>
  <c r="C20" i="175" s="1"/>
  <c r="E15" i="175"/>
  <c r="C22" i="175" l="1"/>
  <c r="D22" i="175" s="1"/>
  <c r="E14" i="175"/>
  <c r="F21" i="192"/>
  <c r="H20" i="192"/>
  <c r="J20" i="192"/>
  <c r="J21" i="192"/>
  <c r="D20" i="175"/>
  <c r="E20" i="175"/>
  <c r="D18" i="175"/>
  <c r="E18" i="175"/>
  <c r="E21" i="192"/>
  <c r="E20" i="192"/>
  <c r="G17" i="192"/>
  <c r="G18" i="192"/>
  <c r="L18" i="192" s="1"/>
  <c r="C23" i="175" l="1"/>
  <c r="D23" i="175" s="1"/>
  <c r="E22" i="175"/>
  <c r="G20" i="192"/>
  <c r="G21" i="192"/>
  <c r="E23" i="175" l="1"/>
</calcChain>
</file>

<file path=xl/comments1.xml><?xml version="1.0" encoding="utf-8"?>
<comments xmlns="http://schemas.openxmlformats.org/spreadsheetml/2006/main">
  <authors>
    <author>Tracy Curtis</author>
  </authors>
  <commentList>
    <comment ref="B11" authorId="0" shapeId="0">
      <text>
        <r>
          <rPr>
            <b/>
            <sz val="9"/>
            <color indexed="81"/>
            <rFont val="Tahoma"/>
            <family val="2"/>
          </rPr>
          <t>Tracy Curtis:</t>
        </r>
        <r>
          <rPr>
            <sz val="9"/>
            <color indexed="81"/>
            <rFont val="Tahoma"/>
            <family val="2"/>
          </rPr>
          <t xml:space="preserve">
Burden hours have increased on an annual basis because 1) number sources have increased to 2012 from 1701 over 3 year period, and 2) all existing sources should be in compliance following 2016 compliance date. Previous workbook had given existing sources three years to come into compliance and phased in # respondents/year accordingly.</t>
        </r>
      </text>
    </comment>
    <comment ref="C11" authorId="0" shapeId="0">
      <text>
        <r>
          <rPr>
            <b/>
            <sz val="9"/>
            <color indexed="81"/>
            <rFont val="Tahoma"/>
            <family val="2"/>
          </rPr>
          <t>Tracy Curtis:</t>
        </r>
        <r>
          <rPr>
            <sz val="9"/>
            <color indexed="81"/>
            <rFont val="Tahoma"/>
            <family val="2"/>
          </rPr>
          <t xml:space="preserve">
Number of respondents based on average of 1,934 existing reporters and 78 new reporters per year.
</t>
        </r>
      </text>
    </comment>
    <comment ref="A25" authorId="0" shapeId="0">
      <text>
        <r>
          <rPr>
            <b/>
            <sz val="9"/>
            <color indexed="81"/>
            <rFont val="Tahoma"/>
            <family val="2"/>
          </rPr>
          <t>Tracy Curtis:</t>
        </r>
        <r>
          <rPr>
            <sz val="9"/>
            <color indexed="81"/>
            <rFont val="Tahoma"/>
            <family val="2"/>
          </rPr>
          <t xml:space="preserve">
Previous small entity assumption is based on 151 of 1701 facilities being small entities (or 9%). Adjusted to 9% of 2012 facilities or 181.</t>
        </r>
      </text>
    </comment>
  </commentList>
</comments>
</file>

<file path=xl/comments2.xml><?xml version="1.0" encoding="utf-8"?>
<comments xmlns="http://schemas.openxmlformats.org/spreadsheetml/2006/main">
  <authors>
    <author>Tracy Curtis</author>
    <author>ERG/Tracy Curtis</author>
    <author>GGibson</author>
  </authors>
  <commentList>
    <comment ref="V26" authorId="0" shapeId="0">
      <text>
        <r>
          <rPr>
            <b/>
            <sz val="9"/>
            <color indexed="81"/>
            <rFont val="Tahoma"/>
            <family val="2"/>
          </rPr>
          <t>Tracy Curtis:</t>
        </r>
        <r>
          <rPr>
            <sz val="9"/>
            <color indexed="81"/>
            <rFont val="Tahoma"/>
            <family val="2"/>
          </rPr>
          <t xml:space="preserve">
Provided by EPA</t>
        </r>
      </text>
    </comment>
    <comment ref="W26" authorId="0" shapeId="0">
      <text>
        <r>
          <rPr>
            <b/>
            <sz val="9"/>
            <color indexed="81"/>
            <rFont val="Tahoma"/>
            <family val="2"/>
          </rPr>
          <t>Tracy Curtis:</t>
        </r>
        <r>
          <rPr>
            <sz val="9"/>
            <color indexed="81"/>
            <rFont val="Tahoma"/>
            <family val="2"/>
          </rPr>
          <t xml:space="preserve">
Conversion based on data provided by EPA</t>
        </r>
      </text>
    </comment>
    <comment ref="D46" authorId="1" shapeId="0">
      <text>
        <r>
          <rPr>
            <b/>
            <sz val="9"/>
            <color indexed="81"/>
            <rFont val="Tahoma"/>
            <family val="2"/>
          </rPr>
          <t>ERG/Tracy Curtis:</t>
        </r>
        <r>
          <rPr>
            <sz val="9"/>
            <color indexed="81"/>
            <rFont val="Tahoma"/>
            <family val="2"/>
          </rPr>
          <t xml:space="preserve">
Updated to reflect new units from 3-year growth.
</t>
        </r>
      </text>
    </comment>
    <comment ref="H46" authorId="1" shapeId="0">
      <text>
        <r>
          <rPr>
            <b/>
            <sz val="9"/>
            <color indexed="81"/>
            <rFont val="Tahoma"/>
            <family val="2"/>
          </rPr>
          <t>ERG/Tracy Curtis:</t>
        </r>
        <r>
          <rPr>
            <sz val="9"/>
            <color indexed="81"/>
            <rFont val="Tahoma"/>
            <family val="2"/>
          </rPr>
          <t xml:space="preserve">
Updated to reflect 1,856 existing facilities/respondent count based on 3-year growth (assuming existing facilities grow by 78 facilities per year) </t>
        </r>
      </text>
    </comment>
    <comment ref="C49" authorId="0" shapeId="0">
      <text>
        <r>
          <rPr>
            <b/>
            <sz val="9"/>
            <color indexed="81"/>
            <rFont val="Tahoma"/>
            <family val="2"/>
          </rPr>
          <t>Tracy Curtis:</t>
        </r>
        <r>
          <rPr>
            <sz val="9"/>
            <color indexed="81"/>
            <rFont val="Tahoma"/>
            <family val="2"/>
          </rPr>
          <t xml:space="preserve">
Assume this remains the same.</t>
        </r>
      </text>
    </comment>
    <comment ref="F49" authorId="0" shapeId="0">
      <text>
        <r>
          <rPr>
            <b/>
            <sz val="9"/>
            <color indexed="81"/>
            <rFont val="Tahoma"/>
            <family val="2"/>
          </rPr>
          <t>Tracy Curtis:</t>
        </r>
        <r>
          <rPr>
            <sz val="9"/>
            <color indexed="81"/>
            <rFont val="Tahoma"/>
            <family val="2"/>
          </rPr>
          <t xml:space="preserve">
Changed to be the sum of all solid fuel units &gt;=10 mmbtu, which is a slight decrease since previously.</t>
        </r>
      </text>
    </comment>
    <comment ref="B58" authorId="2" shapeId="0">
      <text>
        <r>
          <rPr>
            <b/>
            <sz val="8"/>
            <color indexed="81"/>
            <rFont val="Tahoma"/>
            <family val="2"/>
          </rPr>
          <t>GGibson:</t>
        </r>
        <r>
          <rPr>
            <sz val="8"/>
            <color indexed="81"/>
            <rFont val="Tahoma"/>
            <family val="2"/>
          </rPr>
          <t xml:space="preserve">
Projection of new units did not change from reconsideration proposal to reconsideration final, so these counts will also not change.</t>
        </r>
      </text>
    </comment>
    <comment ref="H82" authorId="1" shapeId="0">
      <text>
        <r>
          <rPr>
            <b/>
            <sz val="9"/>
            <color indexed="81"/>
            <rFont val="Tahoma"/>
            <family val="2"/>
          </rPr>
          <t>ERG/Tracy Curtis:</t>
        </r>
        <r>
          <rPr>
            <sz val="9"/>
            <color indexed="81"/>
            <rFont val="Tahoma"/>
            <family val="2"/>
          </rPr>
          <t xml:space="preserve">
Maintain assumption of an average of 8 boilers/facility
</t>
        </r>
      </text>
    </comment>
  </commentList>
</comments>
</file>

<file path=xl/sharedStrings.xml><?xml version="1.0" encoding="utf-8"?>
<sst xmlns="http://schemas.openxmlformats.org/spreadsheetml/2006/main" count="3830" uniqueCount="790">
  <si>
    <t>g Existing large solid units are expected to determine compliance through stack testing and not fuel analysis</t>
  </si>
  <si>
    <t>(B) Certified Energy Audit Cost per Occurrence</t>
  </si>
  <si>
    <t>(D) Other Non-Labor Costs Per Occurrence</t>
  </si>
  <si>
    <t>(C) Stack Testing and Fuel Analysis Cost Per Occurrence</t>
  </si>
  <si>
    <t>Reporting Subtotal</t>
  </si>
  <si>
    <t>(K)  Total Labor Costs Per Year</t>
  </si>
  <si>
    <t>(L) Total Non-Labor Capital Costs Per Year [(B+C+D)xExG]</t>
  </si>
  <si>
    <t xml:space="preserve">           2. Biennial Tune-Up</t>
  </si>
  <si>
    <t>3) Biennial Compliance Report</t>
  </si>
  <si>
    <t>c, f</t>
  </si>
  <si>
    <t>c, g</t>
  </si>
  <si>
    <t>Review annual compliance report</t>
  </si>
  <si>
    <t>Review biennial compliance report</t>
  </si>
  <si>
    <t>j</t>
  </si>
  <si>
    <t>L</t>
  </si>
  <si>
    <t>m</t>
  </si>
  <si>
    <t>m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</si>
  <si>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L Energy audits only occur at existing facilities.</t>
  </si>
  <si>
    <t>k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</si>
  <si>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(H) Costs, $ k</t>
  </si>
  <si>
    <t>No new process gas units</t>
  </si>
  <si>
    <r>
      <t xml:space="preserve">(H) Costs, $ </t>
    </r>
    <r>
      <rPr>
        <vertAlign val="superscript"/>
        <sz val="10"/>
        <rFont val="Arial"/>
        <family val="2"/>
      </rPr>
      <t>k</t>
    </r>
  </si>
  <si>
    <t>REPORTING</t>
  </si>
  <si>
    <t>Recordkeeping Subtotal</t>
  </si>
  <si>
    <t>Existing Boilers -- number of boilers with monitor</t>
  </si>
  <si>
    <t>New Boilers -- number of boilers with monitor</t>
  </si>
  <si>
    <t>Total HOURS</t>
  </si>
  <si>
    <t>3- year period</t>
  </si>
  <si>
    <t>Average per year</t>
  </si>
  <si>
    <t>Total LABOR COSTS</t>
  </si>
  <si>
    <t>TOTAL COSTS (non-labor)</t>
  </si>
  <si>
    <t>TOTAL LABOR AND NON-Labor COSTS</t>
  </si>
  <si>
    <t>Agency Labor Rates</t>
  </si>
  <si>
    <t>Per Diem Info</t>
  </si>
  <si>
    <t>Hotel</t>
  </si>
  <si>
    <t>Meals</t>
  </si>
  <si>
    <t>Airfare</t>
  </si>
  <si>
    <t>Trip Length</t>
  </si>
  <si>
    <t>Other Data</t>
  </si>
  <si>
    <t>Percent of Stack Tests Observed</t>
  </si>
  <si>
    <t>Estimated Percent Retesting</t>
  </si>
  <si>
    <t>Estimated Percent Emission Exceedences</t>
  </si>
  <si>
    <t>Table 13.A.  Annual Federal Government Burden and Cost of Recordkeeping and Reporting</t>
  </si>
  <si>
    <t>EPA hours per occurrence (A)</t>
  </si>
  <si>
    <t>Number of occurrences per year (B)</t>
  </si>
  <si>
    <t>EPA hours per occurrence per year (C=AxB)</t>
  </si>
  <si>
    <t>Technical hours per year (D=C)</t>
  </si>
  <si>
    <t>Mangmt hours per year (E=Dx0.05)</t>
  </si>
  <si>
    <t>Clerical hours per year (F=Dx0.1)</t>
  </si>
  <si>
    <t>1.</t>
  </si>
  <si>
    <t>Read and understand rule requirements</t>
  </si>
  <si>
    <t>2.</t>
  </si>
  <si>
    <t>Enter and update information into agency recordkeeping system</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</si>
  <si>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</si>
  <si>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</si>
  <si>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</si>
  <si>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</si>
  <si>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</si>
  <si>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</si>
  <si>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</si>
  <si>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</si>
  <si>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</si>
  <si>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</si>
  <si>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</si>
  <si>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</si>
  <si>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g</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</si>
  <si>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</si>
  <si>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</si>
  <si>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</si>
  <si>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</si>
  <si>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</si>
  <si>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</si>
  <si>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</si>
  <si>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semiannual compliance report</t>
  </si>
  <si>
    <t>h</t>
  </si>
  <si>
    <t xml:space="preserve">B. </t>
  </si>
  <si>
    <t>Review initial report on results of energy audit</t>
  </si>
  <si>
    <t>7.</t>
  </si>
  <si>
    <t>Travel Expenses for Tests Attended</t>
  </si>
  <si>
    <t>3 days * ($110 hotel + $58 meals/incidentals) + ($600 round trip) = $1104 per trip</t>
  </si>
  <si>
    <t>i</t>
  </si>
  <si>
    <t>TOTAL BURDEN AND COST (SALARY)</t>
  </si>
  <si>
    <t>TOTAL ANNUAL HOURS</t>
  </si>
  <si>
    <t>a Number of occurences is the number of states where affected sources will exist and each EPA Region (50 states + 10 EPA regions = 60 respondents).</t>
  </si>
  <si>
    <t>c,g</t>
  </si>
  <si>
    <t>c,h</t>
  </si>
  <si>
    <t>c,f</t>
  </si>
  <si>
    <t>(C) Annual Tune-Up Cost per Occurrence</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</si>
  <si>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
  </si>
  <si>
    <t>(L) Total Non-Labor Capital Costs Per Year ((B+C+D)xExG)</t>
  </si>
  <si>
    <t>PM</t>
  </si>
  <si>
    <t>Hg</t>
  </si>
  <si>
    <t>HCl</t>
  </si>
  <si>
    <t>D/F</t>
  </si>
  <si>
    <t>Large Liquid</t>
  </si>
  <si>
    <t>5_AffectedSector</t>
  </si>
  <si>
    <t>Not-for-Profit</t>
  </si>
  <si>
    <t>Private Enterprise</t>
  </si>
  <si>
    <t>Public Sector</t>
  </si>
  <si>
    <t>8_Small Entity</t>
  </si>
  <si>
    <t>False</t>
  </si>
  <si>
    <t>True</t>
  </si>
  <si>
    <t>Unknown</t>
  </si>
  <si>
    <t>% of Total</t>
  </si>
  <si>
    <t>Private Sector</t>
  </si>
  <si>
    <t>% Small Entity</t>
  </si>
  <si>
    <t>Table 12.A.  Annual Respondent Burden and Cost of Recordkeeping and Reporting Requirements for the National Emission Standards</t>
  </si>
  <si>
    <t>b Assumes facility must already maintain records on boiler insurance and/or maintenance schedule.  No new record system would be required.</t>
  </si>
  <si>
    <t>b</t>
  </si>
  <si>
    <t xml:space="preserve">           2.  Initial Stack Test and Report (for Hg)</t>
  </si>
  <si>
    <t xml:space="preserve">           3.  Initial Stack Test and Report (for HCl)</t>
  </si>
  <si>
    <t xml:space="preserve">           4.  Initial Stack Test and Report (for CO)</t>
  </si>
  <si>
    <t>Criteria for Monitor Counts:</t>
  </si>
  <si>
    <t>1) Solid or Liquid fuel</t>
  </si>
  <si>
    <t>2) Design Capacity &gt;10</t>
  </si>
  <si>
    <t>3a) Bag Leak Detection -TCI &gt;0, HCL Control Selected not "DIFF", FF-TCI &gt;0; or</t>
  </si>
  <si>
    <t>3) Opacity -TCI &gt;0</t>
  </si>
  <si>
    <t>4) HCL Control Selected not "Scrubber"</t>
  </si>
  <si>
    <t>3) HCL Control Selected = "Scrubber"</t>
  </si>
  <si>
    <t>4) WS Monitoring -TCI &gt;0</t>
  </si>
  <si>
    <t>3) FF-TCI = "ACI"</t>
  </si>
  <si>
    <t>4) ACI Carbon Rate (TCI) &gt;0</t>
  </si>
  <si>
    <t xml:space="preserve">           6.  Annual Stack Test and Report (for PM)</t>
  </si>
  <si>
    <t xml:space="preserve">           7.  Annual Stack Test and Report (for Hg)</t>
  </si>
  <si>
    <t xml:space="preserve">           8.  Annual Stack Test and Report (for HCl)</t>
  </si>
  <si>
    <t xml:space="preserve">           9.  Annual Stack Test and Report (for CO)</t>
  </si>
  <si>
    <t>If greater than 100</t>
  </si>
  <si>
    <t>same</t>
  </si>
  <si>
    <t>Test Type</t>
  </si>
  <si>
    <t>Cost</t>
  </si>
  <si>
    <t>Large Solid</t>
  </si>
  <si>
    <t>assume fuel analysis for Hg</t>
  </si>
  <si>
    <t>Annualized Energy Audit Cost at 7%</t>
  </si>
  <si>
    <t>Commercial</t>
  </si>
  <si>
    <t>Industrial</t>
  </si>
  <si>
    <t>Number of Facilities</t>
  </si>
  <si>
    <t>% of Total Facilities</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</si>
  <si>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87.4% of facilities are in the  industrial sector while the remaining 12.6% of facilities are in the commercial sector.</t>
  </si>
  <si>
    <t>Opacity vs. Bag Leak Detection vs. Wet Scrubber vs. ACI</t>
  </si>
  <si>
    <t>BLD</t>
  </si>
  <si>
    <t>Opacity</t>
  </si>
  <si>
    <t>Wet Scrubber</t>
  </si>
  <si>
    <t>Small Solid</t>
  </si>
  <si>
    <t>Small Liquid</t>
  </si>
  <si>
    <t>Small Gas</t>
  </si>
  <si>
    <t xml:space="preserve">                  Scrubber System Monitoring and Operation
                  (for units with wet scrubbers)</t>
  </si>
  <si>
    <t xml:space="preserve">                  Carbon Injection Monitoring System 
                  (all sources that use ACI to control Hg)</t>
  </si>
  <si>
    <t>(M) Total Number of Responses per Year (E X G)</t>
  </si>
  <si>
    <t>(E) Number of Occurrences Per Respondent Per Year</t>
  </si>
  <si>
    <t xml:space="preserve">                  Scrubber System Monitoring and Operation 
                  (for units with wet scrubbers)</t>
  </si>
  <si>
    <t>Table 2.A.  Annual Respondent Burden and Cost of Recordkeeping and Reporting Requirements for the National Emission Standards</t>
  </si>
  <si>
    <t>c,k</t>
  </si>
  <si>
    <t>Table 3.A.  Annual Respondent Burden and Cost of Recordkeeping and Reporting Requirements for the National Emission Standards</t>
  </si>
  <si>
    <t>Energy Audit - Existing Facilities</t>
  </si>
  <si>
    <t>Table 4.A.  Annual Respondent Burden and Cost of Recordkeeping and Reporting Requirements for the National Emission Standards</t>
  </si>
  <si>
    <t>Table 5.A.  Annual Respondent Burden and Cost of Recordkeeping and Reporting Requirements for the National Emission Standards</t>
  </si>
  <si>
    <t>CO</t>
  </si>
  <si>
    <t>no test cost, assume CO monitor</t>
  </si>
  <si>
    <t xml:space="preserve">           5.  Initial Stack Test and Report (for CO)</t>
  </si>
  <si>
    <t>Tune-ups required for all units &lt;10 and all gas 1 units, regardless of size</t>
  </si>
  <si>
    <t>Unit Subcategory </t>
  </si>
  <si>
    <t>Number of Respondents (Facilities)</t>
  </si>
  <si>
    <t>Small units designed to burn Gaseous Fuels (all gases)</t>
  </si>
  <si>
    <t>RECORDKEEPING</t>
  </si>
  <si>
    <t>INDUSTRY</t>
  </si>
  <si>
    <t>(A)</t>
  </si>
  <si>
    <t>Number of New Respondents (Average for Years 1,2, and 3)</t>
  </si>
  <si>
    <t>(B)</t>
  </si>
  <si>
    <t>Number of Reports for New Respondents*</t>
  </si>
  <si>
    <t>(C)</t>
  </si>
  <si>
    <t>Number of Existing Respondents</t>
  </si>
  <si>
    <t>(D)*</t>
  </si>
  <si>
    <t>Number of Reports for Existing Respondents</t>
  </si>
  <si>
    <t>(F)</t>
  </si>
  <si>
    <t>Number of Existing Respondents That Keep Records but Do Not Submit Reports</t>
  </si>
  <si>
    <t>(E)</t>
  </si>
  <si>
    <t>Total Annual Responses</t>
  </si>
  <si>
    <t>Large units designed to burn Coal</t>
  </si>
  <si>
    <t>Large units designed to burn Biomass</t>
  </si>
  <si>
    <t>Large units designed to burn Liquid</t>
  </si>
  <si>
    <t>Small units designed to burn Coal</t>
  </si>
  <si>
    <t>Small units designed to burn Biomass</t>
  </si>
  <si>
    <t>Small units designed to burn Liquid</t>
  </si>
  <si>
    <t>Large units designed to burn Natural Gas</t>
  </si>
  <si>
    <t>Large units designed to burn Refinery Gas</t>
  </si>
  <si>
    <t>Large units designed to burn Other Process Gases</t>
  </si>
  <si>
    <t>Table 7.A.  Annual Respondent Burden and Cost of Recordkeeping and Reporting Requirements for the National Emission Standards</t>
  </si>
  <si>
    <t>Table 8.A.  Annual Respondent Burden and Cost of Recordkeeping and Reporting Requirements for the National Emission Standards</t>
  </si>
  <si>
    <t>g Existing large gas 2 units are expected to determine compliance through stack testing not fuel analysis</t>
  </si>
  <si>
    <t xml:space="preserve">  </t>
  </si>
  <si>
    <t>5) Semi-annual Compliance Report</t>
  </si>
  <si>
    <t>4) Annual Compliance Report</t>
  </si>
  <si>
    <t xml:space="preserve">           5) Records of All Annual Compliance Reports Submitted</t>
  </si>
  <si>
    <t>k The recordkeeping and reporting requirements for natural gas fired units is to conduct an annual tune-up and document that the tune-up was completed. The documentation does not need to be submitted as a report unless requested by the Administrator.</t>
  </si>
  <si>
    <t>g Existing large gas 2 units are expected to determine compliance through stack testing.</t>
  </si>
  <si>
    <t>L Only facilities with process gas (gas 2 units) subject to numerical emission limits are expected to be required to submit semi-annual compliance reports. Natural gas and refinery gas units are required to submit reports annually.</t>
  </si>
  <si>
    <t xml:space="preserve">           7) Records of Monthly Fuel Use</t>
  </si>
  <si>
    <t xml:space="preserve">          7) Records of Monthly Fuel Use</t>
  </si>
  <si>
    <t>3)  Biennial Compliance Report</t>
  </si>
  <si>
    <t xml:space="preserve">           2. Biennual Tune-Up</t>
  </si>
  <si>
    <t>3) Biennial Tune-Up Records</t>
  </si>
  <si>
    <t>Table 9.A.  Annual Respondent Burden and Cost of Recordkeeping and Reporting Requirements for the National Emission Standards</t>
  </si>
  <si>
    <t>c, L</t>
  </si>
  <si>
    <t>c,j,k</t>
  </si>
  <si>
    <t>a,g</t>
  </si>
  <si>
    <t xml:space="preserve">           12.  Initial Fuel Analysis for Mercury and HCL Content</t>
  </si>
  <si>
    <t xml:space="preserve">           13.  Monthly Fuel Analysis for Mercury and HCL Content</t>
  </si>
  <si>
    <t xml:space="preserve">           14.  Continuous Parameter Monitoring</t>
  </si>
  <si>
    <t>d Assumes facility must already maintain records on boiler insurance and/or maintenance schedule as part of their operations.  No new record system would be required.</t>
  </si>
  <si>
    <t>d</t>
  </si>
  <si>
    <t>f</t>
  </si>
  <si>
    <t xml:space="preserve">                        a) Commerical</t>
  </si>
  <si>
    <t xml:space="preserve">                        b) Industrial</t>
  </si>
  <si>
    <t xml:space="preserve">           15. Annual Tune-up</t>
  </si>
  <si>
    <t>Large Gas (Gas 1 - NG only)</t>
  </si>
  <si>
    <t>Large Gas (Gas 1 - Other)</t>
  </si>
  <si>
    <t>Large Gas (Gas 2)</t>
  </si>
  <si>
    <t>Annualized Capital/Start-up and O&amp;M</t>
  </si>
  <si>
    <t>Number of Responses</t>
  </si>
  <si>
    <t>Annual Burden Hours</t>
  </si>
  <si>
    <t>Cost per Response</t>
  </si>
  <si>
    <t>Burden Hours per Response</t>
  </si>
  <si>
    <t>Table 6.A.  Annual Respondent Burden and Cost of Recordkeeping and Reporting Requirements for the National Emission Standards</t>
  </si>
  <si>
    <t>Table 11.A.  Annual Respondent Burden and Cost of Recordkeeping and Reporting Requirements for the National Emission Standards</t>
  </si>
  <si>
    <t>Table 10.A.  Annual Respondent Burden and Cost of Recordkeeping and Reporting Requirements for the National Emission Standards</t>
  </si>
  <si>
    <t>Annualized Capital/start-up O&amp;M</t>
  </si>
  <si>
    <t>Total Capital (Monitor Purchase)</t>
  </si>
  <si>
    <t>Existing Large Solid Units</t>
  </si>
  <si>
    <t>New Large Solid Units</t>
  </si>
  <si>
    <t>Existing Small Solid Units</t>
  </si>
  <si>
    <t>New Small Solid Units</t>
  </si>
  <si>
    <t>Existing Large Liquid Units</t>
  </si>
  <si>
    <t>New Large Liquid Units</t>
  </si>
  <si>
    <t>Existing Small Liquid Units</t>
  </si>
  <si>
    <t>New Small Liquid Units</t>
  </si>
  <si>
    <t>Existing Large Gaseous Units</t>
  </si>
  <si>
    <t>New Large Gaseous Units</t>
  </si>
  <si>
    <t>Existing Small Gaseous Units</t>
  </si>
  <si>
    <t>New Small Gaseous Units</t>
  </si>
  <si>
    <t>Sum of Unit Count</t>
  </si>
  <si>
    <t>Mact Floor Fuel Category</t>
  </si>
  <si>
    <t>&lt;10</t>
  </si>
  <si>
    <t>&gt;=10 to 100</t>
  </si>
  <si>
    <t>100 to 250</t>
  </si>
  <si>
    <t>&gt;250</t>
  </si>
  <si>
    <t>Notes:</t>
  </si>
  <si>
    <t>Gas 1 (NG Only)</t>
  </si>
  <si>
    <t>PM CEMS required for all units &gt;250 that are firing liquid or solid fuels</t>
  </si>
  <si>
    <t>Gas 1 (Other Gases)</t>
  </si>
  <si>
    <t>Gas 2</t>
  </si>
  <si>
    <t>ACI</t>
  </si>
  <si>
    <t>Sum of 2013- Estimated number of new boilers</t>
  </si>
  <si>
    <t>Standard Fuel Category</t>
  </si>
  <si>
    <t>SizeCategory</t>
  </si>
  <si>
    <t>&gt;100 to 250</t>
  </si>
  <si>
    <t>Gas 1</t>
  </si>
  <si>
    <t xml:space="preserve">                 PM (only sources greater than 250 mmBtu/hr)</t>
  </si>
  <si>
    <t xml:space="preserve">           2.  Initial Stack Test and Report (for PM)</t>
  </si>
  <si>
    <t xml:space="preserve">           3.  Initial Stack Test and Report (for Hg)</t>
  </si>
  <si>
    <t xml:space="preserve">           4.  Initial Stack Test and Report (for HCl)</t>
  </si>
  <si>
    <t>AGENCY</t>
  </si>
  <si>
    <t>Hours</t>
  </si>
  <si>
    <t>Costs (labor + travel)</t>
  </si>
  <si>
    <t>f Number of occurences begins in year 3 for existing units and in year 1 for new units and is based on the number of units maintaining records of control device parameters.</t>
  </si>
  <si>
    <t>ICRAS SUMMARY</t>
  </si>
  <si>
    <t>c,i</t>
  </si>
  <si>
    <t>Sum of Facility Count</t>
  </si>
  <si>
    <t>Sum of 2013- Estimated number of Facilities</t>
  </si>
  <si>
    <t>j No annual test and reporting burden is shown in year 1 as this is the same year as the initial test and report.</t>
  </si>
  <si>
    <t>c,j</t>
  </si>
  <si>
    <t>c Since existing units have three years after the publication date of the final rule to submit initial notification of compliance status, conduct compliance activities, or meet recordkeeping or reporting requirements, no burden is assumed in year 1.</t>
  </si>
  <si>
    <t>1)  Records of All Notifications and Compliance Reports Submitted</t>
  </si>
  <si>
    <t>2)  Records of Startup, Shutdown, Malfunction</t>
  </si>
  <si>
    <t>2) Notification of Compliance Status</t>
  </si>
  <si>
    <t>3) Initial Report on results of Energy Audit</t>
  </si>
  <si>
    <t>b A one-time requirement.</t>
  </si>
  <si>
    <t>a</t>
  </si>
  <si>
    <t>c</t>
  </si>
  <si>
    <t>e</t>
  </si>
  <si>
    <t>(J) Emission Testing Contractor Hours per Year @ $80 (BxDxF)</t>
  </si>
  <si>
    <t>Burden Item</t>
  </si>
  <si>
    <t>(A) Respondent Hours per Occurrence (Technical hours)</t>
  </si>
  <si>
    <t>Footnotes</t>
  </si>
  <si>
    <t>Totals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</si>
  <si>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</si>
  <si>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</si>
  <si>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</si>
  <si>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</si>
  <si>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</si>
  <si>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</si>
  <si>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</si>
  <si>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Small Entity Respondents per year</t>
  </si>
  <si>
    <t>Total Respondents per year</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</si>
  <si>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</si>
  <si>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</si>
  <si>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</si>
  <si>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</si>
  <si>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</si>
  <si>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</si>
  <si>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</si>
  <si>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</si>
  <si>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</si>
  <si>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</si>
  <si>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2)  Records of Startup, Shutdown, Malfunction</t>
  </si>
  <si>
    <t xml:space="preserve">           3)  Records of Stack Tests</t>
  </si>
  <si>
    <t xml:space="preserve">     E.  Personnel Training</t>
  </si>
  <si>
    <t xml:space="preserve">     F.  Time for Audits</t>
  </si>
  <si>
    <t xml:space="preserve">           1)  Records of Operating Parameter Values</t>
  </si>
  <si>
    <t>(B)           Emission Test Contractor Hours Per Occurrence</t>
  </si>
  <si>
    <t>4.  Recordkeeping Requirements</t>
  </si>
  <si>
    <t xml:space="preserve">                 Establish Site-specific monitoring plan (all)</t>
  </si>
  <si>
    <t>na</t>
  </si>
  <si>
    <t>1) Initial Notification that Source is Subject</t>
  </si>
  <si>
    <t xml:space="preserve">           4)  Records of Monitoring Device Calibrations</t>
  </si>
  <si>
    <t xml:space="preserve">           5) Records of All Compliance Reports Submitted</t>
  </si>
  <si>
    <t xml:space="preserve">           6) Records of Monthly Fuel Use</t>
  </si>
  <si>
    <t>b, c, d</t>
  </si>
  <si>
    <t>e Assumes facility must already maintain records on boiler insurance and/or maintenance schedule.  No new record system would be required.</t>
  </si>
  <si>
    <t>Managerial</t>
  </si>
  <si>
    <t>Technical</t>
  </si>
  <si>
    <t>Clerical</t>
  </si>
  <si>
    <t>Labor Rates</t>
  </si>
  <si>
    <t>Rate</t>
  </si>
  <si>
    <t>Category</t>
  </si>
  <si>
    <t>Size Category</t>
  </si>
  <si>
    <t>Total</t>
  </si>
  <si>
    <t>Biomass</t>
  </si>
  <si>
    <t>Coal</t>
  </si>
  <si>
    <t>Liquid</t>
  </si>
  <si>
    <t>Grand Total</t>
  </si>
  <si>
    <t>Existing Boiler Data</t>
  </si>
  <si>
    <t>New Boiler Data</t>
  </si>
  <si>
    <t>4) Semi-annual Compliance Report</t>
  </si>
  <si>
    <t>General Contractor</t>
  </si>
  <si>
    <t>Certfied Energy Audit Contractor</t>
  </si>
  <si>
    <t>(F) Technical Hours per Respondent Per Year
 (A X E)</t>
  </si>
  <si>
    <t>(G) Number of Respondents Per Year</t>
  </si>
  <si>
    <t>(J)       Management Hours per Year @ $114.49 (H X .05)</t>
  </si>
  <si>
    <t>(H) Technical Hours per Year @ $98.20 (F X G)</t>
  </si>
  <si>
    <t>(I)         Clerical Hours per Year @ $48.53 (H X 0.1)</t>
  </si>
  <si>
    <t>a  There are no new small solid units expected to be constructed/reconstructed over the next 3 years.</t>
  </si>
  <si>
    <t>Limited Use</t>
  </si>
  <si>
    <t>total large gas facilities</t>
  </si>
  <si>
    <t>large gas 1 (for tune-ups)</t>
  </si>
  <si>
    <t>total large gas 2 units</t>
  </si>
  <si>
    <t>6) Notification of Alternative Fuel Use</t>
  </si>
  <si>
    <t>(G)
Number of Respondents Per Year</t>
  </si>
  <si>
    <t>(A)
Respondent Hours per Occurrence (Technical hours)</t>
  </si>
  <si>
    <t xml:space="preserve">                  Bag Leak Detection System Operation 
                  (sources that have fabric filters)</t>
  </si>
  <si>
    <t>Mercury Fuel Spec Analysis (for other Gas 1 units)</t>
  </si>
  <si>
    <t>Number estimated to test</t>
  </si>
  <si>
    <t>Number which will repeat stack test due to switching fuels</t>
  </si>
  <si>
    <t xml:space="preserve">           11.  Repeat Stack Test and Report if Switch Fuels
                  (for Hg and HCl)</t>
  </si>
  <si>
    <t xml:space="preserve">           1.  Initial Stack Test and Report (for PM)</t>
  </si>
  <si>
    <t xml:space="preserve">           6) Records of All Semi-Annual Compliance Reports
                Submitted</t>
  </si>
  <si>
    <t xml:space="preserve">           8) Records of Annual Tune-up</t>
  </si>
  <si>
    <t>(applicable to solid units)</t>
  </si>
  <si>
    <t>3) Semi-annual Compliance Report</t>
  </si>
  <si>
    <t>3) Annual Compliance Report</t>
  </si>
  <si>
    <t>5) Notification of Alternative Fuel Use</t>
  </si>
  <si>
    <t xml:space="preserve">a  Number of respondents based on number of existing small and limited use solid fuel boilers which includes biomass and coal units less than 10 mmBtu/hr or operating less than 876 hours.  </t>
  </si>
  <si>
    <t xml:space="preserve">a  Number of respondents based on number of existing small and limited use liquid fuel boilers which includes units less than 10 mmBtu/hr or operating less than 876 hours.  </t>
  </si>
  <si>
    <t xml:space="preserve">a  Number of respondents based on number of existing small and limited use gas fuel boilers which includes units less than 10 mmBtu/hr or operating less than 876 hours.  </t>
  </si>
  <si>
    <t xml:space="preserve">           1. Biennial Tune-Up</t>
  </si>
  <si>
    <t>2) Biennial Tune-Up Records</t>
  </si>
  <si>
    <t>4) Initial Report on results of Energy Audit</t>
  </si>
  <si>
    <t>b Number of occurences is based on the total number of affected facilities that are required to submit initial notifications stated they are subject to the standard (all new boilers in the large and small solid, liquid, and gaseous subcategories, plus all existing large and small solid, liquid, and gaseous subcategories).  For initial notifications of compliance status, the number of occurences is based on all new boilers in the large and small solid, liquid, and gaseous subcategories, existing large and small solid, liquid, and gaseous units have until year 3 to submit this notification.</t>
  </si>
  <si>
    <t>c Number of occurences is based on the assumption that EPA personnel will observe 20% of the initial performance tests that occur.</t>
  </si>
  <si>
    <t>e Number of occurences is based on the number of units that will test and set/submit operating limits.</t>
  </si>
  <si>
    <t>g Number of occurences is based on the assumption that of the units that test, 10% of them will have exceedances and  need enforcement.</t>
  </si>
  <si>
    <t>h Number of occurences is the number of units that will submit these semi-annual compliance reports, 2 reports per year per respondent.</t>
  </si>
  <si>
    <t>i. Number of occurences is the number of units that will submit these annual compliance reports.</t>
  </si>
  <si>
    <t>j. Number of occurences is the number units that will submit these biennial compliance reports.</t>
  </si>
  <si>
    <t>limited use coal</t>
  </si>
  <si>
    <t>limited use biomass</t>
  </si>
  <si>
    <t>limited use liquid</t>
  </si>
  <si>
    <t>limitied use gas</t>
  </si>
  <si>
    <t>Count of Limited Use Units</t>
  </si>
  <si>
    <t>O2</t>
  </si>
  <si>
    <t>no control costs for small units</t>
  </si>
  <si>
    <t>no control costs for gas 1 units</t>
  </si>
  <si>
    <t xml:space="preserve">                 O2</t>
  </si>
  <si>
    <t>O2 monitor costs</t>
  </si>
  <si>
    <t>Initial</t>
  </si>
  <si>
    <t>Annual</t>
  </si>
  <si>
    <t>i No annual test and reporting burden is shown in year 1 as this is the same year as the initial test and report.</t>
  </si>
  <si>
    <t xml:space="preserve">g Existing large liquid units are expected to determine compliance for Hg and HCl through fuel analysis not stack testing.  </t>
  </si>
  <si>
    <t>c, i</t>
  </si>
  <si>
    <t>c,h,j</t>
  </si>
  <si>
    <t>a, e</t>
  </si>
  <si>
    <t>f Process gas units are expected to demonstrate compliance with a stack test instead of a fuel analysis.</t>
  </si>
  <si>
    <t>b,c, d</t>
  </si>
  <si>
    <t>d Number of occurences is based on the assumption that of the units that test, 10% will have to retest and EPA personnel will observe all these retests. In addition solid fuel units are expected to re-test to obtain worst-case conditions for both Hg and HCl emissions.</t>
  </si>
  <si>
    <t>c Energy Audits are a requirement for existing units only.</t>
  </si>
  <si>
    <t>c,h,i</t>
  </si>
  <si>
    <t>j Only applies to large solid fuel boilers, because solid fuel boilers may fire a mix of non-homogeneous fuels.  Assumed all solid fuel units would perform a repeat stack test.</t>
  </si>
  <si>
    <t>f Only applies to large solid fuel boilers, because solid fuel boilers may fire a mix of non-homogeneous fuels.  Assumed zero respondents for liquid and gas units.</t>
  </si>
  <si>
    <t>f For on-going training activities to keep personnel updated in order to implement compliance activities.</t>
  </si>
  <si>
    <t>j For on-going training activities to keep personnel updated in order to implement compliance activities.</t>
  </si>
  <si>
    <t>k</t>
  </si>
  <si>
    <t>i Number based on units which reported firing fuels other than natural or refinery gas.</t>
  </si>
  <si>
    <t>c,L</t>
  </si>
  <si>
    <t>c,m</t>
  </si>
  <si>
    <t>m Number based on 17.8% of the large gas 1 units using liquid instead of gas at some point.</t>
  </si>
  <si>
    <t>n For on-going training activities to keep personnel updated in order to implement compliance activities.</t>
  </si>
  <si>
    <t>n</t>
  </si>
  <si>
    <t>a,f</t>
  </si>
  <si>
    <t>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t>
  </si>
  <si>
    <t>a,e</t>
  </si>
  <si>
    <t>g For on-going training activities to keep personnel updated in order to implement compliance activities.</t>
  </si>
  <si>
    <t>h For on-going training activities to keep personnel updated in order to implement compliance activities.</t>
  </si>
  <si>
    <t>g Small units are not required to maintain records on startup, shutdown and malfunction.</t>
  </si>
  <si>
    <t>f Since a tune-up is required biennially, every two years, the compliance reports for small units are also due every two years. Records of the tune-ups will be submitted to the Administrator upon request.</t>
  </si>
  <si>
    <t>c For on-going training activities to keep personnel updated in order to implement compliance activities.</t>
  </si>
  <si>
    <t>h Assume all units will fire natural gas, so fuel spec analysis not necessary.</t>
  </si>
  <si>
    <t>i Assumed no units would fire an alternative fuel.</t>
  </si>
  <si>
    <t>5) Affirmative Defense</t>
  </si>
  <si>
    <t>o</t>
  </si>
  <si>
    <t>7) Affirmative Defense</t>
  </si>
  <si>
    <t>4) Affirmative Defense</t>
  </si>
  <si>
    <t>6) Affirmative Defense</t>
  </si>
  <si>
    <t>DIFF</t>
  </si>
  <si>
    <t>Also, not limited use</t>
  </si>
  <si>
    <t>11,000 Total for liquid</t>
  </si>
  <si>
    <t>x</t>
  </si>
  <si>
    <t xml:space="preserve">average # of boilers per facility </t>
  </si>
  <si>
    <t>no new liquid units</t>
  </si>
  <si>
    <t xml:space="preserve">                  DIFF Monitor</t>
  </si>
  <si>
    <t xml:space="preserve">           10.  Repeat Stack Test and Report if Switch Fuels
                  (for Hg and HCl)</t>
  </si>
  <si>
    <t xml:space="preserve">           11.  Initial Fuel Analysis for Mercury and HCL Content</t>
  </si>
  <si>
    <t xml:space="preserve">           12.  Monthly Fuel Analysis for Mercury and HCL Content</t>
  </si>
  <si>
    <t xml:space="preserve">           13.  Continuous Parameter Monitoring</t>
  </si>
  <si>
    <t xml:space="preserve">           13. Annual Tune-up</t>
  </si>
  <si>
    <t>D/F testing not required for Reconsideration rule</t>
  </si>
  <si>
    <t>28,000 Total</t>
  </si>
  <si>
    <t>Annual Tune-Up Cost - Now applies to small, limited use, Gas, and all other boilers as work practice for D/F (since no stack testing)</t>
  </si>
  <si>
    <t>now required for D/F work practice, tune-up cost</t>
  </si>
  <si>
    <t xml:space="preserve">           14. Annual Tune-up</t>
  </si>
  <si>
    <t xml:space="preserve">           15. Mercury Fuel Spec Analysis</t>
  </si>
  <si>
    <t xml:space="preserve">           5.  Annual Stack Test and Report (for PM)</t>
  </si>
  <si>
    <t xml:space="preserve">           6.  Annual Stack Test and Report (for Hg)</t>
  </si>
  <si>
    <t xml:space="preserve">           7.  Annual Stack Test and Report (for HCl)</t>
  </si>
  <si>
    <t xml:space="preserve">           8.  Annual Stack Test and Report (for CO)</t>
  </si>
  <si>
    <t xml:space="preserve">           9.  Repeat Stack Test and Report if Switch Fuels
                  (for Hg and HCl)</t>
  </si>
  <si>
    <t xml:space="preserve">           10.  Initial Fuel Analysis for Mercury and HCL Content</t>
  </si>
  <si>
    <t xml:space="preserve">           11.  Monthly Fuel Analysis for Mercury and HCL Content</t>
  </si>
  <si>
    <t xml:space="preserve">           12. Annual Tune-up</t>
  </si>
  <si>
    <t xml:space="preserve">           16. Mercury Fuel Spec Analysis</t>
  </si>
  <si>
    <t>c All large boilers require annual tune-ups.</t>
  </si>
  <si>
    <t>L Tune-ups are required as work practice standards in lieu of dioxin/furan testing.</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</si>
  <si>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88% of facilities are in the  industrial sector while the remaining 12% of facilities are in the commercial sector.</t>
  </si>
  <si>
    <t>a  Number of respondents based on number of existing large liquid fuel boilers which includes units greater than 10 mmBtu/hr.</t>
  </si>
  <si>
    <t>a  Number of respondents based on number of existing large solid fuel boilers which includes biomass and coal units greater than 10 mmBtu/hr.</t>
  </si>
  <si>
    <t>a  Number of respondents based on number of existing large gas fuel boilers which includes natural, petroleum, and other gas fuel units greater than 10 mmBtu/hr.</t>
  </si>
  <si>
    <t xml:space="preserve">j The units firing other process gases other than natural gas, refinery gases or other on-spec gas 1 fuels have limits for PM, HCl, Hg, and CO and are subject to testing and monitoring requirements for each pollutant. </t>
  </si>
  <si>
    <t>a  There are no new large liquid units expected to be constructed/reconstructed over the next 5 years</t>
  </si>
  <si>
    <t>b  Assumed reporting activities would start the first year a boiler is applicable to rule.</t>
  </si>
  <si>
    <t>c Assumes facility must already maintain records on boiler insurance and/or maintenance schedule.  No new record system would be required.</t>
  </si>
  <si>
    <t>d Only applies to large solid fuel boilers, because solid fuel boilers may fire a mix of non-homogeneous fuels.  Assumed all solid fuel units would perform a repeat stack test.</t>
  </si>
  <si>
    <t>a,d</t>
  </si>
  <si>
    <t>e Existing large solid units are expected to determine compliance through stack testing and not fuel analysis</t>
  </si>
  <si>
    <t>g Tune-ups are required as work practice standards in lieu of dioxin/furan testing.</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</si>
  <si>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 of facilities are in the commercial sector while the remaining 88% of facilities are in the industrial sector. </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</si>
  <si>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It is assumed that all will be industrial facilities since industrial is the vast majority of projected units. </t>
  </si>
  <si>
    <t>d Since a tune-up is required biennially, every two years, the compliance reports for small units are also due every two years. Records of the tune-ups will be submitted to the Administrator upon request.</t>
  </si>
  <si>
    <t>d,e</t>
  </si>
  <si>
    <t>Reviewer</t>
  </si>
  <si>
    <t>Tab</t>
  </si>
  <si>
    <t>Comment</t>
  </si>
  <si>
    <t>AS</t>
  </si>
  <si>
    <t>Base Data</t>
  </si>
  <si>
    <t>Facility count is 1704. Edited H46 and H43 to make this equal.</t>
  </si>
  <si>
    <t>Monitors</t>
  </si>
  <si>
    <t>ALL</t>
  </si>
  <si>
    <t>4) EXCLUDE units &gt;=250 that install PM CEMS</t>
  </si>
  <si>
    <t>5) EXCLUDE units &gt;=250 that install PM CEMS</t>
  </si>
  <si>
    <t>3a) DIFF Monitoring -TCI &gt;0, HCL Control Selected = "DIFF", DIFF TCI &gt;0</t>
  </si>
  <si>
    <t>You will want to exclude units &gt;250 from BLDS, opacity, FF in your counts. See my edits in red. Please revise the counts.</t>
  </si>
  <si>
    <t>ARS - agree, new solid units are biomass and therefore will not have PM CEMS.</t>
  </si>
  <si>
    <t>Fac-ExistLrgSolid-Yr2</t>
  </si>
  <si>
    <t>Fac-ExistLrgSolid-Yr3</t>
  </si>
  <si>
    <t>PM CPMS # units should increase</t>
  </si>
  <si>
    <t>I get 323 sources with a PM CPMS according to the costing summary table. 17 seems very low. See my logic in the monitoring tab.</t>
  </si>
  <si>
    <t>Fac-ExistLrgLiquid-Yr2</t>
  </si>
  <si>
    <t>Fac-ExistLrgLiquid-Yr3</t>
  </si>
  <si>
    <t>Fac-ExistLrgGas-Yr3</t>
  </si>
  <si>
    <t>Fac-ExistLrgGas-Yr1</t>
  </si>
  <si>
    <t>Edited costs of Hg fuel spec</t>
  </si>
  <si>
    <t>Edited costs of Hg fuel spec and number of respondents supposed to conduct fuel spec.</t>
  </si>
  <si>
    <t>Agree with number of people conducting Hg fuel spec.</t>
  </si>
  <si>
    <t>Testing Costs</t>
  </si>
  <si>
    <t>Removed some language since we no longer have CO monitoring required. O2 monitoring + CO stack test required for everyone &gt;=10 that is subject to an emission limit.</t>
  </si>
  <si>
    <t>rows 89 to 106- facility count is wrong. See revised percentages in my ICR check file.</t>
  </si>
  <si>
    <t>Can you revise new unit counts to match our revised projections that we now have and revisit the new source tabs and monitoring tabs to make similar changes as noted above?</t>
  </si>
  <si>
    <t xml:space="preserve">Testing Costs </t>
  </si>
  <si>
    <t>Facility count I get is 1704 adjusted number of commercial facilities based on review of data. Commercial count is 204 of the 1704. Edited cell based on query check.</t>
  </si>
  <si>
    <t>No audit costs for new sources</t>
  </si>
  <si>
    <t>Agency Tabs</t>
  </si>
  <si>
    <t>We need a new burden item for the following:</t>
  </si>
  <si>
    <t>1) Review and approve Monitoring Plan - number of plans = number of facilities with 1 or more units subject to emission limits (requiremend is in 63.7505(d)(2)</t>
  </si>
  <si>
    <t>2) Review and approve Fuel Monitoring Plan - number of plans = number of facilities with 1 or more units subject to emission limits + number of facilities with at least one unit required to conduct a Hg fuel spec. Some of the facilities might overlap so we only want unique facilities in this count.</t>
  </si>
  <si>
    <t>For both of these items split the number of plans in half and assign to years 2 and 3.</t>
  </si>
  <si>
    <t>Please do a find a replace of PM CEMS with PM CPMS as the rule has been edited. You also want to add a note that it is units with an average annual heat input rate from solid fossil or residual oil &gt;=250 mmBtu/hr since it is only a subset of new sources.</t>
  </si>
  <si>
    <t>Did not use these unknowns:</t>
  </si>
  <si>
    <t>Private %</t>
  </si>
  <si>
    <t>Public %</t>
  </si>
  <si>
    <t>BL</t>
  </si>
  <si>
    <t>updated</t>
  </si>
  <si>
    <t>h Units not equipped with PM CPMS wil perform stack testing for PM.</t>
  </si>
  <si>
    <t>h Gas units are exempt from PM CPMS and opacity monitoring.</t>
  </si>
  <si>
    <t>ok, agree</t>
  </si>
  <si>
    <t>I agree, I must have been smoking crack before to get 17</t>
  </si>
  <si>
    <t>ok</t>
  </si>
  <si>
    <t>ok, numbers were not being used but good to remove so no confusion</t>
  </si>
  <si>
    <r>
      <t xml:space="preserve">ok.  </t>
    </r>
    <r>
      <rPr>
        <u/>
        <sz val="10"/>
        <rFont val="Arial"/>
        <family val="2"/>
      </rPr>
      <t>I also changed hrs per occurrence from 10 to 5 hrs</t>
    </r>
    <r>
      <rPr>
        <sz val="10"/>
        <rFont val="Arial"/>
        <family val="2"/>
      </rPr>
      <t xml:space="preserve"> - This is because H2S analysis portion is removed and since doing monthly 120 hrs per year seemed pretty high and led to high costs.  I also made this change on New Source tab.</t>
    </r>
  </si>
  <si>
    <t>m PM CPMS is required for coal boilers, biomass boilers which are not 100% biomass,  and residual oil boilers which are &gt;= 250 mmBtu/hr</t>
  </si>
  <si>
    <t>a,i</t>
  </si>
  <si>
    <t>i PM CPMS is required for coal boilers, biomass boilers which are not 100% biomass,  and residual oil boilers which are &gt;= 250 mmBtu/hr.  It was assumed all new solid fuel boilers are firing 100% biomass.</t>
  </si>
  <si>
    <t>PM CEMS replaced with PM CPMS; note added on new and existing solid tabs and existing liquid tabs</t>
  </si>
  <si>
    <t xml:space="preserve">a In order to calculate a per year estimate of the number of boilers and facilities required to meet these rule requirements, the number of projected boilers and facilities is each divided by 3. </t>
  </si>
  <si>
    <t>Review and approve monitoring plan</t>
  </si>
  <si>
    <t>n Number of occurences is based number of affected facilities which submit monitoring plan, all new and existing large units are required to submit this.</t>
  </si>
  <si>
    <t>added, highlighted blue in agency tabs, selected 10 hrs per occurrence for EPA</t>
  </si>
  <si>
    <t>Fuel Monitoring Plan</t>
  </si>
  <si>
    <t>For facilities which have emission limits or for Gas facilities which perform the Hg gas spec</t>
  </si>
  <si>
    <t>Review and approve fuel monitoring plan</t>
  </si>
  <si>
    <t>added, highlighted blue in agency tabs, selected 5 hrs per occurrence for EPA</t>
  </si>
  <si>
    <t>o Number of occurences is based off facilities which have emission limits plus gas units which must perform Hg spec analysis</t>
  </si>
  <si>
    <t>E.</t>
  </si>
  <si>
    <t>F.</t>
  </si>
  <si>
    <t>for new units we have some complying in year 1 so I left it how they are currently submitting reports; for existing they are split between years 2 and 3</t>
  </si>
  <si>
    <t>this logic is accounted for in Existing Cost Summary file, updated counts in red text</t>
  </si>
  <si>
    <t>counts updated in red text</t>
  </si>
  <si>
    <t>changed to 20 similar LOE as test plan.</t>
  </si>
  <si>
    <t>OK</t>
  </si>
  <si>
    <t>Count</t>
  </si>
  <si>
    <t>(A)
Boiler Type</t>
  </si>
  <si>
    <t>(B)
Number of Respondents (facilities)</t>
  </si>
  <si>
    <t>Existing Small and Limited Use Solid Units</t>
  </si>
  <si>
    <t>Existing Small and Limited Use Liquid Units</t>
  </si>
  <si>
    <t>Existing Small and Limited Use Gaseous Units</t>
  </si>
  <si>
    <t>(C)
Total Number Responses for 3-year Period</t>
  </si>
  <si>
    <t>(D)
Average Annual Number of Responses</t>
  </si>
  <si>
    <t>% public New + Existing</t>
  </si>
  <si>
    <t>p</t>
  </si>
  <si>
    <t xml:space="preserve">d Since a tune-up is required biennially, every two years, the compliance reports for small units are also due every two years. Records of the tune-ups will be submitted to the Administrator upon request.  </t>
  </si>
  <si>
    <t>a For new small solid units, all boilers are assumed to come online in year 1.</t>
  </si>
  <si>
    <t>a,e,f</t>
  </si>
  <si>
    <t>e Assumes for boilers which performed a tune-up in year 1, the biennial tune-up would also occur in year 3.</t>
  </si>
  <si>
    <t>c,f,i</t>
  </si>
  <si>
    <t>b,c,d</t>
  </si>
  <si>
    <t>c, f, i</t>
  </si>
  <si>
    <t>n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</si>
  <si>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p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</si>
  <si>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j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</si>
  <si>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k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</si>
  <si>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e Very small gas boilers (&lt; 5 mmBtu/hr) qualify for tune-ups every five years, however they would still incur an initial tune-up during the year they come online.</t>
  </si>
  <si>
    <t>f Very small boilers qualify for tune-ups every five years, however they would still incur an initial tune-up when they come online.  For those boilers in year 1 which were performing their initial five-year tune-up, a tune-up in year 3 is not necessary.  Four boilers would qualify for 5-year tune-ups and are thus not applicable to tune-ups in year 3.</t>
  </si>
  <si>
    <t>More ACI for liquid (due to increase in Hg limit)</t>
  </si>
  <si>
    <t>More BLD for liquid (due to increase in Hg limit)</t>
  </si>
  <si>
    <t>More opacity monitors (~50 more)</t>
  </si>
  <si>
    <t>Fewer PM CPMS  (~80 fewer)</t>
  </si>
  <si>
    <t>Notification of Alternative fuel use (15.8% reported the use of liquid, large gas 1 units)</t>
  </si>
  <si>
    <t>PM CPMS</t>
  </si>
  <si>
    <t>k Assumed 3 affirmative defense claims would be filed in the first three years after promulgation, one in each of the large subcategories (solid, liquid, gas) in year 3 of the burden estimates.  If a source were to meet the notification, reporting, and recordkeeping requirements of affirmative defense, it would be approximately 30 hours in labor burden.</t>
  </si>
  <si>
    <t>o Assumed 3 affirmative defense claims would be filed in the first three years after promulgation, one in each of the large subcategories (solid, liquid, gas) in year 3 of the burden estimates.  If a source were to meet the notification, reporting, and recordkeeping requirements of affirmative defense, it would be approximately 30 hours in labor burden.</t>
  </si>
  <si>
    <t>h Assumed no affirmative defense claims would be filed for new sources in the first three years after promulgation.  If a source were to meet the notification, reporting, and recordkeeping requirements of affirmative defense, it would be approximately 30 hours in labor burden.</t>
  </si>
  <si>
    <t>j Assumed no affirmative defense claims would be filed for new sources in the first three years after promulgation.  If a source were to meet the notification, reporting, and recordkeeping requirements of affirmative defense, it would be approximately 30 hours in labor burden.</t>
  </si>
  <si>
    <t>http://www.epa.gov/ttn/atw/boiler/imptools/20130312complianceguide.pdf</t>
  </si>
  <si>
    <t>First one submitted 1/31/2017</t>
  </si>
  <si>
    <t>N/A</t>
  </si>
  <si>
    <t>no later than 7/29/16 (assumed sources would comply with this in 2015 and 2016 phased in given limited number of stack testing contractors)</t>
  </si>
  <si>
    <t xml:space="preserve">no later than 7/29/17 </t>
  </si>
  <si>
    <t>we said this was a one time requirement, so may not want to account for this again. However, since rule is under litigation and compiance strategies and guidance is evolving, perhaps we should keep this in?</t>
  </si>
  <si>
    <t>ongoing but we said training for existing would start in year 2 and 3.</t>
  </si>
  <si>
    <t>Dates for initial action:</t>
  </si>
  <si>
    <t>Year of ICR</t>
  </si>
  <si>
    <t>?</t>
  </si>
  <si>
    <t>1 and 2</t>
  </si>
  <si>
    <t>outside scope of this ICR</t>
  </si>
  <si>
    <t>1/31/2016 (assumed sources would phase this in over time half in year 2015 and 2016)</t>
  </si>
  <si>
    <t>Renewal will expire 9/30/2014 so years 1, 2, and 3 will cover 2015-2017</t>
  </si>
  <si>
    <t>Date summary at:</t>
  </si>
  <si>
    <t>only non-gas 1 units</t>
  </si>
  <si>
    <t>all gas units</t>
  </si>
  <si>
    <t>gas 1 only</t>
  </si>
  <si>
    <t>all gas unites</t>
  </si>
  <si>
    <r>
      <t xml:space="preserve">Table 1.A </t>
    </r>
    <r>
      <rPr>
        <b/>
        <sz val="8"/>
        <color rgb="FFFF0000"/>
        <rFont val="Arial"/>
        <family val="2"/>
      </rPr>
      <t>(Original)</t>
    </r>
    <r>
      <rPr>
        <b/>
        <sz val="8"/>
        <rFont val="Arial"/>
        <family val="2"/>
      </rPr>
      <t>.  Annual Respondent Burden and Cost of Recordkeeping and Reporting Requirements for the National Emission Standards</t>
    </r>
  </si>
  <si>
    <t>Existing Large Solid Fuel Units</t>
  </si>
  <si>
    <t>Existing Large Liquid Fuel Units</t>
  </si>
  <si>
    <t>Existing Large Gas Fuel Units</t>
  </si>
  <si>
    <t>New Large Solid Fuel Units</t>
  </si>
  <si>
    <t>New Large Liquid Fuel Units</t>
  </si>
  <si>
    <t>New Large Gas Fuel Units</t>
  </si>
  <si>
    <t>Existing Small and Limited Use Solid Fuel Units</t>
  </si>
  <si>
    <t>Existing Small and Limited Use Liquid Fuel Units</t>
  </si>
  <si>
    <t>Existing Small and Limited Use Gas Fuel Units</t>
  </si>
  <si>
    <t>New Small Solid Fuel Units</t>
  </si>
  <si>
    <t>New Small Liquid Fuel Units</t>
  </si>
  <si>
    <t>New Small Gas Fuel Units</t>
  </si>
  <si>
    <t>Note</t>
  </si>
  <si>
    <t xml:space="preserve"> for the Industrial, Commercial, and Institutional Boiler and Process Heater Major Source NESHAP Subpart DDDDD- Year 0 - First Year After Promulgation</t>
  </si>
  <si>
    <t>Table 12.B.: Annual Respondent Burden and Cost -- NESHAP for Industrial, Commercial, and Institutional Boilers and Process Heaters (40 CFR Part 63, Subpart DDDDD) (Renewal) – Year 2</t>
  </si>
  <si>
    <t xml:space="preserve">                for Hazardous Air Pollutants (NESHAP) for Industrial, Commercial, and Institutional Boilers  - Year 0, New Small Gas Fuel Units</t>
  </si>
  <si>
    <t>Table 11.B.: Annual Respondent Burden and Cost -- NESHAP for Industrial, Commercial, and Institutional Boilers and Process Heaters (40 CFR Part 63, Subpart DDDDD) (Renewal) – Year 2</t>
  </si>
  <si>
    <t xml:space="preserve">                for Hazardous Air Pollutants (NESHAP) for Industrial, Commercial, and Institutional Boilers  - Year 0, New Small Liquid Fuel Units</t>
  </si>
  <si>
    <t>for Hazardous Air Pollutants (NESHAP) for Industrial, Commercial, and Institutional Boilers  - Year 0, New Small Solid Fuel Units</t>
  </si>
  <si>
    <t xml:space="preserve">                for Hazardous Air Pollutants (NESHAP) for Industrial, Commercial, and Institutional Boilers  - Year 0, Existing Small and Limited Use Gas Fuel Units</t>
  </si>
  <si>
    <t xml:space="preserve">                for Hazardous Air Pollutants (NESHAP) for Industrial, Commercial, and Institutional Boilers  - Year 0, Existing Small and Limited Use Liquid Fuel Units</t>
  </si>
  <si>
    <t xml:space="preserve">                for Hazardous Air Pollutants (NESHAP) for Industrial, Commercial, and Institutional Boilers  - Year 0, Existing Small and Limited Use Solid Fuel Units</t>
  </si>
  <si>
    <t xml:space="preserve">                for Hazardous Air Pollutants (NESHAP) for Industrial, Commercial, and Institutional Boilers  - Year 0, New Large Gas Fuel Units</t>
  </si>
  <si>
    <t xml:space="preserve">                for Hazardous Air Pollutants (NESHAP) for Industrial, Commercial, and Institutional Boilers  - Year 0, New Large Liquid Fuel Units</t>
  </si>
  <si>
    <t xml:space="preserve">                for Hazardous Air Pollutants (NESHAP) for Industrial, Commercial, and Institutional Boilers  - Year 0, New Large Solid Fuel Units</t>
  </si>
  <si>
    <t xml:space="preserve">                for Hazardous Air Pollutants (NESHAP) for Industrial, Commercial, and Institutional Boilers  - Year 0, Existing Large Gas Fuel Units</t>
  </si>
  <si>
    <t xml:space="preserve">                for Hazardous Air Pollutants (NESHAP) for Industrial, Commercial, and Institutional Boilers  - Year 0, Existing Large Liquid Fuel Units</t>
  </si>
  <si>
    <t xml:space="preserve">                for Hazardous Air Pollutants (NESHAP) for Industrial, Commercial, and Institutional Boilers  - Year 0, Existing Large Solid Fuel Units</t>
  </si>
  <si>
    <t>Year 0 (2013)</t>
  </si>
  <si>
    <t>Annual Capital/Startup vs. Operation and Maintenance (O&amp;M) Costs</t>
  </si>
  <si>
    <t>(E)
Average Number of Response per Respondent</t>
  </si>
  <si>
    <t>TOTAL</t>
  </si>
  <si>
    <t>Total Responses</t>
  </si>
  <si>
    <t>Reporting Hours</t>
  </si>
  <si>
    <t>Recordkeeping Hours</t>
  </si>
  <si>
    <t>(H) Technical Hours per Year @ $99.16 (F X G)</t>
  </si>
  <si>
    <t>(I)         Clerical Hours per Year @ $50.88 (H X 0.1)</t>
  </si>
  <si>
    <t>(J)       Management Hours per Year @ $127.43 (H X .05)</t>
  </si>
  <si>
    <t xml:space="preserve">    A.  Familiarization with Rule Requirements</t>
  </si>
  <si>
    <t>Familiarization with rule requirements</t>
  </si>
  <si>
    <t>June 2017 Labor Rates</t>
  </si>
  <si>
    <t>NEW ASSUMPTIONS:</t>
  </si>
  <si>
    <t>Sum of Facility Count (From 2028.08))</t>
  </si>
  <si>
    <t>remove, no longer included in rule</t>
  </si>
  <si>
    <t>Sum of New Facility Count (From 2028.08))</t>
  </si>
  <si>
    <t>Sum of New Unit Count (From 2028.08)</t>
  </si>
  <si>
    <t>Sum of Unit Count (From 2028.08)</t>
  </si>
  <si>
    <t>PRIOR TABLES:</t>
  </si>
  <si>
    <t># Units Converted to NG</t>
  </si>
  <si>
    <t>#Units Shutdown</t>
  </si>
  <si>
    <t>Total Number of Units Removed</t>
  </si>
  <si>
    <t>Updated formula for total removed</t>
  </si>
  <si>
    <t>Updated formula for total coal converted</t>
  </si>
  <si>
    <t>ASSUMPTIONS: Assume constant growth same as prior proposal (no coal, no liquid, no gas 2)</t>
  </si>
  <si>
    <t>New Respondents/Year</t>
  </si>
  <si>
    <t>Existing Respondents/Year</t>
  </si>
  <si>
    <t>Large Gas</t>
  </si>
  <si>
    <t>Small Biomass</t>
  </si>
  <si>
    <t>Large Biomass</t>
  </si>
  <si>
    <t>Small Coal</t>
  </si>
  <si>
    <t>Large Coal</t>
  </si>
  <si>
    <t>Small Gas 1</t>
  </si>
  <si>
    <t>Large Gas 1</t>
  </si>
  <si>
    <t>Small Gas 2</t>
  </si>
  <si>
    <t>Large Gas 2</t>
  </si>
  <si>
    <t>Total New</t>
  </si>
  <si>
    <t>Prior Total</t>
  </si>
  <si>
    <t>Total + 3-year growth</t>
  </si>
  <si>
    <t>Total New/3-Year Pd</t>
  </si>
  <si>
    <t>UPDATED COLUMN TO ADJUST UNIT CATEGORY TOTALS TO ADD 3-YEAR GROWTH TO EXISTING VALUES</t>
  </si>
  <si>
    <t>Assumed 18 of existing coal-fired boilers have been shutdown, adjust by subcategory (cells V22-V25)</t>
  </si>
  <si>
    <t>Assumed 22% of existing coal-fired boilers have been converted to natural gas (decrease # of coal-fired boilers by 22% and increase gas-fired by 22%) (Cells W22-W25_</t>
  </si>
  <si>
    <t xml:space="preserve">n Includes enhanced recordkeeping provisions for demonstration of compliance with the alternative definition of "startup" (paragraph (2) of the definition) that document when useful thermal energy is provided, what fuels are used during startup, </t>
  </si>
  <si>
    <t>parametric monitoring data to verify relevant controls are engaged, and the time when PM controls are engaged.  It is assumed that no one is using the compliance alternatives at this time.</t>
  </si>
  <si>
    <t xml:space="preserve">o Includes enhanced recordkeeping provisions for demonstration of compliance with the alternative definition of "startup" (paragraph (2) of the definition) that document when useful thermal energy is provided, what fuels are used during startup, </t>
  </si>
  <si>
    <t xml:space="preserve">p Includes enhanced recordkeeping provisions for demonstration of compliance with the alternative definition of "startup" (paragraph (2) of the definition) that document when useful thermal energy is provided, what fuels are used during startup, </t>
  </si>
  <si>
    <t xml:space="preserve">j Includes enhanced recordkeeping provisions for demonstration of compliance with the alternative definition of "startup" (paragraph (2) of the definition) that document when useful thermal energy is provided, what fuels are used during startup, </t>
  </si>
  <si>
    <t>PRIOR (G) Number of Respondents Per Year</t>
  </si>
  <si>
    <t>Updated Labor rates to 2017 General Schedule</t>
  </si>
  <si>
    <t>Updated existing unit counts to reflect 3 years of growth from prior renewal (Cells D62-D82, added to Cells S17-S46)</t>
  </si>
  <si>
    <t>Updated facility counts by subcategory using revised unit counts and assuming new facility count of 1,856 based on three year growth (cells D46 and H46) - see H16-H46</t>
  </si>
  <si>
    <t>Updated read and understand rule req's to familiarization with rule requirements (10 hrs) for lg existing sources (5 hrs) for sm existing categories (left at 40 hrs for new)</t>
  </si>
  <si>
    <t>Updated labor rates for industry and agency to 2017 values.</t>
  </si>
  <si>
    <t>Additional assumptions updated in following spreadsheets (see comments)</t>
  </si>
  <si>
    <t>ADJUSTED UNIT COUNTS IN COLUMN D TO ACCOUNT FOR SUBCATEGORY CHANGES</t>
  </si>
  <si>
    <t>Boiler Type</t>
  </si>
  <si>
    <t>Reporting</t>
  </si>
  <si>
    <t>Recordkeeping</t>
  </si>
  <si>
    <t>Total Labor Cost</t>
  </si>
  <si>
    <t>Total Costs</t>
  </si>
  <si>
    <t>Total (Rounded)</t>
  </si>
  <si>
    <t>Average per year (rounded)</t>
  </si>
  <si>
    <t>Total Annual O&amp;M and Annualized Capital Costs per year</t>
  </si>
  <si>
    <t>Yr1</t>
  </si>
  <si>
    <t>Yr 2</t>
  </si>
  <si>
    <t>Yr 3</t>
  </si>
  <si>
    <t>Avg</t>
  </si>
  <si>
    <t>Table 1: Annual Respondent Burden and Cost – NESHAP for Industrial, Commercial, and Institutional Boilers and Process Heaters (40 CFR Part 63, Subpart DDDDD) (Renewal)</t>
  </si>
  <si>
    <t>Number of Responses Per Year (Average)</t>
  </si>
  <si>
    <t xml:space="preserve">TOTAL LABOR BURDEN AND COSTS </t>
  </si>
  <si>
    <t>Total Public Sector</t>
  </si>
  <si>
    <t>Subtotals (all types)</t>
  </si>
  <si>
    <r>
      <t>GRAND TOTAL (rounded)</t>
    </r>
    <r>
      <rPr>
        <b/>
        <vertAlign val="superscript"/>
        <sz val="10"/>
        <color rgb="FF000000"/>
        <rFont val="Times New Roman"/>
        <family val="1"/>
      </rPr>
      <t>1</t>
    </r>
  </si>
  <si>
    <r>
      <rPr>
        <vertAlign val="superscript"/>
        <sz val="10"/>
        <color rgb="FF000000"/>
        <rFont val="Times New Roman"/>
        <family val="1"/>
      </rPr>
      <t>1</t>
    </r>
    <r>
      <rPr>
        <sz val="10"/>
        <color rgb="FF000000"/>
        <rFont val="Times New Roman"/>
        <family val="1"/>
      </rPr>
      <t xml:space="preserve"> Totals have been rounded to 3 significant figures. Figures may not add exactly due to rounding.</t>
    </r>
  </si>
  <si>
    <t>Year 1</t>
  </si>
  <si>
    <t>Year 2</t>
  </si>
  <si>
    <t>Year 3</t>
  </si>
  <si>
    <t>average 2018 rates, https://www.perdiem101.com/conus/2018</t>
  </si>
  <si>
    <t>3 days * ($201 hotel + $93 meals/incidentals) + ($600 round trip) = $1482 per trip</t>
  </si>
  <si>
    <t>m Total cost is based on the number of trips taken by EPA to observe performance tests in year 1 (4.A. &amp; 4.B.) multiplied by $1482 per trip.  The source for hotel and meals/incidental costs is based on FY18 per diem rates, averaged across all locations in the United States.  Airfares are estimated based on experience from other rulemakings. See: https://www.perdiem101.com/conus/2018</t>
  </si>
  <si>
    <t>Total Labor Hours</t>
  </si>
  <si>
    <r>
      <t>Rounded by Sector</t>
    </r>
    <r>
      <rPr>
        <b/>
        <vertAlign val="superscript"/>
        <sz val="10"/>
        <color rgb="FF000000"/>
        <rFont val="Times New Roman"/>
        <family val="1"/>
      </rPr>
      <t>1</t>
    </r>
  </si>
  <si>
    <t>Total Private Sector</t>
  </si>
  <si>
    <t>Number of Respondents per Year</t>
  </si>
  <si>
    <t>(Facilities)</t>
  </si>
  <si>
    <t xml:space="preserve">Total </t>
  </si>
  <si>
    <t>hours per response</t>
  </si>
  <si>
    <t>Number of Respondents per Year (Average)</t>
  </si>
  <si>
    <t xml:space="preserve">a Assumes one respondent with new small solid units per 3-year period, and that a tune-up is conducted on all units. </t>
  </si>
  <si>
    <t>a, d</t>
  </si>
  <si>
    <t>Table 10.B.: Annual Respondent Burden and Cost – NESHAP for Industrial, Commercial, and Institutional Boilers and Process Heaters (40 CFR Part 63, Subpart DDDDD) (Renewal)</t>
  </si>
  <si>
    <t>Table 9.B.: Annual Respondent Burden and Cost – NESHAP for Industrial, Commercial, and Institutional Boilers and Process Heaters (40 CFR Part 63, Subpart DDDDD) (Renewal)</t>
  </si>
  <si>
    <t>Table 8.B.: Annual Respondent Burden and Cost – NESHAP for Industrial, Commercial, and Institutional Boilers and Process Heaters (40 CFR Part 63, Subpart DDDDD) (Renewal)</t>
  </si>
  <si>
    <t>Table 7.B.: Annual Respondent Burden and Cost – NESHAP for Industrial, Commercial, and Institutional Boilers and Process Heaters (40 CFR Part 63, Subpart DDDDD) (Renewal)</t>
  </si>
  <si>
    <t xml:space="preserve">Table 6.B.: Annual Respondent Burden and Cost – NESHAP for Industrial, Commercial, and Institutional Boilers and Process Heaters (40 CFR Part 63, Subpart DDDDD) (Renewal) </t>
  </si>
  <si>
    <t xml:space="preserve">Table 5.B.: Annual Respondent Burden and Cost – NESHAP for Industrial, Commercial, and Institutional Boilers and Process Heaters (40 CFR Part 63, subpart DDDDD) (Renewal) </t>
  </si>
  <si>
    <t>Table 4.B.: Annual Respondent Burden and Cost – NESHAP for Industrial, Commercial, and Institutional Boilers and Process Heaters (40 CFR Part 63, Subpart DDDDD) (Renewal)</t>
  </si>
  <si>
    <t>Table 3.B.: Annual Respondent Burden and Cost – NESHAP for Industrial, Commercial, and Institutional Boilers and Process Heaters (40 CFR Part 63, Subpart DDDDD) (Renewal)</t>
  </si>
  <si>
    <t xml:space="preserve">Table 2.B.: Annual Respondent Burden and Cost – NESHAP for Industrial, Commercial, and Institutional Boilers and Process Heaters (40 CFR Part 63, Subpart DDDDD) (Renewal) </t>
  </si>
  <si>
    <t>Table 1.B.: Annual Respondent Burden and Cost – NESHAP for Industrial, Commercial, and Institutional Boilers and Process Heaters (40 CFR Part 63, Subpart DDDDD) (Renewal)</t>
  </si>
  <si>
    <t>a  The burden on existing sources to refamiliarize themselves with the rule requirements is assumed at 10 hours.</t>
  </si>
  <si>
    <t>L PM CPMS is only required for coal boilers, biomass boilers which are not 100% biomass,  and residual oil boilers which are &gt;= 250 mmBtu/hr that were construction prior to June 4, 2010. This affects approximately 207 units.</t>
  </si>
  <si>
    <t>m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were prepared. These edits are not reflected in the ICR or impacts analysis, but the changes are incorporated into the burden estimates for the final rule.</t>
  </si>
  <si>
    <t>c,L,m</t>
  </si>
  <si>
    <t>c,n</t>
  </si>
  <si>
    <t>c,o</t>
  </si>
  <si>
    <r>
      <t xml:space="preserve">j Annual testing is based on the number of existing units in the three years following promulgation of the November 20, 2015 final rule. </t>
    </r>
    <r>
      <rPr>
        <strike/>
        <sz val="6.5"/>
        <color rgb="FFFF0000"/>
        <rFont val="Arial"/>
        <family val="2"/>
      </rPr>
      <t/>
    </r>
  </si>
  <si>
    <t>n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were prepared. These edits are not reflected in the ICR or impacts analysis, but the changes are incorporated into the burden estimates for the final rule.</t>
  </si>
  <si>
    <t xml:space="preserve">c It is assumed that the affected existing units have conducted an audit, developed an initial site-specific testing and monitoring plan, and submitted initial notifications following the compliance date of January 31, 2016. It is assumed that all existing units are submitting semi-annual reports and conducting the required recordkeeping. </t>
  </si>
  <si>
    <t>c,p</t>
  </si>
  <si>
    <t>o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were prepared. These edits are not reflected in the ICR or impacts analysis, but the changes are incorporated into the burden estimates for the final rule.</t>
  </si>
  <si>
    <t>a,h</t>
  </si>
  <si>
    <t>a, j</t>
  </si>
  <si>
    <t>h PM CPMS is required for coal boilers, biomass boilers which are not 100% biomass,  and residual oil boilers which are &gt;= 250 mmBtu/hr.  It was assumed all new solid fuel boilers are firing 100% biomass.</t>
  </si>
  <si>
    <t>i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were prepared. These edits are not reflected in the ICR or impacts analysis, but the changes are incorporated into the burden estimates for the final rule.</t>
  </si>
  <si>
    <t>j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were prepared. These edits are not reflected in the ICR or impacts analysis, but the changes are incorporated into the burden estimates for the final rule.</t>
  </si>
  <si>
    <t xml:space="preserve">a  The burden on existing sources to refamiliarize themselves with the rule requirements is assumed at 5 hours for small units.  </t>
  </si>
  <si>
    <r>
      <rPr>
        <sz val="6.5"/>
        <rFont val="Arial"/>
        <family val="2"/>
      </rPr>
      <t xml:space="preserve">c It is assumed that the affected existing units have </t>
    </r>
    <r>
      <rPr>
        <strike/>
        <sz val="6.5"/>
        <rFont val="Arial"/>
        <family val="2"/>
      </rPr>
      <t>c</t>
    </r>
    <r>
      <rPr>
        <sz val="6.5"/>
        <rFont val="Arial"/>
        <family val="2"/>
      </rPr>
      <t>onducted an audit, developed an initial site-specific testing and monitoring plan, and submitted initial notifications following the compliance date of January 31, 2016. It is assumed that all existing units are submitting reports and conducting the required recordkeeping. Annualized cost of $2228 for a tune-up is calculated considering a biennual schedule.</t>
    </r>
  </si>
  <si>
    <t>i Assumes a biennial tune-up is conducted on half of all units each year. Some very small boilers (&lt;5mmBtu/hr) or  limited use boilers which operate less than 100 hours annually qualify for tune-ups every five years, however they would still incur an initial tune-up.  For the time period of this ICR, there will not be a difference in burden associated with biennial vs 5-year tune-ups for existing units.</t>
  </si>
  <si>
    <t>a  The burden on existing sources to refamiliarize themselves with the rule requirements is assumed at 5 hours for small units.</t>
  </si>
  <si>
    <t xml:space="preserve">b Number of occurences is based on the total number of affected facilities that are required to submit initial notifications (all new boilers in the large and small solid, liquid, and gaseous subcategories).  </t>
  </si>
  <si>
    <r>
      <t xml:space="preserve">f Number of occurences </t>
    </r>
    <r>
      <rPr>
        <sz val="8"/>
        <rFont val="Arial"/>
        <family val="2"/>
      </rPr>
      <t>is based on the number of units maintaining records of control device parameters.</t>
    </r>
  </si>
  <si>
    <t xml:space="preserve">(40 CFR Part 63, Subpart DDDDD) (Renewal) </t>
  </si>
  <si>
    <t xml:space="preserve">Table 2: Average Annual EPA Burden and Cost – NESHAP for Industrial, Commercial, and Institutional Boilers and Process Heaters </t>
  </si>
  <si>
    <t>Annual Burden</t>
  </si>
  <si>
    <t>New</t>
  </si>
  <si>
    <t>Existing</t>
  </si>
  <si>
    <t>Average</t>
  </si>
  <si>
    <t>Number of Respondents</t>
  </si>
  <si>
    <t>Total Existing</t>
  </si>
  <si>
    <t>ADJUSTMENTS TO NEW COAT AND NG UNIT COUNTS BASED ON SUBCATEGORY CHANGES:</t>
  </si>
  <si>
    <t xml:space="preserve">(C)
Annual Capital/Startup Cost </t>
  </si>
  <si>
    <t xml:space="preserve">(D) 
Annual O&amp;M </t>
  </si>
  <si>
    <t>(E) 
Annual O&amp;M and Annualized Capital Costs</t>
  </si>
  <si>
    <t>Number of Units (Average)</t>
  </si>
  <si>
    <t>Large Solid Units</t>
  </si>
  <si>
    <t>Large Liquid Units</t>
  </si>
  <si>
    <t>Large Gaseous Units</t>
  </si>
  <si>
    <t>Small and Limited Use Liquid Units</t>
  </si>
  <si>
    <t>Small and Limited Use Gaseous Units</t>
  </si>
  <si>
    <t>Subtotals</t>
  </si>
  <si>
    <t>Units per Year (Current)</t>
  </si>
  <si>
    <t>Respondents per Year (Current)</t>
  </si>
  <si>
    <t xml:space="preserve">New Respondents per Year </t>
  </si>
  <si>
    <t xml:space="preserve">New Units Per Year </t>
  </si>
  <si>
    <t xml:space="preserve">Total Units </t>
  </si>
  <si>
    <t xml:space="preserve">Total Respondents </t>
  </si>
  <si>
    <t>p Totals have been rounded to 3 significant figures. Figures may not add exactly due to rounding.</t>
  </si>
  <si>
    <t>TOTAL BURDEN AND COST (rounded)</t>
  </si>
  <si>
    <r>
      <t xml:space="preserve">n Number of occurences is based number of affected facilities which submit monitoring plan, all </t>
    </r>
    <r>
      <rPr>
        <strike/>
        <sz val="8"/>
        <rFont val="Arial"/>
        <family val="2"/>
      </rPr>
      <t xml:space="preserve">new and </t>
    </r>
    <r>
      <rPr>
        <sz val="8"/>
        <rFont val="Arial"/>
        <family val="2"/>
      </rPr>
      <t>existing large units are required to submit this.</t>
    </r>
  </si>
  <si>
    <t>k The recordkeeping and reporting requirements for natural gas fired units is to conduct an annual tune-up and document that the tune-up was completed. The documentation does not need to be submitted as a report unless requested by the Administrator.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</si>
  <si>
    <t>n For on-going training activities to keep personnel updated in order to implement compliance activities. Assumes half of respondents will conduct training each year.</t>
  </si>
  <si>
    <t>i Annual testing is based on the average number of existing units.</t>
  </si>
  <si>
    <t>k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</si>
  <si>
    <t>L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</si>
  <si>
    <t>edited footnote</t>
  </si>
  <si>
    <t>k For on-going training activities to keep personnel updated in order to implement compliance activities. Assumes half of respondents will conduct training each year.</t>
  </si>
  <si>
    <t>f For on-going training activities to keep personnel updated in order to implement compliance activities. Assumes half of respondents will conduct training each year.</t>
  </si>
  <si>
    <t>g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</si>
  <si>
    <t>f Process gas units are expected to demonstrate compliance with a stack test instead of a fuel analysis. However no new process gas units were estimated.</t>
  </si>
  <si>
    <t>f For on-going training activities to keep personnel updated in order to implement compliance activities. Assumes all new respondents will conduct training.</t>
  </si>
  <si>
    <t>g For on-going training activities to keep personnel updated in order to implement compliance activities. Assumes all new respondents will conduct training.</t>
  </si>
  <si>
    <t>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</si>
  <si>
    <t>h For on-going training activities to keep personnel updated in order to implement compliance activities. Assumes half of respondents will conduct training each year.</t>
  </si>
  <si>
    <t>Should this be 5 existing respondents, see year 1 totals in table 3</t>
  </si>
  <si>
    <t>c For on-going training activities to keep personnel updated in order to implement compliance activities. Assumes all new respondents will conduct training.</t>
  </si>
  <si>
    <r>
      <t>Small and Limited Use Solid Units</t>
    </r>
    <r>
      <rPr>
        <vertAlign val="superscript"/>
        <sz val="10"/>
        <color rgb="FF000000"/>
        <rFont val="Times New Roman"/>
        <family val="1"/>
      </rPr>
      <t>a</t>
    </r>
  </si>
  <si>
    <t>a For new small solid-fuel units, only one new respondent is anticipated for the duration of the three year period.</t>
  </si>
  <si>
    <t xml:space="preserve">Table 3: Respondents and Units by Subcategory – NESHAP for Industrial, Commercial, and Institutional Boilers and Process Heaters </t>
  </si>
  <si>
    <t>No. Response per Respondent</t>
  </si>
  <si>
    <t>Total Annual Response</t>
  </si>
  <si>
    <t xml:space="preserve">a Number of hours for agency staff to refamiliarize themselves with the rule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</si>
</sst>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 numFmtId="168" formatCode="_(&quot;$&quot;* #,##0_);_(&quot;$&quot;* \(#,##0\);_(&quot;$&quot;* &quot;-&quot;??_);_(@_)"/>
    <numFmt numFmtId="169" formatCode="0.0"/>
    <numFmt numFmtId="170" formatCode="#,##0.0"/>
  </numFmts>
  <fonts count="6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7"/>
      <name val="Arial"/>
      <family val="2"/>
    </font>
    <font>
      <b/>
      <sz val="7"/>
      <name val="Arial"/>
      <family val="2"/>
    </font>
    <font>
      <sz val="6.5"/>
      <name val="Arial"/>
      <family val="2"/>
    </font>
    <font>
      <sz val="8"/>
      <name val="Arial"/>
      <family val="2"/>
    </font>
    <font>
      <sz val="10"/>
      <name val="Arial"/>
      <family val="2"/>
    </font>
    <font>
      <b/>
      <sz val="10"/>
      <name val="Arial"/>
      <family val="2"/>
    </font>
    <font>
      <b/>
      <u/>
      <sz val="10"/>
      <name val="Arial"/>
      <family val="2"/>
    </font>
    <font>
      <b/>
      <sz val="7"/>
      <color indexed="10"/>
      <name val="Arial"/>
      <family val="2"/>
    </font>
    <font>
      <i/>
      <sz val="7"/>
      <name val="Arial"/>
      <family val="2"/>
    </font>
    <font>
      <sz val="8"/>
      <name val="Times New Roman"/>
      <family val="1"/>
    </font>
    <font>
      <sz val="10"/>
      <color indexed="8"/>
      <name val="Arial"/>
      <family val="2"/>
    </font>
    <font>
      <sz val="8"/>
      <color indexed="8"/>
      <name val="Arial"/>
      <family val="2"/>
    </font>
    <font>
      <vertAlign val="superscript"/>
      <sz val="10"/>
      <name val="Arial"/>
      <family val="2"/>
    </font>
    <font>
      <b/>
      <sz val="10"/>
      <name val="Arial"/>
      <family val="2"/>
    </font>
    <font>
      <b/>
      <sz val="8"/>
      <color indexed="10"/>
      <name val="Arial"/>
      <family val="2"/>
    </font>
    <font>
      <sz val="10"/>
      <color indexed="8"/>
      <name val="Times New Roman"/>
      <family val="1"/>
    </font>
    <font>
      <sz val="10"/>
      <name val="Times New Roman"/>
      <family val="1"/>
    </font>
    <font>
      <i/>
      <sz val="8"/>
      <name val="Arial"/>
      <family val="2"/>
    </font>
    <font>
      <sz val="7"/>
      <color rgb="FFFF0000"/>
      <name val="Arial"/>
      <family val="2"/>
    </font>
    <font>
      <sz val="10"/>
      <name val="Arial"/>
      <family val="2"/>
    </font>
    <font>
      <sz val="10"/>
      <color rgb="FFFF0000"/>
      <name val="Arial"/>
      <family val="2"/>
    </font>
    <font>
      <b/>
      <strike/>
      <sz val="10"/>
      <color rgb="FFFF0000"/>
      <name val="Arial"/>
      <family val="2"/>
    </font>
    <font>
      <strike/>
      <sz val="10"/>
      <color rgb="FFFF0000"/>
      <name val="Arial"/>
      <family val="2"/>
    </font>
    <font>
      <sz val="8"/>
      <color rgb="FFFF0000"/>
      <name val="Arial"/>
      <family val="2"/>
    </font>
    <font>
      <sz val="11"/>
      <color indexed="8"/>
      <name val="Calibri"/>
      <family val="2"/>
    </font>
    <font>
      <sz val="11"/>
      <color rgb="FFFF0000"/>
      <name val="Calibri"/>
      <family val="2"/>
    </font>
    <font>
      <u/>
      <sz val="10"/>
      <name val="Arial"/>
      <family val="2"/>
    </font>
    <font>
      <b/>
      <sz val="12"/>
      <name val="Times New Roman"/>
      <family val="1"/>
    </font>
    <font>
      <sz val="8"/>
      <color indexed="81"/>
      <name val="Tahoma"/>
      <family val="2"/>
    </font>
    <font>
      <b/>
      <sz val="8"/>
      <color indexed="81"/>
      <name val="Tahoma"/>
      <family val="2"/>
    </font>
    <font>
      <sz val="11"/>
      <name val="Calibri"/>
      <family val="2"/>
      <scheme val="minor"/>
    </font>
    <font>
      <b/>
      <sz val="7"/>
      <color rgb="FFFF0000"/>
      <name val="Arial"/>
      <family val="2"/>
    </font>
    <font>
      <b/>
      <sz val="8"/>
      <color rgb="FFFF0000"/>
      <name val="Arial"/>
      <family val="2"/>
    </font>
    <font>
      <sz val="6.5"/>
      <color rgb="FFFF0000"/>
      <name val="Arial"/>
      <family val="2"/>
    </font>
    <font>
      <b/>
      <sz val="10"/>
      <color rgb="FFFF0000"/>
      <name val="Arial"/>
      <family val="2"/>
    </font>
    <font>
      <u/>
      <sz val="8.5"/>
      <color theme="10"/>
      <name val="Arial"/>
      <family val="2"/>
    </font>
    <font>
      <sz val="8"/>
      <color theme="0" tint="-0.14999847407452621"/>
      <name val="Arial"/>
      <family val="2"/>
    </font>
    <font>
      <sz val="10"/>
      <color rgb="FFFF0000"/>
      <name val="Times New Roman"/>
      <family val="1"/>
    </font>
    <font>
      <sz val="12"/>
      <color rgb="FF000000"/>
      <name val="Times New Roman"/>
      <family val="1"/>
    </font>
    <font>
      <b/>
      <i/>
      <sz val="7"/>
      <name val="Arial"/>
      <family val="2"/>
    </font>
    <font>
      <b/>
      <sz val="10"/>
      <name val="Times New Roman"/>
      <family val="1"/>
    </font>
    <font>
      <strike/>
      <sz val="6.5"/>
      <color rgb="FFFF0000"/>
      <name val="Arial"/>
      <family val="2"/>
    </font>
    <font>
      <sz val="9"/>
      <color indexed="81"/>
      <name val="Tahoma"/>
      <family val="2"/>
    </font>
    <font>
      <b/>
      <sz val="9"/>
      <color indexed="81"/>
      <name val="Tahoma"/>
      <family val="2"/>
    </font>
    <font>
      <sz val="10"/>
      <color rgb="FF0070C0"/>
      <name val="Arial"/>
      <family val="2"/>
    </font>
    <font>
      <b/>
      <sz val="10"/>
      <color rgb="FF0070C0"/>
      <name val="Arial"/>
      <family val="2"/>
    </font>
    <font>
      <strike/>
      <sz val="6.5"/>
      <name val="Arial"/>
      <family val="2"/>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i/>
      <sz val="10"/>
      <color rgb="FF000000"/>
      <name val="Times New Roman"/>
      <family val="1"/>
    </font>
    <font>
      <b/>
      <vertAlign val="superscript"/>
      <sz val="10"/>
      <color rgb="FF000000"/>
      <name val="Times New Roman"/>
      <family val="1"/>
    </font>
    <font>
      <b/>
      <sz val="11"/>
      <color rgb="FFFF0000"/>
      <name val="Arial"/>
      <family val="2"/>
    </font>
    <font>
      <b/>
      <sz val="10"/>
      <color rgb="FFFF0000"/>
      <name val="Times New Roman"/>
      <family val="1"/>
    </font>
    <font>
      <strike/>
      <sz val="7"/>
      <name val="Arial"/>
      <family val="2"/>
    </font>
    <font>
      <sz val="10"/>
      <color theme="0"/>
      <name val="Arial"/>
      <family val="2"/>
    </font>
    <font>
      <strike/>
      <sz val="8"/>
      <name val="Arial"/>
      <family val="2"/>
    </font>
    <font>
      <i/>
      <sz val="10"/>
      <color rgb="FF000000"/>
      <name val="Times New Roman"/>
      <family val="1"/>
    </font>
  </fonts>
  <fills count="24">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0"/>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bottom/>
      <diagonal/>
    </border>
    <border>
      <left style="medium">
        <color rgb="FF000000"/>
      </left>
      <right style="medium">
        <color rgb="FFFFFFFF"/>
      </right>
      <top/>
      <bottom/>
      <diagonal/>
    </border>
    <border>
      <left/>
      <right/>
      <top style="medium">
        <color indexed="64"/>
      </top>
      <bottom style="medium">
        <color indexed="64"/>
      </bottom>
      <diagonal/>
    </border>
    <border>
      <left style="medium">
        <color rgb="FF000000"/>
      </left>
      <right style="medium">
        <color rgb="FFFFFFFF"/>
      </right>
      <top style="medium">
        <color rgb="FF000000"/>
      </top>
      <bottom/>
      <diagonal/>
    </border>
    <border>
      <left style="medium">
        <color rgb="FF000000"/>
      </left>
      <right style="medium">
        <color rgb="FFFFFFFF"/>
      </right>
      <top/>
      <bottom style="medium">
        <color rgb="FFFFFFFF"/>
      </bottom>
      <diagonal/>
    </border>
    <border>
      <left/>
      <right style="medium">
        <color rgb="FFFFFFFF"/>
      </right>
      <top style="medium">
        <color rgb="FF000000"/>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diagonal/>
    </border>
  </borders>
  <cellStyleXfs count="19">
    <xf numFmtId="0" fontId="0" fillId="0" borderId="0"/>
    <xf numFmtId="43" fontId="3" fillId="0" borderId="0" applyFont="0" applyFill="0" applyBorder="0" applyAlignment="0" applyProtection="0"/>
    <xf numFmtId="44" fontId="3" fillId="0" borderId="0" applyFont="0" applyFill="0" applyBorder="0" applyAlignment="0" applyProtection="0"/>
    <xf numFmtId="0" fontId="16" fillId="0" borderId="0"/>
    <xf numFmtId="9" fontId="3" fillId="0" borderId="0" applyFont="0" applyFill="0" applyBorder="0" applyAlignment="0" applyProtection="0"/>
    <xf numFmtId="0" fontId="2" fillId="0" borderId="0"/>
    <xf numFmtId="0" fontId="25"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0" fontId="3" fillId="0" borderId="0"/>
    <xf numFmtId="0" fontId="16" fillId="0" borderId="0"/>
    <xf numFmtId="0" fontId="41" fillId="0" borderId="0" applyNumberFormat="0" applyFill="0" applyBorder="0" applyAlignment="0" applyProtection="0">
      <alignment vertical="top"/>
      <protection locked="0"/>
    </xf>
  </cellStyleXfs>
  <cellXfs count="775">
    <xf numFmtId="0" fontId="0" fillId="0" borderId="0" xfId="0"/>
    <xf numFmtId="0" fontId="4" fillId="0" borderId="0" xfId="0" applyFont="1"/>
    <xf numFmtId="0" fontId="5" fillId="0" borderId="0" xfId="0" applyFont="1"/>
    <xf numFmtId="0" fontId="6" fillId="0" borderId="0" xfId="0" applyFont="1" applyAlignment="1">
      <alignment wrapText="1"/>
    </xf>
    <xf numFmtId="0" fontId="6" fillId="0" borderId="0" xfId="0" applyFont="1"/>
    <xf numFmtId="0" fontId="4" fillId="0" borderId="0" xfId="0" applyFont="1" applyAlignment="1">
      <alignment horizontal="center"/>
    </xf>
    <xf numFmtId="3" fontId="4" fillId="0" borderId="0" xfId="0" applyNumberFormat="1" applyFont="1" applyAlignment="1">
      <alignment horizontal="center"/>
    </xf>
    <xf numFmtId="1" fontId="4" fillId="0" borderId="0" xfId="0" applyNumberFormat="1" applyFont="1" applyAlignment="1">
      <alignment horizontal="center"/>
    </xf>
    <xf numFmtId="0" fontId="6" fillId="0" borderId="1" xfId="0" applyFont="1" applyBorder="1" applyAlignment="1">
      <alignment horizontal="center" wrapText="1"/>
    </xf>
    <xf numFmtId="0" fontId="8" fillId="0" borderId="0" xfId="0" applyFont="1"/>
    <xf numFmtId="0" fontId="8" fillId="0" borderId="0" xfId="0" applyFont="1" applyAlignment="1">
      <alignment horizontal="center"/>
    </xf>
    <xf numFmtId="1" fontId="8" fillId="0" borderId="0" xfId="0" applyNumberFormat="1" applyFont="1" applyAlignment="1">
      <alignment horizontal="center"/>
    </xf>
    <xf numFmtId="3" fontId="8" fillId="0" borderId="0" xfId="0" applyNumberFormat="1" applyFont="1" applyAlignment="1">
      <alignment horizontal="center"/>
    </xf>
    <xf numFmtId="0" fontId="6" fillId="0" borderId="2" xfId="0" applyFont="1" applyBorder="1" applyAlignment="1">
      <alignment horizontal="center"/>
    </xf>
    <xf numFmtId="3" fontId="6" fillId="0" borderId="2" xfId="0" applyNumberFormat="1" applyFont="1" applyBorder="1" applyAlignment="1">
      <alignment horizontal="center"/>
    </xf>
    <xf numFmtId="0" fontId="7" fillId="0" borderId="6" xfId="0" applyFont="1" applyBorder="1" applyAlignment="1">
      <alignment horizontal="center"/>
    </xf>
    <xf numFmtId="0" fontId="5" fillId="0" borderId="7" xfId="0" applyFont="1" applyBorder="1" applyAlignment="1">
      <alignment horizontal="center"/>
    </xf>
    <xf numFmtId="1" fontId="5" fillId="0" borderId="7" xfId="0" applyNumberFormat="1" applyFont="1" applyBorder="1" applyAlignment="1">
      <alignment horizontal="center"/>
    </xf>
    <xf numFmtId="3" fontId="7" fillId="0" borderId="7" xfId="0" applyNumberFormat="1" applyFont="1" applyBorder="1" applyAlignment="1">
      <alignment horizontal="center"/>
    </xf>
    <xf numFmtId="0" fontId="6" fillId="0" borderId="8" xfId="0" applyFont="1" applyBorder="1" applyAlignment="1">
      <alignment horizontal="center"/>
    </xf>
    <xf numFmtId="165" fontId="6" fillId="0" borderId="0" xfId="0" applyNumberFormat="1" applyFont="1"/>
    <xf numFmtId="0" fontId="10" fillId="0" borderId="1" xfId="0" applyFont="1" applyBorder="1"/>
    <xf numFmtId="0" fontId="11" fillId="2" borderId="1" xfId="0" applyFont="1" applyFill="1" applyBorder="1"/>
    <xf numFmtId="0" fontId="12" fillId="0" borderId="0" xfId="0" applyFont="1"/>
    <xf numFmtId="0" fontId="0" fillId="0" borderId="1" xfId="0" applyBorder="1"/>
    <xf numFmtId="0" fontId="6" fillId="0" borderId="0" xfId="0" applyFont="1" applyAlignment="1">
      <alignment horizontal="right"/>
    </xf>
    <xf numFmtId="166" fontId="6" fillId="0" borderId="2" xfId="0" applyNumberFormat="1" applyFont="1" applyBorder="1" applyAlignment="1">
      <alignment horizontal="center"/>
    </xf>
    <xf numFmtId="166" fontId="7" fillId="0" borderId="7" xfId="0" applyNumberFormat="1" applyFont="1" applyBorder="1" applyAlignment="1">
      <alignment horizontal="center"/>
    </xf>
    <xf numFmtId="165" fontId="0" fillId="0" borderId="1" xfId="0" applyNumberFormat="1" applyBorder="1"/>
    <xf numFmtId="0" fontId="0" fillId="0" borderId="0" xfId="0" applyFill="1" applyBorder="1"/>
    <xf numFmtId="0" fontId="11" fillId="0" borderId="0" xfId="0" applyFont="1" applyFill="1" applyBorder="1"/>
    <xf numFmtId="0" fontId="6" fillId="0" borderId="2" xfId="0" applyFont="1" applyFill="1" applyBorder="1" applyAlignment="1">
      <alignment horizontal="center"/>
    </xf>
    <xf numFmtId="0" fontId="6" fillId="0" borderId="1" xfId="0" applyFont="1" applyFill="1" applyBorder="1" applyAlignment="1">
      <alignment horizontal="center" wrapText="1"/>
    </xf>
    <xf numFmtId="0" fontId="5" fillId="0" borderId="9" xfId="0" applyFont="1" applyBorder="1" applyAlignment="1">
      <alignment horizontal="center"/>
    </xf>
    <xf numFmtId="0" fontId="0" fillId="0" borderId="1" xfId="0" applyBorder="1" applyAlignment="1">
      <alignment vertical="center" wrapText="1"/>
    </xf>
    <xf numFmtId="165" fontId="0" fillId="0" borderId="1" xfId="0" applyNumberFormat="1" applyBorder="1" applyAlignment="1">
      <alignment vertical="center"/>
    </xf>
    <xf numFmtId="3" fontId="6" fillId="0" borderId="2" xfId="1" applyNumberFormat="1" applyFont="1" applyBorder="1" applyAlignment="1">
      <alignment horizontal="center"/>
    </xf>
    <xf numFmtId="166" fontId="6" fillId="0" borderId="2" xfId="0" applyNumberFormat="1" applyFont="1" applyFill="1" applyBorder="1" applyAlignment="1">
      <alignment horizontal="center"/>
    </xf>
    <xf numFmtId="0" fontId="8"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center"/>
    </xf>
    <xf numFmtId="0" fontId="8" fillId="0" borderId="0" xfId="0" applyFont="1" applyFill="1" applyAlignment="1">
      <alignment horizontal="center"/>
    </xf>
    <xf numFmtId="1" fontId="8" fillId="0" borderId="0" xfId="0" applyNumberFormat="1" applyFont="1" applyFill="1" applyAlignment="1">
      <alignment horizontal="center"/>
    </xf>
    <xf numFmtId="1" fontId="6" fillId="0" borderId="1" xfId="0" applyNumberFormat="1" applyFont="1" applyFill="1" applyBorder="1" applyAlignment="1">
      <alignment horizontal="center" wrapText="1"/>
    </xf>
    <xf numFmtId="0" fontId="8" fillId="0" borderId="0" xfId="0" applyFont="1" applyAlignment="1">
      <alignment horizontal="left" wrapText="1"/>
    </xf>
    <xf numFmtId="1"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0" fillId="0" borderId="0" xfId="0" applyFont="1" applyFill="1" applyBorder="1"/>
    <xf numFmtId="0" fontId="0" fillId="0" borderId="1" xfId="0" applyFill="1" applyBorder="1"/>
    <xf numFmtId="0" fontId="0" fillId="0" borderId="1" xfId="0"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ill="1" applyBorder="1" applyAlignment="1"/>
    <xf numFmtId="0" fontId="11" fillId="2" borderId="1" xfId="0" applyFont="1" applyFill="1" applyBorder="1" applyAlignment="1">
      <alignment vertical="center" wrapText="1"/>
    </xf>
    <xf numFmtId="1" fontId="0" fillId="0" borderId="1" xfId="0" applyNumberFormat="1" applyFill="1" applyBorder="1"/>
    <xf numFmtId="0" fontId="11" fillId="0" borderId="0" xfId="0" applyFont="1"/>
    <xf numFmtId="0" fontId="10" fillId="0" borderId="0" xfId="0" applyFont="1"/>
    <xf numFmtId="0" fontId="9" fillId="0" borderId="0" xfId="0" applyFont="1"/>
    <xf numFmtId="0" fontId="9" fillId="0" borderId="0" xfId="0" applyFont="1" applyAlignment="1">
      <alignment wrapText="1"/>
    </xf>
    <xf numFmtId="0" fontId="0" fillId="0" borderId="0" xfId="0" applyAlignment="1">
      <alignment wrapText="1"/>
    </xf>
    <xf numFmtId="0" fontId="0" fillId="0" borderId="0" xfId="0" applyFill="1"/>
    <xf numFmtId="3" fontId="6" fillId="0" borderId="2" xfId="1" applyNumberFormat="1" applyFont="1" applyFill="1" applyBorder="1" applyAlignment="1">
      <alignment horizontal="center"/>
    </xf>
    <xf numFmtId="3" fontId="6" fillId="0" borderId="2" xfId="0"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8" xfId="0" applyFont="1" applyFill="1" applyBorder="1" applyAlignment="1">
      <alignment horizontal="center"/>
    </xf>
    <xf numFmtId="166" fontId="13" fillId="0" borderId="2" xfId="0" applyNumberFormat="1" applyFont="1" applyFill="1" applyBorder="1" applyAlignment="1">
      <alignment horizontal="center"/>
    </xf>
    <xf numFmtId="3" fontId="13" fillId="0" borderId="2" xfId="1" applyNumberFormat="1" applyFont="1" applyFill="1" applyBorder="1" applyAlignment="1">
      <alignment horizontal="center"/>
    </xf>
    <xf numFmtId="0" fontId="8" fillId="0" borderId="0" xfId="0" applyNumberFormat="1" applyFont="1" applyFill="1"/>
    <xf numFmtId="3" fontId="6" fillId="0" borderId="1" xfId="0" applyNumberFormat="1" applyFont="1" applyFill="1" applyBorder="1" applyAlignment="1">
      <alignment horizontal="center" wrapText="1"/>
    </xf>
    <xf numFmtId="0" fontId="15" fillId="0" borderId="12" xfId="0" applyFont="1" applyBorder="1" applyAlignment="1">
      <alignment wrapText="1"/>
    </xf>
    <xf numFmtId="1" fontId="9" fillId="0" borderId="0" xfId="0" applyNumberFormat="1" applyFont="1"/>
    <xf numFmtId="0" fontId="17" fillId="0" borderId="0" xfId="3" applyFont="1" applyFill="1" applyBorder="1" applyAlignment="1">
      <alignment horizontal="left"/>
    </xf>
    <xf numFmtId="0" fontId="8" fillId="0" borderId="0" xfId="0" applyFont="1" applyFill="1" applyBorder="1" applyAlignment="1">
      <alignment horizontal="center"/>
    </xf>
    <xf numFmtId="166" fontId="0" fillId="0" borderId="1" xfId="0" applyNumberFormat="1" applyBorder="1"/>
    <xf numFmtId="9" fontId="0" fillId="0" borderId="1" xfId="0" applyNumberFormat="1" applyBorder="1"/>
    <xf numFmtId="0" fontId="4" fillId="0" borderId="0" xfId="0" applyFont="1" applyFill="1"/>
    <xf numFmtId="0" fontId="4" fillId="0" borderId="0" xfId="0" applyFont="1" applyFill="1" applyAlignment="1">
      <alignment horizontal="center" wrapText="1"/>
    </xf>
    <xf numFmtId="3" fontId="4" fillId="0" borderId="0" xfId="0" applyNumberFormat="1" applyFont="1" applyFill="1" applyAlignment="1">
      <alignment horizontal="center" wrapText="1"/>
    </xf>
    <xf numFmtId="3" fontId="0" fillId="0" borderId="0" xfId="0" applyNumberFormat="1" applyFill="1" applyBorder="1" applyAlignment="1">
      <alignment horizontal="center" wrapText="1"/>
    </xf>
    <xf numFmtId="0" fontId="8" fillId="0" borderId="0" xfId="0" applyFont="1" applyFill="1" applyAlignment="1">
      <alignment wrapText="1"/>
    </xf>
    <xf numFmtId="0" fontId="8" fillId="0" borderId="0" xfId="0" applyFont="1" applyFill="1" applyAlignment="1"/>
    <xf numFmtId="0" fontId="4" fillId="0" borderId="0" xfId="0" applyFont="1" applyFill="1" applyBorder="1"/>
    <xf numFmtId="0" fontId="11" fillId="0" borderId="0" xfId="0" applyFont="1" applyFill="1"/>
    <xf numFmtId="0" fontId="9" fillId="0" borderId="0" xfId="0" applyFont="1" applyFill="1"/>
    <xf numFmtId="0" fontId="20" fillId="0" borderId="0" xfId="0" applyFont="1"/>
    <xf numFmtId="0" fontId="8" fillId="0" borderId="0" xfId="0" applyFont="1" applyFill="1" applyBorder="1"/>
    <xf numFmtId="1" fontId="8" fillId="0" borderId="0" xfId="0" applyNumberFormat="1" applyFont="1" applyFill="1" applyBorder="1" applyAlignment="1">
      <alignment horizontal="center"/>
    </xf>
    <xf numFmtId="3" fontId="8" fillId="0" borderId="0" xfId="0" applyNumberFormat="1" applyFont="1" applyFill="1" applyBorder="1" applyAlignment="1">
      <alignment horizontal="center"/>
    </xf>
    <xf numFmtId="0" fontId="6" fillId="0" borderId="3" xfId="0" applyFont="1" applyFill="1" applyBorder="1"/>
    <xf numFmtId="0" fontId="6" fillId="0" borderId="3" xfId="0" applyFont="1" applyFill="1" applyBorder="1" applyAlignment="1">
      <alignment wrapText="1"/>
    </xf>
    <xf numFmtId="0" fontId="6" fillId="0" borderId="3" xfId="0" applyFont="1" applyFill="1" applyBorder="1" applyAlignment="1">
      <alignment horizontal="left" indent="2"/>
    </xf>
    <xf numFmtId="0" fontId="14" fillId="0" borderId="3" xfId="0" applyFont="1" applyFill="1" applyBorder="1" applyAlignment="1"/>
    <xf numFmtId="0" fontId="6" fillId="0" borderId="19" xfId="0" applyFont="1" applyFill="1" applyBorder="1"/>
    <xf numFmtId="0" fontId="6" fillId="0" borderId="0" xfId="0" applyFont="1" applyFill="1"/>
    <xf numFmtId="0" fontId="14" fillId="0" borderId="3" xfId="0" applyFont="1" applyFill="1" applyBorder="1" applyAlignment="1">
      <alignment wrapText="1"/>
    </xf>
    <xf numFmtId="166" fontId="6" fillId="0" borderId="0" xfId="0" applyNumberFormat="1" applyFont="1" applyFill="1"/>
    <xf numFmtId="166" fontId="6" fillId="0" borderId="0" xfId="0" applyNumberFormat="1" applyFont="1" applyFill="1" applyAlignment="1">
      <alignment horizontal="right"/>
    </xf>
    <xf numFmtId="0" fontId="8" fillId="0" borderId="0" xfId="0" applyFont="1" applyFill="1" applyAlignment="1">
      <alignment horizontal="left"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wrapText="1" indent="2"/>
    </xf>
    <xf numFmtId="0" fontId="6" fillId="0" borderId="4" xfId="0" applyFont="1" applyFill="1" applyBorder="1"/>
    <xf numFmtId="0" fontId="6" fillId="0" borderId="5" xfId="0" applyFont="1" applyFill="1" applyBorder="1" applyAlignment="1">
      <alignment horizontal="center"/>
    </xf>
    <xf numFmtId="0" fontId="14" fillId="0" borderId="10" xfId="0" applyFont="1" applyFill="1" applyBorder="1"/>
    <xf numFmtId="166" fontId="6" fillId="0" borderId="5" xfId="0" applyNumberFormat="1" applyFont="1" applyFill="1" applyBorder="1" applyAlignment="1">
      <alignment horizontal="center"/>
    </xf>
    <xf numFmtId="0" fontId="6" fillId="0" borderId="1" xfId="0" applyFont="1" applyFill="1" applyBorder="1" applyAlignment="1">
      <alignment horizontal="center" textRotation="90" wrapText="1"/>
    </xf>
    <xf numFmtId="3" fontId="6" fillId="0" borderId="5" xfId="0" applyNumberFormat="1" applyFont="1" applyFill="1" applyBorder="1" applyAlignment="1">
      <alignment horizontal="center"/>
    </xf>
    <xf numFmtId="0" fontId="6" fillId="0" borderId="0" xfId="0" applyFont="1" applyFill="1" applyAlignment="1">
      <alignment horizontal="right"/>
    </xf>
    <xf numFmtId="0" fontId="5" fillId="0" borderId="0" xfId="0" applyFont="1" applyFill="1"/>
    <xf numFmtId="0" fontId="7" fillId="0" borderId="6" xfId="0" applyFont="1" applyFill="1" applyBorder="1" applyAlignment="1">
      <alignment horizontal="center"/>
    </xf>
    <xf numFmtId="0" fontId="5" fillId="0" borderId="7" xfId="0" applyFont="1" applyFill="1" applyBorder="1" applyAlignment="1">
      <alignment horizontal="center"/>
    </xf>
    <xf numFmtId="166" fontId="5" fillId="0" borderId="7" xfId="0" applyNumberFormat="1" applyFont="1" applyFill="1" applyBorder="1" applyAlignment="1">
      <alignment horizontal="center"/>
    </xf>
    <xf numFmtId="1" fontId="5" fillId="0" borderId="7" xfId="0" applyNumberFormat="1" applyFont="1" applyFill="1" applyBorder="1" applyAlignment="1">
      <alignment horizontal="center"/>
    </xf>
    <xf numFmtId="3" fontId="7" fillId="0" borderId="7" xfId="0" applyNumberFormat="1" applyFont="1" applyFill="1" applyBorder="1" applyAlignment="1">
      <alignment horizontal="center"/>
    </xf>
    <xf numFmtId="166" fontId="7" fillId="0" borderId="7" xfId="0" applyNumberFormat="1" applyFont="1" applyFill="1" applyBorder="1" applyAlignment="1">
      <alignment horizontal="center"/>
    </xf>
    <xf numFmtId="0" fontId="5" fillId="0" borderId="9" xfId="0" applyFont="1" applyFill="1" applyBorder="1" applyAlignment="1">
      <alignment horizontal="center"/>
    </xf>
    <xf numFmtId="0" fontId="6" fillId="0" borderId="0" xfId="0" applyFont="1" applyFill="1" applyAlignment="1">
      <alignment wrapText="1"/>
    </xf>
    <xf numFmtId="0" fontId="6" fillId="0" borderId="4" xfId="0" applyFont="1" applyFill="1" applyBorder="1" applyAlignment="1">
      <alignment wrapText="1"/>
    </xf>
    <xf numFmtId="165" fontId="6" fillId="0" borderId="0" xfId="0" applyNumberFormat="1" applyFont="1" applyFill="1"/>
    <xf numFmtId="3" fontId="4" fillId="0" borderId="0" xfId="0" applyNumberFormat="1" applyFont="1" applyFill="1" applyAlignment="1">
      <alignment horizontal="center"/>
    </xf>
    <xf numFmtId="3" fontId="8" fillId="0" borderId="0" xfId="0" applyNumberFormat="1" applyFon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0" fontId="0" fillId="0" borderId="0" xfId="0" applyFill="1" applyAlignment="1">
      <alignment horizontal="center"/>
    </xf>
    <xf numFmtId="0" fontId="10" fillId="0" borderId="24" xfId="0" applyFont="1" applyFill="1" applyBorder="1"/>
    <xf numFmtId="0" fontId="10" fillId="0" borderId="25" xfId="0" applyFont="1" applyFill="1" applyBorder="1"/>
    <xf numFmtId="0" fontId="10" fillId="0" borderId="26" xfId="0" applyFont="1" applyFill="1" applyBorder="1" applyAlignment="1">
      <alignment horizontal="center" wrapText="1"/>
    </xf>
    <xf numFmtId="3" fontId="10" fillId="0" borderId="26" xfId="0" applyNumberFormat="1" applyFont="1" applyFill="1" applyBorder="1" applyAlignment="1">
      <alignment horizontal="center" wrapText="1"/>
    </xf>
    <xf numFmtId="0" fontId="10" fillId="0" borderId="27" xfId="0" applyFont="1" applyFill="1" applyBorder="1" applyAlignment="1">
      <alignment horizontal="center" textRotation="90"/>
    </xf>
    <xf numFmtId="0" fontId="0" fillId="0" borderId="0" xfId="0"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centerContinuous" vertical="center"/>
    </xf>
    <xf numFmtId="0" fontId="19" fillId="0" borderId="0" xfId="0" applyFont="1" applyFill="1" applyBorder="1" applyAlignment="1">
      <alignment horizontal="centerContinuous" vertical="center" wrapText="1"/>
    </xf>
    <xf numFmtId="3" fontId="0" fillId="0" borderId="0" xfId="0" quotePrefix="1" applyNumberFormat="1" applyFill="1" applyAlignment="1">
      <alignment horizontal="center" wrapText="1"/>
    </xf>
    <xf numFmtId="166" fontId="0" fillId="0" borderId="0" xfId="0" applyNumberFormat="1" applyFill="1" applyAlignment="1">
      <alignment horizontal="center" wrapText="1"/>
    </xf>
    <xf numFmtId="0" fontId="9" fillId="2" borderId="23" xfId="0" applyFont="1" applyFill="1" applyBorder="1" applyAlignment="1">
      <alignment horizontal="center"/>
    </xf>
    <xf numFmtId="0" fontId="11" fillId="2" borderId="20" xfId="0" applyFont="1" applyFill="1" applyBorder="1" applyAlignment="1">
      <alignment horizontal="center"/>
    </xf>
    <xf numFmtId="0" fontId="6" fillId="0" borderId="2" xfId="0" applyFont="1" applyFill="1" applyBorder="1"/>
    <xf numFmtId="0" fontId="6" fillId="0" borderId="32" xfId="0" applyFont="1" applyFill="1" applyBorder="1" applyAlignment="1">
      <alignment horizontal="center"/>
    </xf>
    <xf numFmtId="166" fontId="6" fillId="0" borderId="32" xfId="0" applyNumberFormat="1" applyFont="1" applyFill="1" applyBorder="1" applyAlignment="1">
      <alignment horizontal="center"/>
    </xf>
    <xf numFmtId="3" fontId="6" fillId="0" borderId="32" xfId="0" applyNumberFormat="1" applyFont="1" applyFill="1" applyBorder="1" applyAlignment="1">
      <alignment horizontal="center"/>
    </xf>
    <xf numFmtId="0" fontId="6" fillId="0" borderId="33" xfId="0" applyFont="1" applyFill="1" applyBorder="1" applyAlignment="1">
      <alignment horizontal="center"/>
    </xf>
    <xf numFmtId="0" fontId="6" fillId="0" borderId="31" xfId="0" applyFont="1" applyFill="1" applyBorder="1" applyAlignment="1">
      <alignment horizontal="center"/>
    </xf>
    <xf numFmtId="0" fontId="14" fillId="0" borderId="34" xfId="0" applyFont="1" applyFill="1" applyBorder="1"/>
    <xf numFmtId="0" fontId="14" fillId="0" borderId="34" xfId="0" applyFont="1" applyFill="1" applyBorder="1" applyAlignment="1">
      <alignment wrapText="1"/>
    </xf>
    <xf numFmtId="49" fontId="10" fillId="0" borderId="36" xfId="0" applyNumberFormat="1" applyFont="1" applyFill="1" applyBorder="1"/>
    <xf numFmtId="0" fontId="10" fillId="0" borderId="5" xfId="0" applyFont="1" applyFill="1" applyBorder="1"/>
    <xf numFmtId="0" fontId="19" fillId="0" borderId="5" xfId="0" applyFont="1" applyFill="1" applyBorder="1"/>
    <xf numFmtId="0" fontId="0" fillId="0" borderId="5" xfId="0" applyFill="1" applyBorder="1" applyAlignment="1">
      <alignment horizontal="center" wrapText="1"/>
    </xf>
    <xf numFmtId="3" fontId="0" fillId="0" borderId="5" xfId="0" applyNumberFormat="1" applyFill="1" applyBorder="1" applyAlignment="1">
      <alignment horizontal="center" wrapText="1"/>
    </xf>
    <xf numFmtId="166" fontId="0" fillId="0" borderId="5" xfId="0" applyNumberFormat="1" applyFill="1" applyBorder="1" applyAlignment="1">
      <alignment horizontal="center" wrapText="1"/>
    </xf>
    <xf numFmtId="0" fontId="0" fillId="0" borderId="37" xfId="0" applyFill="1" applyBorder="1" applyAlignment="1">
      <alignment horizontal="center"/>
    </xf>
    <xf numFmtId="49" fontId="10" fillId="0" borderId="38" xfId="0" applyNumberFormat="1" applyFont="1" applyFill="1" applyBorder="1" applyAlignment="1">
      <alignment vertical="top"/>
    </xf>
    <xf numFmtId="0" fontId="0" fillId="0" borderId="2" xfId="0" applyFill="1" applyBorder="1" applyAlignment="1">
      <alignment horizontal="center" wrapText="1"/>
    </xf>
    <xf numFmtId="3" fontId="0" fillId="0" borderId="2" xfId="0" applyNumberFormat="1" applyFill="1" applyBorder="1" applyAlignment="1">
      <alignment horizontal="center" wrapText="1"/>
    </xf>
    <xf numFmtId="166" fontId="0" fillId="0" borderId="2" xfId="0" applyNumberFormat="1" applyFill="1" applyBorder="1" applyAlignment="1">
      <alignment horizontal="center" wrapText="1"/>
    </xf>
    <xf numFmtId="0" fontId="0" fillId="0" borderId="39" xfId="0" applyFill="1" applyBorder="1" applyAlignment="1">
      <alignment horizontal="center"/>
    </xf>
    <xf numFmtId="49" fontId="10" fillId="0" borderId="2" xfId="0" applyNumberFormat="1" applyFont="1" applyFill="1" applyBorder="1" applyAlignment="1">
      <alignment vertical="top"/>
    </xf>
    <xf numFmtId="49" fontId="10" fillId="0" borderId="2" xfId="0" applyNumberFormat="1" applyFont="1" applyFill="1" applyBorder="1"/>
    <xf numFmtId="3" fontId="10" fillId="0" borderId="2" xfId="0" applyNumberFormat="1" applyFont="1" applyFill="1" applyBorder="1" applyAlignment="1">
      <alignment vertical="top"/>
    </xf>
    <xf numFmtId="0" fontId="0" fillId="0" borderId="2" xfId="0" applyFill="1" applyBorder="1"/>
    <xf numFmtId="3" fontId="10" fillId="0" borderId="2" xfId="0" applyNumberFormat="1" applyFont="1" applyFill="1" applyBorder="1"/>
    <xf numFmtId="3" fontId="10" fillId="0" borderId="2" xfId="0" quotePrefix="1" applyNumberFormat="1" applyFont="1" applyFill="1" applyBorder="1" applyAlignment="1">
      <alignment vertical="top"/>
    </xf>
    <xf numFmtId="0" fontId="10" fillId="0" borderId="2" xfId="0" applyFont="1" applyFill="1" applyBorder="1"/>
    <xf numFmtId="49" fontId="10" fillId="0" borderId="40" xfId="0" applyNumberFormat="1" applyFont="1" applyFill="1" applyBorder="1" applyAlignment="1">
      <alignment vertical="top"/>
    </xf>
    <xf numFmtId="3" fontId="10" fillId="0" borderId="41" xfId="0" applyNumberFormat="1" applyFont="1" applyFill="1" applyBorder="1" applyAlignment="1">
      <alignment vertical="top"/>
    </xf>
    <xf numFmtId="49" fontId="10" fillId="0" borderId="41" xfId="0" applyNumberFormat="1" applyFont="1" applyFill="1" applyBorder="1" applyAlignment="1">
      <alignment vertical="top"/>
    </xf>
    <xf numFmtId="0" fontId="10" fillId="0" borderId="41" xfId="0" applyFont="1" applyFill="1" applyBorder="1"/>
    <xf numFmtId="0" fontId="0" fillId="0" borderId="41" xfId="0" applyFill="1" applyBorder="1" applyAlignment="1">
      <alignment horizontal="center"/>
    </xf>
    <xf numFmtId="39" fontId="0" fillId="0" borderId="41" xfId="0" applyNumberFormat="1" applyFill="1" applyBorder="1" applyAlignment="1">
      <alignment horizontal="center" wrapText="1"/>
    </xf>
    <xf numFmtId="3" fontId="0" fillId="0" borderId="41" xfId="0" applyNumberFormat="1" applyFill="1" applyBorder="1" applyAlignment="1">
      <alignment horizontal="center"/>
    </xf>
    <xf numFmtId="166" fontId="0" fillId="0" borderId="41" xfId="0" applyNumberFormat="1" applyFill="1" applyBorder="1" applyAlignment="1">
      <alignment horizontal="center" wrapText="1"/>
    </xf>
    <xf numFmtId="0" fontId="0" fillId="0" borderId="42" xfId="0" applyFill="1" applyBorder="1" applyAlignment="1">
      <alignment horizontal="center"/>
    </xf>
    <xf numFmtId="3" fontId="19" fillId="0" borderId="43" xfId="0" applyNumberFormat="1" applyFont="1" applyFill="1" applyBorder="1" applyAlignment="1">
      <alignment vertical="top"/>
    </xf>
    <xf numFmtId="49" fontId="19" fillId="0" borderId="43" xfId="0" applyNumberFormat="1" applyFont="1" applyFill="1" applyBorder="1" applyAlignment="1">
      <alignment vertical="top"/>
    </xf>
    <xf numFmtId="3" fontId="0" fillId="0" borderId="43" xfId="0" applyNumberFormat="1" applyFill="1" applyBorder="1"/>
    <xf numFmtId="0" fontId="0" fillId="0" borderId="43" xfId="0" applyFill="1" applyBorder="1"/>
    <xf numFmtId="0" fontId="0" fillId="0" borderId="43" xfId="0" applyFill="1" applyBorder="1" applyAlignment="1">
      <alignment horizontal="center" wrapText="1"/>
    </xf>
    <xf numFmtId="3" fontId="0" fillId="0" borderId="43" xfId="0" applyNumberFormat="1" applyFill="1" applyBorder="1" applyAlignment="1">
      <alignment horizontal="center" wrapText="1"/>
    </xf>
    <xf numFmtId="166" fontId="11" fillId="0" borderId="43" xfId="0" applyNumberFormat="1" applyFont="1" applyFill="1" applyBorder="1" applyAlignment="1">
      <alignment horizontal="center" wrapText="1"/>
    </xf>
    <xf numFmtId="0" fontId="0" fillId="0" borderId="44" xfId="0" applyFill="1" applyBorder="1" applyAlignment="1">
      <alignment horizontal="center"/>
    </xf>
    <xf numFmtId="0" fontId="0" fillId="0" borderId="41" xfId="0" applyFill="1" applyBorder="1"/>
    <xf numFmtId="3" fontId="0" fillId="0" borderId="41" xfId="0" applyNumberFormat="1" applyFill="1" applyBorder="1" applyAlignment="1">
      <alignment horizontal="center" wrapText="1"/>
    </xf>
    <xf numFmtId="49" fontId="19" fillId="0" borderId="45" xfId="0" applyNumberFormat="1" applyFont="1" applyFill="1" applyBorder="1" applyAlignment="1">
      <alignment vertical="center"/>
    </xf>
    <xf numFmtId="0" fontId="24" fillId="0" borderId="0" xfId="0" applyFont="1"/>
    <xf numFmtId="0" fontId="10" fillId="9" borderId="1" xfId="0" applyFont="1" applyFill="1" applyBorder="1"/>
    <xf numFmtId="0" fontId="0" fillId="9" borderId="1" xfId="0" applyFill="1" applyBorder="1" applyAlignment="1">
      <alignment horizontal="center"/>
    </xf>
    <xf numFmtId="0" fontId="0" fillId="9" borderId="1" xfId="0" applyFill="1" applyBorder="1"/>
    <xf numFmtId="0" fontId="10" fillId="9" borderId="53" xfId="0" applyFont="1" applyFill="1" applyBorder="1" applyAlignment="1">
      <alignment horizontal="left"/>
    </xf>
    <xf numFmtId="0" fontId="0" fillId="9" borderId="49" xfId="0" applyFill="1" applyBorder="1" applyAlignment="1">
      <alignment horizontal="center"/>
    </xf>
    <xf numFmtId="1" fontId="0" fillId="9" borderId="54" xfId="0" applyNumberFormat="1" applyFill="1" applyBorder="1"/>
    <xf numFmtId="1" fontId="0" fillId="0" borderId="56" xfId="0" applyNumberFormat="1" applyFill="1" applyBorder="1"/>
    <xf numFmtId="0" fontId="0" fillId="9" borderId="49" xfId="0" applyFill="1" applyBorder="1"/>
    <xf numFmtId="0" fontId="0" fillId="9" borderId="54" xfId="0" applyFill="1" applyBorder="1"/>
    <xf numFmtId="0" fontId="8" fillId="0" borderId="0" xfId="0" applyFont="1" applyAlignment="1">
      <alignment horizontal="left" wrapText="1"/>
    </xf>
    <xf numFmtId="0" fontId="24" fillId="0" borderId="52" xfId="0" applyFont="1" applyFill="1" applyBorder="1" applyAlignment="1"/>
    <xf numFmtId="0" fontId="6" fillId="0" borderId="3" xfId="0" applyFont="1" applyFill="1" applyBorder="1" applyAlignment="1">
      <alignment horizontal="left" wrapText="1"/>
    </xf>
    <xf numFmtId="0" fontId="6" fillId="0" borderId="3" xfId="0" applyFont="1" applyFill="1" applyBorder="1" applyAlignment="1">
      <alignment horizontal="left"/>
    </xf>
    <xf numFmtId="0" fontId="0" fillId="0" borderId="48" xfId="0" applyFill="1" applyBorder="1" applyAlignment="1">
      <alignment horizontal="left"/>
    </xf>
    <xf numFmtId="1" fontId="0" fillId="0" borderId="0" xfId="0" applyNumberFormat="1"/>
    <xf numFmtId="0" fontId="11" fillId="0" borderId="40" xfId="0" applyFont="1" applyFill="1" applyBorder="1" applyAlignment="1">
      <alignment vertical="center"/>
    </xf>
    <xf numFmtId="0" fontId="0" fillId="0" borderId="41" xfId="0" applyFill="1" applyBorder="1" applyAlignment="1">
      <alignment horizontal="center" wrapText="1"/>
    </xf>
    <xf numFmtId="3" fontId="11" fillId="0" borderId="41" xfId="0" applyNumberFormat="1" applyFont="1" applyFill="1" applyBorder="1" applyAlignment="1">
      <alignment horizontal="center" wrapText="1"/>
    </xf>
    <xf numFmtId="168" fontId="9" fillId="0" borderId="0" xfId="0" applyNumberFormat="1" applyFont="1"/>
    <xf numFmtId="0" fontId="3" fillId="0" borderId="1" xfId="0" applyFont="1" applyFill="1" applyBorder="1"/>
    <xf numFmtId="0" fontId="3" fillId="0" borderId="1" xfId="0" applyFont="1" applyFill="1" applyBorder="1" applyAlignment="1">
      <alignment horizontal="center"/>
    </xf>
    <xf numFmtId="1" fontId="9" fillId="0" borderId="0" xfId="0" applyNumberFormat="1" applyFont="1" applyFill="1"/>
    <xf numFmtId="164" fontId="9" fillId="0" borderId="1" xfId="1" applyNumberFormat="1" applyFont="1" applyFill="1" applyBorder="1"/>
    <xf numFmtId="167" fontId="9" fillId="0" borderId="0" xfId="4" applyNumberFormat="1" applyFont="1" applyFill="1"/>
    <xf numFmtId="0" fontId="0" fillId="0" borderId="9" xfId="0" applyFill="1" applyBorder="1" applyAlignment="1"/>
    <xf numFmtId="0" fontId="8" fillId="0" borderId="0" xfId="0" applyFont="1" applyFill="1" applyAlignment="1">
      <alignment horizontal="center" wrapText="1"/>
    </xf>
    <xf numFmtId="0" fontId="8" fillId="0" borderId="0" xfId="0" applyFont="1" applyFill="1" applyAlignment="1">
      <alignment horizontal="left"/>
    </xf>
    <xf numFmtId="43" fontId="9" fillId="0" borderId="0" xfId="0" applyNumberFormat="1" applyFont="1"/>
    <xf numFmtId="0" fontId="0" fillId="0" borderId="57" xfId="0" applyBorder="1"/>
    <xf numFmtId="0" fontId="0" fillId="0" borderId="47" xfId="0" applyBorder="1"/>
    <xf numFmtId="0" fontId="0" fillId="0" borderId="0" xfId="0" applyBorder="1"/>
    <xf numFmtId="0" fontId="0" fillId="0" borderId="11" xfId="0" applyBorder="1"/>
    <xf numFmtId="0" fontId="0" fillId="0" borderId="15" xfId="0" applyBorder="1"/>
    <xf numFmtId="0" fontId="0" fillId="0" borderId="16" xfId="0" applyBorder="1"/>
    <xf numFmtId="0" fontId="0" fillId="13" borderId="1" xfId="0" applyFill="1" applyBorder="1"/>
    <xf numFmtId="1" fontId="0" fillId="13" borderId="1" xfId="0" applyNumberFormat="1" applyFill="1" applyBorder="1"/>
    <xf numFmtId="0" fontId="0" fillId="14" borderId="35" xfId="0" applyFill="1" applyBorder="1" applyAlignment="1">
      <alignment horizontal="center"/>
    </xf>
    <xf numFmtId="0" fontId="0" fillId="0" borderId="46" xfId="0" applyBorder="1"/>
    <xf numFmtId="0" fontId="3" fillId="0" borderId="0" xfId="0" applyFont="1" applyFill="1"/>
    <xf numFmtId="0" fontId="0" fillId="0" borderId="13" xfId="0" applyBorder="1"/>
    <xf numFmtId="0" fontId="10" fillId="0" borderId="12" xfId="0" applyFont="1" applyFill="1" applyBorder="1"/>
    <xf numFmtId="0" fontId="0" fillId="0" borderId="12" xfId="0" applyBorder="1"/>
    <xf numFmtId="0" fontId="11" fillId="2" borderId="13" xfId="0" applyFont="1" applyFill="1" applyBorder="1" applyAlignment="1">
      <alignment vertical="center" wrapText="1"/>
    </xf>
    <xf numFmtId="1" fontId="0" fillId="0" borderId="0" xfId="0" applyNumberFormat="1" applyBorder="1"/>
    <xf numFmtId="0" fontId="10" fillId="9" borderId="13" xfId="0" applyFont="1" applyFill="1" applyBorder="1"/>
    <xf numFmtId="0" fontId="10" fillId="0" borderId="18" xfId="0" applyFont="1" applyBorder="1"/>
    <xf numFmtId="0" fontId="0" fillId="0" borderId="58" xfId="0" applyFill="1" applyBorder="1" applyAlignment="1">
      <alignment horizontal="center"/>
    </xf>
    <xf numFmtId="0" fontId="0" fillId="0" borderId="59" xfId="0" applyFill="1" applyBorder="1" applyAlignment="1"/>
    <xf numFmtId="0" fontId="0" fillId="0" borderId="15" xfId="0" applyFill="1" applyBorder="1"/>
    <xf numFmtId="0" fontId="0" fillId="0" borderId="60" xfId="0" applyFill="1" applyBorder="1" applyAlignment="1">
      <alignment horizontal="center"/>
    </xf>
    <xf numFmtId="0" fontId="0" fillId="0" borderId="15" xfId="0" applyFill="1" applyBorder="1" applyAlignment="1">
      <alignment horizontal="left"/>
    </xf>
    <xf numFmtId="1" fontId="0" fillId="0" borderId="61" xfId="0" applyNumberFormat="1" applyFill="1" applyBorder="1"/>
    <xf numFmtId="0" fontId="3" fillId="0" borderId="0" xfId="0" applyFont="1"/>
    <xf numFmtId="0" fontId="3" fillId="0" borderId="46" xfId="0" applyFont="1" applyBorder="1"/>
    <xf numFmtId="168" fontId="0" fillId="9" borderId="14" xfId="2" applyNumberFormat="1" applyFont="1" applyFill="1" applyBorder="1"/>
    <xf numFmtId="0" fontId="11" fillId="4" borderId="1" xfId="0" applyFont="1" applyFill="1" applyBorder="1" applyAlignment="1">
      <alignment horizontal="center"/>
    </xf>
    <xf numFmtId="0" fontId="11" fillId="3"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11" fillId="12" borderId="1" xfId="0" applyFont="1" applyFill="1" applyBorder="1" applyAlignment="1">
      <alignment horizontal="center"/>
    </xf>
    <xf numFmtId="0" fontId="11" fillId="17" borderId="1" xfId="6" applyFont="1" applyFill="1" applyBorder="1" applyAlignment="1">
      <alignment horizontal="center"/>
    </xf>
    <xf numFmtId="0" fontId="11" fillId="16" borderId="1" xfId="6" applyFont="1" applyFill="1" applyBorder="1" applyAlignment="1">
      <alignment horizontal="center"/>
    </xf>
    <xf numFmtId="0" fontId="3" fillId="17" borderId="1" xfId="6" applyFont="1" applyFill="1" applyBorder="1" applyAlignment="1">
      <alignment horizontal="center"/>
    </xf>
    <xf numFmtId="0" fontId="3" fillId="4" borderId="1" xfId="6" applyFont="1" applyFill="1" applyBorder="1" applyAlignment="1">
      <alignment horizontal="center"/>
    </xf>
    <xf numFmtId="0" fontId="24" fillId="0" borderId="0" xfId="0" applyFont="1" applyFill="1"/>
    <xf numFmtId="0" fontId="0" fillId="0" borderId="14" xfId="0" applyBorder="1"/>
    <xf numFmtId="0" fontId="0" fillId="15" borderId="60" xfId="0" applyFill="1" applyBorder="1" applyAlignment="1">
      <alignment vertical="center"/>
    </xf>
    <xf numFmtId="0" fontId="0" fillId="0" borderId="15" xfId="0" applyFill="1" applyBorder="1" applyAlignment="1">
      <alignment horizontal="center"/>
    </xf>
    <xf numFmtId="0" fontId="0" fillId="0" borderId="61" xfId="0" applyFill="1" applyBorder="1"/>
    <xf numFmtId="1" fontId="0" fillId="0" borderId="15" xfId="0" applyNumberFormat="1" applyFill="1" applyBorder="1"/>
    <xf numFmtId="0" fontId="12" fillId="12" borderId="57" xfId="0" applyFont="1" applyFill="1" applyBorder="1"/>
    <xf numFmtId="0" fontId="12" fillId="12" borderId="46" xfId="0" applyFont="1" applyFill="1" applyBorder="1"/>
    <xf numFmtId="169" fontId="9" fillId="0" borderId="0" xfId="0" applyNumberFormat="1" applyFont="1"/>
    <xf numFmtId="0" fontId="0" fillId="14" borderId="46" xfId="0" applyFill="1" applyBorder="1"/>
    <xf numFmtId="0" fontId="0" fillId="14" borderId="47" xfId="0" applyFill="1" applyBorder="1"/>
    <xf numFmtId="1" fontId="0" fillId="14" borderId="14" xfId="0" applyNumberFormat="1" applyFill="1" applyBorder="1"/>
    <xf numFmtId="0" fontId="0" fillId="14" borderId="16" xfId="0" applyFill="1" applyBorder="1"/>
    <xf numFmtId="0" fontId="9" fillId="0" borderId="0" xfId="0" applyFont="1" applyBorder="1"/>
    <xf numFmtId="0" fontId="8" fillId="0" borderId="0" xfId="0" applyFont="1" applyFill="1" applyAlignment="1">
      <alignment horizontal="center" vertical="top"/>
    </xf>
    <xf numFmtId="0" fontId="8" fillId="0" borderId="0" xfId="0" applyFont="1" applyAlignment="1">
      <alignment vertical="top"/>
    </xf>
    <xf numFmtId="0" fontId="8" fillId="0" borderId="0" xfId="0" applyFont="1" applyAlignment="1">
      <alignment horizontal="center" vertical="top"/>
    </xf>
    <xf numFmtId="0" fontId="4" fillId="0" borderId="0" xfId="0" applyFont="1" applyFill="1" applyAlignment="1">
      <alignment vertical="top"/>
    </xf>
    <xf numFmtId="0" fontId="8" fillId="0" borderId="0" xfId="0" applyFont="1" applyFill="1" applyAlignment="1">
      <alignment vertical="top" wrapText="1"/>
    </xf>
    <xf numFmtId="0" fontId="4" fillId="0" borderId="0" xfId="0" applyFont="1" applyFill="1" applyAlignment="1">
      <alignment horizontal="center" vertical="top"/>
    </xf>
    <xf numFmtId="3" fontId="4" fillId="0" borderId="0" xfId="0" applyNumberFormat="1" applyFont="1" applyFill="1" applyAlignment="1">
      <alignment horizontal="center" vertical="top"/>
    </xf>
    <xf numFmtId="0" fontId="8" fillId="0" borderId="0" xfId="0" applyFont="1" applyFill="1" applyAlignment="1">
      <alignment vertical="top"/>
    </xf>
    <xf numFmtId="0" fontId="26" fillId="0" borderId="0" xfId="0" applyFont="1" applyFill="1" applyBorder="1" applyAlignment="1">
      <alignment horizontal="left" vertical="center"/>
    </xf>
    <xf numFmtId="1" fontId="26" fillId="0" borderId="0" xfId="0" applyNumberFormat="1" applyFont="1" applyFill="1" applyBorder="1"/>
    <xf numFmtId="0" fontId="27" fillId="0" borderId="0" xfId="0" applyFont="1"/>
    <xf numFmtId="0" fontId="28" fillId="0" borderId="0" xfId="0" applyFont="1"/>
    <xf numFmtId="0" fontId="29" fillId="0" borderId="0" xfId="0" applyFont="1" applyFill="1"/>
    <xf numFmtId="0" fontId="16" fillId="0" borderId="0" xfId="3" applyFont="1" applyFill="1" applyBorder="1" applyAlignment="1">
      <alignment wrapText="1"/>
    </xf>
    <xf numFmtId="0" fontId="16" fillId="0" borderId="0" xfId="3" applyFont="1" applyFill="1" applyBorder="1" applyAlignment="1">
      <alignment horizontal="right" wrapText="1"/>
    </xf>
    <xf numFmtId="0" fontId="30" fillId="7" borderId="1" xfId="17" applyFont="1" applyFill="1" applyBorder="1" applyAlignment="1">
      <alignment horizontal="center"/>
    </xf>
    <xf numFmtId="0" fontId="30" fillId="0" borderId="1" xfId="17" applyFont="1" applyFill="1" applyBorder="1" applyAlignment="1">
      <alignment wrapText="1"/>
    </xf>
    <xf numFmtId="0" fontId="30" fillId="0" borderId="1" xfId="17" applyFont="1" applyFill="1" applyBorder="1" applyAlignment="1">
      <alignment horizontal="right" wrapText="1"/>
    </xf>
    <xf numFmtId="0" fontId="0" fillId="18" borderId="1" xfId="0" applyFill="1" applyBorder="1"/>
    <xf numFmtId="2" fontId="0" fillId="18" borderId="1" xfId="0" applyNumberFormat="1" applyFill="1" applyBorder="1"/>
    <xf numFmtId="0" fontId="9" fillId="18" borderId="1" xfId="0" applyFont="1" applyFill="1" applyBorder="1"/>
    <xf numFmtId="0" fontId="30" fillId="7" borderId="28" xfId="17" applyFont="1" applyFill="1" applyBorder="1" applyAlignment="1">
      <alignment horizontal="center"/>
    </xf>
    <xf numFmtId="0" fontId="30" fillId="7" borderId="26" xfId="17" applyFont="1" applyFill="1" applyBorder="1" applyAlignment="1">
      <alignment horizontal="center"/>
    </xf>
    <xf numFmtId="0" fontId="30" fillId="0" borderId="13" xfId="17" applyFont="1" applyFill="1" applyBorder="1" applyAlignment="1">
      <alignment wrapText="1"/>
    </xf>
    <xf numFmtId="0" fontId="31" fillId="0" borderId="13" xfId="17" applyFont="1" applyFill="1" applyBorder="1" applyAlignment="1">
      <alignment wrapText="1"/>
    </xf>
    <xf numFmtId="0" fontId="16" fillId="0" borderId="12" xfId="3" applyFont="1" applyFill="1" applyBorder="1" applyAlignment="1">
      <alignment wrapText="1"/>
    </xf>
    <xf numFmtId="0" fontId="30" fillId="7" borderId="13" xfId="17" applyFont="1" applyFill="1" applyBorder="1" applyAlignment="1">
      <alignment horizontal="center"/>
    </xf>
    <xf numFmtId="0" fontId="30" fillId="0" borderId="18" xfId="17" applyFont="1" applyFill="1" applyBorder="1" applyAlignment="1">
      <alignment wrapText="1"/>
    </xf>
    <xf numFmtId="0" fontId="30" fillId="0" borderId="17" xfId="17" applyFont="1" applyFill="1" applyBorder="1" applyAlignment="1">
      <alignment wrapText="1"/>
    </xf>
    <xf numFmtId="0" fontId="30" fillId="0" borderId="17" xfId="17" applyFont="1" applyFill="1" applyBorder="1" applyAlignment="1">
      <alignment horizontal="right" wrapText="1"/>
    </xf>
    <xf numFmtId="0" fontId="3" fillId="0" borderId="0" xfId="0" applyFont="1" applyAlignment="1">
      <alignment wrapText="1"/>
    </xf>
    <xf numFmtId="0" fontId="3"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19" borderId="1" xfId="0" applyFont="1" applyFill="1" applyBorder="1" applyAlignment="1">
      <alignment wrapText="1"/>
    </xf>
    <xf numFmtId="49" fontId="3" fillId="0" borderId="2" xfId="0" applyNumberFormat="1" applyFont="1" applyFill="1" applyBorder="1" applyAlignment="1">
      <alignment vertical="top"/>
    </xf>
    <xf numFmtId="0" fontId="3" fillId="0" borderId="39" xfId="0" applyFont="1" applyFill="1" applyBorder="1" applyAlignment="1">
      <alignment horizontal="center"/>
    </xf>
    <xf numFmtId="0" fontId="3" fillId="20" borderId="1" xfId="0" applyFont="1" applyFill="1" applyBorder="1" applyAlignment="1">
      <alignment wrapText="1"/>
    </xf>
    <xf numFmtId="0" fontId="30" fillId="0" borderId="12" xfId="17" applyFont="1" applyFill="1" applyBorder="1" applyAlignment="1"/>
    <xf numFmtId="0" fontId="3" fillId="0" borderId="14" xfId="0" applyFont="1" applyBorder="1"/>
    <xf numFmtId="0" fontId="30" fillId="12" borderId="46" xfId="17" applyFont="1" applyFill="1" applyBorder="1" applyAlignment="1">
      <alignment wrapText="1"/>
    </xf>
    <xf numFmtId="0" fontId="3" fillId="12" borderId="1" xfId="0" applyFont="1" applyFill="1" applyBorder="1" applyAlignment="1">
      <alignment wrapText="1"/>
    </xf>
    <xf numFmtId="0" fontId="0" fillId="0" borderId="51" xfId="0" applyFont="1" applyFill="1" applyBorder="1"/>
    <xf numFmtId="0" fontId="3" fillId="0" borderId="51" xfId="0" applyFont="1" applyFill="1" applyBorder="1"/>
    <xf numFmtId="0" fontId="3" fillId="0" borderId="51" xfId="0" applyFont="1" applyFill="1" applyBorder="1" applyAlignment="1">
      <alignment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xf numFmtId="1" fontId="22" fillId="0" borderId="1" xfId="0" applyNumberFormat="1" applyFont="1" applyFill="1" applyBorder="1" applyAlignment="1">
      <alignment horizontal="center" vertical="center"/>
    </xf>
    <xf numFmtId="3" fontId="22" fillId="0" borderId="1" xfId="0" applyNumberFormat="1" applyFont="1" applyBorder="1" applyAlignment="1">
      <alignment horizontal="center" vertical="center"/>
    </xf>
    <xf numFmtId="1" fontId="22" fillId="0" borderId="1" xfId="0" applyNumberFormat="1" applyFont="1" applyFill="1" applyBorder="1" applyAlignment="1">
      <alignment horizontal="center"/>
    </xf>
    <xf numFmtId="0" fontId="8" fillId="0" borderId="0" xfId="0" applyFont="1" applyFill="1" applyAlignment="1">
      <alignment horizontal="left" wrapText="1"/>
    </xf>
    <xf numFmtId="0" fontId="8" fillId="0" borderId="0" xfId="0" applyFont="1" applyFill="1" applyBorder="1" applyAlignment="1">
      <alignment horizontal="left" wrapText="1"/>
    </xf>
    <xf numFmtId="0" fontId="8" fillId="0" borderId="0" xfId="0" applyFont="1" applyFill="1" applyAlignment="1">
      <alignment horizontal="left" vertical="top" wrapText="1"/>
    </xf>
    <xf numFmtId="0" fontId="8" fillId="0" borderId="0" xfId="0" applyFont="1" applyFill="1" applyBorder="1" applyAlignment="1">
      <alignment horizontal="left" vertical="top" wrapText="1"/>
    </xf>
    <xf numFmtId="1" fontId="8" fillId="0" borderId="0" xfId="0" applyNumberFormat="1" applyFont="1" applyFill="1" applyAlignment="1">
      <alignment horizontal="center" vertical="top"/>
    </xf>
    <xf numFmtId="3" fontId="8" fillId="0" borderId="0" xfId="0" applyNumberFormat="1" applyFont="1" applyFill="1" applyAlignment="1">
      <alignment horizontal="center" vertical="top"/>
    </xf>
    <xf numFmtId="0" fontId="6" fillId="0" borderId="8" xfId="0" applyFont="1" applyFill="1" applyBorder="1"/>
    <xf numFmtId="166" fontId="6" fillId="0" borderId="29" xfId="0" applyNumberFormat="1" applyFont="1" applyFill="1" applyBorder="1" applyAlignment="1">
      <alignment horizontal="center"/>
    </xf>
    <xf numFmtId="3" fontId="6" fillId="0" borderId="0" xfId="0" applyNumberFormat="1" applyFont="1" applyFill="1"/>
    <xf numFmtId="0" fontId="0" fillId="0" borderId="0" xfId="0" applyFont="1"/>
    <xf numFmtId="0" fontId="0" fillId="2" borderId="1" xfId="0" applyFont="1" applyFill="1" applyBorder="1"/>
    <xf numFmtId="0" fontId="0" fillId="0" borderId="1" xfId="0" applyFont="1" applyFill="1" applyBorder="1"/>
    <xf numFmtId="0" fontId="0" fillId="0" borderId="0" xfId="0" applyFont="1" applyAlignment="1">
      <alignment horizontal="center"/>
    </xf>
    <xf numFmtId="0" fontId="0" fillId="0" borderId="0" xfId="0" applyFont="1" applyFill="1" applyAlignment="1">
      <alignment horizontal="center"/>
    </xf>
    <xf numFmtId="0" fontId="0" fillId="2" borderId="1" xfId="0" applyFont="1" applyFill="1" applyBorder="1" applyAlignment="1">
      <alignment horizontal="center"/>
    </xf>
    <xf numFmtId="0" fontId="3" fillId="4" borderId="1" xfId="11" applyFont="1" applyFill="1" applyBorder="1" applyAlignment="1">
      <alignment horizontal="center"/>
    </xf>
    <xf numFmtId="0" fontId="3" fillId="3" borderId="1" xfId="11" applyFont="1" applyFill="1" applyBorder="1" applyAlignment="1">
      <alignment horizontal="center"/>
    </xf>
    <xf numFmtId="0" fontId="3" fillId="5" borderId="1" xfId="11" applyFont="1" applyFill="1" applyBorder="1" applyAlignment="1">
      <alignment horizontal="center"/>
    </xf>
    <xf numFmtId="0" fontId="3" fillId="6" borderId="1" xfId="11" applyFont="1" applyFill="1" applyBorder="1" applyAlignment="1">
      <alignment horizontal="center"/>
    </xf>
    <xf numFmtId="0" fontId="3" fillId="12" borderId="1" xfId="11" applyFont="1" applyFill="1" applyBorder="1" applyAlignment="1">
      <alignment horizontal="center"/>
    </xf>
    <xf numFmtId="0" fontId="0" fillId="0" borderId="0" xfId="0" applyFont="1" applyFill="1"/>
    <xf numFmtId="0" fontId="36" fillId="0" borderId="0" xfId="5" applyFont="1"/>
    <xf numFmtId="0" fontId="3" fillId="3" borderId="1" xfId="6" applyFont="1" applyFill="1" applyBorder="1" applyAlignment="1">
      <alignment horizontal="center"/>
    </xf>
    <xf numFmtId="0" fontId="3" fillId="5" borderId="1" xfId="6" applyFont="1" applyFill="1" applyBorder="1" applyAlignment="1">
      <alignment horizontal="center"/>
    </xf>
    <xf numFmtId="0" fontId="3" fillId="6" borderId="1" xfId="6" applyFont="1" applyFill="1" applyBorder="1" applyAlignment="1">
      <alignment horizontal="center"/>
    </xf>
    <xf numFmtId="0" fontId="3" fillId="12" borderId="1" xfId="6" applyFont="1" applyFill="1" applyBorder="1" applyAlignment="1">
      <alignment horizontal="center"/>
    </xf>
    <xf numFmtId="0" fontId="3" fillId="16" borderId="1" xfId="6" applyFont="1" applyFill="1" applyBorder="1" applyAlignment="1">
      <alignment horizontal="center"/>
    </xf>
    <xf numFmtId="0" fontId="3" fillId="0" borderId="0" xfId="6" applyFont="1" applyFill="1"/>
    <xf numFmtId="0" fontId="0" fillId="12" borderId="1" xfId="0" applyFont="1" applyFill="1" applyBorder="1"/>
    <xf numFmtId="0" fontId="0" fillId="0" borderId="1" xfId="0" applyFont="1" applyBorder="1"/>
    <xf numFmtId="0" fontId="3" fillId="9" borderId="53" xfId="0" applyFont="1" applyFill="1" applyBorder="1"/>
    <xf numFmtId="1" fontId="22" fillId="0" borderId="1" xfId="1" applyNumberFormat="1" applyFont="1" applyBorder="1" applyAlignment="1">
      <alignment horizontal="center"/>
    </xf>
    <xf numFmtId="14" fontId="6" fillId="0" borderId="0" xfId="0" applyNumberFormat="1" applyFont="1" applyFill="1"/>
    <xf numFmtId="0" fontId="37" fillId="0" borderId="0" xfId="0" applyFont="1" applyFill="1" applyAlignment="1">
      <alignment wrapText="1"/>
    </xf>
    <xf numFmtId="0" fontId="24" fillId="0" borderId="0" xfId="0" applyFont="1" applyFill="1" applyAlignment="1">
      <alignment wrapText="1"/>
    </xf>
    <xf numFmtId="0" fontId="39" fillId="0" borderId="0" xfId="0" applyFont="1" applyFill="1"/>
    <xf numFmtId="0" fontId="26" fillId="0" borderId="0" xfId="0" applyFont="1" applyFill="1"/>
    <xf numFmtId="0" fontId="40" fillId="0" borderId="0" xfId="0" applyFont="1" applyFill="1"/>
    <xf numFmtId="0" fontId="29" fillId="0" borderId="0" xfId="0" applyFont="1"/>
    <xf numFmtId="0" fontId="42" fillId="0" borderId="0" xfId="0" applyFont="1"/>
    <xf numFmtId="0" fontId="41" fillId="0" borderId="0" xfId="18" applyAlignment="1" applyProtection="1"/>
    <xf numFmtId="0" fontId="26" fillId="0" borderId="0" xfId="0" applyFont="1"/>
    <xf numFmtId="3" fontId="22" fillId="0" borderId="0" xfId="0" applyNumberFormat="1" applyFont="1"/>
    <xf numFmtId="0" fontId="43" fillId="0" borderId="0" xfId="0" applyFont="1"/>
    <xf numFmtId="1" fontId="29" fillId="0" borderId="0" xfId="0" applyNumberFormat="1" applyFont="1"/>
    <xf numFmtId="6" fontId="44" fillId="0" borderId="0" xfId="0" applyNumberFormat="1" applyFont="1"/>
    <xf numFmtId="6" fontId="9" fillId="0" borderId="0" xfId="0" applyNumberFormat="1" applyFont="1"/>
    <xf numFmtId="0" fontId="45" fillId="0" borderId="3" xfId="0" applyFont="1" applyFill="1" applyBorder="1" applyAlignment="1"/>
    <xf numFmtId="0" fontId="45" fillId="0" borderId="34" xfId="0" applyFont="1" applyFill="1" applyBorder="1"/>
    <xf numFmtId="0" fontId="7" fillId="0" borderId="2" xfId="0" applyFont="1" applyFill="1" applyBorder="1" applyAlignment="1">
      <alignment horizontal="center"/>
    </xf>
    <xf numFmtId="166" fontId="7" fillId="0" borderId="2" xfId="0" applyNumberFormat="1" applyFont="1" applyFill="1" applyBorder="1" applyAlignment="1">
      <alignment horizontal="center"/>
    </xf>
    <xf numFmtId="3" fontId="7" fillId="0" borderId="2" xfId="1" applyNumberFormat="1" applyFont="1" applyFill="1" applyBorder="1" applyAlignment="1">
      <alignment horizontal="center"/>
    </xf>
    <xf numFmtId="3" fontId="7" fillId="0" borderId="2" xfId="0" applyNumberFormat="1" applyFont="1" applyFill="1" applyBorder="1" applyAlignment="1">
      <alignment horizontal="center"/>
    </xf>
    <xf numFmtId="0" fontId="7" fillId="0" borderId="8" xfId="0" applyFont="1" applyFill="1" applyBorder="1" applyAlignment="1">
      <alignment horizontal="center"/>
    </xf>
    <xf numFmtId="166" fontId="7" fillId="0" borderId="0" xfId="0" applyNumberFormat="1" applyFont="1" applyFill="1" applyAlignment="1">
      <alignment horizontal="right"/>
    </xf>
    <xf numFmtId="166" fontId="7" fillId="0" borderId="0" xfId="0" applyNumberFormat="1" applyFont="1" applyFill="1"/>
    <xf numFmtId="0" fontId="7" fillId="0" borderId="0" xfId="0" applyFont="1" applyFill="1"/>
    <xf numFmtId="0" fontId="7" fillId="0" borderId="32" xfId="0" applyFont="1" applyFill="1" applyBorder="1" applyAlignment="1">
      <alignment horizontal="center"/>
    </xf>
    <xf numFmtId="166" fontId="7" fillId="0" borderId="32" xfId="0" applyNumberFormat="1" applyFont="1" applyFill="1" applyBorder="1" applyAlignment="1">
      <alignment horizontal="center"/>
    </xf>
    <xf numFmtId="3" fontId="7" fillId="0" borderId="32" xfId="0" applyNumberFormat="1" applyFont="1" applyFill="1" applyBorder="1" applyAlignment="1">
      <alignment horizontal="center"/>
    </xf>
    <xf numFmtId="0" fontId="7" fillId="0" borderId="33" xfId="0" applyFont="1" applyFill="1" applyBorder="1" applyAlignment="1">
      <alignment horizontal="center"/>
    </xf>
    <xf numFmtId="0" fontId="45" fillId="0" borderId="3" xfId="0" applyFont="1" applyFill="1" applyBorder="1" applyAlignment="1">
      <alignment wrapText="1"/>
    </xf>
    <xf numFmtId="0" fontId="45" fillId="0" borderId="34" xfId="0" applyFont="1" applyFill="1" applyBorder="1" applyAlignment="1">
      <alignment wrapText="1"/>
    </xf>
    <xf numFmtId="0" fontId="37" fillId="0" borderId="0" xfId="0" applyFont="1" applyFill="1"/>
    <xf numFmtId="0" fontId="7" fillId="0" borderId="0" xfId="0" applyFont="1"/>
    <xf numFmtId="166" fontId="7" fillId="11" borderId="0" xfId="0" applyNumberFormat="1" applyFont="1" applyFill="1" applyAlignment="1">
      <alignment horizontal="right"/>
    </xf>
    <xf numFmtId="166" fontId="7" fillId="11" borderId="0" xfId="0" applyNumberFormat="1" applyFont="1" applyFill="1"/>
    <xf numFmtId="0" fontId="45" fillId="0" borderId="10" xfId="0" applyFont="1" applyFill="1" applyBorder="1"/>
    <xf numFmtId="0" fontId="4" fillId="0" borderId="12" xfId="0" applyFont="1" applyBorder="1"/>
    <xf numFmtId="0" fontId="4" fillId="0" borderId="14" xfId="0" applyFont="1" applyBorder="1"/>
    <xf numFmtId="164" fontId="4" fillId="0" borderId="0" xfId="1" applyNumberFormat="1" applyFont="1" applyBorder="1"/>
    <xf numFmtId="168" fontId="4" fillId="0" borderId="15" xfId="2" applyNumberFormat="1" applyFont="1" applyBorder="1"/>
    <xf numFmtId="0" fontId="22" fillId="0" borderId="0" xfId="0" applyFont="1" applyAlignment="1">
      <alignment horizontal="center"/>
    </xf>
    <xf numFmtId="0" fontId="22" fillId="0" borderId="1" xfId="0" applyFont="1" applyFill="1" applyBorder="1" applyAlignment="1">
      <alignment horizontal="center" vertical="center" wrapText="1"/>
    </xf>
    <xf numFmtId="166" fontId="22" fillId="0" borderId="1" xfId="2" applyNumberFormat="1" applyFont="1" applyFill="1" applyBorder="1" applyAlignment="1">
      <alignment horizontal="right" vertical="center" wrapText="1"/>
    </xf>
    <xf numFmtId="166" fontId="22" fillId="0" borderId="1" xfId="0" applyNumberFormat="1" applyFont="1" applyBorder="1"/>
    <xf numFmtId="0" fontId="22" fillId="0" borderId="0" xfId="0" applyFont="1" applyAlignment="1">
      <alignment wrapText="1"/>
    </xf>
    <xf numFmtId="1" fontId="22" fillId="0" borderId="0" xfId="0" applyNumberFormat="1" applyFont="1"/>
    <xf numFmtId="4" fontId="22" fillId="0" borderId="0" xfId="0" applyNumberFormat="1" applyFont="1"/>
    <xf numFmtId="0" fontId="22" fillId="0" borderId="0" xfId="0" applyFont="1" applyFill="1" applyBorder="1" applyAlignment="1">
      <alignment wrapText="1"/>
    </xf>
    <xf numFmtId="3" fontId="22" fillId="0" borderId="1" xfId="0" applyNumberFormat="1" applyFont="1" applyFill="1" applyBorder="1" applyAlignment="1">
      <alignment horizontal="center"/>
    </xf>
    <xf numFmtId="1" fontId="22" fillId="0" borderId="1" xfId="0" applyNumberFormat="1" applyFont="1" applyBorder="1" applyAlignment="1">
      <alignment horizontal="center"/>
    </xf>
    <xf numFmtId="169" fontId="22" fillId="0" borderId="1" xfId="0" applyNumberFormat="1" applyFont="1" applyBorder="1" applyAlignment="1">
      <alignment horizontal="center"/>
    </xf>
    <xf numFmtId="0" fontId="22" fillId="0" borderId="1" xfId="0" applyFont="1" applyBorder="1"/>
    <xf numFmtId="0" fontId="22" fillId="0" borderId="1" xfId="0" applyFont="1" applyBorder="1" applyAlignment="1">
      <alignment horizontal="center"/>
    </xf>
    <xf numFmtId="3" fontId="46" fillId="0" borderId="1" xfId="0" applyNumberFormat="1" applyFont="1" applyBorder="1" applyAlignment="1">
      <alignment horizontal="center"/>
    </xf>
    <xf numFmtId="0" fontId="11" fillId="2" borderId="1" xfId="0" applyFont="1" applyFill="1" applyBorder="1" applyAlignment="1">
      <alignment horizontal="center"/>
    </xf>
    <xf numFmtId="0" fontId="9" fillId="2" borderId="1" xfId="0" applyFont="1" applyFill="1" applyBorder="1" applyAlignment="1">
      <alignment horizontal="center"/>
    </xf>
    <xf numFmtId="0" fontId="4" fillId="2" borderId="1" xfId="0" applyFont="1" applyFill="1" applyBorder="1" applyAlignment="1">
      <alignment horizontal="center"/>
    </xf>
    <xf numFmtId="0" fontId="9" fillId="0" borderId="1" xfId="0" applyFont="1" applyFill="1" applyBorder="1" applyAlignment="1">
      <alignment horizontal="center"/>
    </xf>
    <xf numFmtId="0" fontId="9" fillId="0" borderId="1" xfId="0" applyFont="1" applyBorder="1"/>
    <xf numFmtId="164" fontId="4" fillId="0" borderId="1" xfId="0" applyNumberFormat="1" applyFont="1" applyBorder="1"/>
    <xf numFmtId="164" fontId="9" fillId="0" borderId="1" xfId="0" applyNumberFormat="1" applyFont="1" applyBorder="1"/>
    <xf numFmtId="168" fontId="4" fillId="0" borderId="1" xfId="2" applyNumberFormat="1" applyFont="1" applyBorder="1"/>
    <xf numFmtId="168" fontId="9" fillId="0" borderId="1" xfId="2" applyNumberFormat="1" applyFont="1" applyBorder="1"/>
    <xf numFmtId="0" fontId="4" fillId="0" borderId="1" xfId="0" applyFont="1" applyBorder="1"/>
    <xf numFmtId="164" fontId="9" fillId="0" borderId="1" xfId="1" applyNumberFormat="1" applyFont="1" applyBorder="1"/>
    <xf numFmtId="164" fontId="9" fillId="0" borderId="1" xfId="0" applyNumberFormat="1" applyFont="1" applyFill="1" applyBorder="1" applyAlignment="1">
      <alignment horizontal="center"/>
    </xf>
    <xf numFmtId="3" fontId="4" fillId="0" borderId="1" xfId="0" applyNumberFormat="1" applyFont="1" applyFill="1" applyBorder="1" applyAlignment="1">
      <alignment horizontal="right"/>
    </xf>
    <xf numFmtId="164" fontId="5" fillId="0" borderId="1" xfId="0" applyNumberFormat="1" applyFont="1" applyBorder="1"/>
    <xf numFmtId="168" fontId="5" fillId="0" borderId="1" xfId="2" applyNumberFormat="1" applyFont="1" applyBorder="1"/>
    <xf numFmtId="37" fontId="5" fillId="0" borderId="1" xfId="2" applyNumberFormat="1" applyFont="1" applyBorder="1"/>
    <xf numFmtId="0" fontId="9" fillId="0" borderId="1" xfId="0" applyFont="1" applyBorder="1" applyAlignment="1">
      <alignment horizontal="left"/>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vertical="center"/>
    </xf>
    <xf numFmtId="0" fontId="42" fillId="0" borderId="1" xfId="0" applyFont="1" applyBorder="1" applyAlignment="1">
      <alignment horizontal="center"/>
    </xf>
    <xf numFmtId="164" fontId="42" fillId="0" borderId="1" xfId="1" applyNumberFormat="1" applyFont="1" applyFill="1" applyBorder="1"/>
    <xf numFmtId="168" fontId="42" fillId="0" borderId="1" xfId="2" applyNumberFormat="1" applyFont="1" applyBorder="1"/>
    <xf numFmtId="164" fontId="42" fillId="0" borderId="1" xfId="1" applyNumberFormat="1" applyFont="1" applyBorder="1"/>
    <xf numFmtId="164" fontId="4" fillId="0" borderId="1" xfId="1" applyNumberFormat="1" applyFont="1" applyBorder="1"/>
    <xf numFmtId="0" fontId="23" fillId="0" borderId="1" xfId="0" applyFont="1" applyBorder="1"/>
    <xf numFmtId="164" fontId="9" fillId="8" borderId="1" xfId="1" applyNumberFormat="1" applyFont="1" applyFill="1" applyBorder="1"/>
    <xf numFmtId="43" fontId="9" fillId="8" borderId="1" xfId="1" applyNumberFormat="1" applyFont="1" applyFill="1" applyBorder="1"/>
    <xf numFmtId="0" fontId="9" fillId="8" borderId="1" xfId="1" applyNumberFormat="1" applyFont="1" applyFill="1" applyBorder="1"/>
    <xf numFmtId="0" fontId="7" fillId="0" borderId="67" xfId="0" applyFont="1" applyFill="1" applyBorder="1" applyAlignment="1">
      <alignment horizontal="center"/>
    </xf>
    <xf numFmtId="166" fontId="7" fillId="0" borderId="67" xfId="0" applyNumberFormat="1" applyFont="1" applyFill="1" applyBorder="1" applyAlignment="1">
      <alignment horizontal="center"/>
    </xf>
    <xf numFmtId="3" fontId="7" fillId="0" borderId="67" xfId="0" applyNumberFormat="1" applyFont="1" applyFill="1" applyBorder="1" applyAlignment="1">
      <alignment horizontal="center"/>
    </xf>
    <xf numFmtId="0" fontId="7" fillId="0" borderId="56" xfId="0" applyFont="1" applyFill="1" applyBorder="1" applyAlignment="1">
      <alignment horizontal="center"/>
    </xf>
    <xf numFmtId="166" fontId="7" fillId="0" borderId="0" xfId="0" applyNumberFormat="1" applyFont="1" applyFill="1" applyBorder="1" applyAlignment="1">
      <alignment horizontal="center"/>
    </xf>
    <xf numFmtId="0" fontId="5" fillId="0" borderId="65" xfId="0" applyFont="1" applyFill="1" applyBorder="1" applyAlignment="1">
      <alignment horizontal="center"/>
    </xf>
    <xf numFmtId="1" fontId="5" fillId="0" borderId="65" xfId="0" applyNumberFormat="1" applyFont="1" applyFill="1" applyBorder="1" applyAlignment="1">
      <alignment horizontal="center"/>
    </xf>
    <xf numFmtId="0" fontId="6" fillId="0" borderId="10" xfId="0" applyFont="1" applyFill="1" applyBorder="1"/>
    <xf numFmtId="0" fontId="6" fillId="0" borderId="69" xfId="0" applyFont="1" applyFill="1" applyBorder="1" applyAlignment="1">
      <alignment horizontal="center"/>
    </xf>
    <xf numFmtId="166" fontId="6" fillId="0" borderId="69" xfId="0" applyNumberFormat="1" applyFont="1" applyFill="1" applyBorder="1" applyAlignment="1">
      <alignment horizontal="center"/>
    </xf>
    <xf numFmtId="3" fontId="6" fillId="0" borderId="69" xfId="0" applyNumberFormat="1" applyFont="1" applyFill="1" applyBorder="1" applyAlignment="1">
      <alignment horizontal="center"/>
    </xf>
    <xf numFmtId="0" fontId="6" fillId="0" borderId="70" xfId="0" applyFont="1" applyFill="1" applyBorder="1" applyAlignment="1">
      <alignment horizontal="center"/>
    </xf>
    <xf numFmtId="1" fontId="5" fillId="0" borderId="30" xfId="0" applyNumberFormat="1" applyFont="1" applyFill="1" applyBorder="1" applyAlignment="1">
      <alignment horizontal="center"/>
    </xf>
    <xf numFmtId="166" fontId="7" fillId="0" borderId="68" xfId="0" applyNumberFormat="1" applyFont="1" applyFill="1" applyBorder="1" applyAlignment="1">
      <alignment horizontal="center"/>
    </xf>
    <xf numFmtId="0" fontId="14" fillId="0" borderId="73" xfId="0" applyFont="1" applyFill="1" applyBorder="1"/>
    <xf numFmtId="0" fontId="6" fillId="0" borderId="67" xfId="0" applyFont="1" applyFill="1" applyBorder="1" applyAlignment="1">
      <alignment horizontal="center"/>
    </xf>
    <xf numFmtId="166" fontId="6" fillId="0" borderId="67" xfId="0" applyNumberFormat="1" applyFont="1" applyFill="1" applyBorder="1" applyAlignment="1">
      <alignment horizontal="center"/>
    </xf>
    <xf numFmtId="3" fontId="6" fillId="0" borderId="67" xfId="0" applyNumberFormat="1" applyFont="1" applyFill="1" applyBorder="1" applyAlignment="1">
      <alignment horizontal="center"/>
    </xf>
    <xf numFmtId="0" fontId="6" fillId="0" borderId="56" xfId="0" applyFont="1" applyFill="1" applyBorder="1" applyAlignment="1">
      <alignment horizontal="center"/>
    </xf>
    <xf numFmtId="0" fontId="45" fillId="0" borderId="73" xfId="0" applyFont="1" applyFill="1" applyBorder="1"/>
    <xf numFmtId="3" fontId="7" fillId="0" borderId="74" xfId="0" applyNumberFormat="1" applyFont="1" applyFill="1" applyBorder="1" applyAlignment="1">
      <alignment horizontal="center"/>
    </xf>
    <xf numFmtId="0" fontId="6" fillId="0" borderId="19" xfId="0" applyFont="1" applyFill="1" applyBorder="1" applyAlignment="1">
      <alignment wrapText="1"/>
    </xf>
    <xf numFmtId="0" fontId="14" fillId="0" borderId="73" xfId="0" applyFont="1" applyFill="1" applyBorder="1" applyAlignment="1">
      <alignment wrapText="1"/>
    </xf>
    <xf numFmtId="3" fontId="7" fillId="0" borderId="68" xfId="0" applyNumberFormat="1" applyFont="1" applyFill="1" applyBorder="1" applyAlignment="1">
      <alignment horizontal="center"/>
    </xf>
    <xf numFmtId="0" fontId="45" fillId="0" borderId="73" xfId="0" applyFont="1" applyFill="1" applyBorder="1" applyAlignment="1">
      <alignment wrapText="1"/>
    </xf>
    <xf numFmtId="170" fontId="6" fillId="0" borderId="2" xfId="1" applyNumberFormat="1" applyFont="1" applyFill="1" applyBorder="1" applyAlignment="1">
      <alignment horizontal="center"/>
    </xf>
    <xf numFmtId="4" fontId="6" fillId="0" borderId="2" xfId="1" applyNumberFormat="1" applyFont="1" applyFill="1" applyBorder="1" applyAlignment="1">
      <alignment horizontal="center"/>
    </xf>
    <xf numFmtId="170" fontId="0" fillId="0" borderId="2" xfId="0" applyNumberFormat="1" applyFill="1" applyBorder="1" applyAlignment="1">
      <alignment horizontal="center" wrapText="1"/>
    </xf>
    <xf numFmtId="170" fontId="6" fillId="0" borderId="2" xfId="0" applyNumberFormat="1" applyFont="1" applyFill="1" applyBorder="1" applyAlignment="1">
      <alignment horizontal="center"/>
    </xf>
    <xf numFmtId="4" fontId="6" fillId="0" borderId="2" xfId="0" applyNumberFormat="1" applyFont="1" applyFill="1" applyBorder="1" applyAlignment="1">
      <alignment horizontal="center"/>
    </xf>
    <xf numFmtId="0" fontId="6" fillId="22" borderId="2" xfId="0" applyFont="1" applyFill="1" applyBorder="1" applyAlignment="1">
      <alignment horizontal="center"/>
    </xf>
    <xf numFmtId="0" fontId="26" fillId="0" borderId="0" xfId="0" applyFont="1" applyFill="1" applyBorder="1"/>
    <xf numFmtId="0" fontId="40" fillId="2" borderId="1" xfId="0" applyFont="1" applyFill="1" applyBorder="1"/>
    <xf numFmtId="0" fontId="26" fillId="0" borderId="0" xfId="0" applyFont="1" applyBorder="1"/>
    <xf numFmtId="0" fontId="26" fillId="0" borderId="1" xfId="0" applyFont="1" applyFill="1" applyBorder="1" applyAlignment="1">
      <alignment horizontal="center"/>
    </xf>
    <xf numFmtId="1" fontId="26" fillId="0" borderId="1" xfId="0" applyNumberFormat="1" applyFont="1" applyFill="1" applyBorder="1"/>
    <xf numFmtId="1" fontId="26" fillId="0" borderId="0" xfId="0" applyNumberFormat="1" applyFont="1" applyFill="1" applyBorder="1" applyAlignment="1">
      <alignment horizontal="left"/>
    </xf>
    <xf numFmtId="1" fontId="26" fillId="13" borderId="1" xfId="0" applyNumberFormat="1" applyFont="1" applyFill="1" applyBorder="1"/>
    <xf numFmtId="0" fontId="26" fillId="0" borderId="1" xfId="0" applyFont="1" applyBorder="1"/>
    <xf numFmtId="0" fontId="40" fillId="2" borderId="13" xfId="0" applyFont="1" applyFill="1" applyBorder="1" applyAlignment="1">
      <alignment vertical="center" wrapText="1"/>
    </xf>
    <xf numFmtId="0" fontId="26" fillId="0" borderId="1" xfId="0" applyFont="1" applyFill="1" applyBorder="1"/>
    <xf numFmtId="0" fontId="26" fillId="0" borderId="0" xfId="0" applyFont="1" applyFill="1" applyBorder="1" applyAlignment="1">
      <alignment horizontal="left"/>
    </xf>
    <xf numFmtId="0" fontId="26" fillId="0" borderId="1" xfId="0" applyFont="1" applyFill="1" applyBorder="1" applyAlignment="1"/>
    <xf numFmtId="0" fontId="26" fillId="0" borderId="13" xfId="0" applyFont="1" applyBorder="1"/>
    <xf numFmtId="0" fontId="3" fillId="0" borderId="0" xfId="0" applyFont="1" applyFill="1" applyBorder="1"/>
    <xf numFmtId="0" fontId="26" fillId="13" borderId="1" xfId="0" applyFont="1" applyFill="1" applyBorder="1"/>
    <xf numFmtId="0" fontId="26" fillId="0" borderId="35" xfId="0" applyFont="1" applyBorder="1"/>
    <xf numFmtId="0" fontId="26" fillId="0" borderId="75" xfId="0" applyFont="1" applyBorder="1"/>
    <xf numFmtId="0" fontId="40" fillId="0" borderId="0" xfId="0" applyFont="1"/>
    <xf numFmtId="0" fontId="26" fillId="0" borderId="35" xfId="0" applyFont="1" applyFill="1" applyBorder="1"/>
    <xf numFmtId="0" fontId="40" fillId="0" borderId="65" xfId="0" applyFont="1" applyFill="1" applyBorder="1"/>
    <xf numFmtId="0" fontId="40" fillId="0" borderId="9" xfId="0" applyFont="1" applyFill="1" applyBorder="1"/>
    <xf numFmtId="0" fontId="51" fillId="0" borderId="0" xfId="0" applyFont="1" applyBorder="1"/>
    <xf numFmtId="0" fontId="0" fillId="23" borderId="11" xfId="0" applyFill="1" applyBorder="1"/>
    <xf numFmtId="0" fontId="50" fillId="23" borderId="11" xfId="0" applyFont="1" applyFill="1" applyBorder="1"/>
    <xf numFmtId="0" fontId="50" fillId="23" borderId="0" xfId="0" applyFont="1" applyFill="1" applyBorder="1"/>
    <xf numFmtId="0" fontId="0" fillId="23" borderId="0" xfId="0" applyFill="1" applyBorder="1"/>
    <xf numFmtId="0" fontId="40" fillId="0" borderId="0" xfId="0" applyFont="1" applyBorder="1"/>
    <xf numFmtId="0" fontId="40" fillId="0" borderId="11" xfId="0" applyFont="1" applyBorder="1"/>
    <xf numFmtId="0" fontId="8" fillId="0" borderId="0" xfId="0" applyFont="1" applyFill="1" applyAlignment="1">
      <alignment horizontal="left" wrapText="1"/>
    </xf>
    <xf numFmtId="1" fontId="0" fillId="0" borderId="35" xfId="0" applyNumberFormat="1" applyFill="1" applyBorder="1"/>
    <xf numFmtId="0" fontId="40" fillId="2" borderId="0" xfId="0" applyFont="1" applyFill="1" applyBorder="1"/>
    <xf numFmtId="0" fontId="26" fillId="23" borderId="0" xfId="0" applyFont="1" applyFill="1" applyBorder="1"/>
    <xf numFmtId="0" fontId="26" fillId="13" borderId="0" xfId="0" applyFont="1" applyFill="1" applyBorder="1"/>
    <xf numFmtId="0" fontId="40" fillId="0" borderId="0" xfId="0" applyFont="1" applyFill="1" applyBorder="1"/>
    <xf numFmtId="1" fontId="26" fillId="22" borderId="0" xfId="0" applyNumberFormat="1" applyFont="1" applyFill="1" applyBorder="1"/>
    <xf numFmtId="0" fontId="26" fillId="0" borderId="0" xfId="0" applyFont="1" applyFill="1" applyBorder="1" applyAlignment="1">
      <alignment horizontal="center"/>
    </xf>
    <xf numFmtId="0" fontId="24" fillId="0" borderId="0" xfId="0" applyNumberFormat="1" applyFont="1" applyFill="1"/>
    <xf numFmtId="0" fontId="37" fillId="0" borderId="0" xfId="0" applyNumberFormat="1" applyFont="1" applyFill="1"/>
    <xf numFmtId="3" fontId="24" fillId="0" borderId="0" xfId="0" applyNumberFormat="1" applyFont="1" applyFill="1"/>
    <xf numFmtId="0" fontId="24" fillId="0" borderId="0" xfId="0" applyFont="1" applyAlignment="1">
      <alignment wrapText="1"/>
    </xf>
    <xf numFmtId="0" fontId="37" fillId="0" borderId="0" xfId="0" applyFont="1"/>
    <xf numFmtId="1" fontId="24" fillId="0" borderId="1" xfId="0" applyNumberFormat="1" applyFont="1" applyFill="1" applyBorder="1" applyAlignment="1">
      <alignment horizontal="center" wrapText="1"/>
    </xf>
    <xf numFmtId="3" fontId="24" fillId="0" borderId="5" xfId="0" applyNumberFormat="1" applyFont="1" applyFill="1" applyBorder="1" applyAlignment="1">
      <alignment horizontal="center"/>
    </xf>
    <xf numFmtId="3" fontId="24" fillId="0" borderId="2" xfId="0" applyNumberFormat="1" applyFont="1" applyFill="1" applyBorder="1" applyAlignment="1">
      <alignment horizontal="center"/>
    </xf>
    <xf numFmtId="3" fontId="24" fillId="0" borderId="2" xfId="1" applyNumberFormat="1" applyFont="1" applyFill="1" applyBorder="1" applyAlignment="1">
      <alignment horizontal="center"/>
    </xf>
    <xf numFmtId="3" fontId="37" fillId="0" borderId="2" xfId="0" applyNumberFormat="1" applyFont="1" applyFill="1" applyBorder="1" applyAlignment="1">
      <alignment horizontal="center"/>
    </xf>
    <xf numFmtId="165" fontId="0" fillId="22" borderId="1" xfId="0" applyNumberFormat="1" applyFill="1" applyBorder="1"/>
    <xf numFmtId="3" fontId="4" fillId="0" borderId="0" xfId="0" applyNumberFormat="1" applyFont="1"/>
    <xf numFmtId="0" fontId="54" fillId="0" borderId="1" xfId="0" applyFont="1" applyBorder="1" applyAlignment="1">
      <alignment vertical="center" wrapText="1"/>
    </xf>
    <xf numFmtId="0" fontId="54" fillId="0" borderId="0" xfId="0" applyFont="1" applyBorder="1" applyAlignment="1">
      <alignment horizontal="center" vertical="center" wrapText="1"/>
    </xf>
    <xf numFmtId="0" fontId="53" fillId="0" borderId="76" xfId="0" applyFont="1" applyBorder="1" applyAlignment="1">
      <alignment horizontal="center" vertical="center" wrapText="1"/>
    </xf>
    <xf numFmtId="0" fontId="11" fillId="0" borderId="0" xfId="0" applyFont="1" applyBorder="1"/>
    <xf numFmtId="3" fontId="54" fillId="0" borderId="1" xfId="0" applyNumberFormat="1" applyFont="1" applyBorder="1" applyAlignment="1">
      <alignment horizontal="center" vertical="center" wrapText="1"/>
    </xf>
    <xf numFmtId="3" fontId="0" fillId="0" borderId="0" xfId="0" applyNumberFormat="1"/>
    <xf numFmtId="1" fontId="22" fillId="0" borderId="1" xfId="0" applyNumberFormat="1" applyFont="1" applyBorder="1"/>
    <xf numFmtId="165" fontId="22" fillId="0" borderId="0" xfId="0" applyNumberFormat="1" applyFont="1"/>
    <xf numFmtId="3" fontId="54" fillId="0" borderId="1" xfId="0" applyNumberFormat="1" applyFont="1" applyBorder="1" applyAlignment="1">
      <alignment horizontal="right" vertical="center" wrapText="1"/>
    </xf>
    <xf numFmtId="165" fontId="54" fillId="0" borderId="1" xfId="0" applyNumberFormat="1" applyFont="1" applyBorder="1" applyAlignment="1">
      <alignment horizontal="right" vertical="center" wrapText="1"/>
    </xf>
    <xf numFmtId="165" fontId="22" fillId="0" borderId="1" xfId="0" applyNumberFormat="1" applyFont="1" applyBorder="1" applyAlignment="1">
      <alignment horizontal="right" vertical="center" wrapText="1"/>
    </xf>
    <xf numFmtId="166" fontId="54" fillId="0" borderId="1" xfId="0" applyNumberFormat="1" applyFont="1" applyBorder="1" applyAlignment="1">
      <alignment horizontal="right" vertical="center" wrapText="1"/>
    </xf>
    <xf numFmtId="0" fontId="54" fillId="0" borderId="0" xfId="0" applyFont="1" applyBorder="1" applyAlignment="1">
      <alignment vertical="center" wrapText="1"/>
    </xf>
    <xf numFmtId="3" fontId="56" fillId="0" borderId="1" xfId="0" applyNumberFormat="1" applyFont="1" applyBorder="1" applyAlignment="1">
      <alignment horizontal="right" vertical="center" wrapText="1"/>
    </xf>
    <xf numFmtId="166" fontId="56" fillId="0" borderId="1" xfId="0" applyNumberFormat="1" applyFont="1" applyFill="1" applyBorder="1" applyAlignment="1">
      <alignment horizontal="right" vertical="center" wrapText="1"/>
    </xf>
    <xf numFmtId="3" fontId="56" fillId="0" borderId="1" xfId="0" applyNumberFormat="1" applyFont="1" applyFill="1" applyBorder="1" applyAlignment="1">
      <alignment horizontal="center" vertical="center" wrapText="1"/>
    </xf>
    <xf numFmtId="0" fontId="54" fillId="0" borderId="77" xfId="0" applyFont="1" applyBorder="1" applyAlignment="1">
      <alignment horizontal="center" vertical="center" wrapText="1"/>
    </xf>
    <xf numFmtId="0" fontId="54" fillId="0" borderId="20" xfId="0" applyFont="1" applyBorder="1" applyAlignment="1">
      <alignment horizontal="center" vertical="center" wrapText="1"/>
    </xf>
    <xf numFmtId="3" fontId="22" fillId="0" borderId="21" xfId="0" applyNumberFormat="1" applyFont="1" applyFill="1" applyBorder="1" applyAlignment="1">
      <alignment horizontal="center"/>
    </xf>
    <xf numFmtId="3" fontId="54" fillId="0" borderId="21" xfId="0" applyNumberFormat="1" applyFont="1" applyBorder="1" applyAlignment="1">
      <alignment horizontal="right" vertical="center" wrapText="1"/>
    </xf>
    <xf numFmtId="165" fontId="54" fillId="0" borderId="21" xfId="0" applyNumberFormat="1" applyFont="1" applyBorder="1" applyAlignment="1">
      <alignment horizontal="right" vertical="center" wrapText="1"/>
    </xf>
    <xf numFmtId="166" fontId="54" fillId="0" borderId="21" xfId="0" applyNumberFormat="1" applyFont="1" applyFill="1" applyBorder="1" applyAlignment="1">
      <alignment horizontal="right" vertical="center" wrapText="1"/>
    </xf>
    <xf numFmtId="0" fontId="54" fillId="0" borderId="21" xfId="0" applyFont="1" applyBorder="1" applyAlignment="1">
      <alignment vertical="center" wrapText="1"/>
    </xf>
    <xf numFmtId="3" fontId="0" fillId="0" borderId="1" xfId="0" applyNumberFormat="1" applyBorder="1"/>
    <xf numFmtId="0" fontId="56" fillId="0" borderId="1" xfId="0" applyFont="1" applyBorder="1" applyAlignment="1">
      <alignment vertical="center" wrapText="1"/>
    </xf>
    <xf numFmtId="0" fontId="57" fillId="0" borderId="1" xfId="0" applyFont="1" applyBorder="1" applyAlignment="1">
      <alignment vertical="center" wrapText="1"/>
    </xf>
    <xf numFmtId="166" fontId="56" fillId="0" borderId="1" xfId="0" applyNumberFormat="1" applyFont="1" applyBorder="1" applyAlignment="1">
      <alignment horizontal="right" vertical="center" wrapText="1"/>
    </xf>
    <xf numFmtId="1" fontId="54" fillId="0" borderId="1" xfId="0" applyNumberFormat="1" applyFont="1" applyBorder="1" applyAlignment="1">
      <alignment horizontal="right" vertical="center" wrapText="1"/>
    </xf>
    <xf numFmtId="0" fontId="4" fillId="0" borderId="1" xfId="0" applyFont="1" applyFill="1" applyBorder="1" applyAlignment="1">
      <alignment horizontal="center"/>
    </xf>
    <xf numFmtId="0" fontId="53" fillId="0" borderId="78" xfId="0" applyFont="1" applyBorder="1" applyAlignment="1">
      <alignment horizontal="center" vertical="center" wrapText="1"/>
    </xf>
    <xf numFmtId="0" fontId="54" fillId="0" borderId="76" xfId="0" applyFont="1" applyBorder="1" applyAlignment="1">
      <alignment horizontal="center" vertical="center" wrapText="1"/>
    </xf>
    <xf numFmtId="0" fontId="0" fillId="0" borderId="79" xfId="0" applyBorder="1" applyAlignment="1">
      <alignment vertical="top" wrapText="1"/>
    </xf>
    <xf numFmtId="0" fontId="54" fillId="0" borderId="80" xfId="0" applyFont="1" applyBorder="1" applyAlignment="1">
      <alignment horizontal="center" vertical="center" wrapText="1"/>
    </xf>
    <xf numFmtId="0" fontId="54" fillId="0" borderId="81" xfId="0" applyFont="1" applyBorder="1" applyAlignment="1">
      <alignment horizontal="center" vertical="center" wrapText="1"/>
    </xf>
    <xf numFmtId="0" fontId="54" fillId="0" borderId="82" xfId="0" applyFont="1" applyBorder="1" applyAlignment="1">
      <alignment horizontal="center" vertical="center" wrapText="1"/>
    </xf>
    <xf numFmtId="0" fontId="54" fillId="0" borderId="0" xfId="0" applyFont="1" applyAlignment="1">
      <alignment vertical="center" wrapText="1"/>
    </xf>
    <xf numFmtId="3" fontId="54" fillId="0" borderId="1" xfId="0" applyNumberFormat="1" applyFont="1" applyFill="1" applyBorder="1" applyAlignment="1">
      <alignment horizontal="center" vertical="center" wrapText="1"/>
    </xf>
    <xf numFmtId="3" fontId="54" fillId="0" borderId="21" xfId="0" applyNumberFormat="1" applyFont="1" applyFill="1" applyBorder="1" applyAlignment="1">
      <alignment horizontal="center" vertical="center" wrapText="1"/>
    </xf>
    <xf numFmtId="3" fontId="54" fillId="0" borderId="1" xfId="0" applyNumberFormat="1" applyFont="1" applyFill="1" applyBorder="1" applyAlignment="1">
      <alignment horizontal="right" vertical="center" wrapText="1"/>
    </xf>
    <xf numFmtId="166" fontId="54" fillId="0" borderId="1" xfId="0" applyNumberFormat="1" applyFont="1" applyFill="1" applyBorder="1" applyAlignment="1">
      <alignment horizontal="right" vertical="center" wrapText="1"/>
    </xf>
    <xf numFmtId="3" fontId="22" fillId="0" borderId="82" xfId="0" applyNumberFormat="1" applyFont="1" applyFill="1" applyBorder="1" applyAlignment="1">
      <alignment horizontal="center" vertical="center" wrapText="1"/>
    </xf>
    <xf numFmtId="3" fontId="22" fillId="0" borderId="83" xfId="0" applyNumberFormat="1" applyFont="1" applyFill="1" applyBorder="1" applyAlignment="1">
      <alignment horizontal="center" vertical="center" wrapText="1"/>
    </xf>
    <xf numFmtId="0" fontId="60" fillId="0" borderId="0" xfId="0" applyFont="1"/>
    <xf numFmtId="0" fontId="59" fillId="0" borderId="0" xfId="0" applyFont="1"/>
    <xf numFmtId="0" fontId="8" fillId="0" borderId="0" xfId="0" applyFont="1" applyFill="1" applyAlignment="1">
      <alignment horizontal="left" wrapText="1"/>
    </xf>
    <xf numFmtId="0" fontId="8" fillId="0" borderId="0" xfId="0" applyFont="1" applyFill="1" applyAlignment="1">
      <alignment horizontal="left"/>
    </xf>
    <xf numFmtId="3" fontId="7" fillId="0" borderId="68" xfId="0" applyNumberFormat="1" applyFont="1" applyFill="1" applyBorder="1" applyAlignment="1">
      <alignment horizontal="center"/>
    </xf>
    <xf numFmtId="0" fontId="5" fillId="0" borderId="9" xfId="0" applyFont="1" applyFill="1" applyBorder="1" applyAlignment="1">
      <alignment horizontal="center"/>
    </xf>
    <xf numFmtId="165" fontId="54" fillId="0" borderId="1" xfId="0" quotePrefix="1" applyNumberFormat="1" applyFont="1" applyBorder="1" applyAlignment="1">
      <alignment horizontal="right" vertical="center" wrapText="1"/>
    </xf>
    <xf numFmtId="0" fontId="9" fillId="0" borderId="1" xfId="0" applyFont="1" applyFill="1" applyBorder="1" applyAlignment="1">
      <alignment horizontal="left"/>
    </xf>
    <xf numFmtId="0" fontId="24" fillId="0" borderId="2" xfId="0" applyFont="1" applyFill="1" applyBorder="1" applyAlignment="1">
      <alignment horizontal="center"/>
    </xf>
    <xf numFmtId="0" fontId="6" fillId="0" borderId="52" xfId="0" applyFont="1" applyFill="1" applyBorder="1" applyAlignment="1"/>
    <xf numFmtId="0" fontId="61" fillId="0" borderId="3" xfId="0" applyFont="1" applyFill="1" applyBorder="1" applyAlignment="1">
      <alignment horizontal="left" indent="2"/>
    </xf>
    <xf numFmtId="0" fontId="61" fillId="0" borderId="2" xfId="0" applyFont="1" applyFill="1" applyBorder="1" applyAlignment="1">
      <alignment horizontal="center"/>
    </xf>
    <xf numFmtId="166" fontId="61" fillId="0" borderId="2" xfId="0" applyNumberFormat="1" applyFont="1" applyFill="1" applyBorder="1" applyAlignment="1">
      <alignment horizontal="center"/>
    </xf>
    <xf numFmtId="3" fontId="61" fillId="0" borderId="2" xfId="1" applyNumberFormat="1" applyFont="1" applyFill="1" applyBorder="1" applyAlignment="1">
      <alignment horizontal="center"/>
    </xf>
    <xf numFmtId="3" fontId="61" fillId="0" borderId="2" xfId="0" applyNumberFormat="1" applyFont="1" applyFill="1" applyBorder="1" applyAlignment="1">
      <alignment horizontal="center"/>
    </xf>
    <xf numFmtId="0" fontId="61" fillId="0" borderId="8" xfId="0" applyFont="1" applyFill="1" applyBorder="1" applyAlignment="1">
      <alignment horizontal="center"/>
    </xf>
    <xf numFmtId="3" fontId="22" fillId="0" borderId="1" xfId="0" applyNumberFormat="1" applyFont="1" applyFill="1" applyBorder="1" applyAlignment="1">
      <alignment horizontal="center" vertical="center"/>
    </xf>
    <xf numFmtId="3" fontId="3" fillId="0" borderId="5" xfId="0" applyNumberFormat="1" applyFont="1" applyFill="1" applyBorder="1" applyAlignment="1">
      <alignment horizontal="center" wrapText="1"/>
    </xf>
    <xf numFmtId="0" fontId="11" fillId="0" borderId="5" xfId="0" applyFont="1" applyFill="1" applyBorder="1"/>
    <xf numFmtId="0" fontId="3" fillId="0" borderId="5" xfId="0" applyFont="1" applyFill="1" applyBorder="1" applyAlignment="1">
      <alignment horizontal="center" wrapText="1"/>
    </xf>
    <xf numFmtId="0" fontId="3" fillId="0" borderId="5" xfId="0" applyFont="1" applyFill="1" applyBorder="1"/>
    <xf numFmtId="164" fontId="4" fillId="0" borderId="11" xfId="1" applyNumberFormat="1" applyFont="1" applyBorder="1"/>
    <xf numFmtId="168" fontId="4" fillId="0" borderId="16" xfId="2" applyNumberFormat="1" applyFont="1" applyBorder="1"/>
    <xf numFmtId="0" fontId="5" fillId="0" borderId="1" xfId="0" applyFont="1" applyBorder="1"/>
    <xf numFmtId="37" fontId="9" fillId="0" borderId="1" xfId="2" applyNumberFormat="1" applyFont="1" applyBorder="1"/>
    <xf numFmtId="6" fontId="22" fillId="0" borderId="0" xfId="0" applyNumberFormat="1" applyFont="1" applyBorder="1" applyAlignment="1">
      <alignment horizontal="right" vertical="center" wrapText="1"/>
    </xf>
    <xf numFmtId="0" fontId="11" fillId="0" borderId="1" xfId="0" applyFont="1" applyFill="1" applyBorder="1"/>
    <xf numFmtId="165" fontId="3" fillId="0" borderId="1" xfId="0" applyNumberFormat="1" applyFont="1" applyFill="1" applyBorder="1"/>
    <xf numFmtId="17" fontId="3" fillId="0" borderId="1" xfId="0" applyNumberFormat="1" applyFont="1" applyFill="1" applyBorder="1"/>
    <xf numFmtId="1" fontId="0" fillId="0" borderId="50" xfId="0" applyNumberFormat="1" applyFill="1" applyBorder="1"/>
    <xf numFmtId="1" fontId="0" fillId="0" borderId="1" xfId="0" applyNumberFormat="1" applyBorder="1"/>
    <xf numFmtId="0" fontId="51" fillId="0" borderId="0" xfId="0" applyFont="1" applyBorder="1" applyAlignment="1">
      <alignment horizontal="right"/>
    </xf>
    <xf numFmtId="0" fontId="26" fillId="0" borderId="57" xfId="0" applyFont="1" applyBorder="1"/>
    <xf numFmtId="0" fontId="0" fillId="0" borderId="55" xfId="0" applyFill="1" applyBorder="1" applyAlignment="1">
      <alignment horizontal="center"/>
    </xf>
    <xf numFmtId="0" fontId="62" fillId="0" borderId="0" xfId="0" applyFont="1" applyFill="1" applyBorder="1"/>
    <xf numFmtId="0" fontId="62" fillId="0" borderId="0" xfId="0" applyFont="1" applyBorder="1"/>
    <xf numFmtId="0" fontId="62" fillId="0" borderId="0" xfId="0" applyFont="1" applyFill="1" applyBorder="1" applyAlignment="1">
      <alignment horizontal="left"/>
    </xf>
    <xf numFmtId="0" fontId="62" fillId="0" borderId="0" xfId="0" applyFont="1"/>
    <xf numFmtId="1" fontId="62" fillId="0" borderId="0" xfId="0" applyNumberFormat="1" applyFont="1" applyFill="1" applyBorder="1" applyAlignment="1">
      <alignment horizontal="left"/>
    </xf>
    <xf numFmtId="1" fontId="62" fillId="0" borderId="0" xfId="0" applyNumberFormat="1" applyFont="1" applyFill="1" applyBorder="1"/>
    <xf numFmtId="1" fontId="62" fillId="0" borderId="0" xfId="0" applyNumberFormat="1" applyFont="1" applyBorder="1"/>
    <xf numFmtId="1" fontId="62" fillId="0" borderId="0" xfId="0" applyNumberFormat="1" applyFont="1"/>
    <xf numFmtId="9" fontId="62" fillId="0" borderId="0" xfId="4" applyFont="1" applyBorder="1"/>
    <xf numFmtId="2" fontId="62" fillId="0" borderId="0" xfId="0" applyNumberFormat="1" applyFont="1"/>
    <xf numFmtId="0" fontId="0" fillId="0" borderId="35" xfId="0" applyFill="1" applyBorder="1" applyAlignment="1">
      <alignment horizontal="center"/>
    </xf>
    <xf numFmtId="1" fontId="0" fillId="0" borderId="21" xfId="0" applyNumberFormat="1" applyFill="1" applyBorder="1"/>
    <xf numFmtId="0" fontId="0" fillId="23" borderId="46" xfId="0" applyFill="1" applyBorder="1"/>
    <xf numFmtId="0" fontId="26" fillId="23" borderId="57" xfId="0" applyFont="1" applyFill="1" applyBorder="1"/>
    <xf numFmtId="0" fontId="0" fillId="23" borderId="47" xfId="0" applyFill="1" applyBorder="1"/>
    <xf numFmtId="0" fontId="51" fillId="23" borderId="57" xfId="0" applyFont="1" applyFill="1" applyBorder="1"/>
    <xf numFmtId="0" fontId="51" fillId="23" borderId="47" xfId="0" applyFont="1" applyFill="1" applyBorder="1"/>
    <xf numFmtId="1" fontId="0" fillId="0" borderId="13" xfId="0" applyNumberFormat="1" applyFill="1" applyBorder="1"/>
    <xf numFmtId="0" fontId="50" fillId="23" borderId="14" xfId="0" applyFont="1" applyFill="1" applyBorder="1"/>
    <xf numFmtId="0" fontId="26" fillId="23" borderId="15" xfId="0" applyFont="1" applyFill="1" applyBorder="1"/>
    <xf numFmtId="0" fontId="0" fillId="23" borderId="16" xfId="0" applyFill="1" applyBorder="1"/>
    <xf numFmtId="0" fontId="50" fillId="23" borderId="15" xfId="0" applyFont="1" applyFill="1" applyBorder="1"/>
    <xf numFmtId="1" fontId="9" fillId="0" borderId="1" xfId="0" applyNumberFormat="1" applyFont="1" applyBorder="1"/>
    <xf numFmtId="1" fontId="5" fillId="0" borderId="1" xfId="0" applyNumberFormat="1" applyFont="1" applyBorder="1"/>
    <xf numFmtId="0" fontId="22" fillId="0" borderId="0" xfId="0" applyFont="1" applyFill="1" applyBorder="1" applyAlignment="1">
      <alignment horizontal="center" vertical="center" wrapText="1"/>
    </xf>
    <xf numFmtId="166" fontId="22" fillId="0" borderId="0" xfId="2" applyNumberFormat="1" applyFont="1" applyFill="1" applyBorder="1" applyAlignment="1">
      <alignment horizontal="right" vertical="center" wrapText="1"/>
    </xf>
    <xf numFmtId="3" fontId="7" fillId="0" borderId="87" xfId="0" applyNumberFormat="1" applyFont="1" applyFill="1" applyBorder="1" applyAlignment="1">
      <alignment horizontal="center"/>
    </xf>
    <xf numFmtId="0" fontId="7" fillId="0" borderId="88" xfId="0" applyFont="1" applyFill="1" applyBorder="1" applyAlignment="1">
      <alignment horizontal="center"/>
    </xf>
    <xf numFmtId="0" fontId="7" fillId="0" borderId="69" xfId="0" applyFont="1" applyFill="1" applyBorder="1" applyAlignment="1">
      <alignment horizontal="center"/>
    </xf>
    <xf numFmtId="0" fontId="54" fillId="0" borderId="89" xfId="0" applyFont="1" applyBorder="1" applyAlignment="1">
      <alignment vertical="center" wrapText="1"/>
    </xf>
    <xf numFmtId="0" fontId="54" fillId="0" borderId="13" xfId="0" applyFont="1" applyBorder="1" applyAlignment="1">
      <alignment vertical="center" wrapText="1"/>
    </xf>
    <xf numFmtId="0" fontId="57" fillId="0" borderId="18" xfId="0" applyFont="1" applyBorder="1" applyAlignment="1">
      <alignment horizontal="right" vertical="center" wrapText="1"/>
    </xf>
    <xf numFmtId="3" fontId="54" fillId="0" borderId="21" xfId="0" applyNumberFormat="1" applyFont="1" applyFill="1" applyBorder="1" applyAlignment="1">
      <alignment horizontal="right" vertical="center" wrapText="1"/>
    </xf>
    <xf numFmtId="3" fontId="54" fillId="0" borderId="50" xfId="0" applyNumberFormat="1" applyFont="1" applyFill="1" applyBorder="1" applyAlignment="1">
      <alignment horizontal="right" vertical="center" wrapText="1"/>
    </xf>
    <xf numFmtId="3" fontId="54" fillId="0" borderId="58" xfId="0" applyNumberFormat="1" applyFont="1" applyFill="1" applyBorder="1" applyAlignment="1">
      <alignment horizontal="right" vertical="center" wrapText="1"/>
    </xf>
    <xf numFmtId="3" fontId="54" fillId="0" borderId="17" xfId="0" applyNumberFormat="1" applyFont="1" applyFill="1" applyBorder="1" applyAlignment="1">
      <alignment horizontal="right" vertical="center" wrapText="1"/>
    </xf>
    <xf numFmtId="1" fontId="54" fillId="0" borderId="56" xfId="0" applyNumberFormat="1" applyFont="1" applyBorder="1" applyAlignment="1">
      <alignment vertical="center" wrapText="1"/>
    </xf>
    <xf numFmtId="1" fontId="54" fillId="0" borderId="9" xfId="0" applyNumberFormat="1" applyFont="1" applyBorder="1" applyAlignment="1">
      <alignment vertical="center" wrapText="1"/>
    </xf>
    <xf numFmtId="3" fontId="54" fillId="0" borderId="91" xfId="0" applyNumberFormat="1" applyFont="1" applyFill="1" applyBorder="1" applyAlignment="1">
      <alignment vertical="center" wrapText="1"/>
    </xf>
    <xf numFmtId="0" fontId="54" fillId="0" borderId="22" xfId="0" applyFont="1" applyBorder="1" applyAlignment="1">
      <alignment horizontal="center" vertical="center" wrapText="1"/>
    </xf>
    <xf numFmtId="0" fontId="54" fillId="0" borderId="93"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94" xfId="0" applyFont="1" applyBorder="1" applyAlignment="1">
      <alignment horizontal="center" vertical="center" wrapText="1"/>
    </xf>
    <xf numFmtId="3" fontId="54" fillId="0" borderId="55" xfId="0" applyNumberFormat="1" applyFont="1" applyFill="1" applyBorder="1" applyAlignment="1">
      <alignment horizontal="right" vertical="center" wrapText="1"/>
    </xf>
    <xf numFmtId="3" fontId="54" fillId="0" borderId="35" xfId="0" applyNumberFormat="1" applyFont="1" applyFill="1" applyBorder="1" applyAlignment="1">
      <alignment horizontal="right" vertical="center" wrapText="1"/>
    </xf>
    <xf numFmtId="3" fontId="54" fillId="0" borderId="53" xfId="0" applyNumberFormat="1" applyFont="1" applyFill="1" applyBorder="1" applyAlignment="1">
      <alignment horizontal="right" vertical="center" wrapText="1"/>
    </xf>
    <xf numFmtId="3" fontId="54" fillId="0" borderId="89" xfId="0" applyNumberFormat="1" applyFont="1" applyFill="1" applyBorder="1" applyAlignment="1">
      <alignment horizontal="right" vertical="center" wrapText="1"/>
    </xf>
    <xf numFmtId="3" fontId="54" fillId="0" borderId="92" xfId="0" applyNumberFormat="1" applyFont="1" applyFill="1" applyBorder="1" applyAlignment="1">
      <alignment vertical="center" wrapText="1"/>
    </xf>
    <xf numFmtId="3" fontId="54" fillId="0" borderId="13" xfId="0" applyNumberFormat="1" applyFont="1" applyFill="1" applyBorder="1" applyAlignment="1">
      <alignment horizontal="right" vertical="center" wrapText="1"/>
    </xf>
    <xf numFmtId="3" fontId="54" fillId="0" borderId="90" xfId="0" applyNumberFormat="1" applyFont="1" applyFill="1" applyBorder="1" applyAlignment="1">
      <alignment vertical="center" wrapText="1"/>
    </xf>
    <xf numFmtId="3" fontId="54" fillId="0" borderId="18" xfId="0" applyNumberFormat="1" applyFont="1" applyFill="1" applyBorder="1" applyAlignment="1">
      <alignment horizontal="right" vertical="center" wrapText="1"/>
    </xf>
    <xf numFmtId="3" fontId="54" fillId="0" borderId="89" xfId="0" applyNumberFormat="1" applyFont="1" applyFill="1" applyBorder="1" applyAlignment="1">
      <alignment vertical="center" wrapText="1"/>
    </xf>
    <xf numFmtId="3" fontId="54" fillId="0" borderId="13" xfId="0" applyNumberFormat="1" applyFont="1" applyFill="1" applyBorder="1" applyAlignment="1">
      <alignment vertical="center" wrapText="1"/>
    </xf>
    <xf numFmtId="3" fontId="54" fillId="0" borderId="18" xfId="0" applyNumberFormat="1" applyFont="1" applyFill="1" applyBorder="1" applyAlignment="1">
      <alignment vertical="center" wrapText="1"/>
    </xf>
    <xf numFmtId="0" fontId="57" fillId="0" borderId="22" xfId="0" applyFont="1" applyBorder="1" applyAlignment="1">
      <alignment horizontal="left" vertical="center"/>
    </xf>
    <xf numFmtId="0" fontId="0" fillId="0" borderId="77" xfId="0" applyBorder="1"/>
    <xf numFmtId="0" fontId="0" fillId="0" borderId="85" xfId="0" applyBorder="1"/>
    <xf numFmtId="3" fontId="7" fillId="0" borderId="68" xfId="0" applyNumberFormat="1" applyFont="1" applyFill="1" applyBorder="1" applyAlignment="1">
      <alignment horizontal="center"/>
    </xf>
    <xf numFmtId="0" fontId="5" fillId="0" borderId="9" xfId="0" applyFont="1" applyFill="1" applyBorder="1" applyAlignment="1">
      <alignment horizontal="center"/>
    </xf>
    <xf numFmtId="165" fontId="0" fillId="0" borderId="5" xfId="0" applyNumberFormat="1" applyFill="1" applyBorder="1" applyAlignment="1">
      <alignment horizontal="center" wrapText="1"/>
    </xf>
    <xf numFmtId="165" fontId="0" fillId="0" borderId="2" xfId="0" applyNumberFormat="1" applyFill="1" applyBorder="1" applyAlignment="1">
      <alignment horizontal="center" wrapText="1"/>
    </xf>
    <xf numFmtId="49" fontId="11" fillId="0" borderId="95" xfId="0" applyNumberFormat="1" applyFont="1" applyFill="1" applyBorder="1" applyAlignment="1">
      <alignment vertical="center"/>
    </xf>
    <xf numFmtId="3" fontId="19" fillId="0" borderId="96" xfId="0" applyNumberFormat="1" applyFont="1" applyFill="1" applyBorder="1" applyAlignment="1">
      <alignment vertical="top"/>
    </xf>
    <xf numFmtId="49" fontId="19" fillId="0" borderId="96" xfId="0" applyNumberFormat="1" applyFont="1" applyFill="1" applyBorder="1" applyAlignment="1">
      <alignment vertical="top"/>
    </xf>
    <xf numFmtId="3" fontId="0" fillId="0" borderId="96" xfId="0" applyNumberFormat="1" applyFill="1" applyBorder="1"/>
    <xf numFmtId="0" fontId="0" fillId="0" borderId="96" xfId="0" applyFill="1" applyBorder="1"/>
    <xf numFmtId="0" fontId="0" fillId="0" borderId="96" xfId="0" applyFill="1" applyBorder="1" applyAlignment="1">
      <alignment horizontal="center" wrapText="1"/>
    </xf>
    <xf numFmtId="166" fontId="11" fillId="0" borderId="96" xfId="0" applyNumberFormat="1" applyFont="1" applyFill="1" applyBorder="1" applyAlignment="1">
      <alignment horizontal="center" wrapText="1"/>
    </xf>
    <xf numFmtId="0" fontId="3" fillId="0" borderId="99" xfId="0" applyFont="1" applyFill="1" applyBorder="1" applyAlignment="1">
      <alignment horizontal="center"/>
    </xf>
    <xf numFmtId="0" fontId="52" fillId="0" borderId="0" xfId="0" applyFont="1" applyFill="1"/>
    <xf numFmtId="0" fontId="52" fillId="0" borderId="0" xfId="0" applyFont="1" applyFill="1" applyAlignment="1">
      <alignment horizontal="center"/>
    </xf>
    <xf numFmtId="1" fontId="52" fillId="0" borderId="0" xfId="0" applyNumberFormat="1" applyFont="1" applyFill="1" applyAlignment="1">
      <alignment horizontal="center"/>
    </xf>
    <xf numFmtId="3" fontId="52" fillId="0" borderId="0" xfId="0" applyNumberFormat="1" applyFont="1" applyFill="1" applyAlignment="1">
      <alignment horizontal="center"/>
    </xf>
    <xf numFmtId="0" fontId="52" fillId="0" borderId="0" xfId="0" applyFont="1"/>
    <xf numFmtId="0" fontId="6" fillId="0" borderId="0" xfId="0" applyFont="1" applyBorder="1"/>
    <xf numFmtId="0" fontId="6" fillId="0" borderId="100" xfId="0" applyFont="1" applyFill="1" applyBorder="1" applyAlignment="1">
      <alignment horizontal="center"/>
    </xf>
    <xf numFmtId="0" fontId="6" fillId="0" borderId="100" xfId="0" applyFont="1" applyBorder="1" applyAlignment="1">
      <alignment horizontal="center"/>
    </xf>
    <xf numFmtId="0" fontId="7" fillId="0" borderId="100" xfId="0" applyFont="1" applyFill="1" applyBorder="1" applyAlignment="1">
      <alignment horizontal="center"/>
    </xf>
    <xf numFmtId="0" fontId="54" fillId="0" borderId="13" xfId="0" applyFont="1" applyBorder="1" applyAlignment="1">
      <alignment vertical="center"/>
    </xf>
    <xf numFmtId="0" fontId="11" fillId="0" borderId="0" xfId="0" applyFont="1" applyFill="1" applyAlignment="1"/>
    <xf numFmtId="0" fontId="6" fillId="0" borderId="2" xfId="0" applyFont="1" applyFill="1" applyBorder="1" applyAlignment="1">
      <alignment horizontal="left"/>
    </xf>
    <xf numFmtId="0" fontId="22" fillId="0" borderId="1" xfId="0" applyFont="1" applyBorder="1" applyAlignment="1">
      <alignment horizontal="left" vertical="center" wrapText="1"/>
    </xf>
    <xf numFmtId="0" fontId="33" fillId="0" borderId="53" xfId="0" applyFont="1" applyBorder="1" applyAlignment="1">
      <alignment vertical="center" wrapText="1"/>
    </xf>
    <xf numFmtId="0" fontId="64" fillId="0" borderId="1" xfId="0" applyFont="1" applyFill="1" applyBorder="1" applyAlignment="1">
      <alignment horizontal="center" vertical="center" wrapText="1"/>
    </xf>
    <xf numFmtId="0" fontId="54" fillId="0" borderId="50" xfId="0" applyFont="1" applyBorder="1" applyAlignment="1">
      <alignment vertical="center"/>
    </xf>
    <xf numFmtId="0" fontId="54" fillId="0" borderId="1" xfId="0" applyFont="1" applyFill="1" applyBorder="1" applyAlignment="1">
      <alignment horizontal="center" vertical="center" wrapText="1"/>
    </xf>
    <xf numFmtId="0" fontId="54" fillId="0" borderId="1" xfId="0" applyFont="1" applyFill="1" applyBorder="1" applyAlignment="1">
      <alignment horizontal="left" vertical="center" wrapText="1"/>
    </xf>
    <xf numFmtId="0" fontId="22" fillId="0" borderId="0" xfId="0" applyFont="1" applyBorder="1"/>
    <xf numFmtId="2" fontId="22" fillId="0" borderId="1" xfId="0" applyNumberFormat="1" applyFont="1" applyBorder="1"/>
    <xf numFmtId="2" fontId="46" fillId="0" borderId="1" xfId="0" applyNumberFormat="1" applyFont="1" applyBorder="1"/>
    <xf numFmtId="1" fontId="46" fillId="0" borderId="1" xfId="0" applyNumberFormat="1" applyFont="1" applyBorder="1"/>
    <xf numFmtId="0" fontId="54" fillId="0" borderId="84"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85" xfId="0" applyFont="1" applyBorder="1" applyAlignment="1">
      <alignment horizontal="center" vertical="center" wrapText="1"/>
    </xf>
    <xf numFmtId="3" fontId="56" fillId="0" borderId="35" xfId="0" applyNumberFormat="1" applyFont="1" applyFill="1" applyBorder="1" applyAlignment="1">
      <alignment horizontal="center" vertical="center" wrapText="1"/>
    </xf>
    <xf numFmtId="3" fontId="56" fillId="0" borderId="65" xfId="0" applyNumberFormat="1" applyFont="1" applyFill="1" applyBorder="1" applyAlignment="1">
      <alignment horizontal="center" vertical="center" wrapText="1"/>
    </xf>
    <xf numFmtId="3" fontId="56" fillId="0" borderId="9" xfId="0" applyNumberFormat="1" applyFont="1" applyFill="1" applyBorder="1" applyAlignment="1">
      <alignment horizontal="center" vertical="center" wrapText="1"/>
    </xf>
    <xf numFmtId="6" fontId="54" fillId="0" borderId="0" xfId="0" applyNumberFormat="1" applyFont="1" applyBorder="1" applyAlignment="1">
      <alignment horizontal="right" vertical="center" wrapText="1"/>
    </xf>
    <xf numFmtId="0" fontId="8" fillId="0" borderId="0" xfId="0" applyFont="1" applyFill="1" applyAlignment="1">
      <alignment horizontal="left" wrapText="1"/>
    </xf>
    <xf numFmtId="0" fontId="8" fillId="0" borderId="0" xfId="0" applyFont="1" applyFill="1" applyAlignment="1">
      <alignment horizontal="left"/>
    </xf>
    <xf numFmtId="0" fontId="5" fillId="0" borderId="0" xfId="0" applyFont="1" applyFill="1" applyAlignment="1">
      <alignment horizontal="center"/>
    </xf>
    <xf numFmtId="0" fontId="5" fillId="0" borderId="48" xfId="0" applyFont="1" applyFill="1" applyBorder="1" applyAlignment="1">
      <alignment horizontal="center"/>
    </xf>
    <xf numFmtId="0" fontId="4" fillId="0" borderId="0" xfId="0" applyFont="1" applyFill="1" applyAlignment="1">
      <alignment horizontal="left" wrapText="1"/>
    </xf>
    <xf numFmtId="0" fontId="3" fillId="0" borderId="62" xfId="0" applyFont="1" applyFill="1" applyBorder="1" applyAlignment="1">
      <alignment horizontal="left" vertical="top" wrapText="1"/>
    </xf>
    <xf numFmtId="0" fontId="0" fillId="0" borderId="63" xfId="0" applyFill="1" applyBorder="1" applyAlignment="1">
      <alignment horizontal="left" vertical="top" wrapText="1"/>
    </xf>
    <xf numFmtId="0" fontId="0" fillId="0" borderId="64" xfId="0" applyFill="1" applyBorder="1" applyAlignment="1">
      <alignment horizontal="left" vertical="top" wrapText="1"/>
    </xf>
    <xf numFmtId="0" fontId="11" fillId="0" borderId="0" xfId="0" applyFont="1" applyFill="1" applyAlignment="1">
      <alignment horizontal="center"/>
    </xf>
    <xf numFmtId="49" fontId="10" fillId="0" borderId="2" xfId="0" applyNumberFormat="1" applyFont="1" applyFill="1" applyBorder="1" applyAlignment="1">
      <alignment horizontal="left" vertical="top" wrapText="1"/>
    </xf>
    <xf numFmtId="3" fontId="11" fillId="0" borderId="97" xfId="0" applyNumberFormat="1" applyFont="1" applyFill="1" applyBorder="1" applyAlignment="1">
      <alignment horizontal="center" wrapText="1"/>
    </xf>
    <xf numFmtId="3" fontId="11" fillId="0" borderId="77" xfId="0" applyNumberFormat="1" applyFont="1" applyFill="1" applyBorder="1" applyAlignment="1">
      <alignment horizontal="center" wrapText="1"/>
    </xf>
    <xf numFmtId="3" fontId="11" fillId="0" borderId="98" xfId="0" applyNumberFormat="1" applyFont="1" applyFill="1" applyBorder="1" applyAlignment="1">
      <alignment horizontal="center" wrapText="1"/>
    </xf>
    <xf numFmtId="0" fontId="11" fillId="0" borderId="15" xfId="0" applyFont="1" applyFill="1" applyBorder="1" applyAlignment="1">
      <alignment horizontal="center"/>
    </xf>
    <xf numFmtId="0" fontId="11" fillId="2" borderId="1" xfId="0" applyFont="1" applyFill="1" applyBorder="1" applyAlignment="1">
      <alignment horizontal="center"/>
    </xf>
    <xf numFmtId="0" fontId="11" fillId="2" borderId="50" xfId="0" applyFont="1" applyFill="1" applyBorder="1" applyAlignment="1">
      <alignment horizontal="center" vertical="center"/>
    </xf>
    <xf numFmtId="0" fontId="11" fillId="2" borderId="21" xfId="0" applyFont="1" applyFill="1" applyBorder="1" applyAlignment="1">
      <alignment horizontal="center" vertical="center"/>
    </xf>
    <xf numFmtId="0" fontId="4" fillId="21" borderId="1" xfId="0" applyFont="1" applyFill="1" applyBorder="1" applyAlignment="1">
      <alignment horizontal="center" vertical="center"/>
    </xf>
    <xf numFmtId="0" fontId="9" fillId="21" borderId="1" xfId="0" applyFont="1" applyFill="1" applyBorder="1" applyAlignment="1">
      <alignment horizontal="center" vertical="center"/>
    </xf>
    <xf numFmtId="165" fontId="26" fillId="0" borderId="50" xfId="0" applyNumberFormat="1" applyFont="1" applyFill="1" applyBorder="1" applyAlignment="1">
      <alignment horizontal="center" vertical="center"/>
    </xf>
    <xf numFmtId="165" fontId="26" fillId="0" borderId="51" xfId="0" applyNumberFormat="1" applyFont="1" applyFill="1" applyBorder="1" applyAlignment="1">
      <alignment horizontal="center" vertical="center"/>
    </xf>
    <xf numFmtId="165" fontId="26" fillId="0" borderId="21" xfId="0" applyNumberFormat="1" applyFont="1" applyFill="1" applyBorder="1" applyAlignment="1">
      <alignment horizontal="center" vertical="center"/>
    </xf>
    <xf numFmtId="0" fontId="26" fillId="0" borderId="13" xfId="0" applyFont="1" applyFill="1" applyBorder="1" applyAlignment="1">
      <alignment horizontal="center" vertical="center" wrapText="1"/>
    </xf>
    <xf numFmtId="0" fontId="26" fillId="0" borderId="13" xfId="0" applyFont="1" applyFill="1" applyBorder="1" applyAlignment="1">
      <alignment horizontal="center" vertical="center"/>
    </xf>
    <xf numFmtId="0" fontId="26" fillId="0" borderId="13" xfId="0" applyFont="1" applyBorder="1" applyAlignment="1">
      <alignment horizontal="center" vertical="center"/>
    </xf>
    <xf numFmtId="165" fontId="26" fillId="0" borderId="1" xfId="0" applyNumberFormat="1" applyFont="1" applyFill="1" applyBorder="1" applyAlignment="1">
      <alignment horizontal="center" vertical="center"/>
    </xf>
    <xf numFmtId="165" fontId="0" fillId="0" borderId="50" xfId="0" applyNumberFormat="1" applyFill="1" applyBorder="1" applyAlignment="1">
      <alignment horizontal="center" vertical="center"/>
    </xf>
    <xf numFmtId="165" fontId="0" fillId="0" borderId="51" xfId="0" applyNumberFormat="1" applyFill="1" applyBorder="1" applyAlignment="1">
      <alignment horizontal="center" vertical="center"/>
    </xf>
    <xf numFmtId="165" fontId="0" fillId="0" borderId="21" xfId="0" applyNumberFormat="1" applyFill="1" applyBorder="1" applyAlignment="1">
      <alignment horizontal="center" vertical="center"/>
    </xf>
    <xf numFmtId="165" fontId="0" fillId="10" borderId="50" xfId="0" applyNumberFormat="1" applyFill="1" applyBorder="1" applyAlignment="1">
      <alignment horizontal="center" vertical="center"/>
    </xf>
    <xf numFmtId="165" fontId="0" fillId="10" borderId="51" xfId="0" applyNumberFormat="1" applyFill="1" applyBorder="1" applyAlignment="1">
      <alignment horizontal="center" vertical="center"/>
    </xf>
    <xf numFmtId="165" fontId="0" fillId="10" borderId="21" xfId="0" applyNumberFormat="1" applyFill="1" applyBorder="1" applyAlignment="1">
      <alignment horizontal="center" vertical="center"/>
    </xf>
    <xf numFmtId="165" fontId="26" fillId="0" borderId="56" xfId="0" applyNumberFormat="1" applyFont="1" applyFill="1" applyBorder="1" applyAlignment="1">
      <alignment horizontal="center" vertical="center"/>
    </xf>
    <xf numFmtId="165" fontId="26" fillId="10" borderId="54" xfId="0" applyNumberFormat="1" applyFont="1" applyFill="1" applyBorder="1" applyAlignment="1">
      <alignment horizontal="center" vertical="center"/>
    </xf>
    <xf numFmtId="165" fontId="26" fillId="10" borderId="86" xfId="0" applyNumberFormat="1" applyFont="1" applyFill="1" applyBorder="1" applyAlignment="1">
      <alignment horizontal="center" vertical="center"/>
    </xf>
    <xf numFmtId="165" fontId="26" fillId="10" borderId="5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13" xfId="0"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165" fontId="0" fillId="0" borderId="1" xfId="0" applyNumberFormat="1" applyFill="1" applyBorder="1" applyAlignment="1">
      <alignment horizontal="center" vertical="center"/>
    </xf>
    <xf numFmtId="0" fontId="0" fillId="0" borderId="1" xfId="0" applyBorder="1" applyAlignment="1">
      <alignment horizontal="center"/>
    </xf>
    <xf numFmtId="0" fontId="52" fillId="0" borderId="0" xfId="0" applyFont="1" applyFill="1" applyAlignment="1">
      <alignment horizontal="left" wrapText="1"/>
    </xf>
    <xf numFmtId="3" fontId="7" fillId="0" borderId="66" xfId="0" applyNumberFormat="1" applyFont="1" applyFill="1" applyBorder="1" applyAlignment="1">
      <alignment horizontal="center"/>
    </xf>
    <xf numFmtId="3" fontId="7" fillId="0" borderId="52" xfId="0" applyNumberFormat="1" applyFont="1" applyFill="1" applyBorder="1" applyAlignment="1">
      <alignment horizontal="center"/>
    </xf>
    <xf numFmtId="3" fontId="7" fillId="0" borderId="29" xfId="0" applyNumberFormat="1" applyFont="1" applyFill="1" applyBorder="1" applyAlignment="1">
      <alignment horizontal="center"/>
    </xf>
    <xf numFmtId="3" fontId="7" fillId="0" borderId="30" xfId="0" applyNumberFormat="1" applyFont="1" applyFill="1" applyBorder="1" applyAlignment="1">
      <alignment horizontal="center"/>
    </xf>
    <xf numFmtId="3" fontId="7" fillId="0" borderId="65" xfId="0" applyNumberFormat="1" applyFont="1" applyFill="1" applyBorder="1" applyAlignment="1">
      <alignment horizontal="center"/>
    </xf>
    <xf numFmtId="3" fontId="7" fillId="0" borderId="68" xfId="0" applyNumberFormat="1" applyFont="1" applyFill="1" applyBorder="1" applyAlignment="1">
      <alignment horizontal="center"/>
    </xf>
    <xf numFmtId="3" fontId="5" fillId="0" borderId="65" xfId="0" applyNumberFormat="1" applyFont="1" applyFill="1" applyBorder="1" applyAlignment="1">
      <alignment horizontal="center"/>
    </xf>
    <xf numFmtId="0" fontId="5" fillId="0" borderId="65" xfId="0" applyFont="1" applyFill="1" applyBorder="1" applyAlignment="1">
      <alignment horizontal="center"/>
    </xf>
    <xf numFmtId="0" fontId="5" fillId="0" borderId="9" xfId="0" applyFont="1" applyFill="1" applyBorder="1" applyAlignment="1">
      <alignment horizontal="center"/>
    </xf>
    <xf numFmtId="3" fontId="7" fillId="0" borderId="71" xfId="0" applyNumberFormat="1" applyFont="1" applyFill="1" applyBorder="1" applyAlignment="1">
      <alignment horizontal="center"/>
    </xf>
    <xf numFmtId="0" fontId="7" fillId="0" borderId="49" xfId="0" applyFont="1" applyFill="1" applyBorder="1" applyAlignment="1">
      <alignment horizontal="center"/>
    </xf>
    <xf numFmtId="0" fontId="7" fillId="0" borderId="72" xfId="0" applyFont="1" applyFill="1" applyBorder="1" applyAlignment="1">
      <alignment horizontal="center"/>
    </xf>
    <xf numFmtId="3" fontId="5" fillId="0" borderId="35" xfId="0" applyNumberFormat="1" applyFont="1" applyFill="1" applyBorder="1" applyAlignment="1">
      <alignment horizontal="center"/>
    </xf>
    <xf numFmtId="3" fontId="7" fillId="0" borderId="66" xfId="0" applyNumberFormat="1" applyFont="1" applyBorder="1" applyAlignment="1">
      <alignment horizontal="center"/>
    </xf>
    <xf numFmtId="0" fontId="7" fillId="0" borderId="52" xfId="0" applyFont="1" applyBorder="1" applyAlignment="1">
      <alignment horizontal="center"/>
    </xf>
    <xf numFmtId="0" fontId="7" fillId="0" borderId="29" xfId="0" applyFont="1" applyBorder="1" applyAlignment="1">
      <alignment horizontal="center"/>
    </xf>
    <xf numFmtId="3" fontId="5" fillId="0" borderId="9" xfId="0" applyNumberFormat="1" applyFont="1" applyFill="1" applyBorder="1" applyAlignment="1">
      <alignment horizontal="center"/>
    </xf>
    <xf numFmtId="3" fontId="7" fillId="0" borderId="30" xfId="0" applyNumberFormat="1" applyFont="1" applyBorder="1" applyAlignment="1">
      <alignment horizontal="center"/>
    </xf>
    <xf numFmtId="0" fontId="7" fillId="0" borderId="65" xfId="0" applyFont="1" applyBorder="1" applyAlignment="1">
      <alignment horizontal="center"/>
    </xf>
    <xf numFmtId="0" fontId="7" fillId="0" borderId="68" xfId="0" applyFont="1" applyBorder="1" applyAlignment="1">
      <alignment horizontal="center"/>
    </xf>
    <xf numFmtId="0" fontId="8" fillId="0" borderId="0" xfId="0" applyNumberFormat="1" applyFont="1" applyFill="1" applyAlignment="1">
      <alignment horizontal="left" wrapText="1"/>
    </xf>
    <xf numFmtId="0" fontId="8" fillId="0" borderId="0" xfId="0" applyFont="1" applyFill="1" applyBorder="1" applyAlignment="1">
      <alignment horizontal="left" wrapText="1"/>
    </xf>
    <xf numFmtId="0" fontId="8" fillId="0" borderId="0" xfId="0" applyFont="1" applyFill="1" applyAlignment="1">
      <alignment horizontal="left" vertical="top" wrapText="1"/>
    </xf>
    <xf numFmtId="0" fontId="7" fillId="0" borderId="52" xfId="0" applyFont="1" applyFill="1" applyBorder="1" applyAlignment="1">
      <alignment horizontal="center"/>
    </xf>
    <xf numFmtId="0" fontId="7" fillId="0" borderId="29" xfId="0" applyFont="1" applyFill="1" applyBorder="1" applyAlignment="1">
      <alignment horizontal="center"/>
    </xf>
    <xf numFmtId="0" fontId="7" fillId="0" borderId="65" xfId="0" applyFont="1" applyFill="1" applyBorder="1" applyAlignment="1">
      <alignment horizontal="center"/>
    </xf>
    <xf numFmtId="0" fontId="7" fillId="0" borderId="68" xfId="0" applyFont="1" applyFill="1" applyBorder="1" applyAlignment="1">
      <alignment horizontal="center"/>
    </xf>
    <xf numFmtId="3" fontId="7" fillId="0" borderId="35" xfId="0" applyNumberFormat="1" applyFont="1" applyFill="1" applyBorder="1" applyAlignment="1">
      <alignment horizontal="center"/>
    </xf>
    <xf numFmtId="0" fontId="7" fillId="0" borderId="9" xfId="0" applyFont="1" applyFill="1" applyBorder="1" applyAlignment="1">
      <alignment horizontal="center"/>
    </xf>
    <xf numFmtId="0" fontId="5" fillId="0" borderId="0" xfId="0" applyFont="1" applyAlignment="1">
      <alignment horizontal="center"/>
    </xf>
    <xf numFmtId="0" fontId="5" fillId="0" borderId="48" xfId="0" applyFont="1" applyBorder="1" applyAlignment="1">
      <alignment horizontal="center"/>
    </xf>
    <xf numFmtId="0" fontId="8" fillId="0" borderId="0" xfId="0" applyFont="1" applyAlignment="1">
      <alignment horizontal="left" wrapText="1"/>
    </xf>
    <xf numFmtId="1" fontId="7" fillId="0" borderId="30" xfId="0" applyNumberFormat="1" applyFont="1" applyFill="1" applyBorder="1" applyAlignment="1">
      <alignment horizontal="center"/>
    </xf>
    <xf numFmtId="1" fontId="7" fillId="0" borderId="65" xfId="0" applyNumberFormat="1" applyFont="1" applyFill="1" applyBorder="1" applyAlignment="1">
      <alignment horizontal="center"/>
    </xf>
    <xf numFmtId="1" fontId="7" fillId="0" borderId="68" xfId="0" applyNumberFormat="1" applyFont="1" applyFill="1" applyBorder="1" applyAlignment="1">
      <alignment horizontal="center"/>
    </xf>
    <xf numFmtId="170" fontId="7" fillId="0" borderId="66" xfId="0" applyNumberFormat="1" applyFont="1" applyFill="1" applyBorder="1" applyAlignment="1">
      <alignment horizontal="center"/>
    </xf>
    <xf numFmtId="170" fontId="7" fillId="0" borderId="52" xfId="0" applyNumberFormat="1" applyFont="1" applyFill="1" applyBorder="1" applyAlignment="1">
      <alignment horizontal="center"/>
    </xf>
    <xf numFmtId="170" fontId="7" fillId="0" borderId="29" xfId="0" applyNumberFormat="1" applyFont="1" applyFill="1" applyBorder="1" applyAlignment="1">
      <alignment horizontal="center"/>
    </xf>
    <xf numFmtId="169" fontId="7" fillId="0" borderId="0" xfId="0" applyNumberFormat="1" applyFont="1" applyFill="1" applyBorder="1" applyAlignment="1">
      <alignment horizontal="center"/>
    </xf>
    <xf numFmtId="0" fontId="6" fillId="0" borderId="30" xfId="0" applyFont="1" applyFill="1" applyBorder="1" applyAlignment="1">
      <alignment horizontal="center"/>
    </xf>
    <xf numFmtId="0" fontId="6" fillId="0" borderId="65" xfId="0" applyFont="1" applyFill="1" applyBorder="1" applyAlignment="1">
      <alignment horizontal="center"/>
    </xf>
    <xf numFmtId="0" fontId="6" fillId="0" borderId="68" xfId="0" applyFont="1" applyFill="1" applyBorder="1" applyAlignment="1">
      <alignment horizontal="center"/>
    </xf>
    <xf numFmtId="3" fontId="7" fillId="0" borderId="9" xfId="0" applyNumberFormat="1" applyFont="1" applyFill="1" applyBorder="1" applyAlignment="1">
      <alignment horizontal="center"/>
    </xf>
    <xf numFmtId="0" fontId="0" fillId="0" borderId="62" xfId="0" applyFill="1" applyBorder="1" applyAlignment="1">
      <alignment horizontal="left" vertical="top" wrapText="1"/>
    </xf>
    <xf numFmtId="0" fontId="33" fillId="0" borderId="0"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9" xfId="0" applyFont="1" applyBorder="1" applyAlignment="1">
      <alignment horizontal="center" vertical="center" wrapText="1"/>
    </xf>
  </cellXfs>
  <cellStyles count="19">
    <cellStyle name="Comma" xfId="1" builtinId="3"/>
    <cellStyle name="Comma 2" xfId="7"/>
    <cellStyle name="Comma 3" xfId="12"/>
    <cellStyle name="Currency" xfId="2" builtinId="4"/>
    <cellStyle name="Currency 2" xfId="8"/>
    <cellStyle name="Currency 3" xfId="15"/>
    <cellStyle name="Hyperlink" xfId="18" builtinId="8"/>
    <cellStyle name="Normal" xfId="0" builtinId="0"/>
    <cellStyle name="Normal 2" xfId="6"/>
    <cellStyle name="Normal 2 2" xfId="16"/>
    <cellStyle name="Normal 2 3" xfId="14"/>
    <cellStyle name="Normal 3" xfId="5"/>
    <cellStyle name="Normal 3 2" xfId="13"/>
    <cellStyle name="Normal 4" xfId="11"/>
    <cellStyle name="Normal 5" xfId="10"/>
    <cellStyle name="Normal_Base Data" xfId="3"/>
    <cellStyle name="Normal_Public Vs. Private" xfId="17"/>
    <cellStyle name="Percent" xfId="4" builtinId="5"/>
    <cellStyle name="Percent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hyperlink" Target="http://www.epa.gov/ttn/atw/boiler/imptools/20130312complianceguide.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D3" sqref="D3"/>
    </sheetView>
  </sheetViews>
  <sheetFormatPr defaultColWidth="9.140625" defaultRowHeight="11.25" x14ac:dyDescent="0.2"/>
  <cols>
    <col min="1" max="1" width="45.5703125" style="59" customWidth="1"/>
    <col min="2" max="2" width="12.140625" style="59" customWidth="1"/>
    <col min="3" max="16384" width="9.140625" style="59"/>
  </cols>
  <sheetData>
    <row r="1" spans="1:8" ht="21" customHeight="1" x14ac:dyDescent="0.2">
      <c r="A1" s="71"/>
      <c r="B1" s="71" t="s">
        <v>165</v>
      </c>
      <c r="C1" s="71" t="s">
        <v>167</v>
      </c>
      <c r="D1" s="71" t="s">
        <v>169</v>
      </c>
      <c r="E1" s="71" t="s">
        <v>171</v>
      </c>
      <c r="F1" s="71" t="s">
        <v>173</v>
      </c>
      <c r="G1" s="71" t="s">
        <v>175</v>
      </c>
      <c r="H1" s="71"/>
    </row>
    <row r="2" spans="1:8" ht="54.75" customHeight="1" x14ac:dyDescent="0.2">
      <c r="A2" s="71" t="s">
        <v>160</v>
      </c>
      <c r="B2" s="71" t="s">
        <v>166</v>
      </c>
      <c r="C2" s="71" t="s">
        <v>168</v>
      </c>
      <c r="D2" s="71" t="s">
        <v>170</v>
      </c>
      <c r="E2" s="71" t="s">
        <v>172</v>
      </c>
      <c r="F2" s="71" t="s">
        <v>174</v>
      </c>
      <c r="G2" s="71" t="s">
        <v>176</v>
      </c>
      <c r="H2" s="71"/>
    </row>
    <row r="3" spans="1:8" x14ac:dyDescent="0.2">
      <c r="A3" s="59" t="s">
        <v>177</v>
      </c>
      <c r="B3" s="207">
        <f>SUM('Base Data'!H67:H69)</f>
        <v>0</v>
      </c>
      <c r="C3" s="85"/>
      <c r="D3" s="207">
        <f>SUM('Base Data'!H23:H25)</f>
        <v>53</v>
      </c>
    </row>
    <row r="4" spans="1:8" x14ac:dyDescent="0.2">
      <c r="A4" s="59" t="s">
        <v>178</v>
      </c>
      <c r="B4" s="207">
        <f>SUM('Base Data'!H63:H65)</f>
        <v>10</v>
      </c>
      <c r="C4" s="85"/>
      <c r="D4" s="207">
        <f>SUM('Base Data'!H18:H20)</f>
        <v>65</v>
      </c>
    </row>
    <row r="5" spans="1:8" x14ac:dyDescent="0.2">
      <c r="A5" s="59" t="s">
        <v>179</v>
      </c>
      <c r="B5" s="207">
        <f>SUM('Base Data'!H79:H81)</f>
        <v>0</v>
      </c>
      <c r="C5" s="85"/>
      <c r="D5" s="207">
        <f>SUM('Base Data'!H43:H45)</f>
        <v>66</v>
      </c>
    </row>
    <row r="6" spans="1:8" x14ac:dyDescent="0.2">
      <c r="A6" s="59" t="s">
        <v>183</v>
      </c>
      <c r="B6" s="207">
        <f>SUM('Base Data'!H71:H73)</f>
        <v>100</v>
      </c>
      <c r="C6" s="85"/>
      <c r="D6" s="207">
        <f>SUM('Base Data'!H28:H30)</f>
        <v>627</v>
      </c>
    </row>
    <row r="7" spans="1:8" ht="12" customHeight="1" x14ac:dyDescent="0.2">
      <c r="A7" s="59" t="s">
        <v>184</v>
      </c>
      <c r="B7" s="85">
        <v>0</v>
      </c>
      <c r="C7" s="85"/>
      <c r="D7" s="207">
        <f>SUM('Base Data'!H33:H35)</f>
        <v>0</v>
      </c>
    </row>
    <row r="8" spans="1:8" ht="12" customHeight="1" x14ac:dyDescent="0.2">
      <c r="A8" s="59" t="s">
        <v>185</v>
      </c>
      <c r="B8" s="207">
        <f>SUM('Base Data'!H75:H77)</f>
        <v>0</v>
      </c>
      <c r="C8" s="85"/>
      <c r="D8" s="207">
        <f>SUM('Base Data'!H38:H40)</f>
        <v>9</v>
      </c>
    </row>
    <row r="9" spans="1:8" x14ac:dyDescent="0.2">
      <c r="A9" s="59" t="s">
        <v>180</v>
      </c>
      <c r="B9" s="207">
        <f>'Base Data'!H66</f>
        <v>0</v>
      </c>
      <c r="C9" s="85"/>
      <c r="D9" s="207">
        <f>'Base Data'!H22+D13</f>
        <v>2</v>
      </c>
      <c r="E9" s="59">
        <v>1</v>
      </c>
    </row>
    <row r="10" spans="1:8" x14ac:dyDescent="0.2">
      <c r="A10" s="59" t="s">
        <v>181</v>
      </c>
      <c r="B10" s="207">
        <f>'Base Data'!H62</f>
        <v>1</v>
      </c>
      <c r="C10" s="85"/>
      <c r="D10" s="207">
        <f>'Base Data'!H17+D14</f>
        <v>3</v>
      </c>
      <c r="E10" s="59">
        <v>1</v>
      </c>
    </row>
    <row r="11" spans="1:8" x14ac:dyDescent="0.2">
      <c r="A11" s="59" t="s">
        <v>182</v>
      </c>
      <c r="B11" s="207">
        <f>'Base Data'!H78</f>
        <v>0</v>
      </c>
      <c r="C11" s="85"/>
      <c r="D11" s="207">
        <f>'Base Data'!H42+D15</f>
        <v>45</v>
      </c>
      <c r="E11" s="59">
        <v>1</v>
      </c>
    </row>
    <row r="12" spans="1:8" x14ac:dyDescent="0.2">
      <c r="A12" s="59" t="s">
        <v>162</v>
      </c>
      <c r="B12" s="207">
        <f>'Base Data'!H70+'Base Data'!H74</f>
        <v>123</v>
      </c>
      <c r="C12" s="85"/>
      <c r="D12" s="207">
        <f>SUM('Base Data'!H27,'Base Data'!H32,'Base Data'!H37)+D16</f>
        <v>986</v>
      </c>
      <c r="E12" s="59">
        <v>1</v>
      </c>
    </row>
    <row r="13" spans="1:8" x14ac:dyDescent="0.2">
      <c r="A13" s="1" t="s">
        <v>373</v>
      </c>
      <c r="B13" s="85">
        <v>0</v>
      </c>
      <c r="C13" s="85"/>
      <c r="D13" s="207">
        <f>'Base Data'!H21</f>
        <v>2</v>
      </c>
    </row>
    <row r="14" spans="1:8" x14ac:dyDescent="0.2">
      <c r="A14" s="1" t="s">
        <v>374</v>
      </c>
      <c r="B14" s="85">
        <v>0</v>
      </c>
      <c r="C14" s="85"/>
      <c r="D14" s="207">
        <f>'Base Data'!H16</f>
        <v>1</v>
      </c>
    </row>
    <row r="15" spans="1:8" x14ac:dyDescent="0.2">
      <c r="A15" s="1" t="s">
        <v>375</v>
      </c>
      <c r="B15" s="85">
        <v>0</v>
      </c>
      <c r="C15" s="85"/>
      <c r="D15" s="207">
        <f>'Base Data'!H41</f>
        <v>15</v>
      </c>
    </row>
    <row r="16" spans="1:8" x14ac:dyDescent="0.2">
      <c r="A16" s="1" t="s">
        <v>376</v>
      </c>
      <c r="B16" s="85">
        <v>0</v>
      </c>
      <c r="C16" s="85"/>
      <c r="D16" s="207">
        <f>'Base Data'!H26+'Base Data'!H31+'Base Data'!H36</f>
        <v>39</v>
      </c>
    </row>
    <row r="17" spans="2:4" x14ac:dyDescent="0.2">
      <c r="B17" s="85"/>
      <c r="C17" s="85"/>
      <c r="D17" s="85"/>
    </row>
    <row r="19" spans="2:4" x14ac:dyDescent="0.2">
      <c r="D19" s="72">
        <f>SUM(D3:D12,B3:B12)</f>
        <v>2090</v>
      </c>
    </row>
  </sheetData>
  <phoneticPr fontId="9"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1"/>
  <sheetViews>
    <sheetView zoomScaleNormal="100" workbookViewId="0">
      <selection activeCell="D19" sqref="D19"/>
    </sheetView>
  </sheetViews>
  <sheetFormatPr defaultColWidth="9.140625" defaultRowHeight="11.25" x14ac:dyDescent="0.2"/>
  <cols>
    <col min="1" max="1" width="38.42578125" style="59" customWidth="1"/>
    <col min="2" max="3" width="19.42578125" style="59" customWidth="1"/>
    <col min="4" max="4" width="21.5703125" style="59" customWidth="1"/>
    <col min="5" max="6" width="23.5703125" style="59" customWidth="1"/>
    <col min="7" max="7" width="11.5703125" style="59" bestFit="1" customWidth="1"/>
    <col min="8" max="8" width="12.140625" style="59" bestFit="1" customWidth="1"/>
    <col min="9" max="9" width="9.85546875" style="59" bestFit="1" customWidth="1"/>
    <col min="10" max="10" width="11.5703125" style="59" bestFit="1" customWidth="1"/>
    <col min="11" max="16384" width="9.140625" style="59"/>
  </cols>
  <sheetData>
    <row r="1" spans="1:9" ht="12.6" customHeight="1" x14ac:dyDescent="0.2">
      <c r="A1" s="697" t="s">
        <v>746</v>
      </c>
      <c r="B1" s="699" t="s">
        <v>743</v>
      </c>
      <c r="C1" s="700" t="s">
        <v>744</v>
      </c>
      <c r="D1" s="699" t="s">
        <v>703</v>
      </c>
    </row>
    <row r="2" spans="1:9" x14ac:dyDescent="0.2">
      <c r="A2" s="698"/>
      <c r="B2" s="700"/>
      <c r="C2" s="700"/>
      <c r="D2" s="700"/>
    </row>
    <row r="3" spans="1:9" x14ac:dyDescent="0.2">
      <c r="A3" s="405" t="s">
        <v>692</v>
      </c>
      <c r="B3" s="606">
        <f>'Base Data'!$P$72</f>
        <v>78</v>
      </c>
      <c r="C3" s="606">
        <f>'Base Data'!$S$68</f>
        <v>1856</v>
      </c>
      <c r="D3" s="405">
        <v>1934</v>
      </c>
    </row>
    <row r="4" spans="1:9" x14ac:dyDescent="0.2">
      <c r="A4" s="405" t="s">
        <v>693</v>
      </c>
      <c r="B4" s="606">
        <f>'Base Data'!$P$72</f>
        <v>78</v>
      </c>
      <c r="C4" s="606">
        <f>'Base Data'!$T$68</f>
        <v>1934</v>
      </c>
      <c r="D4" s="405">
        <v>2012</v>
      </c>
    </row>
    <row r="5" spans="1:9" x14ac:dyDescent="0.2">
      <c r="A5" s="405" t="s">
        <v>694</v>
      </c>
      <c r="B5" s="606">
        <f>'Base Data'!$P$72</f>
        <v>78</v>
      </c>
      <c r="C5" s="606">
        <f>'Base Data'!$U$68</f>
        <v>2011</v>
      </c>
      <c r="D5" s="405">
        <v>2090</v>
      </c>
    </row>
    <row r="6" spans="1:9" x14ac:dyDescent="0.2">
      <c r="A6" s="405" t="s">
        <v>325</v>
      </c>
      <c r="B6" s="606">
        <f>SUM(B3:B5)</f>
        <v>234</v>
      </c>
      <c r="C6" s="606">
        <f>SUM(C3:C5)</f>
        <v>5801</v>
      </c>
      <c r="D6" s="405">
        <v>6036</v>
      </c>
    </row>
    <row r="7" spans="1:9" x14ac:dyDescent="0.2">
      <c r="A7" s="573" t="s">
        <v>745</v>
      </c>
      <c r="B7" s="607">
        <f>AVERAGE(B3:B5)</f>
        <v>78</v>
      </c>
      <c r="C7" s="607">
        <f>AVERAGE(C3:C5)</f>
        <v>1933.6666666666667</v>
      </c>
      <c r="D7" s="573">
        <v>2012</v>
      </c>
    </row>
    <row r="10" spans="1:9" ht="12.75" x14ac:dyDescent="0.2">
      <c r="A10" s="697" t="s">
        <v>264</v>
      </c>
      <c r="B10" s="696" t="s">
        <v>22</v>
      </c>
      <c r="C10" s="696"/>
      <c r="D10" s="696"/>
      <c r="E10" s="696" t="s">
        <v>163</v>
      </c>
      <c r="F10" s="696"/>
    </row>
    <row r="11" spans="1:9" ht="22.5" x14ac:dyDescent="0.2">
      <c r="A11" s="698"/>
      <c r="B11" s="419" t="s">
        <v>219</v>
      </c>
      <c r="C11" s="418" t="s">
        <v>161</v>
      </c>
      <c r="D11" s="419" t="s">
        <v>218</v>
      </c>
      <c r="E11" s="418" t="s">
        <v>217</v>
      </c>
      <c r="F11" s="419" t="s">
        <v>219</v>
      </c>
      <c r="G11" s="86"/>
    </row>
    <row r="12" spans="1:9" s="354" customFormat="1" hidden="1" x14ac:dyDescent="0.2">
      <c r="A12" s="420" t="s">
        <v>616</v>
      </c>
      <c r="B12" s="421">
        <f>SUM('Fac-ExistLrgSolid-Yr0'!J55:L55)+SUM('Fac-ExistLrgLiquid-Yr0'!J55:L55)+SUM('Fac-ExistLrgGas-Yr0'!J52:L52)+SUM('Fac-NewLrgSolid-Yr0'!J48:L48)+SUM('Fac-NewLrgLiquid-Yr0'!J48:L48)+SUM('Fac-NewLrgGas-Yr0'!J48:L48)+SUM('Fac - ExistSmlSolid-Yr0'!J20:L20)+SUM('Fac - ExistSmlLiquid-Yr0'!J20:L20)+SUM('Fac - ExistSmlGas-Yr0'!J20:L20)+SUM('Fac-NewSmlSolid-Yr0'!J16:L16)+SUM('Fac-NewSmlLiquid-Yr0'!J16:L16)+SUM('Fac-NewSmlGas-Yr0'!J16:L16)</f>
        <v>105713.75</v>
      </c>
      <c r="C12" s="421">
        <f>'Fac-ExistLrgSolid-Yr0'!I7+'Fac-ExistLrgLiquid-Yr0'!I7+'Fac-ExistLrgGas-Yr0'!I7+'Fac-NewLrgSolid-Yr0'!I7+'Fac-NewLrgLiquid-Yr0'!I7+'Fac-NewLrgGas-Yr0'!I7+'Fac - ExistSmlSolid-Yr0'!I7+'Fac - ExistSmlLiquid-Yr0'!I7+'Fac - ExistSmlGas-Yr0'!I7+'Fac-NewSmlSolid-Yr0'!I7+'Fac-NewSmlLiquid-Yr0'!I7+'Fac-NewSmlGas-Yr0'!I7</f>
        <v>1936</v>
      </c>
      <c r="D12" s="421">
        <f>'Fac-ExistLrgSolid-Yr0'!P55+'Fac-ExistLrgLiquid-Yr0'!P55+'Fac-ExistLrgGas-Yr0'!P52+'Fac-NewLrgSolid-Yr0'!P48+'Fac-NewLrgLiquid-Yr0'!P48+'Fac-NewLrgGas-Yr0'!P48+'Fac - ExistSmlSolid-Yr0'!P20+'Fac - ExistSmlLiquid-Yr0'!P20+'Fac - ExistSmlGas-Yr0'!P20+'Fac-NewSmlSolid-Yr0'!P16+'Fac-NewSmlLiquid-Yr0'!P16+'Fac-NewSmlGas-Yr0'!P16</f>
        <v>2079.5</v>
      </c>
      <c r="E12" s="422">
        <f>'Fac-ExistLrgSolid-Yr0'!R55+'Fac-ExistLrgLiquid-Yr0'!R55+'Fac-ExistLrgGas-Yr0'!R52+'Fac-NewLrgSolid-Yr0'!R48+'Fac-NewLrgLiquid-Yr0'!R48+'Fac-NewLrgGas-Yr0'!R45+'Fac - ExistSmlSolid-Yr0'!R20+'Fac - ExistSmlLiquid-Yr0'!R20+'Fac - ExistSmlGas-Yr0'!R20+'Fac-NewSmlSolid-Yr0'!R16+'Fac-NewSmlLiquid-Yr0'!R16+'Fac-NewSmlGas-Yr0'!R16</f>
        <v>3378976</v>
      </c>
      <c r="F12" s="423">
        <f>SUM('Fac-ExistLrgSolid-Yr0'!J69:L69)+SUM('Fac-ExistLrgLiquid-Yr0'!J69:L69)+SUM('Fac-ExistLrgGas-Yr0'!J68:L68)+SUM('Fac-NewLrgSolid-Yr0'!J62:L62)+SUM('Fac-NewLrgLiquid-Yr0'!J62:L62)+SUM('Fac-NewLrgGas-Yr0'!J64:L64)+SUM('Fac - ExistSmlSolid-Yr0'!J31:L31)+SUM('Fac - ExistSmlLiquid-Yr0'!J31:L31)+SUM('Fac - ExistSmlGas-Yr0'!J31:L31)+SUM('Fac-NewSmlSolid-Yr0'!J26:L26)+SUM('Fac-NewSmlLiquid-Yr0'!J26:L26)+SUM('Fac-NewSmlGas-Yr0'!J26:L26)</f>
        <v>7327.8</v>
      </c>
    </row>
    <row r="13" spans="1:9" ht="9.9499999999999993" customHeight="1" x14ac:dyDescent="0.2">
      <c r="A13" s="536" t="s">
        <v>742</v>
      </c>
      <c r="B13" s="208">
        <f>SUM('Fac-ExistLrgSolid-Avg'!J54:L54)+SUM('Fac-ExistLrgLiquid-Avg'!J54:L54)+SUM('Fac-ExistLrgGas-Avg'!J51:L51)+SUM('Fac-NewLrgSolid-Avg'!J48:L48)+SUM('Fac-NewLrgLiquid-Avg'!J47:L47)+SUM('Fac-NewLrgGas-Avg'!J47:L47)+SUM('Fac - ExistSmlSolid-Avg'!J20:L20)+SUM('Fac - ExistSmlLiquid-Avg'!J20:L20)+SUM('Fac - ExistSmlGas-Avg'!J20:L20)+SUM('Fac-NewSmlSolid-Avg'!J16:L16)+SUM('Fac-NewSmlLiquid-Avg'!J16:L16)+SUM('Fac-NewSmlGas-avg'!J16:L16)</f>
        <v>443169.17499999993</v>
      </c>
      <c r="C13" s="208">
        <f>D7</f>
        <v>2012</v>
      </c>
      <c r="D13" s="208">
        <f>'Fac-ExistLrgSolid-Avg'!P55+'Fac-ExistLrgLiquid-Avg'!P55+'Fac-ExistLrgGas-Avg'!P52+'Fac-NewLrgSolid-Avg'!P49+'Fac-NewLrgLiquid-Avg'!P48+'Fac-NewLrgGas-Avg'!P48+'Fac - ExistSmlSolid-Avg'!P21+'Fac - ExistSmlLiquid-Avg'!P21+'Fac - ExistSmlGas-Avg'!P21+'Fac-NewSmlSolid-Avg'!P17+'Fac-NewSmlLiquid-Avg'!P17+'Fac-NewSmlGas-avg'!P17</f>
        <v>2660.5</v>
      </c>
      <c r="E13" s="409">
        <f>'Fac-ExistLrgSolid-Avg'!R54+'Fac-ExistLrgLiquid-Avg'!R55+'Fac-ExistLrgGas-Avg'!R52+'Fac-NewLrgSolid-Avg'!R49+'Fac-NewLrgLiquid-Avg'!R48+'Fac-NewLrgGas-Avg'!R45+'Fac - ExistSmlSolid-Avg'!R21+'Fac - ExistSmlLiquid-Avg'!R21+'Fac - ExistSmlGas-Avg'!R21+'Fac-NewSmlSolid-Avg'!R17+'Fac-NewSmlLiquid-Avg'!R17+'Fac-NewSmlGas-avg'!R17+'Fac-ExistLrgGas-Avg'!S52+'Fac-NewLrgSolid-Avg'!S49</f>
        <v>131011612</v>
      </c>
      <c r="F13" s="411">
        <f>SUM('Fac-ExistLrgSolid-Avg'!J69:L69)+SUM('Fac-ExistLrgLiquid-Avg'!J69:L69)+SUM('Fac-ExistLrgGas-Avg'!J68:L68)+SUM('Fac-NewLrgSolid-Avg'!J63:L63)+SUM('Fac-NewLrgLiquid-Avg'!J62:L62)+SUM('Fac-NewLrgGas-Avg'!J64:L64)+SUM('Fac - ExistSmlSolid-Avg'!J32:L32)+SUM('Fac - ExistSmlLiquid-Avg'!J32:L32)+SUM('Fac - ExistSmlGas-Avg'!J32:L32)+SUM('Fac-NewSmlSolid-Avg'!J27:L27)+SUM('Fac-NewSmlLiquid-Avg'!J27:L27)+SUM('Fac-NewSmlGas-avg'!J27:L27)</f>
        <v>153660.125</v>
      </c>
      <c r="H13" s="1"/>
      <c r="I13" s="1"/>
    </row>
    <row r="14" spans="1:9" x14ac:dyDescent="0.2">
      <c r="A14" s="425" t="s">
        <v>220</v>
      </c>
      <c r="B14" s="426"/>
      <c r="C14" s="426"/>
      <c r="D14" s="426"/>
      <c r="E14" s="409">
        <f>(E13+B22)/D13</f>
        <v>73808.019841007335</v>
      </c>
      <c r="F14" s="426"/>
      <c r="H14" s="213"/>
      <c r="I14" s="213"/>
    </row>
    <row r="15" spans="1:9" x14ac:dyDescent="0.2">
      <c r="A15" s="425" t="s">
        <v>221</v>
      </c>
      <c r="B15" s="427"/>
      <c r="C15" s="426"/>
      <c r="D15" s="428"/>
      <c r="E15" s="424">
        <f>(B13+F13)/D13</f>
        <v>224.32975004698363</v>
      </c>
      <c r="F15" s="426"/>
      <c r="H15" s="213"/>
    </row>
    <row r="17" spans="1:11" ht="12.75" x14ac:dyDescent="0.2">
      <c r="A17" s="401" t="s">
        <v>164</v>
      </c>
      <c r="B17" s="402" t="s">
        <v>27</v>
      </c>
      <c r="C17" s="402" t="s">
        <v>28</v>
      </c>
      <c r="D17" s="403" t="s">
        <v>98</v>
      </c>
      <c r="E17" s="403" t="s">
        <v>104</v>
      </c>
    </row>
    <row r="18" spans="1:11" s="85" customFormat="1" x14ac:dyDescent="0.2">
      <c r="A18" s="410" t="s">
        <v>621</v>
      </c>
      <c r="B18" s="404"/>
      <c r="C18" s="412">
        <f>B13</f>
        <v>443169.17499999993</v>
      </c>
      <c r="D18" s="413">
        <f>C18*'Base Data'!$E$92</f>
        <v>26590.150499999996</v>
      </c>
      <c r="E18" s="413">
        <f>C18*'Base Data'!$E$91</f>
        <v>416579.02449999988</v>
      </c>
    </row>
    <row r="19" spans="1:11" s="85" customFormat="1" x14ac:dyDescent="0.2">
      <c r="A19" s="410" t="s">
        <v>622</v>
      </c>
      <c r="B19" s="404"/>
      <c r="C19" s="412">
        <f>F13</f>
        <v>153660.125</v>
      </c>
      <c r="D19" s="413">
        <f>C19*'Base Data'!$E$92</f>
        <v>9219.6075000000001</v>
      </c>
      <c r="E19" s="413">
        <f>C19*'Base Data'!$E$91</f>
        <v>144440.51749999999</v>
      </c>
    </row>
    <row r="20" spans="1:11" x14ac:dyDescent="0.2">
      <c r="A20" s="405" t="s">
        <v>26</v>
      </c>
      <c r="B20" s="406">
        <f>SUM(B13,F13)</f>
        <v>596829.29999999993</v>
      </c>
      <c r="C20" s="414">
        <f>B20/3</f>
        <v>198943.09999999998</v>
      </c>
      <c r="D20" s="407">
        <f>C20*'Base Data'!$E$92</f>
        <v>11936.585999999998</v>
      </c>
      <c r="E20" s="407">
        <f>C20*'Base Data'!$E$91</f>
        <v>187006.51399999997</v>
      </c>
      <c r="H20" s="213"/>
    </row>
    <row r="21" spans="1:11" x14ac:dyDescent="0.2">
      <c r="A21" s="405" t="s">
        <v>30</v>
      </c>
      <c r="B21" s="408">
        <f>SUM(E13:E13)</f>
        <v>131011612</v>
      </c>
      <c r="C21" s="415">
        <f>B21/3</f>
        <v>43670537.333333336</v>
      </c>
      <c r="D21" s="409">
        <f>C21*'Base Data'!$E$92</f>
        <v>2620232.2400000002</v>
      </c>
      <c r="E21" s="409">
        <f>C21*'Base Data'!$E$91</f>
        <v>41050305.093333334</v>
      </c>
      <c r="H21" s="213"/>
    </row>
    <row r="22" spans="1:11" x14ac:dyDescent="0.2">
      <c r="A22" s="405" t="s">
        <v>29</v>
      </c>
      <c r="B22" s="408">
        <f>'Fac-ExistLrgSolid-Avg'!N72+'Fac-ExistLrgLiquid-Avg'!N72+'Fac-ExistLrgGas-Avg'!N71+'Fac-NewLrgSolid-Avg'!N66+'Fac-NewLrgLiquid-Avg'!N65+'Fac-NewLrgGas-Avg'!N67+'Fac - ExistSmlSolid-Avg'!N35+'Fac - ExistSmlLiquid-Avg'!N35+'Fac - ExistSmlGas-Avg'!N35+'Fac-NewSmlSolid-Avg'!N30+'Fac-NewSmlLiquid-Avg'!N30+'Fac-NewSmlGas-avg'!N30</f>
        <v>65354624.787</v>
      </c>
      <c r="C22" s="415">
        <f>B22/3</f>
        <v>21784874.929000001</v>
      </c>
      <c r="D22" s="409">
        <f>C22*'Base Data'!$E$92</f>
        <v>1307092.4957399999</v>
      </c>
      <c r="E22" s="409">
        <f>C22*'Base Data'!$E$91</f>
        <v>20477782.433260001</v>
      </c>
      <c r="H22" s="213"/>
    </row>
    <row r="23" spans="1:11" x14ac:dyDescent="0.2">
      <c r="A23" s="405" t="s">
        <v>31</v>
      </c>
      <c r="B23" s="409">
        <f>SUM(B21:B22)</f>
        <v>196366236.787</v>
      </c>
      <c r="C23" s="415">
        <f>SUM(C21:C22)</f>
        <v>65455412.262333333</v>
      </c>
      <c r="D23" s="409">
        <f>C23*'Base Data'!$E$92</f>
        <v>3927324.7357399999</v>
      </c>
      <c r="E23" s="409">
        <f>C23*'Base Data'!$E$91</f>
        <v>61528087.526593328</v>
      </c>
    </row>
    <row r="24" spans="1:11" x14ac:dyDescent="0.2">
      <c r="A24" s="410" t="s">
        <v>620</v>
      </c>
      <c r="B24" s="409"/>
      <c r="C24" s="416">
        <f>D13</f>
        <v>2660.5</v>
      </c>
      <c r="D24" s="574">
        <f>C24*'Base Data'!$E$92</f>
        <v>159.63</v>
      </c>
      <c r="E24" s="574">
        <f>C24*'Base Data'!$E$91</f>
        <v>2500.87</v>
      </c>
    </row>
    <row r="25" spans="1:11" x14ac:dyDescent="0.2">
      <c r="A25" s="557" t="s">
        <v>291</v>
      </c>
      <c r="B25" s="405"/>
      <c r="C25" s="405"/>
      <c r="D25" s="208">
        <f>181*'Base Data'!$E$92</f>
        <v>10.86</v>
      </c>
      <c r="E25" s="208">
        <f>181*'Base Data'!$E$91</f>
        <v>170.14</v>
      </c>
    </row>
    <row r="26" spans="1:11" x14ac:dyDescent="0.2">
      <c r="A26" s="417" t="s">
        <v>292</v>
      </c>
      <c r="B26" s="405"/>
      <c r="C26" s="405"/>
      <c r="D26" s="411">
        <f>ROUND(C13*'Base Data'!$E$92,0)</f>
        <v>121</v>
      </c>
      <c r="E26" s="411">
        <f>ROUND(C13*'Base Data'!$E$91,0)</f>
        <v>1891</v>
      </c>
      <c r="F26" s="213"/>
      <c r="J26" s="258"/>
    </row>
    <row r="27" spans="1:11" ht="15.75" x14ac:dyDescent="0.25">
      <c r="C27" s="359"/>
      <c r="D27" s="353"/>
      <c r="G27" s="360"/>
      <c r="J27" s="204"/>
      <c r="K27" s="204"/>
    </row>
    <row r="28" spans="1:11" ht="12" thickBot="1" x14ac:dyDescent="0.25">
      <c r="G28" s="361"/>
    </row>
    <row r="29" spans="1:11" ht="13.5" thickBot="1" x14ac:dyDescent="0.25">
      <c r="A29" s="137" t="s">
        <v>260</v>
      </c>
      <c r="B29" s="136" t="s">
        <v>28</v>
      </c>
      <c r="C29" s="136" t="s">
        <v>679</v>
      </c>
      <c r="D29" s="1"/>
    </row>
    <row r="30" spans="1:11" s="1" customFormat="1" x14ac:dyDescent="0.2">
      <c r="A30" s="383" t="s">
        <v>261</v>
      </c>
      <c r="B30" s="385">
        <f>ROUND('SUMMARY TABLE 2-Agency'!J25,-1)</f>
        <v>27300</v>
      </c>
      <c r="C30" s="571">
        <f>ROUND(B30,-2)</f>
        <v>27300</v>
      </c>
      <c r="F30" s="507"/>
    </row>
    <row r="31" spans="1:11" s="1" customFormat="1" ht="12" thickBot="1" x14ac:dyDescent="0.25">
      <c r="A31" s="384" t="s">
        <v>262</v>
      </c>
      <c r="B31" s="386">
        <f>SUM('SUMMARY TABLE 2-Agency'!M25)</f>
        <v>1490000</v>
      </c>
      <c r="C31" s="572">
        <f>ROUND(B31,-4)</f>
        <v>1490000</v>
      </c>
    </row>
    <row r="40" spans="6:6" ht="15" x14ac:dyDescent="0.25">
      <c r="F40" s="551"/>
    </row>
    <row r="41" spans="6:6" ht="15" x14ac:dyDescent="0.25">
      <c r="F41" s="551"/>
    </row>
  </sheetData>
  <mergeCells count="7">
    <mergeCell ref="B10:D10"/>
    <mergeCell ref="E10:F10"/>
    <mergeCell ref="A10:A11"/>
    <mergeCell ref="A1:A2"/>
    <mergeCell ref="B1:B2"/>
    <mergeCell ref="C1:C2"/>
    <mergeCell ref="D1:D2"/>
  </mergeCells>
  <phoneticPr fontId="9" type="noConversion"/>
  <pageMargins left="0.75" right="0.75" top="1" bottom="1" header="0.5" footer="0.5"/>
  <pageSetup scale="85" orientation="landscape"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5" sqref="B5:B17"/>
    </sheetView>
  </sheetViews>
  <sheetFormatPr defaultRowHeight="12.75" x14ac:dyDescent="0.2"/>
  <cols>
    <col min="1" max="2" width="20.7109375" customWidth="1"/>
  </cols>
  <sheetData>
    <row r="1" spans="1:2" ht="15.75" x14ac:dyDescent="0.2">
      <c r="A1" s="537"/>
      <c r="B1" s="540"/>
    </row>
    <row r="2" spans="1:2" x14ac:dyDescent="0.2">
      <c r="A2" s="538" t="s">
        <v>165</v>
      </c>
      <c r="B2" s="541" t="s">
        <v>167</v>
      </c>
    </row>
    <row r="3" spans="1:2" ht="25.5" x14ac:dyDescent="0.2">
      <c r="A3" s="538" t="s">
        <v>673</v>
      </c>
      <c r="B3" s="541" t="s">
        <v>701</v>
      </c>
    </row>
    <row r="4" spans="1:2" ht="13.5" thickBot="1" x14ac:dyDescent="0.25">
      <c r="A4" s="539"/>
      <c r="B4" s="542" t="s">
        <v>702</v>
      </c>
    </row>
    <row r="5" spans="1:2" ht="26.25" thickBot="1" x14ac:dyDescent="0.25">
      <c r="A5" s="543" t="s">
        <v>227</v>
      </c>
      <c r="B5" s="548">
        <f>'SUMMARY TABLE 1'!B5</f>
        <v>121.33333333333333</v>
      </c>
    </row>
    <row r="6" spans="1:2" ht="13.5" thickBot="1" x14ac:dyDescent="0.25">
      <c r="A6" s="543" t="s">
        <v>228</v>
      </c>
      <c r="B6" s="548">
        <f>'SUMMARY TABLE 1'!B6</f>
        <v>3</v>
      </c>
    </row>
    <row r="7" spans="1:2" ht="26.25" thickBot="1" x14ac:dyDescent="0.25">
      <c r="A7" s="543" t="s">
        <v>538</v>
      </c>
      <c r="B7" s="548">
        <f>'SUMMARY TABLE 1'!B7</f>
        <v>5.333333333333333</v>
      </c>
    </row>
    <row r="8" spans="1:2" ht="13.5" thickBot="1" x14ac:dyDescent="0.25">
      <c r="A8" s="543" t="s">
        <v>230</v>
      </c>
      <c r="B8" s="548">
        <f>'SUMMARY TABLE 1'!B8</f>
        <v>1</v>
      </c>
    </row>
    <row r="9" spans="1:2" ht="26.25" thickBot="1" x14ac:dyDescent="0.25">
      <c r="A9" s="543" t="s">
        <v>231</v>
      </c>
      <c r="B9" s="548">
        <f>'SUMMARY TABLE 1'!B9</f>
        <v>66</v>
      </c>
    </row>
    <row r="10" spans="1:2" ht="13.5" thickBot="1" x14ac:dyDescent="0.25">
      <c r="A10" s="543" t="s">
        <v>232</v>
      </c>
      <c r="B10" s="548">
        <f>'SUMMARY TABLE 1'!B10</f>
        <v>0</v>
      </c>
    </row>
    <row r="11" spans="1:2" ht="26.25" thickBot="1" x14ac:dyDescent="0.25">
      <c r="A11" s="543" t="s">
        <v>539</v>
      </c>
      <c r="B11" s="548">
        <f>'SUMMARY TABLE 1'!B11</f>
        <v>45</v>
      </c>
    </row>
    <row r="12" spans="1:2" ht="13.5" thickBot="1" x14ac:dyDescent="0.25">
      <c r="A12" s="543" t="s">
        <v>234</v>
      </c>
      <c r="B12" s="548">
        <f>'SUMMARY TABLE 1'!B12</f>
        <v>0</v>
      </c>
    </row>
    <row r="13" spans="1:2" ht="26.25" thickBot="1" x14ac:dyDescent="0.25">
      <c r="A13" s="543" t="s">
        <v>235</v>
      </c>
      <c r="B13" s="548">
        <f>'SUMMARY TABLE 1'!B13</f>
        <v>669.33333333333337</v>
      </c>
    </row>
    <row r="14" spans="1:2" ht="26.25" thickBot="1" x14ac:dyDescent="0.25">
      <c r="A14" s="543" t="s">
        <v>236</v>
      </c>
      <c r="B14" s="548">
        <f>'SUMMARY TABLE 1'!B14</f>
        <v>33.333333333333336</v>
      </c>
    </row>
    <row r="15" spans="1:2" ht="39" thickBot="1" x14ac:dyDescent="0.25">
      <c r="A15" s="543" t="s">
        <v>540</v>
      </c>
      <c r="B15" s="548">
        <f>'SUMMARY TABLE 1'!B15</f>
        <v>1027</v>
      </c>
    </row>
    <row r="16" spans="1:2" ht="13.5" thickBot="1" x14ac:dyDescent="0.25">
      <c r="A16" s="543" t="s">
        <v>238</v>
      </c>
      <c r="B16" s="548">
        <f>'SUMMARY TABLE 1'!B16</f>
        <v>41</v>
      </c>
    </row>
    <row r="17" spans="1:2" ht="13.5" thickBot="1" x14ac:dyDescent="0.25">
      <c r="A17" s="543" t="s">
        <v>703</v>
      </c>
      <c r="B17" s="549">
        <f>SUM(B5:B16)</f>
        <v>2012.3333333333335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2:AL124"/>
  <sheetViews>
    <sheetView view="pageBreakPreview" zoomScale="66" zoomScaleNormal="90" zoomScaleSheetLayoutView="66" workbookViewId="0">
      <selection activeCell="E17" sqref="E17"/>
    </sheetView>
  </sheetViews>
  <sheetFormatPr defaultRowHeight="12.75" x14ac:dyDescent="0.2"/>
  <cols>
    <col min="1" max="1" width="2.140625" customWidth="1"/>
    <col min="2" max="2" width="24.5703125" customWidth="1"/>
    <col min="3" max="3" width="14.5703125" customWidth="1"/>
    <col min="4" max="4" width="19.5703125" bestFit="1" customWidth="1"/>
    <col min="5" max="5" width="26.42578125" customWidth="1"/>
    <col min="6" max="6" width="24.140625" customWidth="1"/>
    <col min="7" max="7" width="13.85546875" customWidth="1"/>
    <col min="8" max="8" width="16.42578125" customWidth="1"/>
    <col min="9" max="9" width="14.140625" customWidth="1"/>
    <col min="10" max="10" width="13.7109375" customWidth="1"/>
    <col min="11" max="11" width="11.28515625" customWidth="1"/>
    <col min="12" max="12" width="4.42578125" customWidth="1"/>
    <col min="13" max="13" width="5.42578125" customWidth="1"/>
    <col min="14" max="14" width="13.85546875" bestFit="1" customWidth="1"/>
    <col min="15" max="15" width="5.5703125" bestFit="1" customWidth="1"/>
    <col min="16" max="16" width="6.28515625" customWidth="1"/>
    <col min="17" max="17" width="19.5703125" customWidth="1"/>
    <col min="18" max="18" width="13.85546875" bestFit="1" customWidth="1"/>
    <col min="19" max="19" width="14.42578125" customWidth="1"/>
    <col min="20" max="20" width="11.28515625" customWidth="1"/>
    <col min="21" max="21" width="20.28515625" customWidth="1"/>
    <col min="22" max="22" width="17.140625" customWidth="1"/>
    <col min="23" max="23" width="28.42578125" customWidth="1"/>
    <col min="24" max="24" width="40.28515625" customWidth="1"/>
    <col min="25" max="25" width="27.7109375" hidden="1" customWidth="1"/>
    <col min="26" max="26" width="15.85546875" hidden="1" customWidth="1"/>
    <col min="27" max="27" width="18.42578125" hidden="1" customWidth="1"/>
    <col min="28" max="28" width="6" hidden="1" customWidth="1"/>
    <col min="29" max="29" width="10.85546875" hidden="1" customWidth="1"/>
    <col min="30" max="30" width="29.5703125" hidden="1" customWidth="1"/>
    <col min="31" max="36" width="0" hidden="1" customWidth="1"/>
    <col min="37" max="37" width="23.7109375" hidden="1" customWidth="1"/>
    <col min="38" max="38" width="0" hidden="1" customWidth="1"/>
  </cols>
  <sheetData>
    <row r="2" spans="1:38" x14ac:dyDescent="0.2">
      <c r="B2" s="23" t="s">
        <v>321</v>
      </c>
      <c r="M2" s="356" t="s">
        <v>629</v>
      </c>
    </row>
    <row r="3" spans="1:38" x14ac:dyDescent="0.2">
      <c r="C3" s="224"/>
      <c r="D3" s="224"/>
      <c r="M3" s="356" t="s">
        <v>667</v>
      </c>
    </row>
    <row r="4" spans="1:38" x14ac:dyDescent="0.2">
      <c r="B4" s="22" t="s">
        <v>323</v>
      </c>
      <c r="C4" s="576" t="s">
        <v>322</v>
      </c>
      <c r="D4" s="576" t="s">
        <v>600</v>
      </c>
      <c r="M4" s="356" t="s">
        <v>659</v>
      </c>
    </row>
    <row r="5" spans="1:38" x14ac:dyDescent="0.2">
      <c r="B5" s="21" t="s">
        <v>319</v>
      </c>
      <c r="C5" s="577">
        <v>112.98</v>
      </c>
      <c r="D5" s="578" t="s">
        <v>628</v>
      </c>
      <c r="M5" s="356" t="s">
        <v>658</v>
      </c>
    </row>
    <row r="6" spans="1:38" x14ac:dyDescent="0.2">
      <c r="B6" s="21" t="s">
        <v>320</v>
      </c>
      <c r="C6" s="577">
        <v>54.81</v>
      </c>
      <c r="D6" s="578" t="s">
        <v>628</v>
      </c>
      <c r="E6" s="30"/>
      <c r="F6" s="46"/>
      <c r="M6" s="356" t="s">
        <v>668</v>
      </c>
    </row>
    <row r="7" spans="1:38" x14ac:dyDescent="0.2">
      <c r="B7" s="21" t="s">
        <v>318</v>
      </c>
      <c r="C7" s="577">
        <v>149.35</v>
      </c>
      <c r="D7" s="578" t="s">
        <v>628</v>
      </c>
      <c r="E7" s="30"/>
      <c r="F7" s="46"/>
      <c r="M7" s="356" t="s">
        <v>669</v>
      </c>
    </row>
    <row r="8" spans="1:38" x14ac:dyDescent="0.2">
      <c r="B8" s="24" t="s">
        <v>333</v>
      </c>
      <c r="C8" s="28">
        <v>80</v>
      </c>
      <c r="D8" s="24"/>
      <c r="M8" s="356" t="s">
        <v>670</v>
      </c>
    </row>
    <row r="9" spans="1:38" ht="25.5" x14ac:dyDescent="0.2">
      <c r="B9" s="34" t="s">
        <v>334</v>
      </c>
      <c r="C9" s="35">
        <v>56.78</v>
      </c>
      <c r="D9" s="24"/>
      <c r="M9" s="356" t="s">
        <v>671</v>
      </c>
      <c r="Y9" s="477" t="s">
        <v>635</v>
      </c>
    </row>
    <row r="10" spans="1:38" ht="13.5" thickBot="1" x14ac:dyDescent="0.25"/>
    <row r="11" spans="1:38" x14ac:dyDescent="0.2">
      <c r="A11" s="223"/>
      <c r="B11" s="256" t="s">
        <v>330</v>
      </c>
      <c r="C11" s="214"/>
      <c r="D11" s="214"/>
      <c r="E11" s="214"/>
      <c r="F11" s="214"/>
      <c r="G11" s="214"/>
      <c r="H11" s="214"/>
      <c r="I11" s="214"/>
      <c r="J11" s="214"/>
      <c r="K11" s="214"/>
      <c r="L11" s="214"/>
      <c r="M11" s="214"/>
      <c r="N11" s="214"/>
      <c r="O11" s="214"/>
      <c r="P11" s="214"/>
      <c r="Q11" s="214"/>
      <c r="R11" s="214"/>
      <c r="S11" s="214"/>
      <c r="T11" s="214"/>
      <c r="U11" s="215"/>
      <c r="V11" s="216"/>
      <c r="W11" s="216"/>
      <c r="X11" s="216"/>
    </row>
    <row r="12" spans="1:38" x14ac:dyDescent="0.2">
      <c r="A12" s="227"/>
      <c r="B12" s="216"/>
      <c r="C12" s="216"/>
      <c r="D12" s="216"/>
      <c r="E12" s="216"/>
      <c r="F12" s="216"/>
      <c r="G12" s="216"/>
      <c r="H12" s="216"/>
      <c r="I12" s="216"/>
      <c r="J12" s="216"/>
      <c r="K12" s="216"/>
      <c r="L12" s="216"/>
      <c r="M12" s="216"/>
      <c r="N12" s="216"/>
      <c r="O12" s="216"/>
      <c r="P12" s="216"/>
      <c r="Q12" s="216"/>
      <c r="R12" s="216"/>
      <c r="S12" s="216"/>
      <c r="T12" s="216"/>
      <c r="U12" s="217"/>
      <c r="V12" s="216"/>
      <c r="W12" s="216"/>
      <c r="X12" s="216"/>
    </row>
    <row r="13" spans="1:38" x14ac:dyDescent="0.2">
      <c r="A13" s="227"/>
      <c r="B13" s="29"/>
      <c r="C13" s="29"/>
      <c r="D13" s="493" t="s">
        <v>672</v>
      </c>
      <c r="E13" s="29"/>
      <c r="F13" s="29"/>
      <c r="G13" s="29"/>
      <c r="H13" s="29"/>
      <c r="I13" s="216"/>
      <c r="J13" s="216"/>
      <c r="K13" s="216"/>
      <c r="L13" s="216"/>
      <c r="M13" s="216"/>
      <c r="N13" s="216"/>
      <c r="O13" s="216"/>
      <c r="P13" s="216"/>
      <c r="Q13" s="216"/>
      <c r="R13" s="216"/>
      <c r="S13" s="216"/>
      <c r="T13" s="216"/>
      <c r="U13" s="217"/>
      <c r="V13" s="216"/>
      <c r="W13" s="216"/>
      <c r="X13" s="216"/>
    </row>
    <row r="14" spans="1:38" x14ac:dyDescent="0.2">
      <c r="A14" s="227"/>
      <c r="B14" s="29" t="s">
        <v>239</v>
      </c>
      <c r="C14" s="29"/>
      <c r="E14" s="216"/>
      <c r="F14" s="29" t="s">
        <v>266</v>
      </c>
      <c r="G14" s="29"/>
      <c r="H14" s="29"/>
      <c r="I14" s="216"/>
      <c r="J14" s="216"/>
      <c r="K14" s="216"/>
      <c r="L14" s="216"/>
      <c r="M14" s="216"/>
      <c r="N14" s="216"/>
      <c r="O14" s="216"/>
      <c r="P14" s="216"/>
      <c r="Q14" s="216"/>
      <c r="R14" s="216"/>
      <c r="S14" s="216"/>
      <c r="T14" s="216"/>
      <c r="U14" s="217"/>
      <c r="V14" s="216"/>
      <c r="W14" s="216"/>
      <c r="X14" s="216"/>
    </row>
    <row r="15" spans="1:38" x14ac:dyDescent="0.2">
      <c r="A15" s="227"/>
      <c r="B15" s="22" t="s">
        <v>240</v>
      </c>
      <c r="C15" s="22" t="s">
        <v>324</v>
      </c>
      <c r="D15" s="22" t="s">
        <v>325</v>
      </c>
      <c r="E15" s="29"/>
      <c r="F15" s="22" t="s">
        <v>240</v>
      </c>
      <c r="G15" s="22" t="s">
        <v>324</v>
      </c>
      <c r="H15" s="22" t="s">
        <v>325</v>
      </c>
      <c r="I15" s="584"/>
      <c r="J15" s="587"/>
      <c r="K15" s="585"/>
      <c r="L15" s="216"/>
      <c r="M15" s="29" t="s">
        <v>377</v>
      </c>
      <c r="N15" s="216"/>
      <c r="O15" s="216"/>
      <c r="P15" s="216"/>
      <c r="Q15" s="473" t="s">
        <v>239</v>
      </c>
      <c r="R15" s="29"/>
      <c r="S15" s="487" t="s">
        <v>657</v>
      </c>
      <c r="T15" s="29"/>
      <c r="V15" s="216"/>
      <c r="W15" s="216"/>
      <c r="X15" s="216"/>
      <c r="Y15" s="460" t="s">
        <v>634</v>
      </c>
      <c r="Z15" s="460"/>
      <c r="AA15" s="460"/>
      <c r="AB15" s="462"/>
      <c r="AC15" s="216"/>
      <c r="AD15" s="460" t="s">
        <v>630</v>
      </c>
      <c r="AE15" s="29"/>
      <c r="AF15" s="29"/>
      <c r="AG15" s="216"/>
      <c r="AH15" s="216"/>
      <c r="AJ15" s="460" t="s">
        <v>634</v>
      </c>
      <c r="AK15" s="460"/>
      <c r="AL15" s="460"/>
    </row>
    <row r="16" spans="1:38" x14ac:dyDescent="0.2">
      <c r="A16" s="227"/>
      <c r="B16" s="708" t="s">
        <v>326</v>
      </c>
      <c r="C16" s="52" t="s">
        <v>341</v>
      </c>
      <c r="D16" s="50">
        <f>SUM(O17:O20)</f>
        <v>4</v>
      </c>
      <c r="E16" s="29"/>
      <c r="F16" s="708" t="s">
        <v>326</v>
      </c>
      <c r="G16" s="52" t="s">
        <v>341</v>
      </c>
      <c r="H16" s="56">
        <f>ROUNDUP(D16/($D$46/$H$46),0)</f>
        <v>1</v>
      </c>
      <c r="I16" s="584"/>
      <c r="J16" s="585"/>
      <c r="K16" s="585"/>
      <c r="L16" s="216"/>
      <c r="M16" s="22" t="s">
        <v>240</v>
      </c>
      <c r="N16" s="22" t="s">
        <v>324</v>
      </c>
      <c r="O16" s="22" t="s">
        <v>325</v>
      </c>
      <c r="P16" s="216"/>
      <c r="Q16" s="22" t="s">
        <v>240</v>
      </c>
      <c r="R16" s="22" t="s">
        <v>324</v>
      </c>
      <c r="S16" s="576" t="s">
        <v>655</v>
      </c>
      <c r="T16" s="490" t="s">
        <v>654</v>
      </c>
      <c r="U16" s="217"/>
      <c r="V16" s="216"/>
      <c r="W16" s="216"/>
      <c r="X16" s="216"/>
      <c r="Y16" s="461" t="s">
        <v>240</v>
      </c>
      <c r="Z16" s="461" t="s">
        <v>324</v>
      </c>
      <c r="AA16" s="461" t="s">
        <v>325</v>
      </c>
      <c r="AB16" s="460"/>
      <c r="AC16" s="29"/>
      <c r="AD16" s="461" t="s">
        <v>240</v>
      </c>
      <c r="AE16" s="461" t="s">
        <v>324</v>
      </c>
      <c r="AF16" s="461" t="s">
        <v>325</v>
      </c>
      <c r="AG16" s="460"/>
      <c r="AH16" s="462"/>
      <c r="AJ16" s="461" t="s">
        <v>240</v>
      </c>
      <c r="AK16" s="461" t="s">
        <v>324</v>
      </c>
      <c r="AL16" s="461" t="s">
        <v>325</v>
      </c>
    </row>
    <row r="17" spans="1:38" x14ac:dyDescent="0.2">
      <c r="A17" s="227"/>
      <c r="B17" s="709"/>
      <c r="C17" s="51" t="s">
        <v>241</v>
      </c>
      <c r="D17" s="50">
        <f>S17-O17</f>
        <v>21</v>
      </c>
      <c r="E17" s="29"/>
      <c r="F17" s="709"/>
      <c r="G17" s="51" t="s">
        <v>241</v>
      </c>
      <c r="H17" s="56">
        <f t="shared" ref="H17:H30" si="0">ROUND(D17/($D$46/$H$46),0)</f>
        <v>2</v>
      </c>
      <c r="I17" s="584"/>
      <c r="J17" s="585"/>
      <c r="K17" s="585"/>
      <c r="L17" s="216"/>
      <c r="M17" s="724" t="s">
        <v>326</v>
      </c>
      <c r="N17" s="51" t="s">
        <v>241</v>
      </c>
      <c r="O17" s="50">
        <v>0</v>
      </c>
      <c r="P17" s="216"/>
      <c r="Q17" s="724" t="s">
        <v>326</v>
      </c>
      <c r="R17" s="51" t="s">
        <v>241</v>
      </c>
      <c r="S17" s="56">
        <f>T17+D62</f>
        <v>21</v>
      </c>
      <c r="T17" s="460">
        <v>17</v>
      </c>
      <c r="U17" s="217"/>
      <c r="V17" s="216"/>
      <c r="W17" s="216"/>
      <c r="X17" s="216"/>
      <c r="Y17" s="701" t="s">
        <v>326</v>
      </c>
      <c r="Z17" s="463" t="s">
        <v>341</v>
      </c>
      <c r="AA17" s="469">
        <v>4</v>
      </c>
      <c r="AB17" s="460"/>
      <c r="AC17" s="29"/>
      <c r="AD17" s="701" t="s">
        <v>326</v>
      </c>
      <c r="AE17" s="463" t="s">
        <v>341</v>
      </c>
      <c r="AF17" s="464">
        <v>1</v>
      </c>
      <c r="AG17" s="460"/>
      <c r="AH17" s="462"/>
      <c r="AJ17" s="707" t="s">
        <v>326</v>
      </c>
      <c r="AK17" s="463" t="s">
        <v>241</v>
      </c>
      <c r="AL17" s="469">
        <v>17</v>
      </c>
    </row>
    <row r="18" spans="1:38" x14ac:dyDescent="0.2">
      <c r="A18" s="227"/>
      <c r="B18" s="709"/>
      <c r="C18" s="51" t="s">
        <v>242</v>
      </c>
      <c r="D18" s="50">
        <f>S18-O18</f>
        <v>277</v>
      </c>
      <c r="E18" s="29"/>
      <c r="F18" s="709"/>
      <c r="G18" s="51" t="s">
        <v>242</v>
      </c>
      <c r="H18" s="56">
        <f t="shared" si="0"/>
        <v>32</v>
      </c>
      <c r="I18" s="584"/>
      <c r="J18" s="585">
        <f>267+39</f>
        <v>306</v>
      </c>
      <c r="K18" s="585"/>
      <c r="L18" s="216"/>
      <c r="M18" s="724"/>
      <c r="N18" s="51" t="s">
        <v>242</v>
      </c>
      <c r="O18" s="50">
        <v>1</v>
      </c>
      <c r="P18" s="216"/>
      <c r="Q18" s="724"/>
      <c r="R18" s="51" t="s">
        <v>242</v>
      </c>
      <c r="S18" s="56">
        <f>T18+D63</f>
        <v>278</v>
      </c>
      <c r="T18" s="460">
        <v>231</v>
      </c>
      <c r="U18" s="217"/>
      <c r="V18" s="216"/>
      <c r="W18" s="216"/>
      <c r="X18" s="216"/>
      <c r="Y18" s="702"/>
      <c r="Z18" s="463" t="s">
        <v>241</v>
      </c>
      <c r="AA18" s="469">
        <v>17</v>
      </c>
      <c r="AB18" s="460"/>
      <c r="AC18" s="29"/>
      <c r="AD18" s="702"/>
      <c r="AE18" s="463" t="s">
        <v>241</v>
      </c>
      <c r="AF18" s="464">
        <v>2</v>
      </c>
      <c r="AG18" s="460"/>
      <c r="AH18" s="462"/>
      <c r="AJ18" s="707"/>
      <c r="AK18" s="463" t="s">
        <v>242</v>
      </c>
      <c r="AL18" s="469">
        <v>231</v>
      </c>
    </row>
    <row r="19" spans="1:38" x14ac:dyDescent="0.2">
      <c r="A19" s="227"/>
      <c r="B19" s="709"/>
      <c r="C19" s="52" t="s">
        <v>243</v>
      </c>
      <c r="D19" s="50">
        <f>S19-O19</f>
        <v>115</v>
      </c>
      <c r="E19" s="29"/>
      <c r="F19" s="709"/>
      <c r="G19" s="52" t="s">
        <v>243</v>
      </c>
      <c r="H19" s="56">
        <f t="shared" si="0"/>
        <v>13</v>
      </c>
      <c r="I19" s="584"/>
      <c r="J19" s="585">
        <f>(I20+I25-H17-H22)/2</f>
        <v>59</v>
      </c>
      <c r="K19" s="585"/>
      <c r="L19" s="216"/>
      <c r="M19" s="724"/>
      <c r="N19" s="206" t="s">
        <v>243</v>
      </c>
      <c r="O19" s="205">
        <v>3</v>
      </c>
      <c r="P19" s="216"/>
      <c r="Q19" s="724"/>
      <c r="R19" s="206" t="s">
        <v>243</v>
      </c>
      <c r="S19" s="56">
        <f>T19+D64</f>
        <v>118</v>
      </c>
      <c r="T19" s="460">
        <v>100</v>
      </c>
      <c r="U19" s="217"/>
      <c r="V19" s="216"/>
      <c r="W19" s="216"/>
      <c r="X19" s="216"/>
      <c r="Y19" s="702"/>
      <c r="Z19" s="463" t="s">
        <v>242</v>
      </c>
      <c r="AA19" s="469">
        <v>230</v>
      </c>
      <c r="AB19" s="460"/>
      <c r="AC19" s="29"/>
      <c r="AD19" s="702"/>
      <c r="AE19" s="463" t="s">
        <v>242</v>
      </c>
      <c r="AF19" s="464">
        <v>28</v>
      </c>
      <c r="AG19" s="460"/>
      <c r="AH19" s="462">
        <v>306</v>
      </c>
      <c r="AJ19" s="707"/>
      <c r="AK19" s="463" t="s">
        <v>243</v>
      </c>
      <c r="AL19" s="469">
        <v>100</v>
      </c>
    </row>
    <row r="20" spans="1:38" ht="13.5" thickBot="1" x14ac:dyDescent="0.25">
      <c r="A20" s="227"/>
      <c r="B20" s="710"/>
      <c r="C20" s="51" t="s">
        <v>244</v>
      </c>
      <c r="D20" s="50">
        <f>S20-O20</f>
        <v>171</v>
      </c>
      <c r="E20" s="586">
        <f>SUM(D17:D20)</f>
        <v>584</v>
      </c>
      <c r="F20" s="710"/>
      <c r="G20" s="51" t="s">
        <v>244</v>
      </c>
      <c r="H20" s="56">
        <f t="shared" si="0"/>
        <v>20</v>
      </c>
      <c r="I20" s="588">
        <f>SUM(H17:H20)</f>
        <v>67</v>
      </c>
      <c r="J20" s="585"/>
      <c r="K20" s="585"/>
      <c r="L20" s="216"/>
      <c r="M20" s="724"/>
      <c r="N20" s="51" t="s">
        <v>244</v>
      </c>
      <c r="O20" s="50">
        <v>0</v>
      </c>
      <c r="P20" s="216"/>
      <c r="Q20" s="724"/>
      <c r="R20" s="51" t="s">
        <v>244</v>
      </c>
      <c r="S20" s="579">
        <f>T20+D65</f>
        <v>171</v>
      </c>
      <c r="T20" s="460">
        <v>158</v>
      </c>
      <c r="U20" s="217"/>
      <c r="V20" s="486" t="s">
        <v>748</v>
      </c>
      <c r="W20" s="216"/>
      <c r="X20" s="216"/>
      <c r="Y20" s="702"/>
      <c r="Z20" s="463" t="s">
        <v>243</v>
      </c>
      <c r="AA20" s="469">
        <v>97</v>
      </c>
      <c r="AB20" s="460"/>
      <c r="AC20" s="29"/>
      <c r="AD20" s="702"/>
      <c r="AE20" s="463" t="s">
        <v>243</v>
      </c>
      <c r="AF20" s="464">
        <v>11</v>
      </c>
      <c r="AG20" s="460"/>
      <c r="AH20" s="462">
        <v>65.5</v>
      </c>
      <c r="AJ20" s="707"/>
      <c r="AK20" s="463" t="s">
        <v>244</v>
      </c>
      <c r="AL20" s="469">
        <v>158</v>
      </c>
    </row>
    <row r="21" spans="1:38" x14ac:dyDescent="0.2">
      <c r="A21" s="227"/>
      <c r="B21" s="711" t="s">
        <v>327</v>
      </c>
      <c r="C21" s="52" t="s">
        <v>341</v>
      </c>
      <c r="D21" s="50">
        <f>SUM(O22:O25)</f>
        <v>15</v>
      </c>
      <c r="E21" s="48"/>
      <c r="F21" s="708" t="s">
        <v>327</v>
      </c>
      <c r="G21" s="52" t="s">
        <v>341</v>
      </c>
      <c r="H21" s="56">
        <f t="shared" si="0"/>
        <v>2</v>
      </c>
      <c r="I21" s="588"/>
      <c r="J21" s="585"/>
      <c r="K21" s="585"/>
      <c r="L21" s="216"/>
      <c r="M21" s="216"/>
      <c r="N21" s="216"/>
      <c r="O21" s="216"/>
      <c r="P21" s="216"/>
      <c r="Q21" s="216"/>
      <c r="R21" s="216"/>
      <c r="S21" s="596"/>
      <c r="T21" s="597"/>
      <c r="U21" s="598"/>
      <c r="V21" s="599" t="s">
        <v>637</v>
      </c>
      <c r="W21" s="599" t="s">
        <v>636</v>
      </c>
      <c r="X21" s="600" t="s">
        <v>638</v>
      </c>
      <c r="Y21" s="714"/>
      <c r="Z21" s="463" t="s">
        <v>244</v>
      </c>
      <c r="AA21" s="469">
        <v>158</v>
      </c>
      <c r="AB21" s="470">
        <f>SUM(AA18:AA21)</f>
        <v>502</v>
      </c>
      <c r="AC21" s="48"/>
      <c r="AD21" s="703"/>
      <c r="AE21" s="463" t="s">
        <v>244</v>
      </c>
      <c r="AF21" s="464">
        <v>19</v>
      </c>
      <c r="AG21" s="465">
        <f>SUM(AF18:AF21)</f>
        <v>60</v>
      </c>
      <c r="AH21" s="462"/>
      <c r="AJ21" s="462"/>
      <c r="AK21" s="462"/>
      <c r="AL21" s="462"/>
    </row>
    <row r="22" spans="1:38" x14ac:dyDescent="0.2">
      <c r="A22" s="227"/>
      <c r="B22" s="712"/>
      <c r="C22" s="51" t="s">
        <v>241</v>
      </c>
      <c r="D22" s="464">
        <f>S22-O22-X22</f>
        <v>0</v>
      </c>
      <c r="E22" s="586" t="s">
        <v>639</v>
      </c>
      <c r="F22" s="709"/>
      <c r="G22" s="51" t="s">
        <v>241</v>
      </c>
      <c r="H22" s="56">
        <f t="shared" si="0"/>
        <v>0</v>
      </c>
      <c r="I22" s="584"/>
      <c r="J22" s="585"/>
      <c r="K22" s="585"/>
      <c r="L22" s="216"/>
      <c r="M22" s="708" t="s">
        <v>327</v>
      </c>
      <c r="N22" s="51" t="s">
        <v>241</v>
      </c>
      <c r="O22" s="50">
        <v>0</v>
      </c>
      <c r="P22" s="216"/>
      <c r="Q22" s="708" t="s">
        <v>327</v>
      </c>
      <c r="R22" s="594" t="s">
        <v>241</v>
      </c>
      <c r="S22" s="601">
        <f>T22+D66</f>
        <v>0</v>
      </c>
      <c r="T22" s="491">
        <v>0</v>
      </c>
      <c r="U22" s="483">
        <f>S22/$S$26</f>
        <v>0</v>
      </c>
      <c r="V22" s="484">
        <f>ROUND(U22*18,0)</f>
        <v>0</v>
      </c>
      <c r="W22" s="485">
        <f>U22*$W$26</f>
        <v>0</v>
      </c>
      <c r="X22" s="482">
        <f>V22+W22</f>
        <v>0</v>
      </c>
      <c r="Y22" s="715" t="s">
        <v>327</v>
      </c>
      <c r="Z22" s="463" t="s">
        <v>341</v>
      </c>
      <c r="AA22" s="469">
        <v>15</v>
      </c>
      <c r="AB22" s="470"/>
      <c r="AC22" s="48"/>
      <c r="AD22" s="701" t="s">
        <v>327</v>
      </c>
      <c r="AE22" s="463" t="s">
        <v>341</v>
      </c>
      <c r="AF22" s="464">
        <v>2</v>
      </c>
      <c r="AG22" s="465"/>
      <c r="AH22" s="494">
        <f>SUM(AF19:AF21,AF24:AF26)</f>
        <v>131</v>
      </c>
      <c r="AJ22" s="701" t="s">
        <v>327</v>
      </c>
      <c r="AK22" s="463" t="s">
        <v>241</v>
      </c>
      <c r="AL22" s="469">
        <v>0</v>
      </c>
    </row>
    <row r="23" spans="1:38" x14ac:dyDescent="0.2">
      <c r="A23" s="227"/>
      <c r="B23" s="712"/>
      <c r="C23" s="51" t="s">
        <v>242</v>
      </c>
      <c r="D23" s="469">
        <f>S23-O23-X23</f>
        <v>104</v>
      </c>
      <c r="E23" s="586" t="s">
        <v>639</v>
      </c>
      <c r="F23" s="709"/>
      <c r="G23" s="51" t="s">
        <v>242</v>
      </c>
      <c r="H23" s="56">
        <f>ROUND(D23/($D$46/$H$46),0)</f>
        <v>12</v>
      </c>
      <c r="I23" s="584"/>
      <c r="J23" s="585"/>
      <c r="K23" s="585"/>
      <c r="L23" s="216"/>
      <c r="M23" s="709"/>
      <c r="N23" s="51" t="s">
        <v>242</v>
      </c>
      <c r="O23" s="50">
        <v>7</v>
      </c>
      <c r="P23" s="216"/>
      <c r="Q23" s="709"/>
      <c r="R23" s="594" t="s">
        <v>242</v>
      </c>
      <c r="S23" s="601">
        <f>T23+D67</f>
        <v>147</v>
      </c>
      <c r="T23" s="491">
        <v>147</v>
      </c>
      <c r="U23" s="483">
        <f>S23/$S$26</f>
        <v>0.23671497584541062</v>
      </c>
      <c r="V23" s="484">
        <f>ROUND(U23*18,0)</f>
        <v>4</v>
      </c>
      <c r="W23" s="485">
        <f>ROUND(U23*$W$26,0)</f>
        <v>32</v>
      </c>
      <c r="X23" s="482">
        <f>V23+W23</f>
        <v>36</v>
      </c>
      <c r="Y23" s="716"/>
      <c r="Z23" s="463" t="s">
        <v>241</v>
      </c>
      <c r="AA23" s="469">
        <v>0</v>
      </c>
      <c r="AB23" s="470"/>
      <c r="AC23" s="48"/>
      <c r="AD23" s="702"/>
      <c r="AE23" s="463" t="s">
        <v>241</v>
      </c>
      <c r="AF23" s="464">
        <v>0</v>
      </c>
      <c r="AG23" s="460"/>
      <c r="AH23" s="462"/>
      <c r="AJ23" s="702"/>
      <c r="AK23" s="463" t="s">
        <v>242</v>
      </c>
      <c r="AL23" s="469">
        <v>147</v>
      </c>
    </row>
    <row r="24" spans="1:38" x14ac:dyDescent="0.2">
      <c r="A24" s="227"/>
      <c r="B24" s="712"/>
      <c r="C24" s="51" t="s">
        <v>243</v>
      </c>
      <c r="D24" s="469">
        <f>S24-O24-X24</f>
        <v>196</v>
      </c>
      <c r="E24" s="586" t="s">
        <v>639</v>
      </c>
      <c r="F24" s="709"/>
      <c r="G24" s="51" t="s">
        <v>243</v>
      </c>
      <c r="H24" s="56">
        <f t="shared" si="0"/>
        <v>23</v>
      </c>
      <c r="I24" s="584"/>
      <c r="J24" s="585">
        <f>E20+E25</f>
        <v>1035</v>
      </c>
      <c r="K24" s="585"/>
      <c r="L24" s="216"/>
      <c r="M24" s="709"/>
      <c r="N24" s="51" t="s">
        <v>243</v>
      </c>
      <c r="O24" s="50">
        <v>7</v>
      </c>
      <c r="P24" s="216"/>
      <c r="Q24" s="709"/>
      <c r="R24" s="594" t="s">
        <v>243</v>
      </c>
      <c r="S24" s="601">
        <f>T24+D68</f>
        <v>271</v>
      </c>
      <c r="T24" s="491">
        <v>271</v>
      </c>
      <c r="U24" s="483">
        <f>S24/$S$26</f>
        <v>0.43639291465378421</v>
      </c>
      <c r="V24" s="484">
        <f>ROUND(U24*18,0)</f>
        <v>8</v>
      </c>
      <c r="W24" s="485">
        <f>ROUND(U24*$W$26,0)</f>
        <v>60</v>
      </c>
      <c r="X24" s="482">
        <f>V24+W24</f>
        <v>68</v>
      </c>
      <c r="Y24" s="716"/>
      <c r="Z24" s="463" t="s">
        <v>242</v>
      </c>
      <c r="AA24" s="469">
        <v>140</v>
      </c>
      <c r="AB24" s="460"/>
      <c r="AC24" s="29"/>
      <c r="AD24" s="702"/>
      <c r="AE24" s="463" t="s">
        <v>242</v>
      </c>
      <c r="AF24" s="464">
        <v>17</v>
      </c>
      <c r="AG24" s="460"/>
      <c r="AH24" s="462"/>
      <c r="AJ24" s="702"/>
      <c r="AK24" s="463" t="s">
        <v>243</v>
      </c>
      <c r="AL24" s="469">
        <v>271</v>
      </c>
    </row>
    <row r="25" spans="1:38" x14ac:dyDescent="0.2">
      <c r="A25" s="227"/>
      <c r="B25" s="713"/>
      <c r="C25" s="51" t="s">
        <v>244</v>
      </c>
      <c r="D25" s="469">
        <f>S25-O25-X25</f>
        <v>151</v>
      </c>
      <c r="E25" s="586">
        <f>SUM(D22:D25)</f>
        <v>451</v>
      </c>
      <c r="F25" s="710"/>
      <c r="G25" s="51" t="s">
        <v>244</v>
      </c>
      <c r="H25" s="56">
        <f t="shared" si="0"/>
        <v>18</v>
      </c>
      <c r="I25" s="588">
        <f>SUM(H22:H25)</f>
        <v>53</v>
      </c>
      <c r="J25" s="585">
        <f>J24-D17-D22</f>
        <v>1014</v>
      </c>
      <c r="K25" s="585"/>
      <c r="L25" s="216"/>
      <c r="M25" s="710"/>
      <c r="N25" s="51" t="s">
        <v>244</v>
      </c>
      <c r="O25" s="50">
        <v>1</v>
      </c>
      <c r="P25" s="216"/>
      <c r="Q25" s="710"/>
      <c r="R25" s="594" t="s">
        <v>244</v>
      </c>
      <c r="S25" s="601">
        <f>T25+D69</f>
        <v>203</v>
      </c>
      <c r="T25" s="491">
        <v>203</v>
      </c>
      <c r="U25" s="483">
        <f>S25/$S$26</f>
        <v>0.32689210950080516</v>
      </c>
      <c r="V25" s="484">
        <f>ROUND(U25*18,0)</f>
        <v>6</v>
      </c>
      <c r="W25" s="485">
        <f>ROUND(U25*$W$26,0)</f>
        <v>45</v>
      </c>
      <c r="X25" s="482">
        <f>V25+W25</f>
        <v>51</v>
      </c>
      <c r="Y25" s="716"/>
      <c r="Z25" s="463" t="s">
        <v>243</v>
      </c>
      <c r="AA25" s="469">
        <v>264</v>
      </c>
      <c r="AB25" s="460"/>
      <c r="AC25" s="29"/>
      <c r="AD25" s="702"/>
      <c r="AE25" s="463" t="s">
        <v>243</v>
      </c>
      <c r="AF25" s="464">
        <v>32</v>
      </c>
      <c r="AG25" s="460"/>
      <c r="AH25" s="462">
        <v>1108</v>
      </c>
      <c r="AJ25" s="703"/>
      <c r="AK25" s="463" t="s">
        <v>244</v>
      </c>
      <c r="AL25" s="469">
        <v>203</v>
      </c>
    </row>
    <row r="26" spans="1:38" ht="13.5" thickBot="1" x14ac:dyDescent="0.25">
      <c r="A26" s="227"/>
      <c r="B26" s="708" t="s">
        <v>246</v>
      </c>
      <c r="C26" s="52" t="s">
        <v>341</v>
      </c>
      <c r="D26" s="50">
        <f>SUM(O27:O30)</f>
        <v>333</v>
      </c>
      <c r="E26" s="586"/>
      <c r="F26" s="708" t="s">
        <v>246</v>
      </c>
      <c r="G26" s="52" t="s">
        <v>341</v>
      </c>
      <c r="H26" s="56">
        <f t="shared" si="0"/>
        <v>39</v>
      </c>
      <c r="I26" s="588"/>
      <c r="J26" s="585">
        <f>J25+D16+D21</f>
        <v>1033</v>
      </c>
      <c r="K26" s="585"/>
      <c r="L26" s="216"/>
      <c r="M26" s="216"/>
      <c r="N26" s="216"/>
      <c r="O26" s="216"/>
      <c r="P26" s="216"/>
      <c r="Q26" s="216"/>
      <c r="R26" s="216"/>
      <c r="S26" s="602">
        <f>SUM(S22:S25)</f>
        <v>621</v>
      </c>
      <c r="T26" s="603"/>
      <c r="U26" s="604"/>
      <c r="V26" s="605">
        <f>SUM(V22:V25)</f>
        <v>18</v>
      </c>
      <c r="W26" s="605">
        <f>ROUND(621*(39/177),0)</f>
        <v>137</v>
      </c>
      <c r="X26" s="604">
        <f>V26+W26</f>
        <v>155</v>
      </c>
      <c r="Y26" s="717"/>
      <c r="Z26" s="463" t="s">
        <v>244</v>
      </c>
      <c r="AA26" s="469">
        <v>202</v>
      </c>
      <c r="AB26" s="470">
        <f>SUM(AA23:AA26)</f>
        <v>606</v>
      </c>
      <c r="AC26" s="48"/>
      <c r="AD26" s="703"/>
      <c r="AE26" s="463" t="s">
        <v>244</v>
      </c>
      <c r="AF26" s="464">
        <v>24</v>
      </c>
      <c r="AG26" s="465">
        <f>SUM(AF23:AF26)</f>
        <v>73</v>
      </c>
      <c r="AH26" s="462">
        <v>1091</v>
      </c>
      <c r="AJ26" s="462"/>
      <c r="AK26" s="462"/>
      <c r="AL26" s="462"/>
    </row>
    <row r="27" spans="1:38" x14ac:dyDescent="0.2">
      <c r="A27" s="227"/>
      <c r="B27" s="709"/>
      <c r="C27" s="51" t="s">
        <v>241</v>
      </c>
      <c r="D27" s="464">
        <f>S27-O27+W22</f>
        <v>8101</v>
      </c>
      <c r="E27" s="586" t="s">
        <v>640</v>
      </c>
      <c r="F27" s="709"/>
      <c r="G27" s="51" t="s">
        <v>241</v>
      </c>
      <c r="H27" s="56">
        <f t="shared" si="0"/>
        <v>942</v>
      </c>
      <c r="I27" s="584"/>
      <c r="J27" s="585"/>
      <c r="K27" s="585"/>
      <c r="L27" s="216"/>
      <c r="M27" s="724" t="s">
        <v>246</v>
      </c>
      <c r="N27" s="51" t="s">
        <v>241</v>
      </c>
      <c r="O27" s="50">
        <v>7</v>
      </c>
      <c r="P27" s="216"/>
      <c r="Q27" s="724" t="s">
        <v>246</v>
      </c>
      <c r="R27" s="51" t="s">
        <v>241</v>
      </c>
      <c r="S27" s="595">
        <f>T27+D70</f>
        <v>8108</v>
      </c>
      <c r="T27" s="460">
        <v>7130</v>
      </c>
      <c r="U27" s="217"/>
      <c r="V27" s="216"/>
      <c r="W27" s="216"/>
      <c r="X27" s="216"/>
      <c r="Y27" s="701" t="s">
        <v>246</v>
      </c>
      <c r="Z27" s="463" t="s">
        <v>341</v>
      </c>
      <c r="AA27" s="469">
        <v>333</v>
      </c>
      <c r="AB27" s="470"/>
      <c r="AC27" s="48"/>
      <c r="AD27" s="701" t="s">
        <v>246</v>
      </c>
      <c r="AE27" s="463" t="s">
        <v>341</v>
      </c>
      <c r="AF27" s="464">
        <v>40</v>
      </c>
      <c r="AG27" s="465"/>
      <c r="AH27" s="462">
        <v>1110</v>
      </c>
      <c r="AJ27" s="707" t="s">
        <v>246</v>
      </c>
      <c r="AK27" s="463" t="s">
        <v>241</v>
      </c>
      <c r="AL27" s="469">
        <v>7130</v>
      </c>
    </row>
    <row r="28" spans="1:38" x14ac:dyDescent="0.2">
      <c r="A28" s="227"/>
      <c r="B28" s="709"/>
      <c r="C28" s="51" t="s">
        <v>242</v>
      </c>
      <c r="D28" s="469">
        <f>S28-O28+W23</f>
        <v>3732</v>
      </c>
      <c r="E28" s="586" t="s">
        <v>640</v>
      </c>
      <c r="F28" s="709"/>
      <c r="G28" s="51" t="s">
        <v>242</v>
      </c>
      <c r="H28" s="56">
        <f t="shared" si="0"/>
        <v>434</v>
      </c>
      <c r="I28" s="584"/>
      <c r="J28" s="585"/>
      <c r="K28" s="585"/>
      <c r="L28" s="216"/>
      <c r="M28" s="724"/>
      <c r="N28" s="51" t="s">
        <v>242</v>
      </c>
      <c r="O28" s="50">
        <v>215</v>
      </c>
      <c r="P28" s="216"/>
      <c r="Q28" s="724"/>
      <c r="R28" s="51" t="s">
        <v>242</v>
      </c>
      <c r="S28" s="56">
        <f>T28+D71</f>
        <v>3915</v>
      </c>
      <c r="T28" s="460">
        <v>3362</v>
      </c>
      <c r="U28" s="217"/>
      <c r="V28" s="216"/>
      <c r="W28" s="216"/>
      <c r="X28" s="216"/>
      <c r="Y28" s="702"/>
      <c r="Z28" s="463" t="s">
        <v>241</v>
      </c>
      <c r="AA28" s="469">
        <v>7123</v>
      </c>
      <c r="AB28" s="460"/>
      <c r="AC28" s="29"/>
      <c r="AD28" s="702"/>
      <c r="AE28" s="463" t="s">
        <v>241</v>
      </c>
      <c r="AF28" s="464">
        <v>857</v>
      </c>
      <c r="AG28" s="460"/>
      <c r="AH28" s="462"/>
      <c r="AJ28" s="707"/>
      <c r="AK28" s="463" t="s">
        <v>242</v>
      </c>
      <c r="AL28" s="469">
        <v>3362</v>
      </c>
    </row>
    <row r="29" spans="1:38" x14ac:dyDescent="0.2">
      <c r="A29" s="227"/>
      <c r="B29" s="709"/>
      <c r="C29" s="51" t="s">
        <v>243</v>
      </c>
      <c r="D29" s="469">
        <f>S29-O29+W24</f>
        <v>1119</v>
      </c>
      <c r="E29" s="586" t="s">
        <v>640</v>
      </c>
      <c r="F29" s="709"/>
      <c r="G29" s="51" t="s">
        <v>243</v>
      </c>
      <c r="H29" s="56">
        <f t="shared" si="0"/>
        <v>130</v>
      </c>
      <c r="I29" s="584"/>
      <c r="J29" s="585"/>
      <c r="K29" s="585"/>
      <c r="L29" s="216"/>
      <c r="M29" s="724"/>
      <c r="N29" s="51" t="s">
        <v>243</v>
      </c>
      <c r="O29" s="50">
        <v>89</v>
      </c>
      <c r="P29" s="216"/>
      <c r="Q29" s="724"/>
      <c r="R29" s="51" t="s">
        <v>243</v>
      </c>
      <c r="S29" s="56">
        <f>T29+D72</f>
        <v>1148</v>
      </c>
      <c r="T29" s="460">
        <v>983</v>
      </c>
      <c r="U29" s="217"/>
      <c r="V29" s="216"/>
      <c r="W29" s="216"/>
      <c r="X29" s="216"/>
      <c r="Y29" s="702"/>
      <c r="Z29" s="463" t="s">
        <v>242</v>
      </c>
      <c r="AA29" s="469">
        <v>3147</v>
      </c>
      <c r="AB29" s="460"/>
      <c r="AC29" s="29"/>
      <c r="AD29" s="702"/>
      <c r="AE29" s="463" t="s">
        <v>242</v>
      </c>
      <c r="AF29" s="464">
        <v>379</v>
      </c>
      <c r="AG29" s="460"/>
      <c r="AH29" s="494">
        <f>SUM(AF29:AF31,AF34:AF36,AF39:AF41)</f>
        <v>548</v>
      </c>
      <c r="AJ29" s="707"/>
      <c r="AK29" s="463" t="s">
        <v>243</v>
      </c>
      <c r="AL29" s="469">
        <v>983</v>
      </c>
    </row>
    <row r="30" spans="1:38" x14ac:dyDescent="0.2">
      <c r="A30" s="227"/>
      <c r="B30" s="710"/>
      <c r="C30" s="51" t="s">
        <v>244</v>
      </c>
      <c r="D30" s="469">
        <f>S30-O30+W25</f>
        <v>543</v>
      </c>
      <c r="E30" s="586" t="s">
        <v>640</v>
      </c>
      <c r="F30" s="710"/>
      <c r="G30" s="51" t="s">
        <v>244</v>
      </c>
      <c r="H30" s="56">
        <f t="shared" si="0"/>
        <v>63</v>
      </c>
      <c r="I30" s="584"/>
      <c r="J30" s="585"/>
      <c r="K30" s="585"/>
      <c r="L30" s="216"/>
      <c r="M30" s="724"/>
      <c r="N30" s="51" t="s">
        <v>244</v>
      </c>
      <c r="O30" s="50">
        <v>22</v>
      </c>
      <c r="P30" s="216"/>
      <c r="Q30" s="724"/>
      <c r="R30" s="51" t="s">
        <v>244</v>
      </c>
      <c r="S30" s="56">
        <f>T30+D73</f>
        <v>520</v>
      </c>
      <c r="T30" s="460">
        <v>454</v>
      </c>
      <c r="U30" s="217"/>
      <c r="V30" s="216"/>
      <c r="W30" s="216"/>
      <c r="X30" s="216"/>
      <c r="Y30" s="702"/>
      <c r="Z30" s="463" t="s">
        <v>243</v>
      </c>
      <c r="AA30" s="469">
        <v>894</v>
      </c>
      <c r="AB30" s="460"/>
      <c r="AC30" s="29"/>
      <c r="AD30" s="702"/>
      <c r="AE30" s="463" t="s">
        <v>243</v>
      </c>
      <c r="AF30" s="464">
        <v>108</v>
      </c>
      <c r="AG30" s="460"/>
      <c r="AH30" s="462"/>
      <c r="AJ30" s="707"/>
      <c r="AK30" s="463" t="s">
        <v>244</v>
      </c>
      <c r="AL30" s="469">
        <v>454</v>
      </c>
    </row>
    <row r="31" spans="1:38" x14ac:dyDescent="0.2">
      <c r="A31" s="227"/>
      <c r="B31" s="708" t="s">
        <v>248</v>
      </c>
      <c r="C31" s="52" t="s">
        <v>341</v>
      </c>
      <c r="D31" s="220"/>
      <c r="E31" s="29"/>
      <c r="F31" s="708" t="s">
        <v>248</v>
      </c>
      <c r="G31" s="52" t="s">
        <v>341</v>
      </c>
      <c r="H31" s="221"/>
      <c r="I31" s="584"/>
      <c r="J31" s="585"/>
      <c r="K31" s="585"/>
      <c r="L31" s="216"/>
      <c r="M31" s="216"/>
      <c r="N31" s="216"/>
      <c r="O31" s="216"/>
      <c r="P31" s="216"/>
      <c r="Q31" s="216"/>
      <c r="R31" s="216"/>
      <c r="S31" s="216"/>
      <c r="T31" s="462"/>
      <c r="U31" s="217"/>
      <c r="V31" s="216"/>
      <c r="W31" s="216"/>
      <c r="X31" s="216"/>
      <c r="Y31" s="703"/>
      <c r="Z31" s="463" t="s">
        <v>244</v>
      </c>
      <c r="AA31" s="469">
        <v>432</v>
      </c>
      <c r="AB31" s="460"/>
      <c r="AC31" s="29"/>
      <c r="AD31" s="703"/>
      <c r="AE31" s="463" t="s">
        <v>244</v>
      </c>
      <c r="AF31" s="464">
        <v>52</v>
      </c>
      <c r="AG31" s="460"/>
      <c r="AH31" s="462"/>
      <c r="AJ31" s="462"/>
      <c r="AK31" s="462"/>
      <c r="AL31" s="462"/>
    </row>
    <row r="32" spans="1:38" ht="15" customHeight="1" x14ac:dyDescent="0.2">
      <c r="A32" s="227"/>
      <c r="B32" s="709"/>
      <c r="C32" s="51" t="s">
        <v>241</v>
      </c>
      <c r="D32" s="220"/>
      <c r="E32" s="29"/>
      <c r="F32" s="709"/>
      <c r="G32" s="51" t="s">
        <v>241</v>
      </c>
      <c r="H32" s="221"/>
      <c r="I32" s="584"/>
      <c r="J32" s="585"/>
      <c r="K32" s="585"/>
      <c r="L32" s="216"/>
      <c r="M32" s="724" t="s">
        <v>248</v>
      </c>
      <c r="N32" s="51" t="s">
        <v>241</v>
      </c>
      <c r="O32" s="220"/>
      <c r="P32" s="216"/>
      <c r="Q32" s="724" t="s">
        <v>248</v>
      </c>
      <c r="R32" s="51" t="s">
        <v>241</v>
      </c>
      <c r="S32" s="220"/>
      <c r="T32" s="492"/>
      <c r="U32" s="217"/>
      <c r="V32" s="216"/>
      <c r="W32" s="216"/>
      <c r="X32" s="216"/>
      <c r="Y32" s="701" t="s">
        <v>248</v>
      </c>
      <c r="Z32" s="463" t="s">
        <v>341</v>
      </c>
      <c r="AA32" s="474"/>
      <c r="AB32" s="460"/>
      <c r="AC32" s="29"/>
      <c r="AD32" s="701" t="s">
        <v>248</v>
      </c>
      <c r="AE32" s="463" t="s">
        <v>341</v>
      </c>
      <c r="AF32" s="466"/>
      <c r="AG32" s="460"/>
      <c r="AH32" s="462"/>
      <c r="AJ32" s="707" t="s">
        <v>248</v>
      </c>
      <c r="AK32" s="463" t="s">
        <v>241</v>
      </c>
      <c r="AL32" s="474"/>
    </row>
    <row r="33" spans="1:38" x14ac:dyDescent="0.2">
      <c r="A33" s="227"/>
      <c r="B33" s="709"/>
      <c r="C33" s="51" t="s">
        <v>242</v>
      </c>
      <c r="D33" s="220"/>
      <c r="E33" s="29"/>
      <c r="F33" s="709"/>
      <c r="G33" s="51" t="s">
        <v>242</v>
      </c>
      <c r="H33" s="221"/>
      <c r="I33" s="584"/>
      <c r="J33" s="585"/>
      <c r="K33" s="585"/>
      <c r="L33" s="216"/>
      <c r="M33" s="724"/>
      <c r="N33" s="51" t="s">
        <v>242</v>
      </c>
      <c r="O33" s="220"/>
      <c r="P33" s="216"/>
      <c r="Q33" s="724"/>
      <c r="R33" s="51" t="s">
        <v>242</v>
      </c>
      <c r="S33" s="220"/>
      <c r="T33" s="492"/>
      <c r="U33" s="217"/>
      <c r="V33" s="216"/>
      <c r="W33" s="216"/>
      <c r="X33" s="216"/>
      <c r="Y33" s="702"/>
      <c r="Z33" s="463" t="s">
        <v>241</v>
      </c>
      <c r="AA33" s="474"/>
      <c r="AB33" s="460"/>
      <c r="AC33" s="29"/>
      <c r="AD33" s="702"/>
      <c r="AE33" s="463" t="s">
        <v>241</v>
      </c>
      <c r="AF33" s="466"/>
      <c r="AG33" s="460"/>
      <c r="AH33" s="462"/>
      <c r="AJ33" s="707"/>
      <c r="AK33" s="463" t="s">
        <v>242</v>
      </c>
      <c r="AL33" s="474"/>
    </row>
    <row r="34" spans="1:38" x14ac:dyDescent="0.2">
      <c r="A34" s="227"/>
      <c r="B34" s="709"/>
      <c r="C34" s="51" t="s">
        <v>243</v>
      </c>
      <c r="D34" s="220"/>
      <c r="E34" s="584" t="s">
        <v>343</v>
      </c>
      <c r="F34" s="709"/>
      <c r="G34" s="51" t="s">
        <v>243</v>
      </c>
      <c r="H34" s="221"/>
      <c r="I34" s="584"/>
      <c r="J34" s="585"/>
      <c r="K34" s="585"/>
      <c r="L34" s="216"/>
      <c r="M34" s="724"/>
      <c r="N34" s="51" t="s">
        <v>243</v>
      </c>
      <c r="O34" s="220"/>
      <c r="P34" s="216"/>
      <c r="Q34" s="724"/>
      <c r="R34" s="51" t="s">
        <v>243</v>
      </c>
      <c r="S34" s="220"/>
      <c r="T34" s="492"/>
      <c r="U34" s="217"/>
      <c r="V34" s="216"/>
      <c r="W34" s="216"/>
      <c r="X34" s="216"/>
      <c r="Y34" s="702"/>
      <c r="Z34" s="463" t="s">
        <v>242</v>
      </c>
      <c r="AA34" s="474"/>
      <c r="AB34" s="460"/>
      <c r="AC34" s="29"/>
      <c r="AD34" s="702"/>
      <c r="AE34" s="463" t="s">
        <v>242</v>
      </c>
      <c r="AF34" s="466"/>
      <c r="AG34" s="460"/>
      <c r="AH34" s="462"/>
      <c r="AJ34" s="707"/>
      <c r="AK34" s="463" t="s">
        <v>243</v>
      </c>
      <c r="AL34" s="474"/>
    </row>
    <row r="35" spans="1:38" x14ac:dyDescent="0.2">
      <c r="A35" s="227"/>
      <c r="B35" s="710"/>
      <c r="C35" s="51" t="s">
        <v>244</v>
      </c>
      <c r="D35" s="220"/>
      <c r="E35" s="584">
        <f>SUM(D28:D30,D33:D35)</f>
        <v>5394</v>
      </c>
      <c r="F35" s="710"/>
      <c r="G35" s="51" t="s">
        <v>244</v>
      </c>
      <c r="H35" s="221"/>
      <c r="I35" s="584"/>
      <c r="J35" s="585"/>
      <c r="K35" s="585"/>
      <c r="L35" s="216"/>
      <c r="M35" s="724"/>
      <c r="N35" s="51" t="s">
        <v>244</v>
      </c>
      <c r="O35" s="220"/>
      <c r="P35" s="216"/>
      <c r="Q35" s="724"/>
      <c r="R35" s="51" t="s">
        <v>244</v>
      </c>
      <c r="S35" s="220"/>
      <c r="T35" s="492"/>
      <c r="U35" s="217"/>
      <c r="V35" s="216"/>
      <c r="W35" s="216"/>
      <c r="X35" s="216"/>
      <c r="Y35" s="702"/>
      <c r="Z35" s="463" t="s">
        <v>243</v>
      </c>
      <c r="AA35" s="474"/>
      <c r="AB35" s="460" t="s">
        <v>343</v>
      </c>
      <c r="AC35" s="29"/>
      <c r="AD35" s="702"/>
      <c r="AE35" s="463" t="s">
        <v>243</v>
      </c>
      <c r="AF35" s="466"/>
      <c r="AG35" s="460"/>
      <c r="AH35" s="494">
        <f>SUM(AF27:AF28,AF32:AF33,AF37:AF38)</f>
        <v>903</v>
      </c>
      <c r="AJ35" s="707"/>
      <c r="AK35" s="463" t="s">
        <v>244</v>
      </c>
      <c r="AL35" s="474"/>
    </row>
    <row r="36" spans="1:38" x14ac:dyDescent="0.2">
      <c r="A36" s="227"/>
      <c r="B36" s="708" t="s">
        <v>249</v>
      </c>
      <c r="C36" s="52" t="s">
        <v>341</v>
      </c>
      <c r="D36" s="50">
        <f>SUM(O37:O40)</f>
        <v>4</v>
      </c>
      <c r="E36" s="584"/>
      <c r="F36" s="708" t="s">
        <v>249</v>
      </c>
      <c r="G36" s="52" t="s">
        <v>341</v>
      </c>
      <c r="H36" s="56">
        <f t="shared" ref="H36:H41" si="1">ROUND(D36/($D$46/$H$46),0)</f>
        <v>0</v>
      </c>
      <c r="I36" s="584"/>
      <c r="J36" s="585"/>
      <c r="K36" s="585"/>
      <c r="L36" s="216"/>
      <c r="M36" s="216"/>
      <c r="N36" s="216"/>
      <c r="O36" s="216"/>
      <c r="P36" s="216"/>
      <c r="Q36" s="216"/>
      <c r="R36" s="216"/>
      <c r="S36" s="216"/>
      <c r="T36" s="462"/>
      <c r="U36" s="217"/>
      <c r="V36" s="216"/>
      <c r="W36" s="216"/>
      <c r="X36" s="216"/>
      <c r="Y36" s="703"/>
      <c r="Z36" s="463" t="s">
        <v>244</v>
      </c>
      <c r="AA36" s="474"/>
      <c r="AB36" s="460">
        <f>SUM(AA29:AA31,AA34:AA36)</f>
        <v>4473</v>
      </c>
      <c r="AC36" s="29"/>
      <c r="AD36" s="703"/>
      <c r="AE36" s="463" t="s">
        <v>244</v>
      </c>
      <c r="AF36" s="466"/>
      <c r="AG36" s="460"/>
      <c r="AH36" s="462"/>
      <c r="AJ36" s="462"/>
      <c r="AK36" s="462"/>
      <c r="AL36" s="462"/>
    </row>
    <row r="37" spans="1:38" x14ac:dyDescent="0.2">
      <c r="A37" s="227"/>
      <c r="B37" s="709"/>
      <c r="C37" s="51" t="s">
        <v>241</v>
      </c>
      <c r="D37" s="50">
        <f>S37-O37</f>
        <v>47</v>
      </c>
      <c r="E37" s="584"/>
      <c r="F37" s="709"/>
      <c r="G37" s="51" t="s">
        <v>241</v>
      </c>
      <c r="H37" s="56">
        <f t="shared" si="1"/>
        <v>5</v>
      </c>
      <c r="I37" s="584"/>
      <c r="J37" s="585"/>
      <c r="K37" s="585"/>
      <c r="L37" s="216"/>
      <c r="M37" s="724" t="s">
        <v>249</v>
      </c>
      <c r="N37" s="51" t="s">
        <v>241</v>
      </c>
      <c r="O37" s="50">
        <v>0</v>
      </c>
      <c r="P37" s="216"/>
      <c r="Q37" s="724" t="s">
        <v>249</v>
      </c>
      <c r="R37" s="51" t="s">
        <v>241</v>
      </c>
      <c r="S37" s="56">
        <f>T37+D74</f>
        <v>47</v>
      </c>
      <c r="T37" s="460">
        <v>47</v>
      </c>
      <c r="U37" s="217"/>
      <c r="V37" s="216"/>
      <c r="W37" s="216"/>
      <c r="X37" s="216"/>
      <c r="Y37" s="701" t="s">
        <v>249</v>
      </c>
      <c r="Z37" s="463" t="s">
        <v>341</v>
      </c>
      <c r="AA37" s="469">
        <v>4</v>
      </c>
      <c r="AB37" s="460"/>
      <c r="AC37" s="29"/>
      <c r="AD37" s="701" t="s">
        <v>249</v>
      </c>
      <c r="AE37" s="463" t="s">
        <v>341</v>
      </c>
      <c r="AF37" s="464">
        <v>0</v>
      </c>
      <c r="AG37" s="460"/>
      <c r="AH37" s="462"/>
      <c r="AJ37" s="707" t="s">
        <v>249</v>
      </c>
      <c r="AK37" s="463" t="s">
        <v>241</v>
      </c>
      <c r="AL37" s="469">
        <v>47</v>
      </c>
    </row>
    <row r="38" spans="1:38" x14ac:dyDescent="0.2">
      <c r="A38" s="227"/>
      <c r="B38" s="709"/>
      <c r="C38" s="51" t="s">
        <v>242</v>
      </c>
      <c r="D38" s="50">
        <f>S38-O38</f>
        <v>28</v>
      </c>
      <c r="E38" s="584"/>
      <c r="F38" s="709"/>
      <c r="G38" s="51" t="s">
        <v>242</v>
      </c>
      <c r="H38" s="56">
        <f t="shared" si="1"/>
        <v>3</v>
      </c>
      <c r="I38" s="584"/>
      <c r="J38" s="585"/>
      <c r="K38" s="585"/>
      <c r="L38" s="216"/>
      <c r="M38" s="724"/>
      <c r="N38" s="51" t="s">
        <v>242</v>
      </c>
      <c r="O38" s="50">
        <v>0</v>
      </c>
      <c r="P38" s="216"/>
      <c r="Q38" s="724"/>
      <c r="R38" s="51" t="s">
        <v>242</v>
      </c>
      <c r="S38" s="56">
        <f>T38+D75</f>
        <v>28</v>
      </c>
      <c r="T38" s="460">
        <v>28</v>
      </c>
      <c r="U38" s="217"/>
      <c r="V38" s="216"/>
      <c r="W38" s="216"/>
      <c r="X38" s="216"/>
      <c r="Y38" s="702"/>
      <c r="Z38" s="463" t="s">
        <v>241</v>
      </c>
      <c r="AA38" s="469">
        <v>47</v>
      </c>
      <c r="AB38" s="460"/>
      <c r="AC38" s="29"/>
      <c r="AD38" s="702"/>
      <c r="AE38" s="463" t="s">
        <v>241</v>
      </c>
      <c r="AF38" s="464">
        <v>6</v>
      </c>
      <c r="AG38" s="460"/>
      <c r="AH38" s="462"/>
      <c r="AJ38" s="707"/>
      <c r="AK38" s="463" t="s">
        <v>242</v>
      </c>
      <c r="AL38" s="469">
        <v>28</v>
      </c>
    </row>
    <row r="39" spans="1:38" x14ac:dyDescent="0.2">
      <c r="A39" s="227"/>
      <c r="B39" s="709"/>
      <c r="C39" s="51" t="s">
        <v>243</v>
      </c>
      <c r="D39" s="50">
        <f>S39-O39</f>
        <v>22</v>
      </c>
      <c r="E39" s="584" t="s">
        <v>344</v>
      </c>
      <c r="F39" s="709"/>
      <c r="G39" s="51" t="s">
        <v>243</v>
      </c>
      <c r="H39" s="56">
        <f t="shared" si="1"/>
        <v>3</v>
      </c>
      <c r="I39" s="584" t="s">
        <v>342</v>
      </c>
      <c r="J39" s="585"/>
      <c r="K39" s="585"/>
      <c r="L39" s="216"/>
      <c r="M39" s="724"/>
      <c r="N39" s="51" t="s">
        <v>243</v>
      </c>
      <c r="O39" s="50">
        <v>4</v>
      </c>
      <c r="P39" s="216"/>
      <c r="Q39" s="724"/>
      <c r="R39" s="51" t="s">
        <v>243</v>
      </c>
      <c r="S39" s="56">
        <f>T39+D76</f>
        <v>26</v>
      </c>
      <c r="T39" s="460">
        <v>26</v>
      </c>
      <c r="U39" s="217"/>
      <c r="V39" s="216"/>
      <c r="W39" s="216"/>
      <c r="X39" s="216"/>
      <c r="Y39" s="702"/>
      <c r="Z39" s="463" t="s">
        <v>242</v>
      </c>
      <c r="AA39" s="469">
        <v>28</v>
      </c>
      <c r="AB39" s="460"/>
      <c r="AC39" s="29"/>
      <c r="AD39" s="702"/>
      <c r="AE39" s="463" t="s">
        <v>242</v>
      </c>
      <c r="AF39" s="464">
        <v>3</v>
      </c>
      <c r="AG39" s="460"/>
      <c r="AH39" s="462"/>
      <c r="AJ39" s="707"/>
      <c r="AK39" s="463" t="s">
        <v>243</v>
      </c>
      <c r="AL39" s="469">
        <v>26</v>
      </c>
    </row>
    <row r="40" spans="1:38" x14ac:dyDescent="0.2">
      <c r="A40" s="227"/>
      <c r="B40" s="710"/>
      <c r="C40" s="51" t="s">
        <v>244</v>
      </c>
      <c r="D40" s="50">
        <f>S40-O40</f>
        <v>28</v>
      </c>
      <c r="E40" s="584">
        <f>D38+D39+D40</f>
        <v>78</v>
      </c>
      <c r="F40" s="710"/>
      <c r="G40" s="51" t="s">
        <v>244</v>
      </c>
      <c r="H40" s="56">
        <f t="shared" si="1"/>
        <v>3</v>
      </c>
      <c r="I40" s="589">
        <f>SUM(H28:H30,H33:H35,H38:H40)</f>
        <v>636</v>
      </c>
      <c r="J40" s="585"/>
      <c r="K40" s="585"/>
      <c r="L40" s="216"/>
      <c r="M40" s="724"/>
      <c r="N40" s="51" t="s">
        <v>244</v>
      </c>
      <c r="O40" s="50">
        <v>0</v>
      </c>
      <c r="P40" s="216"/>
      <c r="Q40" s="724"/>
      <c r="R40" s="51" t="s">
        <v>244</v>
      </c>
      <c r="S40" s="56">
        <f>T40+D77</f>
        <v>28</v>
      </c>
      <c r="T40" s="460">
        <v>28</v>
      </c>
      <c r="U40" s="217"/>
      <c r="V40" s="216"/>
      <c r="W40" s="216"/>
      <c r="X40" s="216"/>
      <c r="Y40" s="702"/>
      <c r="Z40" s="463" t="s">
        <v>243</v>
      </c>
      <c r="AA40" s="469">
        <v>22</v>
      </c>
      <c r="AB40" s="460" t="s">
        <v>344</v>
      </c>
      <c r="AC40" s="29"/>
      <c r="AD40" s="702"/>
      <c r="AE40" s="463" t="s">
        <v>243</v>
      </c>
      <c r="AF40" s="464">
        <v>3</v>
      </c>
      <c r="AG40" s="460" t="s">
        <v>342</v>
      </c>
      <c r="AH40" s="462"/>
      <c r="AJ40" s="707"/>
      <c r="AK40" s="463" t="s">
        <v>244</v>
      </c>
      <c r="AL40" s="469">
        <v>28</v>
      </c>
    </row>
    <row r="41" spans="1:38" x14ac:dyDescent="0.2">
      <c r="A41" s="227"/>
      <c r="B41" s="708" t="s">
        <v>328</v>
      </c>
      <c r="C41" s="52" t="s">
        <v>341</v>
      </c>
      <c r="D41" s="50">
        <f>SUM(O42:O45)</f>
        <v>125</v>
      </c>
      <c r="E41" s="584"/>
      <c r="F41" s="708" t="s">
        <v>328</v>
      </c>
      <c r="G41" s="52" t="s">
        <v>341</v>
      </c>
      <c r="H41" s="56">
        <f t="shared" si="1"/>
        <v>15</v>
      </c>
      <c r="I41" s="589"/>
      <c r="J41" s="585"/>
      <c r="K41" s="585"/>
      <c r="L41" s="216"/>
      <c r="M41" s="216"/>
      <c r="N41" s="216"/>
      <c r="O41" s="216"/>
      <c r="P41" s="216"/>
      <c r="Q41" s="216"/>
      <c r="R41" s="216"/>
      <c r="S41" s="216"/>
      <c r="T41" s="462"/>
      <c r="U41" s="217"/>
      <c r="V41" s="216"/>
      <c r="W41" s="216"/>
      <c r="X41" s="216"/>
      <c r="Y41" s="703"/>
      <c r="Z41" s="463" t="s">
        <v>244</v>
      </c>
      <c r="AA41" s="469">
        <v>28</v>
      </c>
      <c r="AB41" s="460">
        <f>AA39+AA40+AA41</f>
        <v>78</v>
      </c>
      <c r="AC41" s="29"/>
      <c r="AD41" s="703"/>
      <c r="AE41" s="463" t="s">
        <v>244</v>
      </c>
      <c r="AF41" s="464">
        <v>3</v>
      </c>
      <c r="AG41" s="273">
        <f>SUM(AF29:AF31,AF34:AF36,AF39:AF41)</f>
        <v>548</v>
      </c>
      <c r="AH41" s="462"/>
      <c r="AJ41" s="462"/>
      <c r="AK41" s="462"/>
      <c r="AL41" s="462"/>
    </row>
    <row r="42" spans="1:38" x14ac:dyDescent="0.2">
      <c r="A42" s="227"/>
      <c r="B42" s="709"/>
      <c r="C42" s="51" t="s">
        <v>241</v>
      </c>
      <c r="D42" s="50">
        <f>S42-O42</f>
        <v>260</v>
      </c>
      <c r="E42" s="585"/>
      <c r="F42" s="709"/>
      <c r="G42" s="51" t="s">
        <v>241</v>
      </c>
      <c r="H42" s="56">
        <f>ROUNDDOWN(D42/($D$46/$H$46),0)</f>
        <v>30</v>
      </c>
      <c r="I42" s="584"/>
      <c r="J42" s="585"/>
      <c r="K42" s="585"/>
      <c r="L42" s="216"/>
      <c r="M42" s="724" t="s">
        <v>328</v>
      </c>
      <c r="N42" s="51" t="s">
        <v>241</v>
      </c>
      <c r="O42" s="50">
        <v>13</v>
      </c>
      <c r="P42" s="216"/>
      <c r="Q42" s="724" t="s">
        <v>328</v>
      </c>
      <c r="R42" s="51" t="s">
        <v>241</v>
      </c>
      <c r="S42" s="56">
        <f>T42+D78</f>
        <v>273</v>
      </c>
      <c r="T42" s="460">
        <v>273</v>
      </c>
      <c r="U42" s="217"/>
      <c r="V42" s="216"/>
      <c r="W42" s="216"/>
      <c r="X42" s="216"/>
      <c r="Y42" s="701" t="s">
        <v>328</v>
      </c>
      <c r="Z42" s="463" t="s">
        <v>341</v>
      </c>
      <c r="AA42" s="469">
        <v>125</v>
      </c>
      <c r="AB42" s="460">
        <f>AB41/2</f>
        <v>39</v>
      </c>
      <c r="AC42" s="29"/>
      <c r="AD42" s="701" t="s">
        <v>328</v>
      </c>
      <c r="AE42" s="463" t="s">
        <v>341</v>
      </c>
      <c r="AF42" s="464">
        <v>15</v>
      </c>
      <c r="AG42" s="273"/>
      <c r="AH42" s="462"/>
      <c r="AJ42" s="707" t="s">
        <v>328</v>
      </c>
      <c r="AK42" s="463" t="s">
        <v>241</v>
      </c>
      <c r="AL42" s="469">
        <v>273</v>
      </c>
    </row>
    <row r="43" spans="1:38" x14ac:dyDescent="0.2">
      <c r="A43" s="227"/>
      <c r="B43" s="709"/>
      <c r="C43" s="51" t="s">
        <v>242</v>
      </c>
      <c r="D43" s="50">
        <f>S43-O43</f>
        <v>359</v>
      </c>
      <c r="E43" s="584"/>
      <c r="F43" s="709"/>
      <c r="G43" s="51" t="s">
        <v>242</v>
      </c>
      <c r="H43" s="56">
        <f>ROUND(D43/($D$46/$H$46),0)</f>
        <v>42</v>
      </c>
      <c r="I43" s="584"/>
      <c r="J43" s="585"/>
      <c r="K43" s="585"/>
      <c r="L43" s="216"/>
      <c r="M43" s="724"/>
      <c r="N43" s="51" t="s">
        <v>242</v>
      </c>
      <c r="O43" s="50">
        <v>57</v>
      </c>
      <c r="P43" s="216"/>
      <c r="Q43" s="724"/>
      <c r="R43" s="51" t="s">
        <v>242</v>
      </c>
      <c r="S43" s="56">
        <f>T43+D79</f>
        <v>416</v>
      </c>
      <c r="T43" s="460">
        <v>416</v>
      </c>
      <c r="U43" s="217"/>
      <c r="V43" s="216"/>
      <c r="W43" s="216"/>
      <c r="X43" s="216"/>
      <c r="Y43" s="702"/>
      <c r="Z43" s="463" t="s">
        <v>241</v>
      </c>
      <c r="AA43" s="469">
        <v>260</v>
      </c>
      <c r="AB43" s="462"/>
      <c r="AC43" s="216"/>
      <c r="AD43" s="702"/>
      <c r="AE43" s="463" t="s">
        <v>241</v>
      </c>
      <c r="AF43" s="464">
        <v>31</v>
      </c>
      <c r="AG43" s="460"/>
      <c r="AH43" s="462"/>
      <c r="AJ43" s="707"/>
      <c r="AK43" s="463" t="s">
        <v>242</v>
      </c>
      <c r="AL43" s="469">
        <v>416</v>
      </c>
    </row>
    <row r="44" spans="1:38" x14ac:dyDescent="0.2">
      <c r="A44" s="227"/>
      <c r="B44" s="709"/>
      <c r="C44" s="51" t="s">
        <v>243</v>
      </c>
      <c r="D44" s="50">
        <f>S44-O44</f>
        <v>147</v>
      </c>
      <c r="E44" s="584"/>
      <c r="F44" s="709"/>
      <c r="G44" s="51" t="s">
        <v>243</v>
      </c>
      <c r="H44" s="56">
        <f>ROUNDDOWN(D44/($D$46/$H$46),0)</f>
        <v>17</v>
      </c>
      <c r="I44" s="584"/>
      <c r="J44" s="585"/>
      <c r="K44" s="585"/>
      <c r="L44" s="216"/>
      <c r="M44" s="724"/>
      <c r="N44" s="51" t="s">
        <v>243</v>
      </c>
      <c r="O44" s="50">
        <v>40</v>
      </c>
      <c r="P44" s="216"/>
      <c r="Q44" s="724"/>
      <c r="R44" s="51" t="s">
        <v>243</v>
      </c>
      <c r="S44" s="56">
        <f>T44+D80</f>
        <v>187</v>
      </c>
      <c r="T44" s="460">
        <v>187</v>
      </c>
      <c r="U44" s="217"/>
      <c r="V44" s="216"/>
      <c r="W44" s="216"/>
      <c r="X44" s="216"/>
      <c r="Y44" s="702"/>
      <c r="Z44" s="463" t="s">
        <v>242</v>
      </c>
      <c r="AA44" s="469">
        <v>359</v>
      </c>
      <c r="AB44" s="460"/>
      <c r="AC44" s="29"/>
      <c r="AD44" s="702"/>
      <c r="AE44" s="463" t="s">
        <v>242</v>
      </c>
      <c r="AF44" s="464">
        <v>43</v>
      </c>
      <c r="AG44" s="460"/>
      <c r="AH44" s="494">
        <f>SUM(AF44:AF46)</f>
        <v>67</v>
      </c>
      <c r="AJ44" s="707"/>
      <c r="AK44" s="463" t="s">
        <v>243</v>
      </c>
      <c r="AL44" s="469">
        <v>187</v>
      </c>
    </row>
    <row r="45" spans="1:38" x14ac:dyDescent="0.2">
      <c r="A45" s="227"/>
      <c r="B45" s="710"/>
      <c r="C45" s="51" t="s">
        <v>244</v>
      </c>
      <c r="D45" s="50">
        <f>S45-O45</f>
        <v>64</v>
      </c>
      <c r="E45" s="584">
        <f>(D45+D44+D43)</f>
        <v>570</v>
      </c>
      <c r="F45" s="710"/>
      <c r="G45" s="51" t="s">
        <v>244</v>
      </c>
      <c r="H45" s="56">
        <f>ROUNDDOWN(D45/($D$46/$H$46),0)</f>
        <v>7</v>
      </c>
      <c r="I45" s="584">
        <f>(H45+H44+H43)/2</f>
        <v>33</v>
      </c>
      <c r="J45" s="585"/>
      <c r="K45" s="585"/>
      <c r="L45" s="216"/>
      <c r="M45" s="724"/>
      <c r="N45" s="51" t="s">
        <v>244</v>
      </c>
      <c r="O45" s="50">
        <v>15</v>
      </c>
      <c r="P45" s="216"/>
      <c r="Q45" s="724"/>
      <c r="R45" s="51" t="s">
        <v>244</v>
      </c>
      <c r="S45" s="56">
        <f>T45+D81</f>
        <v>79</v>
      </c>
      <c r="T45" s="460">
        <v>79</v>
      </c>
      <c r="U45" s="217"/>
      <c r="V45" s="216"/>
      <c r="W45" s="216"/>
      <c r="X45" s="216"/>
      <c r="Y45" s="702"/>
      <c r="Z45" s="463" t="s">
        <v>243</v>
      </c>
      <c r="AA45" s="469">
        <v>147</v>
      </c>
      <c r="AB45" s="460"/>
      <c r="AC45" s="29"/>
      <c r="AD45" s="702"/>
      <c r="AE45" s="463" t="s">
        <v>243</v>
      </c>
      <c r="AF45" s="464">
        <v>17</v>
      </c>
      <c r="AG45" s="460"/>
      <c r="AH45" s="462"/>
      <c r="AJ45" s="707"/>
      <c r="AK45" s="463" t="s">
        <v>244</v>
      </c>
      <c r="AL45" s="469">
        <v>79</v>
      </c>
    </row>
    <row r="46" spans="1:38" x14ac:dyDescent="0.2">
      <c r="A46" s="227"/>
      <c r="B46" s="51" t="s">
        <v>329</v>
      </c>
      <c r="C46" s="51"/>
      <c r="D46" s="50">
        <f>SUM(D16:D45)</f>
        <v>15966</v>
      </c>
      <c r="E46" s="584"/>
      <c r="F46" s="51" t="s">
        <v>329</v>
      </c>
      <c r="G46" s="51"/>
      <c r="H46" s="56">
        <v>1856</v>
      </c>
      <c r="I46" s="589"/>
      <c r="J46" s="585"/>
      <c r="K46" s="585"/>
      <c r="L46" s="216"/>
      <c r="M46" s="51" t="s">
        <v>329</v>
      </c>
      <c r="N46" s="51"/>
      <c r="O46" s="50">
        <f>SUM(O17:O45)</f>
        <v>481</v>
      </c>
      <c r="P46" s="216"/>
      <c r="Q46" s="51" t="s">
        <v>329</v>
      </c>
      <c r="R46" s="51"/>
      <c r="S46" s="56">
        <f>SUM(S17:S45)-S26</f>
        <v>15984</v>
      </c>
      <c r="T46" s="460">
        <v>14140</v>
      </c>
      <c r="U46" s="217"/>
      <c r="V46" s="216"/>
      <c r="W46" s="216"/>
      <c r="X46" s="216"/>
      <c r="Y46" s="703"/>
      <c r="Z46" s="463" t="s">
        <v>244</v>
      </c>
      <c r="AA46" s="469">
        <v>64</v>
      </c>
      <c r="AB46" s="460">
        <f>(AA46+AA45+AA44)/2</f>
        <v>285</v>
      </c>
      <c r="AC46" s="29"/>
      <c r="AD46" s="703"/>
      <c r="AE46" s="463" t="s">
        <v>244</v>
      </c>
      <c r="AF46" s="464">
        <v>7</v>
      </c>
      <c r="AG46" s="460">
        <f>(AF46+AF45+AF44)/2</f>
        <v>33.5</v>
      </c>
      <c r="AH46" s="462"/>
      <c r="AJ46" s="463" t="s">
        <v>329</v>
      </c>
      <c r="AK46" s="463"/>
      <c r="AL46" s="469">
        <f>SUM(AL17:AL45)</f>
        <v>14140</v>
      </c>
    </row>
    <row r="47" spans="1:38" x14ac:dyDescent="0.2">
      <c r="A47" s="227"/>
      <c r="B47" s="46"/>
      <c r="C47" s="46"/>
      <c r="D47" s="29"/>
      <c r="E47" s="29"/>
      <c r="F47" s="46"/>
      <c r="G47" s="46"/>
      <c r="H47" s="45"/>
      <c r="I47" s="584"/>
      <c r="J47" s="585"/>
      <c r="K47" s="585"/>
      <c r="L47" s="216"/>
      <c r="M47" s="216"/>
      <c r="N47" s="216"/>
      <c r="O47" s="216"/>
      <c r="P47" s="216"/>
      <c r="Q47" s="216"/>
      <c r="R47" s="216"/>
      <c r="S47" s="216"/>
      <c r="T47" s="216"/>
      <c r="U47" s="217"/>
      <c r="V47" s="216"/>
      <c r="W47" s="216"/>
      <c r="X47" s="216"/>
      <c r="Y47" s="463" t="s">
        <v>329</v>
      </c>
      <c r="Z47" s="463"/>
      <c r="AA47" s="469">
        <f>SUM(AA17:AA46)</f>
        <v>14140</v>
      </c>
      <c r="AB47" s="460"/>
      <c r="AC47" s="29"/>
      <c r="AD47" s="463" t="s">
        <v>329</v>
      </c>
      <c r="AE47" s="463"/>
      <c r="AF47" s="464">
        <v>1701</v>
      </c>
      <c r="AG47" s="273">
        <f>SUM(AF17:AF46)</f>
        <v>1700</v>
      </c>
      <c r="AH47" s="462"/>
    </row>
    <row r="48" spans="1:38" x14ac:dyDescent="0.2">
      <c r="A48" s="227"/>
      <c r="B48" s="186" t="s">
        <v>349</v>
      </c>
      <c r="C48" s="187"/>
      <c r="D48" s="188"/>
      <c r="E48" s="29"/>
      <c r="F48" s="189" t="s">
        <v>351</v>
      </c>
      <c r="G48" s="190"/>
      <c r="H48" s="191"/>
      <c r="I48" s="584"/>
      <c r="J48" s="585"/>
      <c r="K48" s="585"/>
      <c r="L48" s="216"/>
      <c r="M48" s="216"/>
      <c r="N48" s="51" t="s">
        <v>241</v>
      </c>
      <c r="O48" s="216">
        <f>O42+O37+O32+O27+O17</f>
        <v>20</v>
      </c>
      <c r="P48" s="216" t="s">
        <v>424</v>
      </c>
      <c r="Q48" s="216"/>
      <c r="R48" s="51" t="s">
        <v>241</v>
      </c>
      <c r="S48" s="216">
        <f>S42+S37+S32+S27+S17</f>
        <v>8449</v>
      </c>
      <c r="T48" s="216"/>
      <c r="U48" s="217"/>
      <c r="V48" s="216"/>
      <c r="W48" s="216"/>
      <c r="X48" s="216"/>
    </row>
    <row r="49" spans="1:35" x14ac:dyDescent="0.2">
      <c r="A49" s="227"/>
      <c r="B49" s="21" t="s">
        <v>350</v>
      </c>
      <c r="C49" s="222">
        <v>387</v>
      </c>
      <c r="D49" s="210"/>
      <c r="E49" s="29"/>
      <c r="F49" s="583">
        <f>SUM(D23:D25,D18:D20)</f>
        <v>1014</v>
      </c>
      <c r="G49" s="199" t="s">
        <v>356</v>
      </c>
      <c r="H49" s="192"/>
      <c r="I49" s="29"/>
      <c r="J49" s="216"/>
      <c r="K49" s="216"/>
      <c r="L49" s="216"/>
      <c r="M49" s="216"/>
      <c r="N49" s="51" t="s">
        <v>242</v>
      </c>
      <c r="O49" s="216">
        <f>O43+O38+O33+O28+O18+O23</f>
        <v>280</v>
      </c>
      <c r="P49" s="216" t="s">
        <v>424</v>
      </c>
      <c r="Q49" s="216"/>
      <c r="R49" s="51" t="s">
        <v>242</v>
      </c>
      <c r="S49" s="216">
        <f>S43+S38+S33+S28+S18+S23</f>
        <v>4784</v>
      </c>
      <c r="T49" s="216"/>
      <c r="U49" s="217"/>
      <c r="V49" s="216"/>
      <c r="W49" s="216"/>
      <c r="X49" s="216"/>
    </row>
    <row r="50" spans="1:35" x14ac:dyDescent="0.2">
      <c r="A50" s="227"/>
      <c r="B50" s="216"/>
      <c r="C50" s="46"/>
      <c r="D50" s="29"/>
      <c r="E50" s="29"/>
      <c r="F50" s="46"/>
      <c r="G50" s="46"/>
      <c r="H50" s="45"/>
      <c r="I50" s="29"/>
      <c r="J50" s="216"/>
      <c r="K50" s="216"/>
      <c r="L50" s="216"/>
      <c r="M50" s="216"/>
      <c r="N50" s="206" t="s">
        <v>243</v>
      </c>
      <c r="O50" s="216">
        <f>O44+O39+O34+O29+O19+O24</f>
        <v>143</v>
      </c>
      <c r="P50" s="216" t="s">
        <v>424</v>
      </c>
      <c r="Q50" s="216"/>
      <c r="R50" s="206" t="s">
        <v>243</v>
      </c>
      <c r="S50" s="216">
        <f>S44+S39+S34+S29+S19+S24</f>
        <v>1750</v>
      </c>
      <c r="T50" s="216"/>
      <c r="U50" s="217"/>
      <c r="V50" s="216"/>
      <c r="W50" s="216"/>
      <c r="X50" s="216"/>
    </row>
    <row r="51" spans="1:35" x14ac:dyDescent="0.2">
      <c r="A51" s="227"/>
      <c r="B51" s="345" t="s">
        <v>562</v>
      </c>
      <c r="C51" s="190"/>
      <c r="D51" s="193"/>
      <c r="E51" s="194"/>
      <c r="F51" s="46"/>
      <c r="G51" s="46"/>
      <c r="H51" s="45"/>
      <c r="I51" s="29"/>
      <c r="J51" s="216"/>
      <c r="K51" s="216"/>
      <c r="L51" s="216"/>
      <c r="M51" s="216"/>
      <c r="N51" s="51" t="s">
        <v>244</v>
      </c>
      <c r="O51" s="216">
        <f>O45+O40+O35+O30+O20+O25</f>
        <v>38</v>
      </c>
      <c r="P51" s="216" t="s">
        <v>424</v>
      </c>
      <c r="Q51" s="216"/>
      <c r="R51" s="51" t="s">
        <v>244</v>
      </c>
      <c r="S51" s="216">
        <f>S45+S40+S35+S30+S20+S25</f>
        <v>1001</v>
      </c>
      <c r="T51" s="216"/>
      <c r="U51" s="217"/>
      <c r="V51" s="216"/>
      <c r="W51" s="216"/>
      <c r="X51" s="216"/>
    </row>
    <row r="52" spans="1:35" ht="13.5" thickBot="1" x14ac:dyDescent="0.25">
      <c r="A52" s="251"/>
      <c r="B52" s="252">
        <f>ROUND(0.158*SUM(D28:D30,D33:D35),0)</f>
        <v>852</v>
      </c>
      <c r="C52" s="253"/>
      <c r="D52" s="234"/>
      <c r="E52" s="254"/>
      <c r="F52" s="253"/>
      <c r="G52" s="253"/>
      <c r="H52" s="255"/>
      <c r="I52" s="234"/>
      <c r="J52" s="218"/>
      <c r="K52" s="218"/>
      <c r="L52" s="218"/>
      <c r="M52" s="218"/>
      <c r="N52" s="218"/>
      <c r="O52" s="218"/>
      <c r="P52" s="218"/>
      <c r="Q52" s="218"/>
      <c r="R52" s="218"/>
      <c r="S52" s="218"/>
      <c r="T52" s="218"/>
      <c r="U52" s="219"/>
      <c r="V52" s="216"/>
      <c r="W52" s="216"/>
      <c r="X52" s="216"/>
    </row>
    <row r="53" spans="1:35" x14ac:dyDescent="0.2">
      <c r="C53" s="46"/>
      <c r="D53" s="29"/>
      <c r="E53" s="29"/>
      <c r="F53" s="46"/>
      <c r="G53" s="46"/>
      <c r="H53" s="45"/>
      <c r="I53" s="29"/>
    </row>
    <row r="54" spans="1:35" x14ac:dyDescent="0.2">
      <c r="B54" s="47" t="s">
        <v>245</v>
      </c>
      <c r="C54" s="46"/>
      <c r="D54" s="29"/>
      <c r="E54" s="495"/>
      <c r="F54" s="495"/>
      <c r="H54" s="45"/>
      <c r="I54" s="29"/>
    </row>
    <row r="55" spans="1:35" x14ac:dyDescent="0.2">
      <c r="B55" s="47" t="s">
        <v>247</v>
      </c>
      <c r="C55" s="46"/>
      <c r="D55" s="29"/>
      <c r="E55" s="29"/>
      <c r="F55" s="46"/>
      <c r="G55" s="46"/>
      <c r="H55" s="45"/>
      <c r="I55" s="29"/>
    </row>
    <row r="56" spans="1:35" x14ac:dyDescent="0.2">
      <c r="B56" s="47" t="s">
        <v>159</v>
      </c>
      <c r="C56" s="46"/>
      <c r="D56" s="29"/>
      <c r="E56" s="29"/>
      <c r="F56" s="46"/>
      <c r="G56" s="46"/>
      <c r="H56" s="45"/>
      <c r="I56" s="29"/>
    </row>
    <row r="57" spans="1:35" ht="13.5" thickBot="1" x14ac:dyDescent="0.25">
      <c r="J57" s="591">
        <f>H46+H82</f>
        <v>2087</v>
      </c>
      <c r="K57" s="200"/>
    </row>
    <row r="58" spans="1:35" x14ac:dyDescent="0.2">
      <c r="B58" s="257" t="s">
        <v>331</v>
      </c>
      <c r="C58" s="214"/>
      <c r="D58" s="214"/>
      <c r="E58" s="582" t="s">
        <v>641</v>
      </c>
      <c r="F58" s="214"/>
      <c r="G58" s="214"/>
      <c r="H58" s="214"/>
      <c r="I58" s="214"/>
      <c r="J58" s="214"/>
      <c r="K58" s="214"/>
      <c r="L58" s="215"/>
      <c r="M58" s="216"/>
      <c r="N58" s="216"/>
      <c r="O58" s="216"/>
      <c r="P58" s="462"/>
    </row>
    <row r="59" spans="1:35" x14ac:dyDescent="0.2">
      <c r="B59" s="227"/>
      <c r="C59" s="216"/>
      <c r="D59" s="216"/>
      <c r="E59" s="216"/>
      <c r="F59" s="216"/>
      <c r="G59" s="216"/>
      <c r="H59" s="216"/>
      <c r="I59" s="216"/>
      <c r="J59" s="216"/>
      <c r="K59" s="216"/>
      <c r="L59" s="217"/>
      <c r="M59" s="216"/>
      <c r="N59" s="216"/>
      <c r="O59" s="216"/>
      <c r="P59" s="462"/>
    </row>
    <row r="60" spans="1:35" x14ac:dyDescent="0.2">
      <c r="B60" s="226" t="s">
        <v>251</v>
      </c>
      <c r="C60" s="30"/>
      <c r="D60" s="30"/>
      <c r="E60" s="29"/>
      <c r="F60" s="49" t="s">
        <v>267</v>
      </c>
      <c r="G60" s="30"/>
      <c r="H60" s="30"/>
      <c r="I60" s="216"/>
      <c r="J60" s="216"/>
      <c r="K60" s="216"/>
      <c r="L60" s="217"/>
      <c r="M60" s="216"/>
      <c r="N60" s="216"/>
      <c r="O60" s="216"/>
      <c r="P60" s="216"/>
      <c r="Z60" s="478" t="s">
        <v>633</v>
      </c>
      <c r="AA60" s="479"/>
      <c r="AB60" s="480"/>
      <c r="AC60" s="460"/>
      <c r="AD60" s="29"/>
      <c r="AE60" s="478" t="s">
        <v>632</v>
      </c>
      <c r="AF60" s="467"/>
      <c r="AG60" s="467"/>
      <c r="AH60" s="462"/>
      <c r="AI60" s="462"/>
    </row>
    <row r="61" spans="1:35" ht="66" customHeight="1" x14ac:dyDescent="0.2">
      <c r="B61" s="228" t="s">
        <v>252</v>
      </c>
      <c r="C61" s="22" t="s">
        <v>253</v>
      </c>
      <c r="D61" s="22" t="s">
        <v>656</v>
      </c>
      <c r="E61" s="584"/>
      <c r="F61" s="55" t="s">
        <v>252</v>
      </c>
      <c r="G61" s="22" t="s">
        <v>253</v>
      </c>
      <c r="H61" s="22" t="s">
        <v>656</v>
      </c>
      <c r="I61" s="216"/>
      <c r="J61" s="216"/>
      <c r="K61" s="216"/>
      <c r="L61" s="217"/>
      <c r="N61" s="481" t="s">
        <v>642</v>
      </c>
      <c r="O61" s="216"/>
      <c r="P61" s="216"/>
      <c r="Q61" s="216"/>
      <c r="R61" s="581" t="s">
        <v>643</v>
      </c>
      <c r="S61" s="216" t="s">
        <v>681</v>
      </c>
      <c r="T61" t="s">
        <v>682</v>
      </c>
      <c r="U61" t="s">
        <v>683</v>
      </c>
      <c r="V61" t="s">
        <v>684</v>
      </c>
      <c r="Z61" s="468" t="s">
        <v>252</v>
      </c>
      <c r="AA61" s="461" t="s">
        <v>253</v>
      </c>
      <c r="AB61" s="461" t="s">
        <v>325</v>
      </c>
      <c r="AC61" s="460"/>
      <c r="AD61" s="29"/>
      <c r="AE61" s="468" t="s">
        <v>252</v>
      </c>
      <c r="AF61" s="461" t="s">
        <v>253</v>
      </c>
      <c r="AG61" s="461" t="s">
        <v>325</v>
      </c>
      <c r="AH61" s="476"/>
      <c r="AI61" s="462"/>
    </row>
    <row r="62" spans="1:35" x14ac:dyDescent="0.2">
      <c r="B62" s="720" t="s">
        <v>326</v>
      </c>
      <c r="C62" s="50" t="s">
        <v>241</v>
      </c>
      <c r="D62" s="50">
        <v>4</v>
      </c>
      <c r="E62" s="584"/>
      <c r="F62" s="721" t="s">
        <v>326</v>
      </c>
      <c r="G62" s="50" t="s">
        <v>241</v>
      </c>
      <c r="H62" s="56">
        <f>ROUND(D62/($D$82/$H$82),0)</f>
        <v>1</v>
      </c>
      <c r="I62" s="585"/>
      <c r="J62" s="216"/>
      <c r="K62" s="216"/>
      <c r="L62" s="217"/>
      <c r="N62" s="295" t="s">
        <v>645</v>
      </c>
      <c r="O62" s="24"/>
      <c r="P62" s="56">
        <f>H62</f>
        <v>1</v>
      </c>
      <c r="R62" s="295" t="s">
        <v>130</v>
      </c>
      <c r="S62" s="489">
        <f>SUM(H18:H20,H23:H25)</f>
        <v>118</v>
      </c>
      <c r="T62" s="580">
        <f>S62+P63</f>
        <v>121</v>
      </c>
      <c r="U62" s="580">
        <f>T62+P63</f>
        <v>124</v>
      </c>
      <c r="V62" s="580">
        <f t="shared" ref="V62:V67" si="2">AVERAGE(S62,T62,U62)</f>
        <v>121</v>
      </c>
      <c r="Z62" s="704" t="s">
        <v>326</v>
      </c>
      <c r="AA62" s="469" t="s">
        <v>241</v>
      </c>
      <c r="AB62" s="469">
        <v>4</v>
      </c>
      <c r="AC62" s="460"/>
      <c r="AD62" s="29"/>
      <c r="AE62" s="467" t="s">
        <v>326</v>
      </c>
      <c r="AF62" s="467" t="s">
        <v>241</v>
      </c>
      <c r="AG62" s="475">
        <v>1</v>
      </c>
      <c r="AH62" s="476"/>
      <c r="AI62" s="462"/>
    </row>
    <row r="63" spans="1:35" x14ac:dyDescent="0.2">
      <c r="B63" s="720"/>
      <c r="C63" s="50" t="s">
        <v>242</v>
      </c>
      <c r="D63" s="50">
        <v>47</v>
      </c>
      <c r="E63" s="584"/>
      <c r="F63" s="721"/>
      <c r="G63" s="50" t="s">
        <v>242</v>
      </c>
      <c r="H63" s="56">
        <f>ROUND(D63/($D$82/$H$82),0)</f>
        <v>6</v>
      </c>
      <c r="I63" s="585"/>
      <c r="J63" s="216"/>
      <c r="K63" s="216"/>
      <c r="L63" s="217"/>
      <c r="N63" s="295" t="s">
        <v>646</v>
      </c>
      <c r="O63" s="24"/>
      <c r="P63" s="50">
        <f>ROUND(I65/3,0)</f>
        <v>3</v>
      </c>
      <c r="R63" s="295" t="s">
        <v>94</v>
      </c>
      <c r="S63" s="489">
        <f>SUM(H43:H45)</f>
        <v>66</v>
      </c>
      <c r="T63" s="580">
        <f>S63+P71</f>
        <v>66</v>
      </c>
      <c r="U63" s="580">
        <f>T63+P71</f>
        <v>66</v>
      </c>
      <c r="V63" s="580">
        <f t="shared" si="2"/>
        <v>66</v>
      </c>
      <c r="Z63" s="704"/>
      <c r="AA63" s="469" t="s">
        <v>242</v>
      </c>
      <c r="AB63" s="469">
        <v>47</v>
      </c>
      <c r="AC63" s="460"/>
      <c r="AD63" s="29"/>
      <c r="AE63" s="467"/>
      <c r="AF63" s="467" t="s">
        <v>242</v>
      </c>
      <c r="AG63" s="475">
        <v>6</v>
      </c>
      <c r="AH63" s="476"/>
      <c r="AI63" s="462"/>
    </row>
    <row r="64" spans="1:35" x14ac:dyDescent="0.2">
      <c r="B64" s="720"/>
      <c r="C64" s="50" t="s">
        <v>254</v>
      </c>
      <c r="D64" s="50">
        <v>18</v>
      </c>
      <c r="E64" s="584">
        <f>E65/3</f>
        <v>26</v>
      </c>
      <c r="F64" s="721"/>
      <c r="G64" s="50" t="s">
        <v>254</v>
      </c>
      <c r="H64" s="56">
        <f>ROUND(D64/($D$82/$H$82),0)</f>
        <v>2</v>
      </c>
      <c r="I64" s="585"/>
      <c r="J64" s="216"/>
      <c r="K64" s="216"/>
      <c r="L64" s="217"/>
      <c r="N64" s="295" t="s">
        <v>647</v>
      </c>
      <c r="O64" s="24"/>
      <c r="P64" s="50">
        <f>ROUND(H66/3,0)</f>
        <v>0</v>
      </c>
      <c r="R64" s="295" t="s">
        <v>644</v>
      </c>
      <c r="S64" s="489">
        <f>SUM(H28:H30,H33:H35,H38:H40)</f>
        <v>636</v>
      </c>
      <c r="T64" s="580">
        <f>S64+P67</f>
        <v>669</v>
      </c>
      <c r="U64" s="580">
        <f>T64+P67</f>
        <v>702</v>
      </c>
      <c r="V64" s="580">
        <f t="shared" si="2"/>
        <v>669</v>
      </c>
      <c r="Z64" s="704"/>
      <c r="AA64" s="469" t="s">
        <v>254</v>
      </c>
      <c r="AB64" s="469">
        <v>18</v>
      </c>
      <c r="AC64" s="460">
        <f>AC65/3</f>
        <v>26</v>
      </c>
      <c r="AD64" s="29"/>
      <c r="AE64" s="467"/>
      <c r="AF64" s="467" t="s">
        <v>254</v>
      </c>
      <c r="AG64" s="475">
        <v>2</v>
      </c>
      <c r="AH64" s="476"/>
      <c r="AI64" s="462"/>
    </row>
    <row r="65" spans="2:35" x14ac:dyDescent="0.2">
      <c r="B65" s="720"/>
      <c r="C65" s="50" t="s">
        <v>244</v>
      </c>
      <c r="D65" s="50">
        <v>13</v>
      </c>
      <c r="E65" s="586">
        <f>SUM(D63:D65)</f>
        <v>78</v>
      </c>
      <c r="F65" s="721"/>
      <c r="G65" s="50" t="s">
        <v>244</v>
      </c>
      <c r="H65" s="56">
        <f>ROUND(D65/($D$82/$H$82),0)</f>
        <v>2</v>
      </c>
      <c r="I65" s="586">
        <f>SUM(H63:H65)</f>
        <v>10</v>
      </c>
      <c r="J65" s="216"/>
      <c r="K65" s="216"/>
      <c r="L65" s="217"/>
      <c r="N65" s="295" t="s">
        <v>648</v>
      </c>
      <c r="O65" s="24"/>
      <c r="P65" s="50">
        <f>ROUND(SUM(H67:H69)/3,0)</f>
        <v>0</v>
      </c>
      <c r="R65" s="295" t="s">
        <v>142</v>
      </c>
      <c r="S65" s="489">
        <f>SUM(H16:H17,H21:H22)</f>
        <v>5</v>
      </c>
      <c r="T65" s="580">
        <f>S65+P62</f>
        <v>6</v>
      </c>
      <c r="U65" s="580">
        <f>T65+P64</f>
        <v>6</v>
      </c>
      <c r="V65" s="580">
        <f t="shared" si="2"/>
        <v>5.666666666666667</v>
      </c>
      <c r="Z65" s="704"/>
      <c r="AA65" s="469" t="s">
        <v>244</v>
      </c>
      <c r="AB65" s="469">
        <v>13</v>
      </c>
      <c r="AC65" s="470">
        <f>SUM(AB63:AB65)</f>
        <v>78</v>
      </c>
      <c r="AD65" s="48"/>
      <c r="AE65" s="467"/>
      <c r="AF65" s="467" t="s">
        <v>244</v>
      </c>
      <c r="AG65" s="475">
        <v>2</v>
      </c>
      <c r="AH65" s="476">
        <f>SUM(AG63:AG65)</f>
        <v>10</v>
      </c>
      <c r="AI65" s="462"/>
    </row>
    <row r="66" spans="2:35" x14ac:dyDescent="0.2">
      <c r="B66" s="720" t="s">
        <v>327</v>
      </c>
      <c r="C66" s="50" t="s">
        <v>241</v>
      </c>
      <c r="D66" s="50">
        <v>0</v>
      </c>
      <c r="E66" s="584"/>
      <c r="F66" s="721" t="s">
        <v>327</v>
      </c>
      <c r="G66" s="50" t="s">
        <v>241</v>
      </c>
      <c r="H66" s="56">
        <f t="shared" ref="H66:H81" si="3">ROUNDUP(D66/($D$82/$H$82),0)</f>
        <v>0</v>
      </c>
      <c r="I66" s="585"/>
      <c r="J66" s="216"/>
      <c r="K66" s="216"/>
      <c r="L66" s="217"/>
      <c r="N66" s="295" t="s">
        <v>649</v>
      </c>
      <c r="O66" s="24"/>
      <c r="P66" s="50">
        <f>ROUND(H70/3,0)</f>
        <v>41</v>
      </c>
      <c r="R66" s="295" t="s">
        <v>143</v>
      </c>
      <c r="S66" s="489">
        <f>SUM(H41:H42)</f>
        <v>45</v>
      </c>
      <c r="T66" s="580">
        <f>S66+P70</f>
        <v>45</v>
      </c>
      <c r="U66" s="580">
        <f>S66+P70</f>
        <v>45</v>
      </c>
      <c r="V66" s="580">
        <f t="shared" si="2"/>
        <v>45</v>
      </c>
      <c r="Z66" s="704" t="s">
        <v>327</v>
      </c>
      <c r="AA66" s="469" t="s">
        <v>241</v>
      </c>
      <c r="AB66" s="469">
        <v>0</v>
      </c>
      <c r="AC66" s="460"/>
      <c r="AD66" s="29"/>
      <c r="AE66" s="467" t="s">
        <v>327</v>
      </c>
      <c r="AF66" s="467" t="s">
        <v>241</v>
      </c>
      <c r="AG66" s="475">
        <v>0</v>
      </c>
      <c r="AH66" s="476"/>
      <c r="AI66" s="462"/>
    </row>
    <row r="67" spans="2:35" x14ac:dyDescent="0.2">
      <c r="B67" s="720"/>
      <c r="C67" s="54" t="s">
        <v>242</v>
      </c>
      <c r="D67" s="50">
        <v>0</v>
      </c>
      <c r="E67" s="584"/>
      <c r="F67" s="721"/>
      <c r="G67" s="54" t="s">
        <v>242</v>
      </c>
      <c r="H67" s="56">
        <f t="shared" si="3"/>
        <v>0</v>
      </c>
      <c r="I67" s="585"/>
      <c r="J67" s="216"/>
      <c r="K67" s="216"/>
      <c r="L67" s="217"/>
      <c r="N67" s="295" t="s">
        <v>650</v>
      </c>
      <c r="O67" s="24"/>
      <c r="P67" s="50">
        <f>ROUND(SUM(H71:H73)/3,0)</f>
        <v>33</v>
      </c>
      <c r="R67" s="295" t="s">
        <v>144</v>
      </c>
      <c r="S67" s="489">
        <f>SUM(H26:H27,H31:H32,H36:H37)</f>
        <v>986</v>
      </c>
      <c r="T67" s="580">
        <f>S67+P66</f>
        <v>1027</v>
      </c>
      <c r="U67" s="580">
        <f>T67+P66</f>
        <v>1068</v>
      </c>
      <c r="V67" s="580">
        <f t="shared" si="2"/>
        <v>1027</v>
      </c>
      <c r="Z67" s="704"/>
      <c r="AA67" s="471" t="s">
        <v>242</v>
      </c>
      <c r="AB67" s="469">
        <v>0</v>
      </c>
      <c r="AC67" s="460"/>
      <c r="AD67" s="29"/>
      <c r="AE67" s="467"/>
      <c r="AF67" s="467" t="s">
        <v>242</v>
      </c>
      <c r="AG67" s="475">
        <v>0</v>
      </c>
      <c r="AH67" s="476"/>
      <c r="AI67" s="462"/>
    </row>
    <row r="68" spans="2:35" x14ac:dyDescent="0.2">
      <c r="B68" s="720"/>
      <c r="C68" s="50" t="s">
        <v>254</v>
      </c>
      <c r="D68" s="50">
        <v>0</v>
      </c>
      <c r="E68" s="584"/>
      <c r="F68" s="721"/>
      <c r="G68" s="50" t="s">
        <v>254</v>
      </c>
      <c r="H68" s="56">
        <f t="shared" si="3"/>
        <v>0</v>
      </c>
      <c r="I68" s="585"/>
      <c r="J68" s="216"/>
      <c r="K68" s="216"/>
      <c r="L68" s="217"/>
      <c r="N68" s="295" t="s">
        <v>651</v>
      </c>
      <c r="O68" s="24"/>
      <c r="P68" s="50">
        <f>ROUND(H74/3,0)</f>
        <v>0</v>
      </c>
      <c r="R68" s="205" t="s">
        <v>747</v>
      </c>
      <c r="S68" s="580">
        <f>SUM(S62:S67)</f>
        <v>1856</v>
      </c>
      <c r="T68" s="580">
        <f>SUM(T62:T67)</f>
        <v>1934</v>
      </c>
      <c r="U68" s="580">
        <f>SUM(U62:U67)</f>
        <v>2011</v>
      </c>
      <c r="V68" s="580">
        <f>SUM(V62:V67)</f>
        <v>1933.6666666666665</v>
      </c>
      <c r="Z68" s="704"/>
      <c r="AA68" s="469" t="s">
        <v>254</v>
      </c>
      <c r="AB68" s="469">
        <v>0</v>
      </c>
      <c r="AC68" s="460"/>
      <c r="AD68" s="29"/>
      <c r="AE68" s="467"/>
      <c r="AF68" s="467" t="s">
        <v>254</v>
      </c>
      <c r="AG68" s="475">
        <v>0</v>
      </c>
      <c r="AH68" s="476"/>
      <c r="AI68" s="462"/>
    </row>
    <row r="69" spans="2:35" x14ac:dyDescent="0.2">
      <c r="B69" s="720"/>
      <c r="C69" s="50" t="s">
        <v>244</v>
      </c>
      <c r="D69" s="50">
        <v>0</v>
      </c>
      <c r="E69" s="584"/>
      <c r="F69" s="721"/>
      <c r="G69" s="50" t="s">
        <v>244</v>
      </c>
      <c r="H69" s="56">
        <f t="shared" si="3"/>
        <v>0</v>
      </c>
      <c r="I69" s="585"/>
      <c r="J69" s="216"/>
      <c r="K69" s="216"/>
      <c r="L69" s="217"/>
      <c r="N69" s="295" t="s">
        <v>652</v>
      </c>
      <c r="O69" s="24"/>
      <c r="P69" s="50">
        <f>ROUND(SUM(H75:H77)/3,0)</f>
        <v>0</v>
      </c>
      <c r="S69" s="216"/>
      <c r="Z69" s="704"/>
      <c r="AA69" s="469" t="s">
        <v>244</v>
      </c>
      <c r="AB69" s="469">
        <v>0</v>
      </c>
      <c r="AC69" s="460"/>
      <c r="AD69" s="29"/>
      <c r="AE69" s="467"/>
      <c r="AF69" s="467" t="s">
        <v>244</v>
      </c>
      <c r="AG69" s="475">
        <v>0</v>
      </c>
      <c r="AH69" s="476"/>
      <c r="AI69" s="462"/>
    </row>
    <row r="70" spans="2:35" x14ac:dyDescent="0.2">
      <c r="B70" s="719" t="s">
        <v>255</v>
      </c>
      <c r="C70" s="53" t="s">
        <v>241</v>
      </c>
      <c r="D70" s="50">
        <v>978</v>
      </c>
      <c r="E70" s="584"/>
      <c r="F70" s="722" t="s">
        <v>255</v>
      </c>
      <c r="G70" s="53" t="s">
        <v>241</v>
      </c>
      <c r="H70" s="56">
        <f t="shared" si="3"/>
        <v>123</v>
      </c>
      <c r="I70" s="585"/>
      <c r="J70" s="229"/>
      <c r="K70" s="216"/>
      <c r="L70" s="217"/>
      <c r="N70" s="295" t="s">
        <v>143</v>
      </c>
      <c r="O70" s="24"/>
      <c r="P70" s="50">
        <f>ROUND(H78/3,0)</f>
        <v>0</v>
      </c>
      <c r="R70" s="216"/>
      <c r="S70" s="216"/>
      <c r="T70" s="216"/>
      <c r="Z70" s="705" t="s">
        <v>255</v>
      </c>
      <c r="AA70" s="469" t="s">
        <v>241</v>
      </c>
      <c r="AB70" s="469">
        <v>978</v>
      </c>
      <c r="AC70" s="460"/>
      <c r="AD70" s="29"/>
      <c r="AE70" s="467" t="s">
        <v>255</v>
      </c>
      <c r="AF70" s="467" t="s">
        <v>241</v>
      </c>
      <c r="AG70" s="475">
        <v>122</v>
      </c>
      <c r="AH70" s="476"/>
      <c r="AI70" s="462"/>
    </row>
    <row r="71" spans="2:35" x14ac:dyDescent="0.2">
      <c r="B71" s="719"/>
      <c r="C71" s="50" t="s">
        <v>242</v>
      </c>
      <c r="D71" s="50">
        <v>553</v>
      </c>
      <c r="E71" s="584"/>
      <c r="F71" s="722"/>
      <c r="G71" s="50" t="s">
        <v>242</v>
      </c>
      <c r="H71" s="56">
        <f t="shared" si="3"/>
        <v>70</v>
      </c>
      <c r="I71" s="585"/>
      <c r="J71" s="216"/>
      <c r="K71" s="216"/>
      <c r="L71" s="217"/>
      <c r="N71" s="295" t="s">
        <v>94</v>
      </c>
      <c r="O71" s="24"/>
      <c r="P71" s="50">
        <f>ROUND(SUM(H79:H81)/3,0)</f>
        <v>0</v>
      </c>
      <c r="R71" s="216"/>
      <c r="S71" s="216"/>
      <c r="T71" s="216"/>
      <c r="Z71" s="705"/>
      <c r="AA71" s="469" t="s">
        <v>242</v>
      </c>
      <c r="AB71" s="469">
        <v>553</v>
      </c>
      <c r="AC71" s="460"/>
      <c r="AD71" s="29"/>
      <c r="AE71" s="467"/>
      <c r="AF71" s="467" t="s">
        <v>242</v>
      </c>
      <c r="AG71" s="475">
        <v>69</v>
      </c>
      <c r="AH71" s="476"/>
      <c r="AI71" s="462"/>
    </row>
    <row r="72" spans="2:35" x14ac:dyDescent="0.2">
      <c r="B72" s="719"/>
      <c r="C72" s="50" t="s">
        <v>254</v>
      </c>
      <c r="D72" s="50">
        <v>165</v>
      </c>
      <c r="E72" s="584">
        <f>(D73+D71+D72)</f>
        <v>784</v>
      </c>
      <c r="F72" s="722"/>
      <c r="G72" s="50" t="s">
        <v>254</v>
      </c>
      <c r="H72" s="56">
        <f t="shared" si="3"/>
        <v>21</v>
      </c>
      <c r="I72" s="585"/>
      <c r="J72" s="216"/>
      <c r="K72" s="216"/>
      <c r="L72" s="217"/>
      <c r="N72" s="205" t="s">
        <v>653</v>
      </c>
      <c r="O72" s="24"/>
      <c r="P72" s="56">
        <f>SUM(P62:P71)</f>
        <v>78</v>
      </c>
      <c r="R72" s="216"/>
      <c r="S72" s="216"/>
      <c r="T72" s="216"/>
      <c r="Z72" s="705"/>
      <c r="AA72" s="469" t="s">
        <v>254</v>
      </c>
      <c r="AB72" s="469">
        <v>165</v>
      </c>
      <c r="AC72" s="460">
        <f>SUM(AB71:AB73)</f>
        <v>784</v>
      </c>
      <c r="AD72" s="29"/>
      <c r="AE72" s="467"/>
      <c r="AF72" s="467" t="s">
        <v>254</v>
      </c>
      <c r="AG72" s="475">
        <v>21</v>
      </c>
      <c r="AH72" s="476"/>
      <c r="AI72" s="462"/>
    </row>
    <row r="73" spans="2:35" x14ac:dyDescent="0.2">
      <c r="B73" s="719"/>
      <c r="C73" s="50" t="s">
        <v>244</v>
      </c>
      <c r="D73" s="50">
        <v>66</v>
      </c>
      <c r="E73" s="584">
        <f>(D71+D72+D73)/3</f>
        <v>261.33333333333331</v>
      </c>
      <c r="F73" s="722"/>
      <c r="G73" s="50" t="s">
        <v>244</v>
      </c>
      <c r="H73" s="56">
        <f t="shared" si="3"/>
        <v>9</v>
      </c>
      <c r="I73" s="588">
        <f>SUM(H71:H73)</f>
        <v>100</v>
      </c>
      <c r="J73" s="216"/>
      <c r="K73" s="216"/>
      <c r="L73" s="217"/>
      <c r="M73" s="62"/>
      <c r="N73" s="29"/>
      <c r="O73" s="29"/>
      <c r="P73" s="29"/>
      <c r="Z73" s="705"/>
      <c r="AA73" s="469" t="s">
        <v>244</v>
      </c>
      <c r="AB73" s="469">
        <v>66</v>
      </c>
      <c r="AC73" s="460">
        <f>AC72/3</f>
        <v>261.33333333333331</v>
      </c>
      <c r="AD73" s="29"/>
      <c r="AE73" s="467"/>
      <c r="AF73" s="467" t="s">
        <v>244</v>
      </c>
      <c r="AG73" s="475">
        <v>8</v>
      </c>
      <c r="AH73" s="476">
        <f>SUM(AG71:AG73)</f>
        <v>98</v>
      </c>
      <c r="AI73" s="462">
        <v>32.666666666666664</v>
      </c>
    </row>
    <row r="74" spans="2:35" x14ac:dyDescent="0.2">
      <c r="B74" s="719" t="s">
        <v>249</v>
      </c>
      <c r="C74" s="50" t="s">
        <v>241</v>
      </c>
      <c r="D74" s="50">
        <v>0</v>
      </c>
      <c r="E74" s="584"/>
      <c r="F74" s="722" t="s">
        <v>249</v>
      </c>
      <c r="G74" s="50" t="s">
        <v>241</v>
      </c>
      <c r="H74" s="56">
        <f t="shared" si="3"/>
        <v>0</v>
      </c>
      <c r="I74" s="585"/>
      <c r="J74" s="216"/>
      <c r="K74" s="216"/>
      <c r="L74" s="217"/>
      <c r="M74" s="29"/>
      <c r="N74" s="29"/>
      <c r="O74" s="29"/>
      <c r="P74" s="29"/>
      <c r="Z74" s="705" t="s">
        <v>249</v>
      </c>
      <c r="AA74" s="469" t="s">
        <v>241</v>
      </c>
      <c r="AB74" s="469">
        <v>0</v>
      </c>
      <c r="AC74" s="460"/>
      <c r="AD74" s="29"/>
      <c r="AE74" s="467" t="s">
        <v>249</v>
      </c>
      <c r="AF74" s="467" t="s">
        <v>241</v>
      </c>
      <c r="AG74" s="475">
        <v>0</v>
      </c>
      <c r="AH74" s="476"/>
      <c r="AI74" s="462"/>
    </row>
    <row r="75" spans="2:35" ht="13.5" thickBot="1" x14ac:dyDescent="0.25">
      <c r="B75" s="719"/>
      <c r="C75" s="50" t="s">
        <v>242</v>
      </c>
      <c r="D75" s="50">
        <v>0</v>
      </c>
      <c r="E75" s="584"/>
      <c r="F75" s="722"/>
      <c r="G75" s="50" t="s">
        <v>242</v>
      </c>
      <c r="H75" s="56">
        <f t="shared" si="3"/>
        <v>0</v>
      </c>
      <c r="I75" s="585"/>
      <c r="J75" s="216"/>
      <c r="K75" s="216"/>
      <c r="L75" s="217"/>
      <c r="M75" s="29"/>
      <c r="N75" s="29"/>
      <c r="O75" s="29"/>
      <c r="P75" s="29"/>
      <c r="Z75" s="705"/>
      <c r="AA75" s="469" t="s">
        <v>242</v>
      </c>
      <c r="AB75" s="469">
        <v>0</v>
      </c>
      <c r="AC75" s="460"/>
      <c r="AD75" s="29"/>
      <c r="AE75" s="467"/>
      <c r="AF75" s="467" t="s">
        <v>242</v>
      </c>
      <c r="AG75" s="475">
        <v>0</v>
      </c>
      <c r="AH75" s="476"/>
      <c r="AI75" s="462"/>
    </row>
    <row r="76" spans="2:35" x14ac:dyDescent="0.2">
      <c r="B76" s="719"/>
      <c r="C76" s="50" t="s">
        <v>254</v>
      </c>
      <c r="D76" s="50">
        <v>0</v>
      </c>
      <c r="E76" s="584"/>
      <c r="F76" s="722"/>
      <c r="G76" s="50" t="s">
        <v>254</v>
      </c>
      <c r="H76" s="56">
        <f t="shared" si="3"/>
        <v>0</v>
      </c>
      <c r="I76" s="585"/>
      <c r="J76" s="259" t="s">
        <v>425</v>
      </c>
      <c r="K76" s="260"/>
      <c r="L76" s="217"/>
      <c r="M76" s="29"/>
      <c r="N76" s="29"/>
      <c r="O76" s="29"/>
      <c r="P76" s="29"/>
      <c r="Z76" s="705"/>
      <c r="AA76" s="469" t="s">
        <v>254</v>
      </c>
      <c r="AB76" s="469">
        <v>0</v>
      </c>
      <c r="AC76" s="460"/>
      <c r="AD76" s="29"/>
      <c r="AE76" s="467"/>
      <c r="AF76" s="467" t="s">
        <v>254</v>
      </c>
      <c r="AG76" s="475">
        <v>0</v>
      </c>
      <c r="AH76" s="476"/>
      <c r="AI76" s="462"/>
    </row>
    <row r="77" spans="2:35" ht="13.5" thickBot="1" x14ac:dyDescent="0.25">
      <c r="B77" s="719"/>
      <c r="C77" s="50" t="s">
        <v>244</v>
      </c>
      <c r="D77" s="50">
        <v>0</v>
      </c>
      <c r="E77" s="584"/>
      <c r="F77" s="722"/>
      <c r="G77" s="50" t="s">
        <v>244</v>
      </c>
      <c r="H77" s="56">
        <f t="shared" si="3"/>
        <v>0</v>
      </c>
      <c r="I77" s="585"/>
      <c r="J77" s="261">
        <f>ROUNDDOWN(D46/H46, 0)</f>
        <v>8</v>
      </c>
      <c r="K77" s="262"/>
      <c r="L77" s="217"/>
      <c r="M77" s="29"/>
      <c r="N77" s="29"/>
      <c r="O77" s="29"/>
      <c r="P77" s="29"/>
      <c r="Z77" s="705"/>
      <c r="AA77" s="469" t="s">
        <v>244</v>
      </c>
      <c r="AB77" s="469">
        <v>0</v>
      </c>
      <c r="AC77" s="460"/>
      <c r="AD77" s="29"/>
      <c r="AE77" s="467"/>
      <c r="AF77" s="467" t="s">
        <v>244</v>
      </c>
      <c r="AG77" s="475">
        <v>0</v>
      </c>
      <c r="AH77" s="476"/>
      <c r="AI77" s="462"/>
    </row>
    <row r="78" spans="2:35" x14ac:dyDescent="0.2">
      <c r="B78" s="718" t="s">
        <v>328</v>
      </c>
      <c r="C78" s="24" t="s">
        <v>241</v>
      </c>
      <c r="D78" s="50">
        <v>0</v>
      </c>
      <c r="E78" s="585"/>
      <c r="F78" s="723" t="s">
        <v>328</v>
      </c>
      <c r="G78" s="24" t="s">
        <v>241</v>
      </c>
      <c r="H78" s="56">
        <f t="shared" si="3"/>
        <v>0</v>
      </c>
      <c r="I78" s="585"/>
      <c r="J78" s="216"/>
      <c r="K78" s="216"/>
      <c r="L78" s="217"/>
      <c r="M78" s="29"/>
      <c r="N78" s="29"/>
      <c r="O78" s="29"/>
      <c r="P78" s="29"/>
      <c r="Z78" s="706" t="s">
        <v>328</v>
      </c>
      <c r="AA78" s="467" t="s">
        <v>241</v>
      </c>
      <c r="AB78" s="469">
        <v>0</v>
      </c>
      <c r="AC78" s="462"/>
      <c r="AD78" s="216"/>
      <c r="AE78" s="467" t="s">
        <v>328</v>
      </c>
      <c r="AF78" s="467" t="s">
        <v>241</v>
      </c>
      <c r="AG78" s="475">
        <v>0</v>
      </c>
      <c r="AH78" s="476"/>
      <c r="AI78" s="462"/>
    </row>
    <row r="79" spans="2:35" x14ac:dyDescent="0.2">
      <c r="B79" s="718"/>
      <c r="C79" s="24" t="s">
        <v>242</v>
      </c>
      <c r="D79" s="50">
        <v>0</v>
      </c>
      <c r="E79" s="585"/>
      <c r="F79" s="723"/>
      <c r="G79" s="24" t="s">
        <v>242</v>
      </c>
      <c r="H79" s="56">
        <f t="shared" si="3"/>
        <v>0</v>
      </c>
      <c r="I79" s="585"/>
      <c r="J79" s="216"/>
      <c r="K79" s="216"/>
      <c r="L79" s="217"/>
      <c r="M79" s="29"/>
      <c r="N79" s="29"/>
      <c r="O79" s="29"/>
      <c r="P79" s="29"/>
      <c r="T79" s="200"/>
      <c r="Z79" s="706"/>
      <c r="AA79" s="467" t="s">
        <v>242</v>
      </c>
      <c r="AB79" s="469">
        <v>0</v>
      </c>
      <c r="AC79" s="462"/>
      <c r="AD79" s="216"/>
      <c r="AE79" s="467"/>
      <c r="AF79" s="467" t="s">
        <v>242</v>
      </c>
      <c r="AG79" s="475">
        <v>0</v>
      </c>
      <c r="AH79" s="476"/>
      <c r="AI79" s="462"/>
    </row>
    <row r="80" spans="2:35" x14ac:dyDescent="0.2">
      <c r="B80" s="718"/>
      <c r="C80" s="24" t="s">
        <v>254</v>
      </c>
      <c r="D80" s="50">
        <v>0</v>
      </c>
      <c r="E80" s="585"/>
      <c r="F80" s="723"/>
      <c r="G80" s="24" t="s">
        <v>254</v>
      </c>
      <c r="H80" s="56">
        <f t="shared" si="3"/>
        <v>0</v>
      </c>
      <c r="I80" s="585"/>
      <c r="J80" s="216"/>
      <c r="K80" s="216"/>
      <c r="L80" s="217"/>
      <c r="M80" s="29"/>
      <c r="N80" s="29"/>
      <c r="O80" s="29"/>
      <c r="P80" s="29"/>
      <c r="Z80" s="706"/>
      <c r="AA80" s="467" t="s">
        <v>254</v>
      </c>
      <c r="AB80" s="469">
        <v>0</v>
      </c>
      <c r="AC80" s="462"/>
      <c r="AD80" s="216"/>
      <c r="AE80" s="467"/>
      <c r="AF80" s="467" t="s">
        <v>254</v>
      </c>
      <c r="AG80" s="475">
        <v>0</v>
      </c>
      <c r="AH80" s="476"/>
      <c r="AI80" s="462"/>
    </row>
    <row r="81" spans="2:35" x14ac:dyDescent="0.2">
      <c r="B81" s="718"/>
      <c r="C81" s="24" t="s">
        <v>244</v>
      </c>
      <c r="D81" s="50">
        <v>0</v>
      </c>
      <c r="E81" s="585"/>
      <c r="F81" s="723"/>
      <c r="G81" s="24" t="s">
        <v>244</v>
      </c>
      <c r="H81" s="56">
        <f t="shared" si="3"/>
        <v>0</v>
      </c>
      <c r="I81" s="585"/>
      <c r="J81" s="216"/>
      <c r="K81" s="216"/>
      <c r="L81" s="217"/>
      <c r="M81" s="29"/>
      <c r="N81" s="29"/>
      <c r="O81" s="29"/>
      <c r="P81" s="29"/>
      <c r="Z81" s="706"/>
      <c r="AA81" s="467" t="s">
        <v>244</v>
      </c>
      <c r="AB81" s="469">
        <v>0</v>
      </c>
      <c r="AC81" s="462"/>
      <c r="AD81" s="216"/>
      <c r="AE81" s="467"/>
      <c r="AF81" s="467" t="s">
        <v>244</v>
      </c>
      <c r="AG81" s="475">
        <v>0</v>
      </c>
      <c r="AH81" s="476"/>
      <c r="AI81" s="462"/>
    </row>
    <row r="82" spans="2:35" x14ac:dyDescent="0.2">
      <c r="B82" s="225" t="s">
        <v>329</v>
      </c>
      <c r="C82" s="24"/>
      <c r="D82" s="50">
        <f>SUM(D62:D81)</f>
        <v>1844</v>
      </c>
      <c r="E82" s="585"/>
      <c r="F82" s="24" t="s">
        <v>329</v>
      </c>
      <c r="G82" s="24"/>
      <c r="H82" s="50">
        <f>ROUND(D82/8,0)</f>
        <v>231</v>
      </c>
      <c r="I82" s="590">
        <f>SUM(H62:H81)</f>
        <v>234</v>
      </c>
      <c r="J82" s="216"/>
      <c r="K82" s="216"/>
      <c r="L82" s="217"/>
      <c r="M82" s="29"/>
      <c r="N82" s="29"/>
      <c r="O82" s="29"/>
      <c r="P82" s="29"/>
      <c r="Z82" s="472" t="s">
        <v>329</v>
      </c>
      <c r="AA82" s="467"/>
      <c r="AB82" s="469">
        <v>1844</v>
      </c>
      <c r="AC82" s="462" t="s">
        <v>424</v>
      </c>
      <c r="AD82" s="216"/>
      <c r="AE82" s="467" t="s">
        <v>329</v>
      </c>
      <c r="AF82" s="467"/>
      <c r="AG82" s="475">
        <f>ROUND(AB82/8,0)</f>
        <v>231</v>
      </c>
      <c r="AH82" s="476">
        <f>SUM(AG62:AG81)</f>
        <v>231</v>
      </c>
      <c r="AI82" s="462"/>
    </row>
    <row r="83" spans="2:35" x14ac:dyDescent="0.2">
      <c r="B83" s="227"/>
      <c r="C83" s="216"/>
      <c r="D83" s="216"/>
      <c r="E83" s="585"/>
      <c r="F83" s="216"/>
      <c r="G83" s="216"/>
      <c r="H83" s="29"/>
      <c r="I83" s="216"/>
      <c r="J83" s="216"/>
      <c r="K83" s="216"/>
      <c r="L83" s="217"/>
      <c r="M83" s="29"/>
      <c r="N83" s="29"/>
      <c r="O83" s="29"/>
      <c r="P83" s="29"/>
      <c r="Z83" s="356"/>
      <c r="AA83" s="356"/>
      <c r="AB83" s="356"/>
      <c r="AC83" s="356"/>
    </row>
    <row r="84" spans="2:35" x14ac:dyDescent="0.2">
      <c r="B84" s="230" t="s">
        <v>349</v>
      </c>
      <c r="C84" s="187"/>
      <c r="D84" s="188"/>
      <c r="E84" s="29"/>
      <c r="F84" s="189" t="s">
        <v>351</v>
      </c>
      <c r="G84" s="190"/>
      <c r="H84" s="191"/>
      <c r="I84" s="216"/>
      <c r="J84" s="229"/>
      <c r="K84" s="216"/>
      <c r="L84" s="217"/>
      <c r="M84" s="29"/>
      <c r="N84" s="29"/>
      <c r="O84" s="29"/>
      <c r="P84" s="29"/>
    </row>
    <row r="85" spans="2:35" ht="13.5" thickBot="1" x14ac:dyDescent="0.25">
      <c r="B85" s="231" t="s">
        <v>350</v>
      </c>
      <c r="C85" s="232"/>
      <c r="D85" s="233"/>
      <c r="E85" s="234"/>
      <c r="F85" s="235"/>
      <c r="G85" s="236" t="s">
        <v>356</v>
      </c>
      <c r="H85" s="237"/>
      <c r="I85" s="218"/>
      <c r="J85" s="218"/>
      <c r="K85" s="218"/>
      <c r="L85" s="219"/>
      <c r="M85" s="216"/>
      <c r="N85" s="216"/>
      <c r="O85" s="216"/>
      <c r="P85" s="216"/>
    </row>
    <row r="88" spans="2:35" ht="13.5" thickBot="1" x14ac:dyDescent="0.25"/>
    <row r="89" spans="2:35" ht="15" x14ac:dyDescent="0.25">
      <c r="B89" s="285" t="s">
        <v>95</v>
      </c>
      <c r="C89" s="286" t="s">
        <v>99</v>
      </c>
      <c r="D89" s="279" t="s">
        <v>535</v>
      </c>
      <c r="E89" s="214" t="s">
        <v>103</v>
      </c>
      <c r="F89" s="214"/>
      <c r="G89" s="215"/>
    </row>
    <row r="90" spans="2:35" ht="15" x14ac:dyDescent="0.25">
      <c r="B90" s="287" t="s">
        <v>96</v>
      </c>
      <c r="C90" s="280" t="s">
        <v>100</v>
      </c>
      <c r="D90" s="281">
        <v>22</v>
      </c>
      <c r="E90" s="29"/>
      <c r="F90" s="216"/>
      <c r="G90" s="217"/>
      <c r="I90" s="587" t="s">
        <v>543</v>
      </c>
    </row>
    <row r="91" spans="2:35" ht="15" x14ac:dyDescent="0.25">
      <c r="B91" s="287" t="s">
        <v>96</v>
      </c>
      <c r="C91" s="280" t="s">
        <v>101</v>
      </c>
      <c r="D91" s="281">
        <v>6</v>
      </c>
      <c r="E91" s="283">
        <f>ROUND(1-E92,2)</f>
        <v>0.94</v>
      </c>
      <c r="F91" s="282" t="s">
        <v>504</v>
      </c>
      <c r="G91" s="217"/>
      <c r="I91" s="593">
        <f>ROUND(SUM(D96:D98)/SUM(D90:D98,H82),2)</f>
        <v>0.06</v>
      </c>
    </row>
    <row r="92" spans="2:35" ht="15" x14ac:dyDescent="0.25">
      <c r="B92" s="287" t="s">
        <v>96</v>
      </c>
      <c r="C92" s="280" t="s">
        <v>102</v>
      </c>
      <c r="D92" s="281">
        <v>3</v>
      </c>
      <c r="E92" s="283">
        <f>ROUND(SUM(D96:D98)/SUM(D90:D98),2)</f>
        <v>0.06</v>
      </c>
      <c r="F92" s="282" t="s">
        <v>505</v>
      </c>
      <c r="G92" s="217"/>
    </row>
    <row r="93" spans="2:35" ht="15" x14ac:dyDescent="0.25">
      <c r="B93" s="287" t="s">
        <v>97</v>
      </c>
      <c r="C93" s="280" t="s">
        <v>100</v>
      </c>
      <c r="D93" s="281">
        <v>1276</v>
      </c>
      <c r="E93" s="216"/>
      <c r="F93" s="216"/>
      <c r="G93" s="217"/>
    </row>
    <row r="94" spans="2:35" ht="15" x14ac:dyDescent="0.25">
      <c r="B94" s="287" t="s">
        <v>97</v>
      </c>
      <c r="C94" s="280" t="s">
        <v>101</v>
      </c>
      <c r="D94" s="281">
        <v>131</v>
      </c>
      <c r="E94" s="216"/>
      <c r="G94" s="217"/>
    </row>
    <row r="95" spans="2:35" ht="15" x14ac:dyDescent="0.25">
      <c r="B95" s="287" t="s">
        <v>97</v>
      </c>
      <c r="C95" s="280" t="s">
        <v>102</v>
      </c>
      <c r="D95" s="281">
        <v>80</v>
      </c>
      <c r="E95" s="216"/>
      <c r="F95" s="263"/>
      <c r="G95" s="217"/>
    </row>
    <row r="96" spans="2:35" ht="15" x14ac:dyDescent="0.25">
      <c r="B96" s="287" t="s">
        <v>98</v>
      </c>
      <c r="C96" s="280" t="s">
        <v>100</v>
      </c>
      <c r="D96" s="281">
        <v>82</v>
      </c>
      <c r="E96" s="282"/>
      <c r="F96" s="284" t="s">
        <v>105</v>
      </c>
      <c r="G96" s="217"/>
    </row>
    <row r="97" spans="2:7" ht="15" x14ac:dyDescent="0.25">
      <c r="B97" s="287" t="s">
        <v>98</v>
      </c>
      <c r="C97" s="280" t="s">
        <v>101</v>
      </c>
      <c r="D97" s="281">
        <v>14</v>
      </c>
      <c r="E97" s="282" t="s">
        <v>104</v>
      </c>
      <c r="F97" s="284">
        <f>ROUND(SUM(D105,D108)/SUM(D104:D108),2)</f>
        <v>0.1</v>
      </c>
      <c r="G97" s="217"/>
    </row>
    <row r="98" spans="2:7" ht="15" x14ac:dyDescent="0.25">
      <c r="B98" s="287" t="s">
        <v>98</v>
      </c>
      <c r="C98" s="280" t="s">
        <v>102</v>
      </c>
      <c r="D98" s="281">
        <v>6</v>
      </c>
      <c r="E98" s="282" t="s">
        <v>98</v>
      </c>
      <c r="F98" s="284">
        <f>ROUND(D111/SUM(D110:D111),2)</f>
        <v>0.15</v>
      </c>
      <c r="G98" s="217"/>
    </row>
    <row r="99" spans="2:7" ht="30" x14ac:dyDescent="0.25">
      <c r="B99" s="288" t="s">
        <v>503</v>
      </c>
      <c r="C99" s="24"/>
      <c r="D99" s="24"/>
      <c r="E99" s="216"/>
      <c r="F99" s="216"/>
      <c r="G99" s="217"/>
    </row>
    <row r="100" spans="2:7" ht="15" x14ac:dyDescent="0.25">
      <c r="B100" s="287" t="s">
        <v>102</v>
      </c>
      <c r="C100" s="280" t="s">
        <v>100</v>
      </c>
      <c r="D100" s="281">
        <v>3</v>
      </c>
      <c r="E100" s="216"/>
      <c r="F100" s="216"/>
      <c r="G100" s="217"/>
    </row>
    <row r="101" spans="2:7" ht="15" x14ac:dyDescent="0.25">
      <c r="B101" s="287" t="s">
        <v>102</v>
      </c>
      <c r="C101" s="280" t="s">
        <v>102</v>
      </c>
      <c r="D101" s="281">
        <v>78</v>
      </c>
      <c r="E101" s="216"/>
      <c r="F101" s="216"/>
      <c r="G101" s="217"/>
    </row>
    <row r="102" spans="2:7" x14ac:dyDescent="0.2">
      <c r="B102" s="289"/>
      <c r="C102" s="277"/>
      <c r="D102" s="278"/>
      <c r="E102" s="216"/>
      <c r="F102" s="216"/>
      <c r="G102" s="217"/>
    </row>
    <row r="103" spans="2:7" ht="15" x14ac:dyDescent="0.25">
      <c r="B103" s="290" t="s">
        <v>95</v>
      </c>
      <c r="C103" s="279" t="s">
        <v>99</v>
      </c>
      <c r="D103" s="279" t="s">
        <v>535</v>
      </c>
      <c r="E103" s="216"/>
      <c r="F103" s="216"/>
      <c r="G103" s="217"/>
    </row>
    <row r="104" spans="2:7" ht="15" x14ac:dyDescent="0.25">
      <c r="B104" s="287" t="s">
        <v>96</v>
      </c>
      <c r="C104" s="280" t="s">
        <v>100</v>
      </c>
      <c r="D104" s="281">
        <f>D90</f>
        <v>22</v>
      </c>
      <c r="E104" s="216"/>
      <c r="F104" s="216"/>
      <c r="G104" s="217"/>
    </row>
    <row r="105" spans="2:7" ht="15" x14ac:dyDescent="0.25">
      <c r="B105" s="287" t="s">
        <v>96</v>
      </c>
      <c r="C105" s="280" t="s">
        <v>101</v>
      </c>
      <c r="D105" s="281">
        <f>D91</f>
        <v>6</v>
      </c>
      <c r="E105" s="585">
        <f>D105+D108+D111</f>
        <v>151</v>
      </c>
      <c r="F105" s="592">
        <f>E105/H46</f>
        <v>8.1357758620689655E-2</v>
      </c>
      <c r="G105" s="217"/>
    </row>
    <row r="106" spans="2:7" x14ac:dyDescent="0.2">
      <c r="B106" s="225"/>
      <c r="C106" s="24"/>
      <c r="D106" s="24"/>
      <c r="E106" s="216"/>
      <c r="F106" s="216"/>
      <c r="G106" s="217"/>
    </row>
    <row r="107" spans="2:7" ht="15" x14ac:dyDescent="0.25">
      <c r="B107" s="287" t="s">
        <v>97</v>
      </c>
      <c r="C107" s="280" t="s">
        <v>100</v>
      </c>
      <c r="D107" s="281">
        <f>D93</f>
        <v>1276</v>
      </c>
      <c r="E107" s="216"/>
      <c r="F107" s="216"/>
      <c r="G107" s="217"/>
    </row>
    <row r="108" spans="2:7" ht="15" x14ac:dyDescent="0.25">
      <c r="B108" s="287" t="s">
        <v>97</v>
      </c>
      <c r="C108" s="280" t="s">
        <v>101</v>
      </c>
      <c r="D108" s="281">
        <f>D94</f>
        <v>131</v>
      </c>
      <c r="E108" s="216"/>
      <c r="F108" s="73"/>
      <c r="G108" s="217"/>
    </row>
    <row r="109" spans="2:7" x14ac:dyDescent="0.2">
      <c r="B109" s="225"/>
      <c r="C109" s="24"/>
      <c r="D109" s="24"/>
      <c r="E109" s="216"/>
      <c r="F109" s="216"/>
      <c r="G109" s="217"/>
    </row>
    <row r="110" spans="2:7" ht="15" x14ac:dyDescent="0.25">
      <c r="B110" s="287" t="s">
        <v>98</v>
      </c>
      <c r="C110" s="280" t="s">
        <v>100</v>
      </c>
      <c r="D110" s="281">
        <f>D96</f>
        <v>82</v>
      </c>
      <c r="E110" s="216"/>
      <c r="F110" s="216"/>
      <c r="G110" s="217"/>
    </row>
    <row r="111" spans="2:7" ht="15" x14ac:dyDescent="0.25">
      <c r="B111" s="287" t="s">
        <v>98</v>
      </c>
      <c r="C111" s="280" t="s">
        <v>101</v>
      </c>
      <c r="D111" s="281">
        <f>D97</f>
        <v>14</v>
      </c>
      <c r="E111" s="216"/>
      <c r="F111" s="216"/>
      <c r="G111" s="217"/>
    </row>
    <row r="112" spans="2:7" x14ac:dyDescent="0.2">
      <c r="B112" s="225"/>
      <c r="C112" s="24"/>
      <c r="D112" s="24"/>
      <c r="E112" s="216"/>
      <c r="F112" s="216"/>
      <c r="G112" s="217"/>
    </row>
    <row r="113" spans="2:7" ht="30" x14ac:dyDescent="0.25">
      <c r="B113" s="288" t="s">
        <v>503</v>
      </c>
      <c r="C113" s="24"/>
      <c r="D113" s="24"/>
      <c r="E113" s="216"/>
      <c r="F113" s="216"/>
      <c r="G113" s="217"/>
    </row>
    <row r="114" spans="2:7" ht="15" x14ac:dyDescent="0.25">
      <c r="B114" s="287" t="s">
        <v>102</v>
      </c>
      <c r="C114" s="280" t="s">
        <v>100</v>
      </c>
      <c r="D114" s="281">
        <f>D100</f>
        <v>3</v>
      </c>
      <c r="E114" s="216"/>
      <c r="F114" s="216"/>
      <c r="G114" s="217"/>
    </row>
    <row r="115" spans="2:7" ht="15" x14ac:dyDescent="0.25">
      <c r="B115" s="287" t="s">
        <v>102</v>
      </c>
      <c r="C115" s="280" t="s">
        <v>102</v>
      </c>
      <c r="D115" s="281">
        <f>D101</f>
        <v>78</v>
      </c>
      <c r="E115" s="216"/>
      <c r="F115" s="216"/>
      <c r="G115" s="217"/>
    </row>
    <row r="116" spans="2:7" ht="15" x14ac:dyDescent="0.25">
      <c r="B116" s="287" t="s">
        <v>96</v>
      </c>
      <c r="C116" s="280" t="s">
        <v>102</v>
      </c>
      <c r="D116" s="281">
        <f>D92</f>
        <v>3</v>
      </c>
      <c r="E116" s="216"/>
      <c r="F116" s="216"/>
      <c r="G116" s="217"/>
    </row>
    <row r="117" spans="2:7" ht="15" x14ac:dyDescent="0.25">
      <c r="B117" s="287" t="s">
        <v>97</v>
      </c>
      <c r="C117" s="280" t="s">
        <v>102</v>
      </c>
      <c r="D117" s="281">
        <f>D95</f>
        <v>80</v>
      </c>
      <c r="E117" s="216"/>
      <c r="F117" s="216"/>
      <c r="G117" s="217"/>
    </row>
    <row r="118" spans="2:7" ht="15.75" thickBot="1" x14ac:dyDescent="0.3">
      <c r="B118" s="291" t="s">
        <v>98</v>
      </c>
      <c r="C118" s="292" t="s">
        <v>102</v>
      </c>
      <c r="D118" s="293">
        <f>D98</f>
        <v>6</v>
      </c>
      <c r="E118" s="218"/>
      <c r="F118" s="218"/>
      <c r="G118" s="219"/>
    </row>
    <row r="120" spans="2:7" ht="13.5" thickBot="1" x14ac:dyDescent="0.25"/>
    <row r="121" spans="2:7" ht="15" x14ac:dyDescent="0.25">
      <c r="B121" s="304" t="s">
        <v>523</v>
      </c>
      <c r="C121" s="214"/>
      <c r="D121" s="214"/>
      <c r="E121" s="214"/>
      <c r="F121" s="215"/>
    </row>
    <row r="122" spans="2:7" ht="15" x14ac:dyDescent="0.25">
      <c r="B122" s="302" t="s">
        <v>524</v>
      </c>
      <c r="C122" s="216"/>
      <c r="D122" s="216"/>
      <c r="E122" s="216"/>
      <c r="F122" s="217"/>
    </row>
    <row r="123" spans="2:7" x14ac:dyDescent="0.2">
      <c r="B123" s="227">
        <v>830</v>
      </c>
      <c r="C123" s="216"/>
      <c r="D123" s="216"/>
      <c r="E123" s="216"/>
      <c r="F123" s="217"/>
    </row>
    <row r="124" spans="2:7" ht="13.5" thickBot="1" x14ac:dyDescent="0.25">
      <c r="B124" s="303"/>
      <c r="C124" s="218"/>
      <c r="D124" s="218"/>
      <c r="E124" s="218"/>
      <c r="F124" s="219"/>
    </row>
  </sheetData>
  <mergeCells count="57">
    <mergeCell ref="M42:M45"/>
    <mergeCell ref="Q17:Q20"/>
    <mergeCell ref="Q27:Q30"/>
    <mergeCell ref="Q32:Q35"/>
    <mergeCell ref="Q37:Q40"/>
    <mergeCell ref="Q42:Q45"/>
    <mergeCell ref="M17:M20"/>
    <mergeCell ref="M27:M30"/>
    <mergeCell ref="M32:M35"/>
    <mergeCell ref="M37:M40"/>
    <mergeCell ref="M22:M25"/>
    <mergeCell ref="Q22:Q25"/>
    <mergeCell ref="B62:B65"/>
    <mergeCell ref="F62:F65"/>
    <mergeCell ref="B26:B30"/>
    <mergeCell ref="F26:F30"/>
    <mergeCell ref="F31:F35"/>
    <mergeCell ref="B31:B35"/>
    <mergeCell ref="B36:B40"/>
    <mergeCell ref="B41:B45"/>
    <mergeCell ref="F41:F45"/>
    <mergeCell ref="F36:F40"/>
    <mergeCell ref="B78:B81"/>
    <mergeCell ref="B74:B77"/>
    <mergeCell ref="B70:B73"/>
    <mergeCell ref="B66:B69"/>
    <mergeCell ref="F66:F69"/>
    <mergeCell ref="F70:F73"/>
    <mergeCell ref="F74:F77"/>
    <mergeCell ref="F78:F81"/>
    <mergeCell ref="Y37:Y41"/>
    <mergeCell ref="B16:B20"/>
    <mergeCell ref="F16:F20"/>
    <mergeCell ref="B21:B25"/>
    <mergeCell ref="F21:F25"/>
    <mergeCell ref="Y17:Y21"/>
    <mergeCell ref="Y22:Y26"/>
    <mergeCell ref="Y27:Y31"/>
    <mergeCell ref="Y32:Y36"/>
    <mergeCell ref="Z78:Z81"/>
    <mergeCell ref="AJ17:AJ20"/>
    <mergeCell ref="AJ22:AJ25"/>
    <mergeCell ref="AJ27:AJ30"/>
    <mergeCell ref="AJ32:AJ35"/>
    <mergeCell ref="AJ37:AJ40"/>
    <mergeCell ref="AJ42:AJ45"/>
    <mergeCell ref="AD42:AD46"/>
    <mergeCell ref="AD17:AD21"/>
    <mergeCell ref="AD22:AD26"/>
    <mergeCell ref="AD27:AD31"/>
    <mergeCell ref="AD32:AD36"/>
    <mergeCell ref="AD37:AD41"/>
    <mergeCell ref="Y42:Y46"/>
    <mergeCell ref="Z62:Z65"/>
    <mergeCell ref="Z66:Z69"/>
    <mergeCell ref="Z70:Z73"/>
    <mergeCell ref="Z74:Z77"/>
  </mergeCells>
  <phoneticPr fontId="9" type="noConversion"/>
  <printOptions headings="1"/>
  <pageMargins left="0.25" right="0.25" top="0.5" bottom="0.5" header="0.3" footer="0.3"/>
  <pageSetup fitToWidth="2" fitToHeight="2" orientation="landscape" horizontalDpi="300" verticalDpi="300" r:id="rId1"/>
  <headerFooter alignWithMargins="0"/>
  <ignoredErrors>
    <ignoredError sqref="H43"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workbookViewId="0">
      <selection activeCell="H24" sqref="H24"/>
    </sheetView>
  </sheetViews>
  <sheetFormatPr defaultColWidth="9.140625" defaultRowHeight="12.75" x14ac:dyDescent="0.2"/>
  <cols>
    <col min="1" max="1" width="24.42578125" style="324" customWidth="1"/>
    <col min="2" max="3" width="9.140625" style="324"/>
    <col min="4" max="4" width="13.5703125" style="324" bestFit="1" customWidth="1"/>
    <col min="5" max="7" width="9.140625" style="324"/>
    <col min="8" max="8" width="9.85546875" style="324" customWidth="1"/>
    <col min="9" max="18" width="9.140625" style="324"/>
    <col min="19" max="19" width="9" style="324" customWidth="1"/>
    <col min="20" max="20" width="9.140625" style="324"/>
    <col min="21" max="21" width="9.5703125" style="324" bestFit="1" customWidth="1"/>
    <col min="22" max="16384" width="9.140625" style="324"/>
  </cols>
  <sheetData>
    <row r="1" spans="1:20" x14ac:dyDescent="0.2">
      <c r="A1" s="57" t="s">
        <v>24</v>
      </c>
      <c r="L1" s="57" t="s">
        <v>112</v>
      </c>
      <c r="O1" s="324" t="s">
        <v>422</v>
      </c>
    </row>
    <row r="2" spans="1:20" x14ac:dyDescent="0.2">
      <c r="L2" s="57" t="s">
        <v>139</v>
      </c>
      <c r="T2" s="57" t="s">
        <v>421</v>
      </c>
    </row>
    <row r="3" spans="1:20" x14ac:dyDescent="0.2">
      <c r="A3" s="325" t="s">
        <v>138</v>
      </c>
      <c r="B3" s="325"/>
      <c r="C3" s="325"/>
      <c r="D3" s="325"/>
      <c r="E3" s="325"/>
      <c r="F3" s="325"/>
      <c r="G3" s="325"/>
      <c r="H3" s="325"/>
      <c r="I3" s="335"/>
      <c r="J3" s="335"/>
      <c r="K3" s="335"/>
      <c r="L3" s="324" t="s">
        <v>113</v>
      </c>
      <c r="T3" s="238" t="s">
        <v>113</v>
      </c>
    </row>
    <row r="4" spans="1:20" ht="15" x14ac:dyDescent="0.25">
      <c r="A4" s="326"/>
      <c r="B4" s="241" t="s">
        <v>139</v>
      </c>
      <c r="C4" s="242" t="s">
        <v>140</v>
      </c>
      <c r="D4" s="243" t="s">
        <v>141</v>
      </c>
      <c r="E4" s="244" t="s">
        <v>250</v>
      </c>
      <c r="F4" s="245" t="s">
        <v>378</v>
      </c>
      <c r="G4" s="246" t="s">
        <v>421</v>
      </c>
      <c r="H4" s="247" t="s">
        <v>563</v>
      </c>
      <c r="I4" s="335"/>
      <c r="J4" s="335"/>
      <c r="K4" s="335"/>
      <c r="L4" s="335" t="s">
        <v>114</v>
      </c>
      <c r="S4" s="336"/>
      <c r="T4" s="224" t="s">
        <v>114</v>
      </c>
    </row>
    <row r="5" spans="1:20" x14ac:dyDescent="0.2">
      <c r="A5" s="326" t="s">
        <v>142</v>
      </c>
      <c r="B5" s="249">
        <v>0</v>
      </c>
      <c r="C5" s="337">
        <v>0</v>
      </c>
      <c r="D5" s="338">
        <v>0</v>
      </c>
      <c r="E5" s="339">
        <v>0</v>
      </c>
      <c r="F5" s="340">
        <v>0</v>
      </c>
      <c r="G5" s="248">
        <v>0</v>
      </c>
      <c r="H5" s="341">
        <v>0</v>
      </c>
      <c r="I5" s="335" t="s">
        <v>379</v>
      </c>
      <c r="J5" s="335"/>
      <c r="K5" s="335"/>
      <c r="L5" s="335" t="s">
        <v>115</v>
      </c>
      <c r="S5" s="342"/>
      <c r="T5" s="224" t="s">
        <v>476</v>
      </c>
    </row>
    <row r="6" spans="1:20" x14ac:dyDescent="0.2">
      <c r="A6" s="326" t="s">
        <v>130</v>
      </c>
      <c r="B6" s="249">
        <v>35</v>
      </c>
      <c r="C6" s="337">
        <v>502</v>
      </c>
      <c r="D6" s="338">
        <v>401</v>
      </c>
      <c r="E6" s="339">
        <v>30</v>
      </c>
      <c r="F6" s="340">
        <v>1088</v>
      </c>
      <c r="G6" s="248">
        <v>76</v>
      </c>
      <c r="H6" s="341">
        <v>207</v>
      </c>
      <c r="I6" s="335"/>
      <c r="J6" s="335"/>
      <c r="K6" s="335"/>
      <c r="L6" s="224" t="s">
        <v>474</v>
      </c>
    </row>
    <row r="7" spans="1:20" x14ac:dyDescent="0.2">
      <c r="A7" s="326" t="s">
        <v>143</v>
      </c>
      <c r="B7" s="249">
        <v>0</v>
      </c>
      <c r="C7" s="337">
        <v>0</v>
      </c>
      <c r="D7" s="338">
        <v>0</v>
      </c>
      <c r="E7" s="339">
        <v>0</v>
      </c>
      <c r="F7" s="340">
        <v>0</v>
      </c>
      <c r="G7" s="248">
        <v>0</v>
      </c>
      <c r="H7" s="341">
        <v>0</v>
      </c>
      <c r="I7" s="335" t="s">
        <v>379</v>
      </c>
      <c r="J7" s="335"/>
      <c r="K7" s="335"/>
      <c r="S7" s="342"/>
      <c r="T7" s="224"/>
    </row>
    <row r="8" spans="1:20" x14ac:dyDescent="0.2">
      <c r="A8" s="326" t="s">
        <v>94</v>
      </c>
      <c r="B8" s="249">
        <v>262</v>
      </c>
      <c r="C8" s="337">
        <v>30</v>
      </c>
      <c r="D8" s="338">
        <v>271</v>
      </c>
      <c r="E8" s="339">
        <v>8</v>
      </c>
      <c r="F8" s="340">
        <v>316</v>
      </c>
      <c r="G8" s="248">
        <v>28</v>
      </c>
      <c r="H8" s="341">
        <v>21</v>
      </c>
      <c r="I8" s="335"/>
      <c r="J8" s="335"/>
      <c r="K8" s="335"/>
      <c r="L8" s="84" t="s">
        <v>140</v>
      </c>
      <c r="S8" s="342"/>
    </row>
    <row r="9" spans="1:20" x14ac:dyDescent="0.2">
      <c r="A9" s="326" t="s">
        <v>144</v>
      </c>
      <c r="B9" s="249">
        <v>0</v>
      </c>
      <c r="C9" s="337">
        <v>0</v>
      </c>
      <c r="D9" s="338">
        <v>0</v>
      </c>
      <c r="E9" s="339">
        <v>0</v>
      </c>
      <c r="F9" s="340">
        <v>0</v>
      </c>
      <c r="G9" s="248">
        <v>0</v>
      </c>
      <c r="H9" s="341">
        <v>0</v>
      </c>
      <c r="I9" s="335" t="s">
        <v>380</v>
      </c>
      <c r="J9" s="335"/>
      <c r="K9" s="335"/>
      <c r="L9" s="324" t="s">
        <v>113</v>
      </c>
      <c r="S9" s="342"/>
    </row>
    <row r="10" spans="1:20" x14ac:dyDescent="0.2">
      <c r="A10" s="326" t="s">
        <v>214</v>
      </c>
      <c r="B10" s="249">
        <v>0</v>
      </c>
      <c r="C10" s="337">
        <v>0</v>
      </c>
      <c r="D10" s="338">
        <v>0</v>
      </c>
      <c r="E10" s="339">
        <v>0</v>
      </c>
      <c r="F10" s="340">
        <v>0</v>
      </c>
      <c r="G10" s="248">
        <v>0</v>
      </c>
      <c r="H10" s="341">
        <v>0</v>
      </c>
      <c r="I10" s="335" t="s">
        <v>380</v>
      </c>
      <c r="J10" s="335"/>
      <c r="K10" s="335"/>
      <c r="L10" s="335" t="s">
        <v>114</v>
      </c>
      <c r="S10" s="342"/>
    </row>
    <row r="11" spans="1:20" x14ac:dyDescent="0.2">
      <c r="A11" s="326" t="s">
        <v>215</v>
      </c>
      <c r="B11" s="249">
        <v>0</v>
      </c>
      <c r="C11" s="337">
        <v>0</v>
      </c>
      <c r="D11" s="338">
        <v>0</v>
      </c>
      <c r="E11" s="339">
        <v>0</v>
      </c>
      <c r="F11" s="340">
        <v>0</v>
      </c>
      <c r="G11" s="248">
        <v>0</v>
      </c>
      <c r="H11" s="341">
        <v>0</v>
      </c>
      <c r="I11" s="335" t="s">
        <v>380</v>
      </c>
      <c r="J11" s="335"/>
      <c r="K11" s="335"/>
      <c r="L11" s="335" t="s">
        <v>116</v>
      </c>
      <c r="S11" s="342"/>
    </row>
    <row r="12" spans="1:20" x14ac:dyDescent="0.2">
      <c r="A12" s="326" t="s">
        <v>216</v>
      </c>
      <c r="B12" s="249">
        <v>0</v>
      </c>
      <c r="C12" s="337">
        <v>0</v>
      </c>
      <c r="D12" s="338">
        <v>6</v>
      </c>
      <c r="E12" s="339">
        <v>0</v>
      </c>
      <c r="F12" s="340">
        <v>78</v>
      </c>
      <c r="G12" s="248">
        <v>0</v>
      </c>
      <c r="H12" s="341">
        <v>0</v>
      </c>
      <c r="I12" s="335"/>
      <c r="J12" s="335"/>
      <c r="K12" s="335"/>
      <c r="L12" s="335" t="s">
        <v>117</v>
      </c>
      <c r="S12" s="342"/>
    </row>
    <row r="13" spans="1:20" x14ac:dyDescent="0.2">
      <c r="B13" s="327"/>
      <c r="C13" s="327"/>
      <c r="D13" s="327"/>
      <c r="E13" s="327"/>
      <c r="F13" s="328"/>
      <c r="G13" s="327"/>
      <c r="H13" s="327"/>
      <c r="I13" s="335"/>
      <c r="J13" s="335"/>
      <c r="K13" s="335"/>
      <c r="L13" s="224" t="s">
        <v>475</v>
      </c>
    </row>
    <row r="14" spans="1:20" x14ac:dyDescent="0.2">
      <c r="B14" s="327"/>
      <c r="C14" s="327"/>
      <c r="D14" s="327"/>
      <c r="E14" s="327"/>
      <c r="F14" s="328"/>
      <c r="G14" s="327"/>
      <c r="H14" s="327"/>
      <c r="I14" s="335"/>
      <c r="J14" s="335"/>
      <c r="K14" s="335"/>
      <c r="L14" s="84" t="s">
        <v>141</v>
      </c>
    </row>
    <row r="15" spans="1:20" x14ac:dyDescent="0.2">
      <c r="B15" s="327"/>
      <c r="C15" s="327"/>
      <c r="D15" s="327"/>
      <c r="E15" s="327"/>
      <c r="F15" s="328"/>
      <c r="G15" s="327"/>
      <c r="H15" s="327"/>
      <c r="I15" s="335"/>
      <c r="J15" s="335"/>
      <c r="K15" s="335"/>
      <c r="L15" s="324" t="s">
        <v>113</v>
      </c>
    </row>
    <row r="16" spans="1:20" x14ac:dyDescent="0.2">
      <c r="A16" s="57" t="s">
        <v>25</v>
      </c>
      <c r="B16" s="327"/>
      <c r="C16" s="327"/>
      <c r="D16" s="327"/>
      <c r="E16" s="327"/>
      <c r="F16" s="328"/>
      <c r="G16" s="327"/>
      <c r="H16" s="327"/>
      <c r="I16" s="335"/>
      <c r="J16" s="335"/>
      <c r="K16" s="335"/>
      <c r="L16" s="335" t="s">
        <v>114</v>
      </c>
    </row>
    <row r="17" spans="1:15" x14ac:dyDescent="0.2">
      <c r="B17" s="327"/>
      <c r="C17" s="327"/>
      <c r="D17" s="327"/>
      <c r="E17" s="327"/>
      <c r="F17" s="328"/>
      <c r="G17" s="327"/>
      <c r="H17" s="327"/>
      <c r="I17" s="335"/>
      <c r="J17" s="335"/>
      <c r="K17" s="335"/>
      <c r="L17" s="335" t="s">
        <v>118</v>
      </c>
    </row>
    <row r="18" spans="1:15" x14ac:dyDescent="0.2">
      <c r="A18" s="325" t="s">
        <v>138</v>
      </c>
      <c r="B18" s="329"/>
      <c r="C18" s="329"/>
      <c r="D18" s="329"/>
      <c r="E18" s="329"/>
      <c r="F18" s="329"/>
      <c r="G18" s="329"/>
      <c r="H18" s="329"/>
      <c r="I18" s="335"/>
      <c r="J18" s="335"/>
      <c r="K18" s="335"/>
      <c r="L18" s="335" t="s">
        <v>119</v>
      </c>
    </row>
    <row r="19" spans="1:15" x14ac:dyDescent="0.2">
      <c r="A19" s="326"/>
      <c r="B19" s="241" t="s">
        <v>139</v>
      </c>
      <c r="C19" s="242" t="s">
        <v>140</v>
      </c>
      <c r="D19" s="243" t="s">
        <v>141</v>
      </c>
      <c r="E19" s="244" t="s">
        <v>250</v>
      </c>
      <c r="F19" s="245" t="s">
        <v>378</v>
      </c>
      <c r="G19" s="246" t="s">
        <v>421</v>
      </c>
      <c r="H19" s="247" t="s">
        <v>563</v>
      </c>
      <c r="I19" s="335"/>
      <c r="J19" s="335"/>
      <c r="K19" s="335"/>
      <c r="L19" s="84" t="s">
        <v>250</v>
      </c>
    </row>
    <row r="20" spans="1:15" x14ac:dyDescent="0.2">
      <c r="A20" s="326" t="s">
        <v>142</v>
      </c>
      <c r="B20" s="330">
        <v>0</v>
      </c>
      <c r="C20" s="331">
        <v>0</v>
      </c>
      <c r="D20" s="332">
        <v>0</v>
      </c>
      <c r="E20" s="333">
        <v>0</v>
      </c>
      <c r="F20" s="334">
        <v>0</v>
      </c>
      <c r="G20" s="248">
        <v>0</v>
      </c>
      <c r="H20" s="341">
        <v>0</v>
      </c>
      <c r="I20" s="335" t="s">
        <v>379</v>
      </c>
      <c r="J20" s="335"/>
      <c r="K20" s="335"/>
      <c r="L20" s="324" t="s">
        <v>113</v>
      </c>
    </row>
    <row r="21" spans="1:15" x14ac:dyDescent="0.2">
      <c r="A21" s="326" t="s">
        <v>130</v>
      </c>
      <c r="B21" s="330">
        <v>78</v>
      </c>
      <c r="C21" s="331">
        <v>78</v>
      </c>
      <c r="D21" s="332">
        <v>0</v>
      </c>
      <c r="E21" s="333">
        <v>0</v>
      </c>
      <c r="F21" s="334">
        <v>78</v>
      </c>
      <c r="G21" s="248">
        <v>0</v>
      </c>
      <c r="H21" s="341">
        <v>0</v>
      </c>
      <c r="I21" s="224" t="s">
        <v>478</v>
      </c>
      <c r="J21" s="335"/>
      <c r="K21" s="335"/>
      <c r="L21" s="335" t="s">
        <v>114</v>
      </c>
    </row>
    <row r="22" spans="1:15" x14ac:dyDescent="0.2">
      <c r="A22" s="326" t="s">
        <v>143</v>
      </c>
      <c r="B22" s="330">
        <v>0</v>
      </c>
      <c r="C22" s="331">
        <v>0</v>
      </c>
      <c r="D22" s="332">
        <v>0</v>
      </c>
      <c r="E22" s="333">
        <v>0</v>
      </c>
      <c r="F22" s="334">
        <v>0</v>
      </c>
      <c r="G22" s="248">
        <v>0</v>
      </c>
      <c r="H22" s="341">
        <v>0</v>
      </c>
      <c r="I22" s="224" t="s">
        <v>426</v>
      </c>
      <c r="J22" s="335"/>
      <c r="K22" s="335"/>
      <c r="L22" s="335" t="s">
        <v>120</v>
      </c>
    </row>
    <row r="23" spans="1:15" x14ac:dyDescent="0.2">
      <c r="A23" s="326" t="s">
        <v>94</v>
      </c>
      <c r="B23" s="330">
        <v>0</v>
      </c>
      <c r="C23" s="331">
        <v>0</v>
      </c>
      <c r="D23" s="332">
        <v>0</v>
      </c>
      <c r="E23" s="333">
        <v>0</v>
      </c>
      <c r="F23" s="334">
        <v>0</v>
      </c>
      <c r="G23" s="248">
        <v>0</v>
      </c>
      <c r="H23" s="341">
        <v>0</v>
      </c>
      <c r="I23" s="224" t="s">
        <v>426</v>
      </c>
      <c r="J23" s="335"/>
      <c r="K23" s="335"/>
      <c r="L23" s="335" t="s">
        <v>121</v>
      </c>
    </row>
    <row r="24" spans="1:15" x14ac:dyDescent="0.2">
      <c r="A24" s="326" t="s">
        <v>144</v>
      </c>
      <c r="B24" s="330">
        <v>0</v>
      </c>
      <c r="C24" s="331">
        <v>0</v>
      </c>
      <c r="D24" s="332">
        <v>0</v>
      </c>
      <c r="E24" s="333">
        <v>0</v>
      </c>
      <c r="F24" s="334">
        <v>0</v>
      </c>
      <c r="G24" s="248">
        <v>0</v>
      </c>
      <c r="H24" s="341">
        <v>0</v>
      </c>
      <c r="I24" s="335" t="s">
        <v>380</v>
      </c>
      <c r="J24" s="335"/>
      <c r="K24" s="335"/>
      <c r="L24" s="335"/>
    </row>
    <row r="25" spans="1:15" x14ac:dyDescent="0.2">
      <c r="A25" s="326" t="s">
        <v>214</v>
      </c>
      <c r="B25" s="330">
        <v>0</v>
      </c>
      <c r="C25" s="331">
        <v>0</v>
      </c>
      <c r="D25" s="332">
        <v>0</v>
      </c>
      <c r="E25" s="333">
        <v>0</v>
      </c>
      <c r="F25" s="334">
        <v>0</v>
      </c>
      <c r="G25" s="248">
        <v>0</v>
      </c>
      <c r="H25" s="341">
        <v>0</v>
      </c>
      <c r="I25" s="335" t="s">
        <v>380</v>
      </c>
      <c r="J25" s="335"/>
      <c r="K25" s="335"/>
      <c r="L25" s="335"/>
    </row>
    <row r="26" spans="1:15" x14ac:dyDescent="0.2">
      <c r="A26" s="326" t="s">
        <v>215</v>
      </c>
      <c r="B26" s="330">
        <v>0</v>
      </c>
      <c r="C26" s="331">
        <v>0</v>
      </c>
      <c r="D26" s="332">
        <v>0</v>
      </c>
      <c r="E26" s="333">
        <v>0</v>
      </c>
      <c r="F26" s="334">
        <v>0</v>
      </c>
      <c r="G26" s="248">
        <v>0</v>
      </c>
      <c r="H26" s="341">
        <v>0</v>
      </c>
      <c r="I26" s="335" t="s">
        <v>380</v>
      </c>
      <c r="J26" s="335"/>
      <c r="K26" s="335"/>
      <c r="L26" s="335"/>
    </row>
    <row r="27" spans="1:15" x14ac:dyDescent="0.2">
      <c r="A27" s="326" t="s">
        <v>216</v>
      </c>
      <c r="B27" s="330">
        <v>0</v>
      </c>
      <c r="C27" s="331">
        <v>0</v>
      </c>
      <c r="D27" s="332">
        <v>0</v>
      </c>
      <c r="E27" s="333">
        <v>0</v>
      </c>
      <c r="F27" s="334">
        <v>0</v>
      </c>
      <c r="G27" s="248">
        <v>0</v>
      </c>
      <c r="H27" s="341">
        <v>0</v>
      </c>
      <c r="I27" s="335" t="s">
        <v>20</v>
      </c>
      <c r="J27" s="335"/>
      <c r="K27" s="335"/>
      <c r="L27" s="335"/>
    </row>
    <row r="28" spans="1:15" x14ac:dyDescent="0.2">
      <c r="F28" s="335"/>
      <c r="G28" s="335"/>
      <c r="H28" s="335"/>
      <c r="I28" s="335"/>
      <c r="J28" s="335"/>
    </row>
    <row r="29" spans="1:15" x14ac:dyDescent="0.2">
      <c r="F29" s="335"/>
      <c r="G29" s="335"/>
      <c r="H29" s="335"/>
      <c r="I29" s="335"/>
      <c r="J29" s="335"/>
      <c r="O29" t="s">
        <v>560</v>
      </c>
    </row>
    <row r="30" spans="1:15" x14ac:dyDescent="0.2">
      <c r="F30" s="343" t="s">
        <v>382</v>
      </c>
      <c r="G30" s="343"/>
      <c r="H30" s="335"/>
      <c r="I30" s="335"/>
      <c r="J30" s="335"/>
      <c r="O30" t="s">
        <v>561</v>
      </c>
    </row>
    <row r="31" spans="1:15" x14ac:dyDescent="0.2">
      <c r="F31" s="344" t="s">
        <v>383</v>
      </c>
      <c r="G31" s="344" t="s">
        <v>384</v>
      </c>
      <c r="O31" t="s">
        <v>558</v>
      </c>
    </row>
    <row r="32" spans="1:15" x14ac:dyDescent="0.2">
      <c r="F32" s="344">
        <v>8523</v>
      </c>
      <c r="G32" s="344">
        <v>1436</v>
      </c>
      <c r="O32" t="s">
        <v>559</v>
      </c>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row r="50" spans="1:8" x14ac:dyDescent="0.2">
      <c r="A50"/>
      <c r="B50"/>
      <c r="C50"/>
      <c r="D50"/>
      <c r="E50"/>
      <c r="F50"/>
      <c r="G50"/>
      <c r="H50"/>
    </row>
    <row r="51" spans="1:8" x14ac:dyDescent="0.2">
      <c r="A51"/>
      <c r="B51"/>
      <c r="C51"/>
      <c r="D51"/>
      <c r="E51"/>
      <c r="F51"/>
      <c r="G51"/>
      <c r="H51"/>
    </row>
    <row r="52" spans="1:8" x14ac:dyDescent="0.2">
      <c r="A52"/>
      <c r="B52"/>
      <c r="C52"/>
      <c r="D52"/>
      <c r="E52"/>
      <c r="F52"/>
      <c r="G52"/>
      <c r="H52"/>
    </row>
    <row r="53" spans="1:8" x14ac:dyDescent="0.2">
      <c r="A53"/>
      <c r="B53"/>
      <c r="C53"/>
      <c r="D53"/>
      <c r="E53"/>
      <c r="F53"/>
      <c r="G53"/>
      <c r="H53"/>
    </row>
    <row r="54" spans="1:8" x14ac:dyDescent="0.2">
      <c r="A54"/>
      <c r="B54"/>
      <c r="C54"/>
      <c r="D54"/>
      <c r="E54"/>
      <c r="F54"/>
      <c r="G54"/>
      <c r="H54"/>
    </row>
    <row r="55" spans="1:8" x14ac:dyDescent="0.2">
      <c r="A55"/>
      <c r="B55"/>
      <c r="C55"/>
      <c r="D55"/>
      <c r="E55"/>
      <c r="F55"/>
      <c r="G55"/>
      <c r="H55"/>
    </row>
    <row r="56" spans="1:8" x14ac:dyDescent="0.2">
      <c r="A56"/>
      <c r="B56"/>
      <c r="C56"/>
      <c r="D56"/>
      <c r="E56"/>
      <c r="F56"/>
      <c r="G56"/>
      <c r="H56"/>
    </row>
    <row r="57" spans="1:8" x14ac:dyDescent="0.2">
      <c r="A57"/>
      <c r="B57"/>
      <c r="C57"/>
      <c r="D57"/>
      <c r="E57"/>
      <c r="F57"/>
      <c r="G57"/>
      <c r="H57"/>
    </row>
    <row r="58" spans="1:8" x14ac:dyDescent="0.2">
      <c r="A58"/>
      <c r="B58"/>
      <c r="C58"/>
      <c r="D58"/>
      <c r="E58"/>
      <c r="F58"/>
      <c r="G58"/>
      <c r="H58"/>
    </row>
    <row r="59" spans="1:8" x14ac:dyDescent="0.2">
      <c r="A59"/>
      <c r="B59"/>
      <c r="C59"/>
      <c r="D59"/>
      <c r="E59"/>
      <c r="F59"/>
      <c r="G59"/>
      <c r="H59"/>
    </row>
    <row r="60" spans="1:8" x14ac:dyDescent="0.2">
      <c r="A60"/>
      <c r="B60"/>
      <c r="C60"/>
      <c r="D60"/>
      <c r="E60"/>
      <c r="F60"/>
      <c r="G60"/>
      <c r="H60"/>
    </row>
    <row r="61" spans="1:8" x14ac:dyDescent="0.2">
      <c r="A61"/>
      <c r="B61"/>
      <c r="C61"/>
      <c r="D61"/>
      <c r="E61"/>
      <c r="F61"/>
      <c r="G61"/>
      <c r="H61"/>
    </row>
    <row r="62" spans="1:8" x14ac:dyDescent="0.2">
      <c r="A62"/>
      <c r="B62"/>
      <c r="C62"/>
      <c r="D62"/>
      <c r="E62"/>
      <c r="F62"/>
      <c r="G62"/>
      <c r="H62"/>
    </row>
    <row r="63" spans="1:8" x14ac:dyDescent="0.2">
      <c r="A63"/>
      <c r="B63"/>
      <c r="C63"/>
      <c r="D63"/>
      <c r="E63"/>
      <c r="F63"/>
      <c r="G63"/>
      <c r="H63"/>
    </row>
  </sheetData>
  <phoneticPr fontId="9"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E21"/>
  <sheetViews>
    <sheetView topLeftCell="A9" workbookViewId="0">
      <selection activeCell="L25" sqref="L25"/>
    </sheetView>
  </sheetViews>
  <sheetFormatPr defaultRowHeight="12.75" x14ac:dyDescent="0.2"/>
  <cols>
    <col min="1" max="1" width="3.42578125" customWidth="1"/>
    <col min="2" max="2" width="13.42578125" customWidth="1"/>
    <col min="4" max="4" width="14" customWidth="1"/>
  </cols>
  <sheetData>
    <row r="2" spans="2:4" x14ac:dyDescent="0.2">
      <c r="B2" s="57" t="s">
        <v>32</v>
      </c>
    </row>
    <row r="4" spans="2:4" x14ac:dyDescent="0.2">
      <c r="B4" s="24" t="s">
        <v>318</v>
      </c>
      <c r="C4" s="506">
        <v>64.8</v>
      </c>
      <c r="D4" s="356" t="s">
        <v>666</v>
      </c>
    </row>
    <row r="5" spans="2:4" x14ac:dyDescent="0.2">
      <c r="B5" s="24" t="s">
        <v>320</v>
      </c>
      <c r="C5" s="506">
        <v>26.02</v>
      </c>
    </row>
    <row r="6" spans="2:4" x14ac:dyDescent="0.2">
      <c r="B6" s="24" t="s">
        <v>319</v>
      </c>
      <c r="C6" s="506">
        <v>48.08</v>
      </c>
    </row>
    <row r="9" spans="2:4" x14ac:dyDescent="0.2">
      <c r="B9" s="57" t="s">
        <v>33</v>
      </c>
    </row>
    <row r="11" spans="2:4" x14ac:dyDescent="0.2">
      <c r="B11" s="24" t="s">
        <v>34</v>
      </c>
      <c r="C11" s="75">
        <v>201</v>
      </c>
      <c r="D11" s="351" t="s">
        <v>695</v>
      </c>
    </row>
    <row r="12" spans="2:4" x14ac:dyDescent="0.2">
      <c r="B12" s="24" t="s">
        <v>35</v>
      </c>
      <c r="C12" s="75">
        <v>93</v>
      </c>
      <c r="D12" s="351" t="s">
        <v>695</v>
      </c>
    </row>
    <row r="13" spans="2:4" x14ac:dyDescent="0.2">
      <c r="B13" s="24" t="s">
        <v>36</v>
      </c>
      <c r="C13" s="75">
        <v>600</v>
      </c>
    </row>
    <row r="14" spans="2:4" x14ac:dyDescent="0.2">
      <c r="B14" s="24" t="s">
        <v>37</v>
      </c>
      <c r="C14" s="24">
        <v>3</v>
      </c>
    </row>
    <row r="17" spans="2:5" x14ac:dyDescent="0.2">
      <c r="B17" s="57" t="s">
        <v>38</v>
      </c>
    </row>
    <row r="19" spans="2:5" x14ac:dyDescent="0.2">
      <c r="B19" s="725" t="s">
        <v>39</v>
      </c>
      <c r="C19" s="725"/>
      <c r="D19" s="725"/>
      <c r="E19" s="76">
        <v>0.2</v>
      </c>
    </row>
    <row r="20" spans="2:5" x14ac:dyDescent="0.2">
      <c r="B20" s="725" t="s">
        <v>40</v>
      </c>
      <c r="C20" s="725"/>
      <c r="D20" s="725"/>
      <c r="E20" s="76">
        <v>0.1</v>
      </c>
    </row>
    <row r="21" spans="2:5" x14ac:dyDescent="0.2">
      <c r="B21" s="725" t="s">
        <v>41</v>
      </c>
      <c r="C21" s="725"/>
      <c r="D21" s="725"/>
      <c r="E21" s="76">
        <v>0.1</v>
      </c>
    </row>
  </sheetData>
  <mergeCells count="3">
    <mergeCell ref="B20:D20"/>
    <mergeCell ref="B19:D19"/>
    <mergeCell ref="B21:D21"/>
  </mergeCells>
  <phoneticPr fontId="9"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
  <sheetViews>
    <sheetView zoomScale="130" zoomScaleNormal="130" workbookViewId="0">
      <pane xSplit="1" ySplit="3" topLeftCell="B64" activePane="bottomRight" state="frozen"/>
      <selection activeCell="R31" sqref="R31"/>
      <selection pane="topRight" activeCell="R31" sqref="R31"/>
      <selection pane="bottomLeft" activeCell="R31" sqref="R31"/>
      <selection pane="bottomRight" activeCell="J78" sqref="J78"/>
    </sheetView>
  </sheetViews>
  <sheetFormatPr defaultColWidth="9.140625" defaultRowHeight="11.25" x14ac:dyDescent="0.2"/>
  <cols>
    <col min="1" max="1" width="36.5703125" style="77" customWidth="1"/>
    <col min="2" max="2" width="8" style="39"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8.140625" style="39" customWidth="1"/>
    <col min="9" max="9" width="9.42578125" style="40" bestFit="1" customWidth="1"/>
    <col min="10" max="11" width="6.85546875" style="39" bestFit="1" customWidth="1"/>
    <col min="12" max="12" width="8.5703125" style="39" customWidth="1"/>
    <col min="13" max="13" width="7.85546875" style="39" hidden="1" customWidth="1"/>
    <col min="14" max="14" width="10.140625" style="39" customWidth="1"/>
    <col min="15" max="15" width="10.42578125" style="120" bestFit="1" customWidth="1"/>
    <col min="16" max="16" width="8.5703125" style="120" bestFit="1" customWidth="1"/>
    <col min="17" max="17" width="4.42578125" style="39" customWidth="1"/>
    <col min="18" max="18" width="14.140625" style="77" hidden="1" customWidth="1"/>
    <col min="19" max="19" width="11.28515625" style="77" hidden="1" customWidth="1"/>
    <col min="20" max="20" width="4.85546875" style="77" customWidth="1"/>
    <col min="21" max="21" width="0" style="77" hidden="1" customWidth="1"/>
    <col min="22" max="16384" width="9.140625" style="77"/>
  </cols>
  <sheetData>
    <row r="1" spans="1:22" x14ac:dyDescent="0.2">
      <c r="A1" s="684" t="s">
        <v>717</v>
      </c>
      <c r="B1" s="684"/>
      <c r="C1" s="684"/>
      <c r="D1" s="684"/>
      <c r="E1" s="684"/>
      <c r="F1" s="684"/>
      <c r="G1" s="684"/>
      <c r="H1" s="684"/>
      <c r="I1" s="684"/>
      <c r="J1" s="684"/>
      <c r="K1" s="684"/>
      <c r="L1" s="684"/>
      <c r="M1" s="684"/>
      <c r="N1" s="684"/>
      <c r="O1" s="684"/>
      <c r="P1" s="684"/>
      <c r="Q1" s="684"/>
    </row>
    <row r="2" spans="1:22" x14ac:dyDescent="0.2">
      <c r="A2" s="685" t="s">
        <v>588</v>
      </c>
      <c r="B2" s="685"/>
      <c r="C2" s="685"/>
      <c r="D2" s="685"/>
      <c r="E2" s="685"/>
      <c r="F2" s="685"/>
      <c r="G2" s="685"/>
      <c r="H2" s="685"/>
      <c r="I2" s="685"/>
      <c r="J2" s="685"/>
      <c r="K2" s="685"/>
      <c r="L2" s="685"/>
      <c r="M2" s="685"/>
      <c r="N2" s="685"/>
      <c r="O2" s="685"/>
      <c r="P2" s="685"/>
      <c r="Q2" s="685"/>
    </row>
    <row r="3" spans="1:22" s="117" customFormat="1" ht="57" customHeight="1"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117" t="s">
        <v>225</v>
      </c>
      <c r="S3" s="117" t="s">
        <v>226</v>
      </c>
      <c r="U3" s="349" t="s">
        <v>665</v>
      </c>
    </row>
    <row r="4" spans="1:22" s="95" customFormat="1" ht="9" x14ac:dyDescent="0.15">
      <c r="A4" s="102" t="s">
        <v>284</v>
      </c>
      <c r="B4" s="103" t="s">
        <v>311</v>
      </c>
      <c r="C4" s="103"/>
      <c r="D4" s="105"/>
      <c r="E4" s="105"/>
      <c r="F4" s="105"/>
      <c r="G4" s="103"/>
      <c r="H4" s="103"/>
      <c r="I4" s="107"/>
      <c r="J4" s="107"/>
      <c r="K4" s="107"/>
      <c r="L4" s="107"/>
      <c r="M4" s="103"/>
      <c r="N4" s="105"/>
      <c r="O4" s="105"/>
      <c r="P4" s="105"/>
      <c r="Q4" s="143"/>
      <c r="U4" s="250"/>
    </row>
    <row r="5" spans="1:22" s="95" customFormat="1" ht="9" x14ac:dyDescent="0.15">
      <c r="A5" s="90" t="s">
        <v>285</v>
      </c>
      <c r="B5" s="31" t="s">
        <v>311</v>
      </c>
      <c r="C5" s="31"/>
      <c r="D5" s="37"/>
      <c r="E5" s="37"/>
      <c r="F5" s="37"/>
      <c r="G5" s="31"/>
      <c r="H5" s="31"/>
      <c r="I5" s="64"/>
      <c r="J5" s="64"/>
      <c r="K5" s="64"/>
      <c r="L5" s="64"/>
      <c r="M5" s="31"/>
      <c r="N5" s="37"/>
      <c r="O5" s="37"/>
      <c r="P5" s="37"/>
      <c r="Q5" s="66"/>
      <c r="U5" s="250"/>
    </row>
    <row r="6" spans="1:22" s="95" customFormat="1" ht="9" x14ac:dyDescent="0.15">
      <c r="A6" s="90" t="s">
        <v>286</v>
      </c>
      <c r="B6" s="31"/>
      <c r="C6" s="31"/>
      <c r="D6" s="37"/>
      <c r="E6" s="37"/>
      <c r="F6" s="37"/>
      <c r="G6" s="31"/>
      <c r="H6" s="31"/>
      <c r="I6" s="64"/>
      <c r="J6" s="64"/>
      <c r="K6" s="64"/>
      <c r="L6" s="64"/>
      <c r="M6" s="31"/>
      <c r="N6" s="37"/>
      <c r="O6" s="37"/>
      <c r="P6" s="37"/>
      <c r="Q6" s="66"/>
      <c r="U6" s="250"/>
    </row>
    <row r="7" spans="1:22" s="95" customFormat="1" ht="9" x14ac:dyDescent="0.15">
      <c r="A7" s="91" t="s">
        <v>626</v>
      </c>
      <c r="B7" s="31">
        <v>10</v>
      </c>
      <c r="C7" s="31"/>
      <c r="D7" s="37">
        <v>0</v>
      </c>
      <c r="E7" s="37">
        <v>0</v>
      </c>
      <c r="F7" s="37">
        <v>0</v>
      </c>
      <c r="G7" s="31">
        <v>1</v>
      </c>
      <c r="H7" s="31">
        <f>B7*G7</f>
        <v>10</v>
      </c>
      <c r="I7" s="63">
        <f>ROUND(SUM('Base Data'!$H$18:$H$20,'Base Data'!$H$23:$H$25,(SUM('Base Data'!$H$63:$H$65)/3)),0)</f>
        <v>121</v>
      </c>
      <c r="J7" s="64">
        <f>H7*I7</f>
        <v>1210</v>
      </c>
      <c r="K7" s="64">
        <f>J7*0.1</f>
        <v>121</v>
      </c>
      <c r="L7" s="63">
        <f>J7*0.05</f>
        <v>60.5</v>
      </c>
      <c r="M7" s="31">
        <f>C7*G7*I7</f>
        <v>0</v>
      </c>
      <c r="N7" s="37">
        <f>(J7*'Base Data'!$C$5)+(K7*'Base Data'!$C$6)+(L7*'Base Data'!$C$7)</f>
        <v>152373.48500000002</v>
      </c>
      <c r="O7" s="37">
        <f>(D7+E7+F7)*G7*I7</f>
        <v>0</v>
      </c>
      <c r="P7" s="64">
        <f>G7*I7</f>
        <v>121</v>
      </c>
      <c r="Q7" s="66" t="s">
        <v>276</v>
      </c>
      <c r="U7" s="250">
        <v>0</v>
      </c>
    </row>
    <row r="8" spans="1:22" s="95" customFormat="1" ht="9" x14ac:dyDescent="0.15">
      <c r="A8" s="90" t="s">
        <v>288</v>
      </c>
      <c r="B8" s="31"/>
      <c r="C8" s="31"/>
      <c r="D8" s="37"/>
      <c r="E8" s="37"/>
      <c r="F8" s="37"/>
      <c r="G8" s="31"/>
      <c r="H8" s="31"/>
      <c r="I8" s="64"/>
      <c r="J8" s="64"/>
      <c r="K8" s="64"/>
      <c r="L8" s="64"/>
      <c r="M8" s="31"/>
      <c r="N8" s="37"/>
      <c r="O8" s="37"/>
      <c r="P8" s="37"/>
      <c r="Q8" s="66"/>
      <c r="U8" s="250"/>
      <c r="V8" s="323"/>
    </row>
    <row r="9" spans="1:22" s="95" customFormat="1" ht="9" x14ac:dyDescent="0.15">
      <c r="A9" s="91" t="s">
        <v>302</v>
      </c>
      <c r="B9" s="31"/>
      <c r="C9" s="31"/>
      <c r="D9" s="67"/>
      <c r="E9" s="37"/>
      <c r="F9" s="37"/>
      <c r="G9" s="31"/>
      <c r="H9" s="31"/>
      <c r="I9" s="63"/>
      <c r="J9" s="64"/>
      <c r="K9" s="64"/>
      <c r="L9" s="64"/>
      <c r="M9" s="65"/>
      <c r="N9" s="37"/>
      <c r="O9" s="37"/>
      <c r="P9" s="37"/>
      <c r="Q9" s="66"/>
      <c r="U9" s="250"/>
    </row>
    <row r="10" spans="1:22" s="95" customFormat="1" ht="9" x14ac:dyDescent="0.15">
      <c r="A10" s="90" t="s">
        <v>211</v>
      </c>
      <c r="B10" s="31">
        <v>20</v>
      </c>
      <c r="C10" s="31"/>
      <c r="D10" s="37">
        <v>854</v>
      </c>
      <c r="E10" s="37">
        <v>0</v>
      </c>
      <c r="F10" s="37">
        <v>0</v>
      </c>
      <c r="G10" s="31">
        <v>1</v>
      </c>
      <c r="H10" s="31">
        <f>B10*G10</f>
        <v>20</v>
      </c>
      <c r="I10" s="63">
        <v>0</v>
      </c>
      <c r="J10" s="64">
        <f>H10*I10</f>
        <v>0</v>
      </c>
      <c r="K10" s="64">
        <f>J10*0.1</f>
        <v>0</v>
      </c>
      <c r="L10" s="64">
        <f>J10*0.05</f>
        <v>0</v>
      </c>
      <c r="M10" s="65">
        <f>C10*G10*I10</f>
        <v>0</v>
      </c>
      <c r="N10" s="37">
        <f>(J10*'Base Data'!$C$5)+(K10*'Base Data'!$C$6)+(L10*'Base Data'!$C$7)</f>
        <v>0</v>
      </c>
      <c r="O10" s="37">
        <f>(D10+E10+F10)*G10*I10</f>
        <v>0</v>
      </c>
      <c r="P10" s="64">
        <v>0</v>
      </c>
      <c r="Q10" s="66" t="s">
        <v>316</v>
      </c>
      <c r="U10" s="250">
        <v>7</v>
      </c>
    </row>
    <row r="11" spans="1:22" s="95"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316</v>
      </c>
      <c r="U11" s="250">
        <v>52</v>
      </c>
    </row>
    <row r="12" spans="1:22" s="95" customFormat="1" ht="9" x14ac:dyDescent="0.15">
      <c r="A12" s="91" t="s">
        <v>257</v>
      </c>
      <c r="B12" s="31">
        <v>12</v>
      </c>
      <c r="C12" s="31"/>
      <c r="D12" s="37">
        <v>0</v>
      </c>
      <c r="E12" s="37">
        <f>'Testing Costs'!$B$13</f>
        <v>5000</v>
      </c>
      <c r="F12" s="37">
        <v>0</v>
      </c>
      <c r="G12" s="31">
        <v>1</v>
      </c>
      <c r="H12" s="31">
        <f t="shared" ref="H12:H22" si="0">B12*G12</f>
        <v>12</v>
      </c>
      <c r="I12" s="63">
        <v>0</v>
      </c>
      <c r="J12" s="64">
        <f t="shared" ref="J12:J22" si="1">H12*I12</f>
        <v>0</v>
      </c>
      <c r="K12" s="457">
        <f t="shared" ref="K12:K22" si="2">J12*0.1</f>
        <v>0</v>
      </c>
      <c r="L12" s="457">
        <f t="shared" ref="L12:L22" si="3">J12*0.05</f>
        <v>0</v>
      </c>
      <c r="M12" s="65"/>
      <c r="N12" s="37">
        <f>(J12*'Base Data'!$C$5)+(K12*'Base Data'!$C$6)+(L12*'Base Data'!$C$7)</f>
        <v>0</v>
      </c>
      <c r="O12" s="37">
        <f t="shared" ref="O12:O23" si="4">(D12+E12+F12)*G12*I12</f>
        <v>0</v>
      </c>
      <c r="P12" s="64">
        <v>0</v>
      </c>
      <c r="Q12" s="66" t="s">
        <v>85</v>
      </c>
      <c r="R12" s="250"/>
      <c r="U12" s="250">
        <v>507</v>
      </c>
    </row>
    <row r="13" spans="1:22" s="95" customFormat="1" ht="9" x14ac:dyDescent="0.15">
      <c r="A13" s="91" t="s">
        <v>258</v>
      </c>
      <c r="B13" s="31">
        <v>12</v>
      </c>
      <c r="C13" s="31"/>
      <c r="D13" s="37">
        <v>0</v>
      </c>
      <c r="E13" s="37">
        <f>'Testing Costs'!$B$17</f>
        <v>8000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t="s">
        <v>277</v>
      </c>
      <c r="U13" s="250">
        <v>507</v>
      </c>
    </row>
    <row r="14" spans="1:22" s="95" customFormat="1" ht="9" x14ac:dyDescent="0.15">
      <c r="A14" s="91" t="s">
        <v>259</v>
      </c>
      <c r="B14" s="31">
        <v>12</v>
      </c>
      <c r="C14" s="31"/>
      <c r="D14" s="37">
        <v>0</v>
      </c>
      <c r="E14" s="37">
        <f>'Testing Costs'!$B$15</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t="s">
        <v>277</v>
      </c>
      <c r="U14" s="250">
        <v>507</v>
      </c>
    </row>
    <row r="15" spans="1:22" s="95" customFormat="1" ht="9" x14ac:dyDescent="0.15">
      <c r="A15" s="91" t="s">
        <v>158</v>
      </c>
      <c r="B15" s="31">
        <v>12</v>
      </c>
      <c r="C15" s="31"/>
      <c r="D15" s="37">
        <v>0</v>
      </c>
      <c r="E15" s="37">
        <f>'Testing Costs'!$B$14</f>
        <v>7000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t="s">
        <v>277</v>
      </c>
      <c r="U15" s="250">
        <v>507</v>
      </c>
    </row>
    <row r="16" spans="1:22" s="95" customFormat="1" ht="9" customHeight="1" x14ac:dyDescent="0.15">
      <c r="A16" s="91" t="s">
        <v>122</v>
      </c>
      <c r="B16" s="31">
        <v>12</v>
      </c>
      <c r="C16" s="31"/>
      <c r="D16" s="37">
        <v>0</v>
      </c>
      <c r="E16" s="37">
        <f>'Testing Costs'!$B$13</f>
        <v>5000</v>
      </c>
      <c r="F16" s="37">
        <v>0</v>
      </c>
      <c r="G16" s="31">
        <v>1</v>
      </c>
      <c r="H16" s="31">
        <f t="shared" si="0"/>
        <v>12</v>
      </c>
      <c r="I16" s="63">
        <f>ROUND(SUM('Base Data'!$D$18:$D$20,'Base Data'!$D$23:$D$25,(SUM('Base Data'!$D$63:$D$65)/3)),0)</f>
        <v>1040</v>
      </c>
      <c r="J16" s="64">
        <f t="shared" si="1"/>
        <v>12480</v>
      </c>
      <c r="K16" s="457">
        <f t="shared" si="2"/>
        <v>1248</v>
      </c>
      <c r="L16" s="457">
        <f t="shared" si="3"/>
        <v>624</v>
      </c>
      <c r="M16" s="65"/>
      <c r="N16" s="37">
        <f>(J16*'Base Data'!$C$5)+(K16*'Base Data'!$C$6)+(L16*'Base Data'!$C$7)</f>
        <v>1571587.6800000002</v>
      </c>
      <c r="O16" s="37">
        <f t="shared" si="4"/>
        <v>5200000</v>
      </c>
      <c r="P16" s="64">
        <v>0</v>
      </c>
      <c r="Q16" s="66" t="s">
        <v>394</v>
      </c>
      <c r="U16" s="250">
        <v>507</v>
      </c>
    </row>
    <row r="17" spans="1:21" s="95" customFormat="1" ht="9" x14ac:dyDescent="0.15">
      <c r="A17" s="91" t="s">
        <v>123</v>
      </c>
      <c r="B17" s="31">
        <v>12</v>
      </c>
      <c r="C17" s="31"/>
      <c r="D17" s="37">
        <v>0</v>
      </c>
      <c r="E17" s="37">
        <f>'Testing Costs'!$B$17</f>
        <v>8000</v>
      </c>
      <c r="F17" s="37">
        <v>0</v>
      </c>
      <c r="G17" s="31">
        <v>1</v>
      </c>
      <c r="H17" s="31">
        <f t="shared" si="0"/>
        <v>12</v>
      </c>
      <c r="I17" s="63">
        <f>ROUND(SUM('Base Data'!$D$18:$D$20,'Base Data'!$D$23:$D$25,(SUM('Base Data'!$D$63:$D$65)/3)),0)</f>
        <v>1040</v>
      </c>
      <c r="J17" s="64">
        <f t="shared" si="1"/>
        <v>12480</v>
      </c>
      <c r="K17" s="457">
        <f t="shared" si="2"/>
        <v>1248</v>
      </c>
      <c r="L17" s="457">
        <f t="shared" si="3"/>
        <v>624</v>
      </c>
      <c r="M17" s="65"/>
      <c r="N17" s="37">
        <f>(J17*'Base Data'!$C$5)+(K17*'Base Data'!$C$6)+(L17*'Base Data'!$C$7)</f>
        <v>1571587.6800000002</v>
      </c>
      <c r="O17" s="37">
        <f t="shared" si="4"/>
        <v>8320000</v>
      </c>
      <c r="P17" s="64">
        <v>0</v>
      </c>
      <c r="Q17" s="66" t="s">
        <v>387</v>
      </c>
      <c r="U17" s="250">
        <v>507</v>
      </c>
    </row>
    <row r="18" spans="1:21" s="95" customFormat="1" ht="9" x14ac:dyDescent="0.15">
      <c r="A18" s="91" t="s">
        <v>124</v>
      </c>
      <c r="B18" s="31">
        <v>12</v>
      </c>
      <c r="C18" s="31"/>
      <c r="D18" s="37">
        <v>0</v>
      </c>
      <c r="E18" s="37">
        <f>'Testing Costs'!$B$15</f>
        <v>8000</v>
      </c>
      <c r="F18" s="37">
        <v>0</v>
      </c>
      <c r="G18" s="31">
        <v>1</v>
      </c>
      <c r="H18" s="31">
        <f t="shared" si="0"/>
        <v>12</v>
      </c>
      <c r="I18" s="63">
        <f>ROUND(SUM('Base Data'!$D$18:$D$20,'Base Data'!$D$23:$D$25,(SUM('Base Data'!$D$63:$D$65)/3)),0)</f>
        <v>1040</v>
      </c>
      <c r="J18" s="64">
        <f t="shared" si="1"/>
        <v>12480</v>
      </c>
      <c r="K18" s="457">
        <f t="shared" si="2"/>
        <v>1248</v>
      </c>
      <c r="L18" s="457">
        <f t="shared" si="3"/>
        <v>624</v>
      </c>
      <c r="M18" s="65"/>
      <c r="N18" s="37">
        <f>(J18*'Base Data'!$C$5)+(K18*'Base Data'!$C$6)+(L18*'Base Data'!$C$7)</f>
        <v>1571587.6800000002</v>
      </c>
      <c r="O18" s="37">
        <f t="shared" si="4"/>
        <v>8320000</v>
      </c>
      <c r="P18" s="64">
        <v>0</v>
      </c>
      <c r="Q18" s="66" t="s">
        <v>387</v>
      </c>
      <c r="U18" s="250">
        <v>507</v>
      </c>
    </row>
    <row r="19" spans="1:21" s="95" customFormat="1" ht="9" x14ac:dyDescent="0.15">
      <c r="A19" s="91" t="s">
        <v>125</v>
      </c>
      <c r="B19" s="31">
        <v>12</v>
      </c>
      <c r="C19" s="31"/>
      <c r="D19" s="37">
        <v>0</v>
      </c>
      <c r="E19" s="37">
        <f>'Testing Costs'!$B$14</f>
        <v>7000</v>
      </c>
      <c r="F19" s="37">
        <v>0</v>
      </c>
      <c r="G19" s="31">
        <v>1</v>
      </c>
      <c r="H19" s="31">
        <f t="shared" si="0"/>
        <v>12</v>
      </c>
      <c r="I19" s="63">
        <f>ROUND(SUM('Base Data'!$D$18:$D$20,'Base Data'!$D$23:$D$25,(SUM('Base Data'!$D$63:$D$65)/3)),0)</f>
        <v>1040</v>
      </c>
      <c r="J19" s="64">
        <f t="shared" si="1"/>
        <v>12480</v>
      </c>
      <c r="K19" s="457">
        <f t="shared" si="2"/>
        <v>1248</v>
      </c>
      <c r="L19" s="457">
        <f t="shared" si="3"/>
        <v>624</v>
      </c>
      <c r="M19" s="65"/>
      <c r="N19" s="37">
        <f>(J19*'Base Data'!$C$5)+(K19*'Base Data'!$C$6)+(L19*'Base Data'!$C$7)</f>
        <v>1571587.6800000002</v>
      </c>
      <c r="O19" s="37">
        <f t="shared" si="4"/>
        <v>7280000</v>
      </c>
      <c r="P19" s="64">
        <v>0</v>
      </c>
      <c r="Q19" s="66" t="s">
        <v>387</v>
      </c>
      <c r="U19" s="250">
        <v>507</v>
      </c>
    </row>
    <row r="20" spans="1:21" s="95" customFormat="1" ht="18.75" customHeight="1" x14ac:dyDescent="0.15">
      <c r="A20" s="197" t="s">
        <v>428</v>
      </c>
      <c r="B20" s="31">
        <v>24</v>
      </c>
      <c r="C20" s="196"/>
      <c r="D20" s="37">
        <v>0</v>
      </c>
      <c r="E20" s="37">
        <f>$E$13+$E$14</f>
        <v>16000</v>
      </c>
      <c r="F20" s="37">
        <v>0</v>
      </c>
      <c r="G20" s="31">
        <v>1</v>
      </c>
      <c r="H20" s="31">
        <f t="shared" si="0"/>
        <v>24</v>
      </c>
      <c r="I20" s="63">
        <f>ROUND(SUM('Base Data'!$D$18:$D$20,'Base Data'!$D$23:$D$25,(SUM('Base Data'!$D$63:$D$65)/3)),0)</f>
        <v>1040</v>
      </c>
      <c r="J20" s="64">
        <f>H20*I20</f>
        <v>24960</v>
      </c>
      <c r="K20" s="64">
        <f>J20*0.1</f>
        <v>2496</v>
      </c>
      <c r="L20" s="64">
        <f>J20*0.05</f>
        <v>1248</v>
      </c>
      <c r="M20" s="65"/>
      <c r="N20" s="37">
        <f>(J20*'Base Data'!$C$5)+(K20*'Base Data'!$C$6)+(L20*'Base Data'!$C$7)</f>
        <v>3143175.3600000003</v>
      </c>
      <c r="O20" s="37">
        <f>(D20+E20+F20)*G20*I20</f>
        <v>16640000</v>
      </c>
      <c r="P20" s="64">
        <v>0</v>
      </c>
      <c r="Q20" s="66" t="s">
        <v>269</v>
      </c>
      <c r="U20" s="250">
        <v>546</v>
      </c>
    </row>
    <row r="21" spans="1:21" s="95" customFormat="1" ht="9" customHeight="1" x14ac:dyDescent="0.15">
      <c r="A21" s="91" t="s">
        <v>429</v>
      </c>
      <c r="B21" s="31">
        <v>5</v>
      </c>
      <c r="C21" s="31"/>
      <c r="D21" s="37">
        <v>0</v>
      </c>
      <c r="E21" s="37">
        <v>400</v>
      </c>
      <c r="F21" s="37">
        <v>0</v>
      </c>
      <c r="G21" s="31">
        <v>1</v>
      </c>
      <c r="H21" s="31">
        <f t="shared" si="0"/>
        <v>5</v>
      </c>
      <c r="I21" s="63">
        <v>0</v>
      </c>
      <c r="J21" s="64">
        <f t="shared" si="1"/>
        <v>0</v>
      </c>
      <c r="K21" s="64">
        <f t="shared" si="2"/>
        <v>0</v>
      </c>
      <c r="L21" s="64">
        <f t="shared" si="3"/>
        <v>0</v>
      </c>
      <c r="M21" s="65"/>
      <c r="N21" s="37">
        <f>(J21*'Base Data'!$C$5)+(K21*'Base Data'!$C$6)+(L21*'Base Data'!$C$7)</f>
        <v>0</v>
      </c>
      <c r="O21" s="37">
        <f t="shared" si="4"/>
        <v>0</v>
      </c>
      <c r="P21" s="64">
        <v>0</v>
      </c>
      <c r="Q21" s="66" t="s">
        <v>84</v>
      </c>
      <c r="U21" s="250">
        <v>0</v>
      </c>
    </row>
    <row r="22" spans="1:21" s="95" customFormat="1" ht="9" customHeight="1" x14ac:dyDescent="0.15">
      <c r="A22" s="91" t="s">
        <v>430</v>
      </c>
      <c r="B22" s="31">
        <v>5</v>
      </c>
      <c r="C22" s="31"/>
      <c r="D22" s="37">
        <v>0</v>
      </c>
      <c r="E22" s="37">
        <v>400</v>
      </c>
      <c r="F22" s="37">
        <v>0</v>
      </c>
      <c r="G22" s="31">
        <v>12</v>
      </c>
      <c r="H22" s="31">
        <f t="shared" si="0"/>
        <v>60</v>
      </c>
      <c r="I22" s="63">
        <v>0</v>
      </c>
      <c r="J22" s="64">
        <f t="shared" si="1"/>
        <v>0</v>
      </c>
      <c r="K22" s="64">
        <f t="shared" si="2"/>
        <v>0</v>
      </c>
      <c r="L22" s="64">
        <f t="shared" si="3"/>
        <v>0</v>
      </c>
      <c r="M22" s="65"/>
      <c r="N22" s="37">
        <f>(J22*'Base Data'!$C$5)+(K22*'Base Data'!$C$6)+(L22*'Base Data'!$C$7)</f>
        <v>0</v>
      </c>
      <c r="O22" s="37">
        <f t="shared" si="4"/>
        <v>0</v>
      </c>
      <c r="P22" s="64">
        <v>0</v>
      </c>
      <c r="Q22" s="66" t="s">
        <v>84</v>
      </c>
      <c r="U22" s="250">
        <v>0</v>
      </c>
    </row>
    <row r="23" spans="1:21" s="95" customFormat="1" ht="9" x14ac:dyDescent="0.15">
      <c r="A23" s="90" t="s">
        <v>432</v>
      </c>
      <c r="B23" s="31">
        <v>12</v>
      </c>
      <c r="C23" s="31"/>
      <c r="D23" s="37">
        <v>0</v>
      </c>
      <c r="E23" s="37">
        <v>2875</v>
      </c>
      <c r="F23" s="37">
        <v>0</v>
      </c>
      <c r="G23" s="31">
        <v>1</v>
      </c>
      <c r="H23" s="31">
        <f>B23*G23</f>
        <v>12</v>
      </c>
      <c r="I23" s="63">
        <f>ROUND(SUM('Base Data'!$D$18:$D$20,'Base Data'!$D$23:$D$25,(SUM('Base Data'!$D$63:$D$65)/3)),0)</f>
        <v>1040</v>
      </c>
      <c r="J23" s="63">
        <f>H23*I23</f>
        <v>12480</v>
      </c>
      <c r="K23" s="454">
        <f>J23*0.1</f>
        <v>1248</v>
      </c>
      <c r="L23" s="454">
        <f>J23*0.05</f>
        <v>624</v>
      </c>
      <c r="M23" s="64"/>
      <c r="N23" s="37">
        <f>(J23*'Base Data'!$C$5)+(K23*'Base Data'!$C$6)+(L23*'Base Data'!$C$7)</f>
        <v>1571587.6800000002</v>
      </c>
      <c r="O23" s="37">
        <f t="shared" si="4"/>
        <v>2990000</v>
      </c>
      <c r="P23" s="64">
        <v>0</v>
      </c>
      <c r="Q23" s="66" t="s">
        <v>151</v>
      </c>
      <c r="R23" s="250"/>
      <c r="U23" s="250">
        <v>507</v>
      </c>
    </row>
    <row r="24" spans="1:21" s="95" customFormat="1" ht="9" x14ac:dyDescent="0.15">
      <c r="A24" s="91" t="s">
        <v>207</v>
      </c>
      <c r="B24" s="31"/>
      <c r="C24" s="31"/>
      <c r="D24" s="37"/>
      <c r="E24" s="37"/>
      <c r="F24" s="37"/>
      <c r="G24" s="31"/>
      <c r="H24" s="31"/>
      <c r="I24" s="64"/>
      <c r="J24" s="64"/>
      <c r="K24" s="64"/>
      <c r="L24" s="64"/>
      <c r="M24" s="65"/>
      <c r="N24" s="37"/>
      <c r="O24" s="37"/>
      <c r="P24" s="64"/>
      <c r="Q24" s="66" t="s">
        <v>15</v>
      </c>
      <c r="U24" s="250"/>
    </row>
    <row r="25" spans="1:21" s="95" customFormat="1" ht="9" x14ac:dyDescent="0.15">
      <c r="A25" s="91" t="s">
        <v>310</v>
      </c>
      <c r="B25" s="31">
        <v>40</v>
      </c>
      <c r="C25" s="31"/>
      <c r="D25" s="37">
        <v>0</v>
      </c>
      <c r="E25" s="37"/>
      <c r="F25" s="37">
        <v>0</v>
      </c>
      <c r="G25" s="31">
        <v>1</v>
      </c>
      <c r="H25" s="31">
        <f>B25*G25</f>
        <v>40</v>
      </c>
      <c r="I25" s="63">
        <v>0</v>
      </c>
      <c r="J25" s="64">
        <f>H25*I25</f>
        <v>0</v>
      </c>
      <c r="K25" s="64">
        <f>J25*0.1</f>
        <v>0</v>
      </c>
      <c r="L25" s="64">
        <f>J25*0.05</f>
        <v>0</v>
      </c>
      <c r="M25" s="65"/>
      <c r="N25" s="37">
        <f>(J25*'Base Data'!$C$5)+(K25*'Base Data'!$C$6)+(L25*'Base Data'!$C$7)</f>
        <v>0</v>
      </c>
      <c r="O25" s="37">
        <f>(D25+E25+F25)*G25*I25</f>
        <v>0</v>
      </c>
      <c r="P25" s="64">
        <v>0</v>
      </c>
      <c r="Q25" s="66" t="s">
        <v>277</v>
      </c>
      <c r="U25" s="250">
        <v>59</v>
      </c>
    </row>
    <row r="26" spans="1:21" s="95" customFormat="1" ht="9" x14ac:dyDescent="0.15">
      <c r="A26" s="90" t="s">
        <v>289</v>
      </c>
      <c r="B26" s="31"/>
      <c r="C26" s="31"/>
      <c r="D26" s="37"/>
      <c r="E26" s="37"/>
      <c r="F26" s="37"/>
      <c r="G26" s="31"/>
      <c r="H26" s="31"/>
      <c r="I26" s="64"/>
      <c r="J26" s="64"/>
      <c r="K26" s="64"/>
      <c r="L26" s="64"/>
      <c r="M26" s="65"/>
      <c r="N26" s="37"/>
      <c r="O26" s="37"/>
      <c r="P26" s="64"/>
      <c r="Q26" s="66"/>
      <c r="U26" s="250"/>
    </row>
    <row r="27" spans="1:21" s="95" customFormat="1" ht="9" x14ac:dyDescent="0.15">
      <c r="A27" s="90" t="s">
        <v>290</v>
      </c>
      <c r="B27" s="31">
        <v>10</v>
      </c>
      <c r="C27" s="31"/>
      <c r="D27" s="37">
        <v>0</v>
      </c>
      <c r="E27" s="37">
        <v>0</v>
      </c>
      <c r="F27" s="37">
        <v>43100</v>
      </c>
      <c r="G27" s="31">
        <v>1</v>
      </c>
      <c r="H27" s="31">
        <f>B27*G27</f>
        <v>10</v>
      </c>
      <c r="I27" s="63">
        <v>0</v>
      </c>
      <c r="J27" s="64">
        <f>H27*I27</f>
        <v>0</v>
      </c>
      <c r="K27" s="457">
        <f>J27*0.1</f>
        <v>0</v>
      </c>
      <c r="L27" s="457">
        <f>J27*0.05</f>
        <v>0</v>
      </c>
      <c r="M27" s="65"/>
      <c r="N27" s="37">
        <f>(J27*'Base Data'!$C$5)+(K27*'Base Data'!$C$6)+(L27*'Base Data'!$C$7)</f>
        <v>0</v>
      </c>
      <c r="O27" s="37">
        <f>(D27+E27+F27)*G27*I27</f>
        <v>0</v>
      </c>
      <c r="P27" s="64">
        <v>0</v>
      </c>
      <c r="Q27" s="66" t="s">
        <v>402</v>
      </c>
      <c r="U27" s="250">
        <v>251</v>
      </c>
    </row>
    <row r="28" spans="1:21" s="95" customFormat="1" ht="9" x14ac:dyDescent="0.15">
      <c r="A28" s="90" t="s">
        <v>293</v>
      </c>
      <c r="B28" s="31">
        <v>10</v>
      </c>
      <c r="C28" s="31"/>
      <c r="D28" s="37">
        <v>0</v>
      </c>
      <c r="E28" s="37">
        <v>0</v>
      </c>
      <c r="F28" s="37">
        <v>14700</v>
      </c>
      <c r="G28" s="31">
        <v>1</v>
      </c>
      <c r="H28" s="31">
        <f>B28*G28</f>
        <v>10</v>
      </c>
      <c r="I28" s="63">
        <f>ROUNDUP(Monitors!$C$6+Monitors!$C$21/3,0)</f>
        <v>528</v>
      </c>
      <c r="J28" s="64">
        <f>H28*I28</f>
        <v>5280</v>
      </c>
      <c r="K28" s="457">
        <f>J28*0.1</f>
        <v>528</v>
      </c>
      <c r="L28" s="457">
        <f>J28*0.05</f>
        <v>264</v>
      </c>
      <c r="M28" s="65"/>
      <c r="N28" s="37">
        <f>(J28*'Base Data'!$C$5)+(K28*'Base Data'!$C$6)+(L28*'Base Data'!$C$7)</f>
        <v>664902.4800000001</v>
      </c>
      <c r="O28" s="37">
        <f>(D28+E28+F28)*G28*I28</f>
        <v>7761600</v>
      </c>
      <c r="P28" s="64">
        <v>0</v>
      </c>
      <c r="Q28" s="66" t="s">
        <v>402</v>
      </c>
      <c r="U28" s="250">
        <v>251</v>
      </c>
    </row>
    <row r="29" spans="1:21" s="95" customFormat="1" ht="9" x14ac:dyDescent="0.15">
      <c r="A29" s="90" t="s">
        <v>256</v>
      </c>
      <c r="B29" s="31"/>
      <c r="C29" s="31"/>
      <c r="D29" s="37"/>
      <c r="E29" s="37"/>
      <c r="F29" s="37"/>
      <c r="G29" s="31"/>
      <c r="H29" s="31"/>
      <c r="I29" s="64"/>
      <c r="J29" s="64"/>
      <c r="K29" s="457"/>
      <c r="L29" s="457"/>
      <c r="M29" s="65"/>
      <c r="N29" s="37"/>
      <c r="O29" s="37"/>
      <c r="P29" s="64"/>
      <c r="Q29" s="66"/>
      <c r="U29" s="250"/>
    </row>
    <row r="30" spans="1:21" s="95" customFormat="1" ht="9" x14ac:dyDescent="0.15">
      <c r="A30" s="90" t="s">
        <v>290</v>
      </c>
      <c r="B30" s="31">
        <v>10</v>
      </c>
      <c r="C30" s="31"/>
      <c r="D30" s="37">
        <v>0</v>
      </c>
      <c r="E30" s="37">
        <v>0</v>
      </c>
      <c r="F30" s="37">
        <v>158000</v>
      </c>
      <c r="G30" s="31">
        <v>1</v>
      </c>
      <c r="H30" s="31">
        <f>B30*G30</f>
        <v>10</v>
      </c>
      <c r="I30" s="63">
        <v>0</v>
      </c>
      <c r="J30" s="64">
        <f>H30*I30</f>
        <v>0</v>
      </c>
      <c r="K30" s="457">
        <f>J30*0.1</f>
        <v>0</v>
      </c>
      <c r="L30" s="457">
        <f>J30*0.05</f>
        <v>0</v>
      </c>
      <c r="M30" s="65"/>
      <c r="N30" s="37">
        <f>(J30*'Base Data'!$C$5)+(K30*'Base Data'!$C$6)+(L30*'Base Data'!$C$7)</f>
        <v>0</v>
      </c>
      <c r="O30" s="37">
        <f>(D30+E30+F30)*G30*I30</f>
        <v>0</v>
      </c>
      <c r="P30" s="64">
        <v>0</v>
      </c>
      <c r="Q30" s="66" t="s">
        <v>721</v>
      </c>
      <c r="R30" s="250"/>
      <c r="U30" s="250">
        <v>104</v>
      </c>
    </row>
    <row r="31" spans="1:21" s="95" customFormat="1" ht="9" x14ac:dyDescent="0.15">
      <c r="A31" s="90" t="s">
        <v>293</v>
      </c>
      <c r="B31" s="31">
        <v>10</v>
      </c>
      <c r="C31" s="31"/>
      <c r="D31" s="37">
        <v>0</v>
      </c>
      <c r="E31" s="37">
        <v>0</v>
      </c>
      <c r="F31" s="37">
        <v>56100</v>
      </c>
      <c r="G31" s="31">
        <v>1</v>
      </c>
      <c r="H31" s="31">
        <f>B31*G31</f>
        <v>10</v>
      </c>
      <c r="I31" s="63">
        <f>ROUNDUP(Monitors!$H$6+Monitors!$H$21/3,0)</f>
        <v>207</v>
      </c>
      <c r="J31" s="64">
        <f>H31*I31</f>
        <v>2070</v>
      </c>
      <c r="K31" s="457">
        <f>J31*0.1</f>
        <v>207</v>
      </c>
      <c r="L31" s="457">
        <f>J31*0.05</f>
        <v>103.5</v>
      </c>
      <c r="M31" s="65"/>
      <c r="N31" s="37">
        <f>(J31*'Base Data'!$C$5)+(K31*'Base Data'!$C$6)+(L31*'Base Data'!$C$7)</f>
        <v>260671.99500000002</v>
      </c>
      <c r="O31" s="37">
        <f>(D31+E31+F31)*G31*I31</f>
        <v>11612700</v>
      </c>
      <c r="P31" s="64">
        <v>0</v>
      </c>
      <c r="Q31" s="66" t="s">
        <v>721</v>
      </c>
      <c r="R31" s="250"/>
      <c r="U31" s="250">
        <v>104</v>
      </c>
    </row>
    <row r="32" spans="1:21" s="95" customFormat="1" ht="9" x14ac:dyDescent="0.15">
      <c r="A32" s="90" t="s">
        <v>381</v>
      </c>
      <c r="B32" s="31"/>
      <c r="C32" s="31"/>
      <c r="D32" s="37"/>
      <c r="E32" s="37"/>
      <c r="F32" s="37"/>
      <c r="G32" s="31"/>
      <c r="H32" s="31"/>
      <c r="I32" s="63"/>
      <c r="J32" s="64"/>
      <c r="K32" s="457"/>
      <c r="L32" s="457"/>
      <c r="M32" s="65"/>
      <c r="N32" s="37"/>
      <c r="O32" s="37"/>
      <c r="P32" s="64"/>
      <c r="Q32" s="66"/>
      <c r="U32" s="250"/>
    </row>
    <row r="33" spans="1:21" s="95" customFormat="1" ht="9" x14ac:dyDescent="0.15">
      <c r="A33" s="90" t="s">
        <v>290</v>
      </c>
      <c r="B33" s="31">
        <v>10</v>
      </c>
      <c r="C33" s="31"/>
      <c r="D33" s="37">
        <v>0</v>
      </c>
      <c r="E33" s="37">
        <v>0</v>
      </c>
      <c r="F33" s="37">
        <f>Monitors!$F$32</f>
        <v>8523</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402</v>
      </c>
      <c r="U33" s="250">
        <v>544</v>
      </c>
    </row>
    <row r="34" spans="1:21" s="95" customFormat="1" ht="9" x14ac:dyDescent="0.15">
      <c r="A34" s="90" t="s">
        <v>293</v>
      </c>
      <c r="B34" s="31">
        <v>10</v>
      </c>
      <c r="C34" s="31"/>
      <c r="D34" s="37">
        <v>0</v>
      </c>
      <c r="E34" s="37">
        <v>0</v>
      </c>
      <c r="F34" s="37">
        <f>Monitors!$G$32</f>
        <v>1436</v>
      </c>
      <c r="G34" s="31">
        <v>1</v>
      </c>
      <c r="H34" s="31">
        <f>B34*G34</f>
        <v>10</v>
      </c>
      <c r="I34" s="63">
        <f>ROUND(Monitors!$F$6+Monitors!$F$21/3,0)</f>
        <v>1114</v>
      </c>
      <c r="J34" s="64">
        <f>H34*I34</f>
        <v>11140</v>
      </c>
      <c r="K34" s="64">
        <f>J34*0.1</f>
        <v>1114</v>
      </c>
      <c r="L34" s="64">
        <f>J34*0.05</f>
        <v>557</v>
      </c>
      <c r="M34" s="65"/>
      <c r="N34" s="37">
        <f>(J34*'Base Data'!$C$5)+(K34*'Base Data'!$C$6)+(L34*'Base Data'!$C$7)</f>
        <v>1402843.49</v>
      </c>
      <c r="O34" s="37">
        <f>(D34+E34+F34)*G34*I34</f>
        <v>1599704</v>
      </c>
      <c r="P34" s="64">
        <v>0</v>
      </c>
      <c r="Q34" s="66" t="s">
        <v>402</v>
      </c>
      <c r="U34" s="250">
        <v>544</v>
      </c>
    </row>
    <row r="35" spans="1:21" s="95" customFormat="1" ht="18" x14ac:dyDescent="0.15">
      <c r="A35" s="91" t="s">
        <v>145</v>
      </c>
      <c r="B35" s="31"/>
      <c r="C35" s="31"/>
      <c r="D35" s="37"/>
      <c r="E35" s="37"/>
      <c r="F35" s="67"/>
      <c r="G35" s="31"/>
      <c r="H35" s="31"/>
      <c r="I35" s="366"/>
      <c r="J35" s="64"/>
      <c r="K35" s="64"/>
      <c r="L35" s="64"/>
      <c r="M35" s="65"/>
      <c r="N35" s="37"/>
      <c r="O35" s="37"/>
      <c r="P35" s="64"/>
      <c r="Q35" s="66"/>
      <c r="U35" s="250"/>
    </row>
    <row r="36" spans="1:21" s="95" customFormat="1" ht="9" x14ac:dyDescent="0.15">
      <c r="A36" s="90" t="s">
        <v>290</v>
      </c>
      <c r="B36" s="31">
        <v>10</v>
      </c>
      <c r="C36" s="31"/>
      <c r="D36" s="37">
        <v>0</v>
      </c>
      <c r="E36" s="37">
        <v>0</v>
      </c>
      <c r="F36" s="37">
        <v>24300</v>
      </c>
      <c r="G36" s="31">
        <v>1</v>
      </c>
      <c r="H36" s="31">
        <f>B36*G36</f>
        <v>10</v>
      </c>
      <c r="I36" s="63">
        <v>0</v>
      </c>
      <c r="J36" s="64">
        <f>H36*I36</f>
        <v>0</v>
      </c>
      <c r="K36" s="64">
        <f>J36*0.1</f>
        <v>0</v>
      </c>
      <c r="L36" s="64">
        <f>J36*0.05</f>
        <v>0</v>
      </c>
      <c r="M36" s="65"/>
      <c r="N36" s="37">
        <f>(J36*'Base Data'!$C$5)+(K36*'Base Data'!$C$6)+(L36*'Base Data'!$C$7)</f>
        <v>0</v>
      </c>
      <c r="O36" s="37">
        <f>(D36+E36+F36)*G36*I36</f>
        <v>0</v>
      </c>
      <c r="P36" s="64">
        <v>0</v>
      </c>
      <c r="Q36" s="66" t="s">
        <v>402</v>
      </c>
      <c r="U36" s="250">
        <v>201</v>
      </c>
    </row>
    <row r="37" spans="1:21" s="95" customFormat="1" ht="9" x14ac:dyDescent="0.15">
      <c r="A37" s="90" t="s">
        <v>293</v>
      </c>
      <c r="B37" s="31">
        <v>10</v>
      </c>
      <c r="C37" s="31"/>
      <c r="D37" s="37">
        <v>0</v>
      </c>
      <c r="E37" s="37">
        <v>0</v>
      </c>
      <c r="F37" s="37">
        <v>5600</v>
      </c>
      <c r="G37" s="31">
        <v>1</v>
      </c>
      <c r="H37" s="31">
        <f>B37*G37</f>
        <v>10</v>
      </c>
      <c r="I37" s="63">
        <f>ROUNDUP(Monitors!$D$6+Monitors!$D$21/3,0)</f>
        <v>401</v>
      </c>
      <c r="J37" s="64">
        <f>H37*I37</f>
        <v>4010</v>
      </c>
      <c r="K37" s="64">
        <f>J37*0.1</f>
        <v>401</v>
      </c>
      <c r="L37" s="64">
        <f>J37*0.05</f>
        <v>200.5</v>
      </c>
      <c r="M37" s="65"/>
      <c r="N37" s="37">
        <f>(J37*'Base Data'!$C$5)+(K37*'Base Data'!$C$6)+(L37*'Base Data'!$C$7)</f>
        <v>504973.28499999997</v>
      </c>
      <c r="O37" s="37">
        <f>(D37+E37+F37)*G37*I37</f>
        <v>2245600</v>
      </c>
      <c r="P37" s="64">
        <v>0</v>
      </c>
      <c r="Q37" s="66" t="s">
        <v>402</v>
      </c>
      <c r="U37" s="250">
        <v>201</v>
      </c>
    </row>
    <row r="38" spans="1:21" s="95" customFormat="1" ht="18.75" customHeight="1" x14ac:dyDescent="0.15">
      <c r="A38" s="91" t="s">
        <v>348</v>
      </c>
      <c r="B38" s="31"/>
      <c r="C38" s="31"/>
      <c r="D38" s="37"/>
      <c r="E38" s="37"/>
      <c r="F38" s="37"/>
      <c r="G38" s="31"/>
      <c r="H38" s="31"/>
      <c r="I38" s="63"/>
      <c r="J38" s="64"/>
      <c r="K38" s="64"/>
      <c r="L38" s="64"/>
      <c r="M38" s="65"/>
      <c r="N38" s="37"/>
      <c r="O38" s="138"/>
      <c r="P38" s="64"/>
      <c r="Q38" s="66"/>
      <c r="U38" s="250"/>
    </row>
    <row r="39" spans="1:21" s="95" customFormat="1" ht="9" x14ac:dyDescent="0.15">
      <c r="A39" s="90" t="s">
        <v>290</v>
      </c>
      <c r="B39" s="31">
        <v>10</v>
      </c>
      <c r="C39" s="31"/>
      <c r="D39" s="37">
        <v>0</v>
      </c>
      <c r="E39" s="37">
        <v>0</v>
      </c>
      <c r="F39" s="37">
        <f>25500</f>
        <v>25500</v>
      </c>
      <c r="G39" s="31">
        <v>1</v>
      </c>
      <c r="H39" s="31">
        <f>B39*G39</f>
        <v>10</v>
      </c>
      <c r="I39" s="63">
        <v>0</v>
      </c>
      <c r="J39" s="64">
        <f>H39*I39</f>
        <v>0</v>
      </c>
      <c r="K39" s="64">
        <f>J39*0.1</f>
        <v>0</v>
      </c>
      <c r="L39" s="457">
        <f>J39*0.05</f>
        <v>0</v>
      </c>
      <c r="M39" s="65"/>
      <c r="N39" s="37">
        <f>(J39*'Base Data'!$C$5)+(K39*'Base Data'!$C$6)+(L39*'Base Data'!$C$7)</f>
        <v>0</v>
      </c>
      <c r="O39" s="37">
        <f>(D39+E39+F39)*G39*I39</f>
        <v>0</v>
      </c>
      <c r="P39" s="64">
        <v>0</v>
      </c>
      <c r="Q39" s="66" t="s">
        <v>402</v>
      </c>
      <c r="U39" s="250">
        <v>18</v>
      </c>
    </row>
    <row r="40" spans="1:21" s="95" customFormat="1" ht="9" x14ac:dyDescent="0.15">
      <c r="A40" s="90" t="s">
        <v>293</v>
      </c>
      <c r="B40" s="31">
        <v>10</v>
      </c>
      <c r="C40" s="31"/>
      <c r="D40" s="37">
        <v>0</v>
      </c>
      <c r="E40" s="37">
        <v>0</v>
      </c>
      <c r="F40" s="37">
        <v>9700</v>
      </c>
      <c r="G40" s="31">
        <v>1</v>
      </c>
      <c r="H40" s="31">
        <f>B40*G40</f>
        <v>10</v>
      </c>
      <c r="I40" s="63">
        <f>ROUNDUP(Monitors!$B$6+Monitors!$B$21/3,0)</f>
        <v>61</v>
      </c>
      <c r="J40" s="64">
        <f>H40*I40</f>
        <v>610</v>
      </c>
      <c r="K40" s="64">
        <f>J40*0.1</f>
        <v>61</v>
      </c>
      <c r="L40" s="457">
        <f>J40*0.05</f>
        <v>30.5</v>
      </c>
      <c r="M40" s="65"/>
      <c r="N40" s="37">
        <f>(J40*'Base Data'!$C$5)+(K40*'Base Data'!$C$6)+(L40*'Base Data'!$C$7)</f>
        <v>76816.385000000009</v>
      </c>
      <c r="O40" s="37">
        <f>(D40+E40+F40)*G40*I40</f>
        <v>591700</v>
      </c>
      <c r="P40" s="64">
        <v>0</v>
      </c>
      <c r="Q40" s="66" t="s">
        <v>402</v>
      </c>
      <c r="U40" s="250">
        <v>18</v>
      </c>
    </row>
    <row r="41" spans="1:21" s="95" customFormat="1" ht="9" x14ac:dyDescent="0.15">
      <c r="A41" s="91" t="s">
        <v>427</v>
      </c>
      <c r="B41" s="31"/>
      <c r="C41" s="31"/>
      <c r="D41" s="37"/>
      <c r="E41" s="37"/>
      <c r="F41" s="37"/>
      <c r="G41" s="31"/>
      <c r="H41" s="31"/>
      <c r="I41" s="63"/>
      <c r="J41" s="64"/>
      <c r="K41" s="64"/>
      <c r="L41" s="457"/>
      <c r="M41" s="65"/>
      <c r="N41" s="37"/>
      <c r="O41" s="138"/>
      <c r="P41" s="64"/>
      <c r="Q41" s="66"/>
      <c r="U41" s="250"/>
    </row>
    <row r="42" spans="1:21" s="95" customFormat="1" ht="9" x14ac:dyDescent="0.15">
      <c r="A42" s="90" t="s">
        <v>290</v>
      </c>
      <c r="B42" s="31">
        <v>10</v>
      </c>
      <c r="C42" s="31"/>
      <c r="D42" s="37">
        <v>0</v>
      </c>
      <c r="E42" s="37">
        <v>0</v>
      </c>
      <c r="F42" s="37">
        <v>43500</v>
      </c>
      <c r="G42" s="31">
        <v>1</v>
      </c>
      <c r="H42" s="31">
        <f>B42*G42</f>
        <v>10</v>
      </c>
      <c r="I42" s="63">
        <v>0</v>
      </c>
      <c r="J42" s="64">
        <f>H42*I42</f>
        <v>0</v>
      </c>
      <c r="K42" s="64">
        <f>J42*0.1</f>
        <v>0</v>
      </c>
      <c r="L42" s="457">
        <f>J42*0.05</f>
        <v>0</v>
      </c>
      <c r="M42" s="65"/>
      <c r="N42" s="37">
        <f>(J42*'Base Data'!$C$5)+(K42*'Base Data'!$C$6)+(L42*'Base Data'!$C$7)</f>
        <v>0</v>
      </c>
      <c r="O42" s="37">
        <f>(D42+E42+F42)*G42*I42</f>
        <v>0</v>
      </c>
      <c r="P42" s="64">
        <v>0</v>
      </c>
      <c r="Q42" s="66" t="s">
        <v>402</v>
      </c>
      <c r="U42" s="250">
        <v>38</v>
      </c>
    </row>
    <row r="43" spans="1:21" s="95" customFormat="1" ht="9" x14ac:dyDescent="0.15">
      <c r="A43" s="90" t="s">
        <v>293</v>
      </c>
      <c r="B43" s="31">
        <v>10</v>
      </c>
      <c r="C43" s="31"/>
      <c r="D43" s="37">
        <v>0</v>
      </c>
      <c r="E43" s="37">
        <v>0</v>
      </c>
      <c r="F43" s="37">
        <v>26500</v>
      </c>
      <c r="G43" s="31">
        <v>1</v>
      </c>
      <c r="H43" s="31">
        <f>B43*G43</f>
        <v>10</v>
      </c>
      <c r="I43" s="63">
        <f>ROUNDUP(Monitors!$G$6+Monitors!$G$21/3,0)</f>
        <v>76</v>
      </c>
      <c r="J43" s="64">
        <f>H43*I43</f>
        <v>760</v>
      </c>
      <c r="K43" s="64">
        <f>J43*0.1</f>
        <v>76</v>
      </c>
      <c r="L43" s="457">
        <f>J43*0.05</f>
        <v>38</v>
      </c>
      <c r="M43" s="65"/>
      <c r="N43" s="37">
        <f>(J43*'Base Data'!$C$5)+(K43*'Base Data'!$C$6)+(L43*'Base Data'!$C$7)</f>
        <v>95705.66</v>
      </c>
      <c r="O43" s="37">
        <f>(D43+E43+F43)*G43*I43</f>
        <v>2014000</v>
      </c>
      <c r="P43" s="64">
        <v>0</v>
      </c>
      <c r="Q43" s="66" t="s">
        <v>402</v>
      </c>
      <c r="U43" s="250">
        <v>38</v>
      </c>
    </row>
    <row r="44" spans="1:21" s="95" customFormat="1" ht="18.75" customHeight="1" x14ac:dyDescent="0.15">
      <c r="A44" s="91" t="s">
        <v>146</v>
      </c>
      <c r="B44" s="31"/>
      <c r="C44" s="31"/>
      <c r="D44" s="37"/>
      <c r="E44" s="37"/>
      <c r="F44" s="37"/>
      <c r="G44" s="31"/>
      <c r="H44" s="31"/>
      <c r="I44" s="366"/>
      <c r="J44" s="64"/>
      <c r="K44" s="64"/>
      <c r="L44" s="64"/>
      <c r="M44" s="65"/>
      <c r="N44" s="37"/>
      <c r="O44" s="37"/>
      <c r="P44" s="64"/>
      <c r="Q44" s="66"/>
      <c r="U44" s="250"/>
    </row>
    <row r="45" spans="1:21" s="95" customFormat="1" ht="9" x14ac:dyDescent="0.15">
      <c r="A45" s="90" t="s">
        <v>290</v>
      </c>
      <c r="B45" s="31">
        <v>10</v>
      </c>
      <c r="C45" s="31"/>
      <c r="D45" s="37">
        <v>0</v>
      </c>
      <c r="E45" s="37">
        <v>0</v>
      </c>
      <c r="F45" s="37">
        <v>115000</v>
      </c>
      <c r="G45" s="31">
        <v>1</v>
      </c>
      <c r="H45" s="31">
        <f>B45*G45</f>
        <v>10</v>
      </c>
      <c r="I45" s="63">
        <v>0</v>
      </c>
      <c r="J45" s="64">
        <f>H45*I45</f>
        <v>0</v>
      </c>
      <c r="K45" s="64">
        <f>J45*0.1</f>
        <v>0</v>
      </c>
      <c r="L45" s="457">
        <f>J45*0.05</f>
        <v>0</v>
      </c>
      <c r="M45" s="65"/>
      <c r="N45" s="37">
        <f>(J45*'Base Data'!$C$5)+(K45*'Base Data'!$C$6)+(L45*'Base Data'!$C$7)</f>
        <v>0</v>
      </c>
      <c r="O45" s="37">
        <f>(D45+E45+F45)*G45*I45</f>
        <v>0</v>
      </c>
      <c r="P45" s="64">
        <v>0</v>
      </c>
      <c r="Q45" s="66" t="s">
        <v>402</v>
      </c>
      <c r="U45" s="250">
        <v>15</v>
      </c>
    </row>
    <row r="46" spans="1:21" s="95" customFormat="1" ht="9" x14ac:dyDescent="0.15">
      <c r="A46" s="90" t="s">
        <v>293</v>
      </c>
      <c r="B46" s="31">
        <v>10</v>
      </c>
      <c r="C46" s="31"/>
      <c r="D46" s="37">
        <v>0</v>
      </c>
      <c r="E46" s="37">
        <v>0</v>
      </c>
      <c r="F46" s="37">
        <v>9700</v>
      </c>
      <c r="G46" s="31">
        <v>1</v>
      </c>
      <c r="H46" s="31">
        <f>B46*G46</f>
        <v>10</v>
      </c>
      <c r="I46" s="63">
        <f>ROUNDUP(Monitors!$E$6+Monitors!$E$21/3,0)</f>
        <v>30</v>
      </c>
      <c r="J46" s="64">
        <f>H46*I46</f>
        <v>300</v>
      </c>
      <c r="K46" s="64">
        <f>J46*0.1</f>
        <v>30</v>
      </c>
      <c r="L46" s="457">
        <f>J46*0.05</f>
        <v>15</v>
      </c>
      <c r="M46" s="65"/>
      <c r="N46" s="37">
        <f>(J46*'Base Data'!$C$5)+(K46*'Base Data'!$C$6)+(L46*'Base Data'!$C$7)</f>
        <v>37778.550000000003</v>
      </c>
      <c r="O46" s="37">
        <f>(D46+E46+F46)*G46*I46</f>
        <v>291000</v>
      </c>
      <c r="P46" s="64">
        <v>0</v>
      </c>
      <c r="Q46" s="66" t="s">
        <v>402</v>
      </c>
      <c r="U46" s="250">
        <v>15</v>
      </c>
    </row>
    <row r="47" spans="1:21" s="95" customFormat="1" ht="9" x14ac:dyDescent="0.15">
      <c r="A47" s="90" t="s">
        <v>294</v>
      </c>
      <c r="B47" s="31" t="s">
        <v>311</v>
      </c>
      <c r="C47" s="31"/>
      <c r="D47" s="37"/>
      <c r="E47" s="37"/>
      <c r="F47" s="37"/>
      <c r="G47" s="31"/>
      <c r="H47" s="31"/>
      <c r="I47" s="64"/>
      <c r="J47" s="64"/>
      <c r="K47" s="64"/>
      <c r="L47" s="64"/>
      <c r="M47" s="31"/>
      <c r="N47" s="37"/>
      <c r="O47" s="37"/>
      <c r="P47" s="37"/>
      <c r="Q47" s="66"/>
      <c r="U47" s="250"/>
    </row>
    <row r="48" spans="1:21" s="95" customFormat="1" ht="9" x14ac:dyDescent="0.15">
      <c r="A48" s="90" t="s">
        <v>295</v>
      </c>
      <c r="B48" s="31" t="s">
        <v>311</v>
      </c>
      <c r="C48" s="31"/>
      <c r="D48" s="37"/>
      <c r="E48" s="37"/>
      <c r="F48" s="37"/>
      <c r="G48" s="31"/>
      <c r="H48" s="31"/>
      <c r="I48" s="64"/>
      <c r="J48" s="64"/>
      <c r="K48" s="64"/>
      <c r="L48" s="64"/>
      <c r="M48" s="31"/>
      <c r="N48" s="37"/>
      <c r="O48" s="37"/>
      <c r="P48" s="37"/>
      <c r="Q48" s="66"/>
      <c r="U48" s="250"/>
    </row>
    <row r="49" spans="1:21" s="95" customFormat="1" ht="9" x14ac:dyDescent="0.15">
      <c r="A49" s="90" t="s">
        <v>296</v>
      </c>
      <c r="B49" s="31"/>
      <c r="C49" s="31"/>
      <c r="D49" s="37"/>
      <c r="E49" s="37"/>
      <c r="F49" s="37"/>
      <c r="G49" s="31"/>
      <c r="H49" s="31"/>
      <c r="I49" s="64"/>
      <c r="J49" s="64"/>
      <c r="K49" s="64"/>
      <c r="L49" s="64"/>
      <c r="M49" s="31"/>
      <c r="N49" s="37"/>
      <c r="O49" s="37"/>
      <c r="P49" s="37"/>
      <c r="Q49" s="66"/>
      <c r="U49" s="250"/>
    </row>
    <row r="50" spans="1:21" s="95" customFormat="1" ht="9" x14ac:dyDescent="0.15">
      <c r="A50" s="101" t="s">
        <v>312</v>
      </c>
      <c r="B50" s="31">
        <v>2</v>
      </c>
      <c r="C50" s="31"/>
      <c r="D50" s="37">
        <v>0</v>
      </c>
      <c r="E50" s="37">
        <v>0</v>
      </c>
      <c r="F50" s="37">
        <v>0</v>
      </c>
      <c r="G50" s="31">
        <v>1</v>
      </c>
      <c r="H50" s="31">
        <f>B50*G50</f>
        <v>2</v>
      </c>
      <c r="I50" s="63">
        <v>0</v>
      </c>
      <c r="J50" s="64">
        <f>H50*I50</f>
        <v>0</v>
      </c>
      <c r="K50" s="64">
        <f>J50*0.1</f>
        <v>0</v>
      </c>
      <c r="L50" s="64">
        <f>J50*0.05</f>
        <v>0</v>
      </c>
      <c r="M50" s="31">
        <f>C50*G50*I50</f>
        <v>0</v>
      </c>
      <c r="N50" s="37">
        <f>(J50*'Base Data'!$C$5)+(K50*'Base Data'!$C$6)+(L50*'Base Data'!$C$7)</f>
        <v>0</v>
      </c>
      <c r="O50" s="37">
        <f>(D50+E50+F50)*G50*I50</f>
        <v>0</v>
      </c>
      <c r="P50" s="64">
        <f>G50*I50</f>
        <v>0</v>
      </c>
      <c r="Q50" s="66" t="s">
        <v>276</v>
      </c>
      <c r="U50" s="250">
        <v>0</v>
      </c>
    </row>
    <row r="51" spans="1:21" s="95" customFormat="1" ht="9" customHeight="1" x14ac:dyDescent="0.15">
      <c r="A51" s="101" t="s">
        <v>273</v>
      </c>
      <c r="B51" s="31">
        <v>8</v>
      </c>
      <c r="C51" s="31"/>
      <c r="D51" s="37">
        <v>0</v>
      </c>
      <c r="E51" s="37">
        <v>0</v>
      </c>
      <c r="F51" s="37">
        <v>0</v>
      </c>
      <c r="G51" s="31">
        <v>1</v>
      </c>
      <c r="H51" s="31">
        <f>B51*G51</f>
        <v>8</v>
      </c>
      <c r="I51" s="63">
        <v>0</v>
      </c>
      <c r="J51" s="64">
        <f>H51*I51</f>
        <v>0</v>
      </c>
      <c r="K51" s="457">
        <f>J51*0.1</f>
        <v>0</v>
      </c>
      <c r="L51" s="457">
        <f>J51*0.05</f>
        <v>0</v>
      </c>
      <c r="M51" s="31">
        <f>C51*G51*I51</f>
        <v>0</v>
      </c>
      <c r="N51" s="37">
        <f>(J51*'Base Data'!$C$5)+(K51*'Base Data'!$C$6)+(L51*'Base Data'!$C$7)</f>
        <v>0</v>
      </c>
      <c r="O51" s="37">
        <f>(D51+E51+F51)*G51*I51</f>
        <v>0</v>
      </c>
      <c r="P51" s="64">
        <f>G51*I51</f>
        <v>0</v>
      </c>
      <c r="Q51" s="66" t="s">
        <v>277</v>
      </c>
      <c r="U51" s="250">
        <v>118</v>
      </c>
    </row>
    <row r="52" spans="1:21" s="95" customFormat="1" ht="9" x14ac:dyDescent="0.15">
      <c r="A52" s="101" t="s">
        <v>274</v>
      </c>
      <c r="B52" s="31">
        <v>5</v>
      </c>
      <c r="C52" s="31"/>
      <c r="D52" s="37">
        <v>0</v>
      </c>
      <c r="E52" s="37">
        <v>0</v>
      </c>
      <c r="F52" s="37">
        <v>0</v>
      </c>
      <c r="G52" s="31">
        <v>1</v>
      </c>
      <c r="H52" s="31">
        <f>B52*G52</f>
        <v>5</v>
      </c>
      <c r="I52" s="63">
        <v>0</v>
      </c>
      <c r="J52" s="64">
        <f>H52*I52</f>
        <v>0</v>
      </c>
      <c r="K52" s="457">
        <f>J52*0.1</f>
        <v>0</v>
      </c>
      <c r="L52" s="457">
        <f>J52*0.05</f>
        <v>0</v>
      </c>
      <c r="M52" s="31">
        <f>C52*G52*I52</f>
        <v>0</v>
      </c>
      <c r="N52" s="37">
        <f>(J52*'Base Data'!$C$5)+(K52*'Base Data'!$C$6)+(L52*'Base Data'!$C$7)</f>
        <v>0</v>
      </c>
      <c r="O52" s="37">
        <f>(D52+E52+F52)*G52*I52</f>
        <v>0</v>
      </c>
      <c r="P52" s="64">
        <f>G52*I52</f>
        <v>0</v>
      </c>
      <c r="Q52" s="66" t="s">
        <v>277</v>
      </c>
      <c r="U52" s="250">
        <v>118</v>
      </c>
    </row>
    <row r="53" spans="1:21" s="95" customFormat="1" ht="9" x14ac:dyDescent="0.15">
      <c r="A53" s="92" t="s">
        <v>332</v>
      </c>
      <c r="B53" s="31">
        <v>20</v>
      </c>
      <c r="C53" s="31">
        <v>0</v>
      </c>
      <c r="D53" s="37">
        <v>0</v>
      </c>
      <c r="E53" s="37">
        <v>0</v>
      </c>
      <c r="F53" s="37">
        <v>0</v>
      </c>
      <c r="G53" s="31">
        <v>2</v>
      </c>
      <c r="H53" s="31">
        <f>B53*G53</f>
        <v>40</v>
      </c>
      <c r="I53" s="63">
        <f>I7</f>
        <v>121</v>
      </c>
      <c r="J53" s="64">
        <f>H53*I53</f>
        <v>4840</v>
      </c>
      <c r="K53" s="64">
        <f>J53*0.1</f>
        <v>484</v>
      </c>
      <c r="L53" s="64">
        <f>J53*0.05</f>
        <v>242</v>
      </c>
      <c r="M53" s="64">
        <f>C53*G53*I53</f>
        <v>0</v>
      </c>
      <c r="N53" s="37">
        <f>(J53*'Base Data'!$C$5)+(K53*'Base Data'!$C$6)+(L53*'Base Data'!$C$7)</f>
        <v>609493.94000000006</v>
      </c>
      <c r="O53" s="37">
        <f>(D53+E53+F53)*G53*I53</f>
        <v>0</v>
      </c>
      <c r="P53" s="64">
        <f>G53*I53</f>
        <v>242</v>
      </c>
      <c r="Q53" s="66" t="s">
        <v>276</v>
      </c>
      <c r="R53" s="108"/>
      <c r="U53" s="250">
        <v>118</v>
      </c>
    </row>
    <row r="54" spans="1:21" s="371" customFormat="1" ht="11.1" hidden="1" customHeight="1" x14ac:dyDescent="0.15">
      <c r="B54" s="364"/>
      <c r="C54" s="364"/>
      <c r="D54" s="365"/>
      <c r="E54" s="365"/>
      <c r="F54" s="365"/>
      <c r="G54" s="364"/>
      <c r="H54" s="364"/>
      <c r="I54" s="366"/>
      <c r="J54" s="367">
        <f>SUM(J7:J53)</f>
        <v>117580</v>
      </c>
      <c r="K54" s="367">
        <f>SUM(K7:K53)</f>
        <v>11758</v>
      </c>
      <c r="L54" s="367">
        <f>SUM(L7:L53)</f>
        <v>5879</v>
      </c>
      <c r="M54" s="367">
        <f>SUM(M7:M53)</f>
        <v>0</v>
      </c>
      <c r="Q54" s="368"/>
      <c r="R54" s="369">
        <f>SUM(O7,O10:O23,O28,O31,O34,O37,O40,O46,O43)</f>
        <v>74866304</v>
      </c>
      <c r="S54" s="370">
        <f>SUM(O27,O30,O33,O36,O39,O45,O42)</f>
        <v>0</v>
      </c>
      <c r="U54" s="378"/>
    </row>
    <row r="55" spans="1:21" s="371" customFormat="1" ht="9" x14ac:dyDescent="0.15">
      <c r="A55" s="362" t="s">
        <v>4</v>
      </c>
      <c r="B55" s="364"/>
      <c r="C55" s="364"/>
      <c r="D55" s="365"/>
      <c r="E55" s="365"/>
      <c r="F55" s="365"/>
      <c r="G55" s="364"/>
      <c r="H55" s="364"/>
      <c r="I55" s="366"/>
      <c r="J55" s="727">
        <f>J54+K54+L54</f>
        <v>135217</v>
      </c>
      <c r="K55" s="728"/>
      <c r="L55" s="729"/>
      <c r="M55" s="367"/>
      <c r="N55" s="365">
        <f>SUM(N7:N53)</f>
        <v>14806673.030000001</v>
      </c>
      <c r="O55" s="365">
        <f>SUM(O7:O53)</f>
        <v>74866304</v>
      </c>
      <c r="P55" s="367">
        <f>SUM(P50:P53)</f>
        <v>242</v>
      </c>
      <c r="Q55" s="368"/>
      <c r="R55" s="369"/>
      <c r="S55" s="370"/>
      <c r="U55" s="378"/>
    </row>
    <row r="56" spans="1:21" s="95" customFormat="1" ht="9" x14ac:dyDescent="0.15">
      <c r="A56" s="90" t="s">
        <v>309</v>
      </c>
      <c r="B56" s="31"/>
      <c r="C56" s="31"/>
      <c r="D56" s="37"/>
      <c r="E56" s="37"/>
      <c r="F56" s="37"/>
      <c r="G56" s="31"/>
      <c r="H56" s="31"/>
      <c r="I56" s="64"/>
      <c r="J56" s="64"/>
      <c r="K56" s="64"/>
      <c r="L56" s="64"/>
      <c r="M56" s="31"/>
      <c r="N56" s="37"/>
      <c r="O56" s="37"/>
      <c r="P56" s="37"/>
      <c r="Q56" s="66"/>
      <c r="U56" s="250"/>
    </row>
    <row r="57" spans="1:21" s="95" customFormat="1" ht="9" x14ac:dyDescent="0.15">
      <c r="A57" s="91" t="s">
        <v>626</v>
      </c>
      <c r="B57" s="664" t="s">
        <v>301</v>
      </c>
      <c r="C57" s="31"/>
      <c r="D57" s="37"/>
      <c r="E57" s="37"/>
      <c r="F57" s="37"/>
      <c r="G57" s="31"/>
      <c r="H57" s="31"/>
      <c r="I57" s="64"/>
      <c r="J57" s="64"/>
      <c r="K57" s="64"/>
      <c r="L57" s="64"/>
      <c r="M57" s="31"/>
      <c r="N57" s="37"/>
      <c r="O57" s="37"/>
      <c r="P57" s="37"/>
      <c r="Q57" s="66"/>
      <c r="U57" s="250"/>
    </row>
    <row r="58" spans="1:21" s="95" customFormat="1" ht="9" x14ac:dyDescent="0.15">
      <c r="A58" s="90" t="s">
        <v>298</v>
      </c>
      <c r="B58" s="31" t="s">
        <v>311</v>
      </c>
      <c r="C58" s="31"/>
      <c r="D58" s="37"/>
      <c r="E58" s="37"/>
      <c r="F58" s="37"/>
      <c r="G58" s="31"/>
      <c r="H58" s="31"/>
      <c r="I58" s="64"/>
      <c r="J58" s="64"/>
      <c r="K58" s="64"/>
      <c r="L58" s="64"/>
      <c r="M58" s="31"/>
      <c r="N58" s="37"/>
      <c r="O58" s="37"/>
      <c r="P58" s="37"/>
      <c r="Q58" s="66"/>
      <c r="U58" s="250"/>
    </row>
    <row r="59" spans="1:21" s="95" customFormat="1" ht="9" x14ac:dyDescent="0.15">
      <c r="A59" s="90" t="s">
        <v>299</v>
      </c>
      <c r="B59" s="31" t="s">
        <v>311</v>
      </c>
      <c r="C59" s="31"/>
      <c r="D59" s="37"/>
      <c r="E59" s="37"/>
      <c r="F59" s="37"/>
      <c r="G59" s="31"/>
      <c r="H59" s="31"/>
      <c r="I59" s="64"/>
      <c r="J59" s="64"/>
      <c r="K59" s="64"/>
      <c r="L59" s="64"/>
      <c r="M59" s="31"/>
      <c r="N59" s="37"/>
      <c r="O59" s="37"/>
      <c r="P59" s="37"/>
      <c r="Q59" s="66" t="s">
        <v>278</v>
      </c>
      <c r="U59" s="250"/>
    </row>
    <row r="60" spans="1:21" s="95" customFormat="1" ht="9" x14ac:dyDescent="0.15">
      <c r="A60" s="90" t="s">
        <v>300</v>
      </c>
      <c r="B60" s="31"/>
      <c r="C60" s="31"/>
      <c r="D60" s="37"/>
      <c r="E60" s="37"/>
      <c r="F60" s="37"/>
      <c r="G60" s="31"/>
      <c r="H60" s="31"/>
      <c r="I60" s="64"/>
      <c r="J60" s="64"/>
      <c r="K60" s="64"/>
      <c r="L60" s="64"/>
      <c r="M60" s="31"/>
      <c r="N60" s="37"/>
      <c r="O60" s="37"/>
      <c r="P60" s="37"/>
      <c r="Q60" s="66"/>
      <c r="U60" s="250"/>
    </row>
    <row r="61" spans="1:21" s="95" customFormat="1" ht="9.75" customHeight="1" x14ac:dyDescent="0.15">
      <c r="A61" s="90" t="s">
        <v>307</v>
      </c>
      <c r="B61" s="31">
        <v>20</v>
      </c>
      <c r="C61" s="31"/>
      <c r="D61" s="37">
        <v>0</v>
      </c>
      <c r="E61" s="37">
        <v>0</v>
      </c>
      <c r="F61" s="37">
        <v>0</v>
      </c>
      <c r="G61" s="31">
        <v>1</v>
      </c>
      <c r="H61" s="31">
        <f t="shared" ref="H61:H67" si="5">B61*G61</f>
        <v>20</v>
      </c>
      <c r="I61" s="63">
        <f>ROUND(SUM('Base Data'!$D$18:$D$20,'Base Data'!$D$23:$D$25,(SUM('Base Data'!$D$63:$D$65)/3)),0)</f>
        <v>1040</v>
      </c>
      <c r="J61" s="64">
        <f t="shared" ref="J61:J66" si="6">H61*I61</f>
        <v>20800</v>
      </c>
      <c r="K61" s="64">
        <f t="shared" ref="K61:K66" si="7">J61*0.1</f>
        <v>2080</v>
      </c>
      <c r="L61" s="64">
        <f t="shared" ref="L61:L66" si="8">J61*0.05</f>
        <v>1040</v>
      </c>
      <c r="M61" s="31"/>
      <c r="N61" s="37">
        <f>(J61*'Base Data'!$C$5)+(K61*'Base Data'!$C$6)+(L61*'Base Data'!$C$7)</f>
        <v>2619312.7999999998</v>
      </c>
      <c r="O61" s="37">
        <f t="shared" ref="O61:O66" si="9">(D61+E61+F61)*G61*I61</f>
        <v>0</v>
      </c>
      <c r="P61" s="64">
        <v>0</v>
      </c>
      <c r="Q61" s="66" t="s">
        <v>277</v>
      </c>
      <c r="U61" s="498">
        <v>1014</v>
      </c>
    </row>
    <row r="62" spans="1:21" s="95" customFormat="1" ht="9" x14ac:dyDescent="0.15">
      <c r="A62" s="91" t="s">
        <v>303</v>
      </c>
      <c r="B62" s="31">
        <v>15</v>
      </c>
      <c r="C62" s="31">
        <v>0</v>
      </c>
      <c r="D62" s="37">
        <v>0</v>
      </c>
      <c r="E62" s="37">
        <v>0</v>
      </c>
      <c r="F62" s="37">
        <v>0</v>
      </c>
      <c r="G62" s="31">
        <v>1</v>
      </c>
      <c r="H62" s="31">
        <f t="shared" si="5"/>
        <v>15</v>
      </c>
      <c r="I62" s="63">
        <f>ROUND(SUM('Base Data'!$D$18:$D$20,'Base Data'!$D$23:$D$25,(SUM('Base Data'!$D$63:$D$65)/3)),0)</f>
        <v>1040</v>
      </c>
      <c r="J62" s="64">
        <f t="shared" si="6"/>
        <v>15600</v>
      </c>
      <c r="K62" s="457">
        <f t="shared" si="7"/>
        <v>1560</v>
      </c>
      <c r="L62" s="457">
        <f t="shared" si="8"/>
        <v>780</v>
      </c>
      <c r="M62" s="31">
        <f>C62*G62*I62</f>
        <v>0</v>
      </c>
      <c r="N62" s="37">
        <f>(J62*'Base Data'!$C$5)+(K62*'Base Data'!$C$6)+(L62*'Base Data'!$C$7)</f>
        <v>1964484.6</v>
      </c>
      <c r="O62" s="37">
        <f t="shared" si="9"/>
        <v>0</v>
      </c>
      <c r="P62" s="64">
        <v>0</v>
      </c>
      <c r="Q62" s="66" t="s">
        <v>722</v>
      </c>
      <c r="U62" s="498">
        <v>1014</v>
      </c>
    </row>
    <row r="63" spans="1:21" s="95" customFormat="1" ht="9.75" customHeight="1" x14ac:dyDescent="0.15">
      <c r="A63" s="90" t="s">
        <v>304</v>
      </c>
      <c r="B63" s="31">
        <v>2</v>
      </c>
      <c r="C63" s="31"/>
      <c r="D63" s="37">
        <v>0</v>
      </c>
      <c r="E63" s="37">
        <v>0</v>
      </c>
      <c r="F63" s="37">
        <v>0</v>
      </c>
      <c r="G63" s="31">
        <v>1</v>
      </c>
      <c r="H63" s="31">
        <f t="shared" si="5"/>
        <v>2</v>
      </c>
      <c r="I63" s="63">
        <f>ROUND(SUM('Base Data'!$D$18:$D$20,'Base Data'!$D$23:$D$25,(SUM('Base Data'!$D$63:$D$65)/3)),0)</f>
        <v>1040</v>
      </c>
      <c r="J63" s="64">
        <f t="shared" si="6"/>
        <v>2080</v>
      </c>
      <c r="K63" s="457">
        <f t="shared" si="7"/>
        <v>208</v>
      </c>
      <c r="L63" s="457">
        <f t="shared" si="8"/>
        <v>104</v>
      </c>
      <c r="M63" s="31"/>
      <c r="N63" s="37">
        <f>(J63*'Base Data'!$C$5)+(K63*'Base Data'!$C$6)+(L63*'Base Data'!$C$7)</f>
        <v>261931.28</v>
      </c>
      <c r="O63" s="37">
        <f t="shared" si="9"/>
        <v>0</v>
      </c>
      <c r="P63" s="64">
        <v>0</v>
      </c>
      <c r="Q63" s="66" t="s">
        <v>277</v>
      </c>
      <c r="U63" s="498">
        <v>1014</v>
      </c>
    </row>
    <row r="64" spans="1:21" s="95" customFormat="1" ht="9" x14ac:dyDescent="0.15">
      <c r="A64" s="91" t="s">
        <v>313</v>
      </c>
      <c r="B64" s="31">
        <v>2</v>
      </c>
      <c r="C64" s="31"/>
      <c r="D64" s="37">
        <v>0</v>
      </c>
      <c r="E64" s="37">
        <v>0</v>
      </c>
      <c r="F64" s="37">
        <v>0</v>
      </c>
      <c r="G64" s="31">
        <v>1</v>
      </c>
      <c r="H64" s="31">
        <f t="shared" si="5"/>
        <v>2</v>
      </c>
      <c r="I64" s="63">
        <f>ROUND(SUM('Base Data'!$D$18:$D$20,'Base Data'!$D$23:$D$25,(SUM('Base Data'!$D$63:$D$65)/3)),0)</f>
        <v>1040</v>
      </c>
      <c r="J64" s="64">
        <f t="shared" si="6"/>
        <v>2080</v>
      </c>
      <c r="K64" s="457">
        <f t="shared" si="7"/>
        <v>208</v>
      </c>
      <c r="L64" s="457">
        <f t="shared" si="8"/>
        <v>104</v>
      </c>
      <c r="M64" s="31"/>
      <c r="N64" s="37">
        <f>(J64*'Base Data'!$C$5)+(K64*'Base Data'!$C$6)+(L64*'Base Data'!$C$7)</f>
        <v>261931.28</v>
      </c>
      <c r="O64" s="37">
        <f t="shared" si="9"/>
        <v>0</v>
      </c>
      <c r="P64" s="64">
        <v>0</v>
      </c>
      <c r="Q64" s="66" t="s">
        <v>277</v>
      </c>
      <c r="U64" s="498">
        <v>1014</v>
      </c>
    </row>
    <row r="65" spans="1:21" s="95" customFormat="1" ht="9" x14ac:dyDescent="0.15">
      <c r="A65" s="91" t="s">
        <v>314</v>
      </c>
      <c r="B65" s="31">
        <v>2</v>
      </c>
      <c r="C65" s="31">
        <v>0</v>
      </c>
      <c r="D65" s="37">
        <v>0</v>
      </c>
      <c r="E65" s="37">
        <v>0</v>
      </c>
      <c r="F65" s="37">
        <v>0</v>
      </c>
      <c r="G65" s="31">
        <v>2</v>
      </c>
      <c r="H65" s="31">
        <f t="shared" si="5"/>
        <v>4</v>
      </c>
      <c r="I65" s="63">
        <f>ROUND(SUM('Base Data'!$D$18:$D$20,'Base Data'!$D$23:$D$25,(SUM('Base Data'!$D$63:$D$65)/3)),0)</f>
        <v>1040</v>
      </c>
      <c r="J65" s="64">
        <f t="shared" si="6"/>
        <v>4160</v>
      </c>
      <c r="K65" s="457">
        <f t="shared" si="7"/>
        <v>416</v>
      </c>
      <c r="L65" s="457">
        <f t="shared" si="8"/>
        <v>208</v>
      </c>
      <c r="M65" s="31">
        <f>C65*G65*I65</f>
        <v>0</v>
      </c>
      <c r="N65" s="37">
        <f>(J65*'Base Data'!$C$5)+(K65*'Base Data'!$C$6)+(L65*'Base Data'!$C$7)</f>
        <v>523862.56</v>
      </c>
      <c r="O65" s="37">
        <f t="shared" si="9"/>
        <v>0</v>
      </c>
      <c r="P65" s="64">
        <v>0</v>
      </c>
      <c r="Q65" s="66" t="s">
        <v>277</v>
      </c>
      <c r="U65" s="498">
        <v>1014</v>
      </c>
    </row>
    <row r="66" spans="1:21" s="95" customFormat="1" ht="9" x14ac:dyDescent="0.15">
      <c r="A66" s="91" t="s">
        <v>315</v>
      </c>
      <c r="B66" s="31">
        <v>0.5</v>
      </c>
      <c r="C66" s="31"/>
      <c r="D66" s="37">
        <v>0</v>
      </c>
      <c r="E66" s="37">
        <v>0</v>
      </c>
      <c r="F66" s="37">
        <v>0</v>
      </c>
      <c r="G66" s="31">
        <v>12</v>
      </c>
      <c r="H66" s="31">
        <f t="shared" si="5"/>
        <v>6</v>
      </c>
      <c r="I66" s="63">
        <f>ROUND(SUM('Base Data'!$D$18:$D$20,'Base Data'!$D$23:$D$25,(SUM('Base Data'!$D$63:$D$65)/3)),0)</f>
        <v>1040</v>
      </c>
      <c r="J66" s="64">
        <f t="shared" si="6"/>
        <v>6240</v>
      </c>
      <c r="K66" s="457">
        <f t="shared" si="7"/>
        <v>624</v>
      </c>
      <c r="L66" s="457">
        <f t="shared" si="8"/>
        <v>312</v>
      </c>
      <c r="M66" s="31"/>
      <c r="N66" s="37">
        <f>(J66*'Base Data'!$C$5)+(K66*'Base Data'!$C$6)+(L66*'Base Data'!$C$7)</f>
        <v>785793.84000000008</v>
      </c>
      <c r="O66" s="37">
        <f t="shared" si="9"/>
        <v>0</v>
      </c>
      <c r="P66" s="64">
        <v>0</v>
      </c>
      <c r="Q66" s="66" t="s">
        <v>277</v>
      </c>
      <c r="U66" s="498">
        <v>1014</v>
      </c>
    </row>
    <row r="67" spans="1:21" s="95" customFormat="1" ht="9" x14ac:dyDescent="0.15">
      <c r="A67" s="90" t="s">
        <v>305</v>
      </c>
      <c r="B67" s="31">
        <v>40</v>
      </c>
      <c r="C67" s="31"/>
      <c r="D67" s="37">
        <v>0</v>
      </c>
      <c r="E67" s="37">
        <v>0</v>
      </c>
      <c r="F67" s="37">
        <v>0</v>
      </c>
      <c r="G67" s="31">
        <v>1</v>
      </c>
      <c r="H67" s="31">
        <f t="shared" si="5"/>
        <v>40</v>
      </c>
      <c r="I67" s="63">
        <f>ROUND(SUM('Base Data'!$H$18:$H$20,'Base Data'!$H$23:$H$25,(SUM('Base Data'!$H$63:$H$65)/3))/2,0)</f>
        <v>61</v>
      </c>
      <c r="J67" s="64">
        <f>H67*I67</f>
        <v>2440</v>
      </c>
      <c r="K67" s="64">
        <f>J67*0.1</f>
        <v>244</v>
      </c>
      <c r="L67" s="64">
        <f>J67*0.05</f>
        <v>122</v>
      </c>
      <c r="M67" s="31"/>
      <c r="N67" s="37">
        <f>(J67*'Base Data'!$C$5)+(K67*'Base Data'!$C$6)+(L67*'Base Data'!$C$7)</f>
        <v>307265.54000000004</v>
      </c>
      <c r="O67" s="37">
        <f>(D67+E67+F67)*G67*I67</f>
        <v>0</v>
      </c>
      <c r="P67" s="64">
        <v>0</v>
      </c>
      <c r="Q67" s="66" t="s">
        <v>210</v>
      </c>
      <c r="U67" s="250">
        <v>59</v>
      </c>
    </row>
    <row r="68" spans="1:21" s="95" customFormat="1" ht="9" x14ac:dyDescent="0.15">
      <c r="A68" s="94" t="s">
        <v>306</v>
      </c>
      <c r="B68" s="31" t="s">
        <v>311</v>
      </c>
      <c r="C68" s="31"/>
      <c r="D68" s="37"/>
      <c r="E68" s="37"/>
      <c r="F68" s="37"/>
      <c r="G68" s="31"/>
      <c r="H68" s="31"/>
      <c r="I68" s="64"/>
      <c r="J68" s="64"/>
      <c r="K68" s="64"/>
      <c r="L68" s="64"/>
      <c r="M68" s="31"/>
      <c r="N68" s="37"/>
      <c r="O68" s="37"/>
      <c r="P68" s="37"/>
      <c r="Q68" s="66"/>
    </row>
    <row r="69" spans="1:21" s="371" customFormat="1" ht="9" hidden="1" x14ac:dyDescent="0.15">
      <c r="B69" s="372"/>
      <c r="C69" s="372"/>
      <c r="D69" s="373"/>
      <c r="E69" s="373"/>
      <c r="F69" s="373"/>
      <c r="G69" s="372"/>
      <c r="H69" s="372"/>
      <c r="I69" s="374"/>
      <c r="J69" s="374">
        <f>SUM(J57:J68)</f>
        <v>53400</v>
      </c>
      <c r="K69" s="374">
        <f>SUM(K57:K68)</f>
        <v>5340</v>
      </c>
      <c r="L69" s="374">
        <f>SUM(L57:L68)</f>
        <v>2670</v>
      </c>
      <c r="M69" s="373">
        <f>SUM(M57:M68)</f>
        <v>0</v>
      </c>
      <c r="Q69" s="375"/>
      <c r="R69" s="365">
        <f>SUM(R57:R68)</f>
        <v>0</v>
      </c>
    </row>
    <row r="70" spans="1:21" s="371" customFormat="1" ht="9" x14ac:dyDescent="0.15">
      <c r="A70" s="382" t="s">
        <v>23</v>
      </c>
      <c r="B70" s="429"/>
      <c r="C70" s="429"/>
      <c r="D70" s="430"/>
      <c r="E70" s="430"/>
      <c r="F70" s="430"/>
      <c r="G70" s="429"/>
      <c r="H70" s="429"/>
      <c r="I70" s="431"/>
      <c r="J70" s="730">
        <f>J69+K69+L69</f>
        <v>61410</v>
      </c>
      <c r="K70" s="731"/>
      <c r="L70" s="732"/>
      <c r="M70" s="430"/>
      <c r="N70" s="373">
        <f>SUM(N57:N68)</f>
        <v>6724581.9000000004</v>
      </c>
      <c r="O70" s="373">
        <f>SUM(O57:O68)</f>
        <v>0</v>
      </c>
      <c r="P70" s="374">
        <f>SUM(P57:P68)</f>
        <v>0</v>
      </c>
      <c r="Q70" s="432"/>
      <c r="R70" s="433"/>
    </row>
    <row r="71" spans="1:21" s="109" customFormat="1" hidden="1" x14ac:dyDescent="0.2">
      <c r="B71" s="111"/>
      <c r="C71" s="111"/>
      <c r="D71" s="111"/>
      <c r="E71" s="111"/>
      <c r="F71" s="112"/>
      <c r="G71" s="111"/>
      <c r="H71" s="111"/>
      <c r="I71" s="113"/>
      <c r="J71" s="114">
        <f>J54+J69</f>
        <v>170980</v>
      </c>
      <c r="K71" s="114">
        <f>K54+K69</f>
        <v>17098</v>
      </c>
      <c r="L71" s="114">
        <f>L54+L69</f>
        <v>8549</v>
      </c>
      <c r="M71" s="115">
        <f>M54+M69</f>
        <v>0</v>
      </c>
    </row>
    <row r="72" spans="1:21" x14ac:dyDescent="0.2">
      <c r="A72" s="110" t="s">
        <v>283</v>
      </c>
      <c r="B72" s="434"/>
      <c r="C72" s="434"/>
      <c r="D72" s="434"/>
      <c r="E72" s="434"/>
      <c r="F72" s="434"/>
      <c r="G72" s="434"/>
      <c r="H72" s="434"/>
      <c r="I72" s="435"/>
      <c r="J72" s="733">
        <f>J71+K71+L71</f>
        <v>196627</v>
      </c>
      <c r="K72" s="734"/>
      <c r="L72" s="735"/>
      <c r="N72" s="115">
        <f>N55+N70</f>
        <v>21531254.93</v>
      </c>
      <c r="O72" s="115">
        <f>O55+O70</f>
        <v>74866304</v>
      </c>
      <c r="P72" s="114">
        <f>P55+P70</f>
        <v>242</v>
      </c>
      <c r="Q72" s="555"/>
    </row>
    <row r="73" spans="1:21" s="38" customFormat="1" ht="9" x14ac:dyDescent="0.15">
      <c r="A73" s="38" t="s">
        <v>718</v>
      </c>
      <c r="B73" s="41"/>
      <c r="C73" s="41"/>
      <c r="D73" s="41"/>
      <c r="E73" s="41"/>
      <c r="F73" s="41"/>
      <c r="G73" s="41"/>
      <c r="H73" s="41"/>
      <c r="I73" s="42"/>
      <c r="J73" s="41"/>
      <c r="K73" s="41"/>
      <c r="L73" s="41"/>
      <c r="M73" s="41"/>
      <c r="N73" s="41"/>
      <c r="O73" s="121"/>
      <c r="P73" s="121"/>
      <c r="Q73" s="41"/>
    </row>
    <row r="74" spans="1:21" s="38" customFormat="1" ht="18" customHeight="1" x14ac:dyDescent="0.15">
      <c r="A74" s="682" t="s">
        <v>450</v>
      </c>
      <c r="B74" s="682"/>
      <c r="C74" s="682"/>
      <c r="D74" s="682"/>
      <c r="E74" s="682"/>
      <c r="F74" s="682"/>
      <c r="G74" s="682"/>
      <c r="H74" s="682"/>
      <c r="I74" s="682"/>
      <c r="J74" s="682"/>
      <c r="K74" s="682"/>
      <c r="L74" s="682"/>
      <c r="M74" s="682"/>
      <c r="N74" s="682"/>
      <c r="O74" s="682"/>
      <c r="P74" s="488"/>
      <c r="Q74" s="41"/>
    </row>
    <row r="75" spans="1:21" s="38" customFormat="1" ht="26.25" customHeight="1" x14ac:dyDescent="0.15">
      <c r="A75" s="682" t="s">
        <v>726</v>
      </c>
      <c r="B75" s="726"/>
      <c r="C75" s="726"/>
      <c r="D75" s="726"/>
      <c r="E75" s="726"/>
      <c r="F75" s="726"/>
      <c r="G75" s="726"/>
      <c r="H75" s="726"/>
      <c r="I75" s="726"/>
      <c r="J75" s="726"/>
      <c r="K75" s="726"/>
      <c r="L75" s="726"/>
      <c r="M75" s="726"/>
      <c r="N75" s="726"/>
      <c r="O75" s="726"/>
      <c r="P75" s="552"/>
      <c r="Q75" s="41"/>
    </row>
    <row r="76" spans="1:21" s="38" customFormat="1" ht="18" customHeight="1" x14ac:dyDescent="0.15">
      <c r="A76" s="682" t="s">
        <v>88</v>
      </c>
      <c r="B76" s="682"/>
      <c r="C76" s="682"/>
      <c r="D76" s="682"/>
      <c r="E76" s="682"/>
      <c r="F76" s="682"/>
      <c r="G76" s="682"/>
      <c r="H76" s="682"/>
      <c r="I76" s="682"/>
      <c r="J76" s="682"/>
      <c r="K76" s="682"/>
      <c r="L76" s="682"/>
      <c r="M76" s="682"/>
      <c r="N76" s="682"/>
      <c r="O76" s="682"/>
      <c r="P76" s="682"/>
      <c r="Q76" s="682"/>
    </row>
    <row r="77" spans="1:21" s="38" customFormat="1" ht="9" customHeight="1" x14ac:dyDescent="0.15">
      <c r="A77" s="38" t="s">
        <v>775</v>
      </c>
      <c r="B77" s="41"/>
      <c r="C77" s="41"/>
      <c r="D77" s="41"/>
      <c r="E77" s="41"/>
      <c r="F77" s="41"/>
      <c r="G77" s="41"/>
      <c r="H77" s="41"/>
      <c r="I77" s="42"/>
      <c r="J77" s="41"/>
      <c r="K77" s="41"/>
      <c r="L77" s="41"/>
      <c r="M77" s="41"/>
      <c r="N77" s="41"/>
      <c r="O77" s="121"/>
      <c r="P77" s="121"/>
      <c r="Q77" s="41"/>
    </row>
    <row r="78" spans="1:21" s="38" customFormat="1" ht="9" customHeight="1" x14ac:dyDescent="0.15">
      <c r="A78" s="38" t="s">
        <v>317</v>
      </c>
      <c r="B78" s="41"/>
      <c r="C78" s="41"/>
      <c r="D78" s="41"/>
      <c r="E78" s="41"/>
      <c r="F78" s="41"/>
      <c r="G78" s="41"/>
      <c r="H78" s="41"/>
      <c r="I78" s="42"/>
      <c r="J78" s="41"/>
      <c r="K78" s="41"/>
      <c r="L78" s="41"/>
      <c r="M78" s="41"/>
      <c r="N78" s="41"/>
      <c r="O78" s="121"/>
      <c r="P78" s="121"/>
      <c r="Q78" s="41"/>
    </row>
    <row r="79" spans="1:21" s="38" customFormat="1" ht="9" x14ac:dyDescent="0.15">
      <c r="A79" s="38" t="s">
        <v>0</v>
      </c>
      <c r="B79" s="41"/>
      <c r="C79" s="41"/>
      <c r="D79" s="41"/>
      <c r="E79" s="41"/>
      <c r="F79" s="41"/>
      <c r="G79" s="41"/>
      <c r="H79" s="41"/>
      <c r="I79" s="42"/>
      <c r="J79" s="41"/>
      <c r="K79" s="41"/>
      <c r="L79" s="41"/>
      <c r="M79" s="41"/>
      <c r="N79" s="41"/>
      <c r="O79" s="121"/>
      <c r="P79" s="121"/>
      <c r="Q79" s="41"/>
    </row>
    <row r="80" spans="1:21" s="38" customFormat="1" ht="9" x14ac:dyDescent="0.15">
      <c r="A80" s="38" t="s">
        <v>508</v>
      </c>
      <c r="B80" s="41"/>
      <c r="C80" s="41"/>
      <c r="D80" s="41"/>
      <c r="E80" s="41"/>
      <c r="F80" s="41"/>
      <c r="G80" s="41"/>
      <c r="H80" s="41"/>
      <c r="I80" s="42"/>
      <c r="J80" s="41"/>
      <c r="K80" s="41"/>
      <c r="L80" s="41"/>
      <c r="M80" s="41"/>
      <c r="N80" s="41"/>
      <c r="O80" s="121"/>
      <c r="P80" s="121"/>
      <c r="Q80" s="41"/>
    </row>
    <row r="81" spans="1:17" s="38" customFormat="1" ht="19.5" customHeight="1" x14ac:dyDescent="0.15">
      <c r="A81" s="682" t="s">
        <v>770</v>
      </c>
      <c r="B81" s="682"/>
      <c r="C81" s="682"/>
      <c r="D81" s="682"/>
      <c r="E81" s="682"/>
      <c r="F81" s="682"/>
      <c r="G81" s="682"/>
      <c r="H81" s="682"/>
      <c r="I81" s="682"/>
      <c r="J81" s="682"/>
      <c r="K81" s="682"/>
      <c r="L81" s="682"/>
      <c r="M81" s="682"/>
      <c r="N81" s="682"/>
      <c r="O81" s="682"/>
      <c r="P81" s="121"/>
      <c r="Q81" s="41"/>
    </row>
    <row r="82" spans="1:17" s="38" customFormat="1" ht="9" x14ac:dyDescent="0.15">
      <c r="A82" s="38" t="s">
        <v>395</v>
      </c>
      <c r="B82" s="41"/>
      <c r="C82" s="41"/>
      <c r="D82" s="41"/>
      <c r="E82" s="41"/>
      <c r="F82" s="41"/>
      <c r="G82" s="41"/>
      <c r="H82" s="41"/>
      <c r="I82" s="42"/>
      <c r="J82" s="41"/>
      <c r="K82" s="41"/>
      <c r="L82" s="41"/>
      <c r="M82" s="41"/>
      <c r="N82" s="41"/>
      <c r="O82" s="121"/>
      <c r="P82" s="121"/>
      <c r="Q82" s="41"/>
    </row>
    <row r="83" spans="1:17" s="38" customFormat="1" ht="18" customHeight="1" x14ac:dyDescent="0.15">
      <c r="A83" s="682" t="s">
        <v>771</v>
      </c>
      <c r="B83" s="682"/>
      <c r="C83" s="682"/>
      <c r="D83" s="682"/>
      <c r="E83" s="682"/>
      <c r="F83" s="682"/>
      <c r="G83" s="682"/>
      <c r="H83" s="682"/>
      <c r="I83" s="682"/>
      <c r="J83" s="682"/>
      <c r="K83" s="682"/>
      <c r="L83" s="682"/>
      <c r="M83" s="682"/>
      <c r="N83" s="682"/>
      <c r="O83" s="682"/>
      <c r="P83" s="682"/>
      <c r="Q83" s="682"/>
    </row>
    <row r="84" spans="1:17" s="38" customFormat="1" ht="9" x14ac:dyDescent="0.15">
      <c r="A84" s="38" t="s">
        <v>719</v>
      </c>
      <c r="B84" s="41"/>
      <c r="C84" s="41"/>
      <c r="D84" s="41"/>
      <c r="E84" s="41"/>
      <c r="F84" s="41"/>
      <c r="G84" s="41"/>
      <c r="H84" s="41"/>
      <c r="I84" s="42"/>
      <c r="J84" s="41"/>
      <c r="K84" s="41"/>
      <c r="L84" s="41"/>
      <c r="M84" s="41"/>
      <c r="N84" s="41"/>
      <c r="O84" s="121"/>
      <c r="P84" s="121"/>
      <c r="Q84" s="41"/>
    </row>
    <row r="85" spans="1:17" s="38" customFormat="1" ht="9" customHeight="1" x14ac:dyDescent="0.15">
      <c r="A85" s="682" t="s">
        <v>720</v>
      </c>
      <c r="B85" s="682"/>
      <c r="C85" s="682"/>
      <c r="D85" s="682"/>
      <c r="E85" s="682"/>
      <c r="F85" s="682"/>
      <c r="G85" s="682"/>
      <c r="H85" s="682"/>
      <c r="I85" s="682"/>
      <c r="J85" s="682"/>
      <c r="K85" s="682"/>
      <c r="L85" s="682"/>
      <c r="M85" s="682"/>
      <c r="N85" s="682"/>
      <c r="O85" s="682"/>
      <c r="P85" s="682"/>
      <c r="Q85" s="682"/>
    </row>
    <row r="86" spans="1:17" s="38" customFormat="1" ht="9" x14ac:dyDescent="0.15">
      <c r="A86" s="682"/>
      <c r="B86" s="682"/>
      <c r="C86" s="682"/>
      <c r="D86" s="682"/>
      <c r="E86" s="682"/>
      <c r="F86" s="682"/>
      <c r="G86" s="682"/>
      <c r="H86" s="682"/>
      <c r="I86" s="682"/>
      <c r="J86" s="682"/>
      <c r="K86" s="682"/>
      <c r="L86" s="682"/>
      <c r="M86" s="682"/>
      <c r="N86" s="682"/>
      <c r="O86" s="682"/>
      <c r="P86" s="682"/>
      <c r="Q86" s="682"/>
    </row>
    <row r="87" spans="1:17" s="38" customFormat="1" ht="9" x14ac:dyDescent="0.15">
      <c r="A87" s="682"/>
      <c r="B87" s="682"/>
      <c r="C87" s="682"/>
      <c r="D87" s="682"/>
      <c r="E87" s="682"/>
      <c r="F87" s="682"/>
      <c r="G87" s="682"/>
      <c r="H87" s="682"/>
      <c r="I87" s="682"/>
      <c r="J87" s="682"/>
      <c r="K87" s="682"/>
      <c r="L87" s="682"/>
      <c r="M87" s="682"/>
      <c r="N87" s="682"/>
      <c r="O87" s="682"/>
      <c r="P87" s="682"/>
      <c r="Q87" s="682"/>
    </row>
    <row r="88" spans="1:17" s="38" customFormat="1" ht="9" x14ac:dyDescent="0.15">
      <c r="A88" s="38" t="s">
        <v>660</v>
      </c>
      <c r="B88" s="41"/>
      <c r="C88" s="41"/>
      <c r="D88" s="41"/>
      <c r="E88" s="41"/>
      <c r="F88" s="41"/>
      <c r="G88" s="41"/>
      <c r="H88" s="41"/>
      <c r="I88" s="42"/>
      <c r="J88" s="41"/>
      <c r="K88" s="41"/>
      <c r="L88" s="41"/>
      <c r="M88" s="41"/>
      <c r="N88" s="41"/>
      <c r="O88" s="121"/>
      <c r="P88" s="121"/>
      <c r="Q88" s="41"/>
    </row>
    <row r="89" spans="1:17" s="38" customFormat="1" ht="9" x14ac:dyDescent="0.15">
      <c r="A89" s="38" t="s">
        <v>661</v>
      </c>
      <c r="B89" s="41"/>
      <c r="C89" s="41"/>
      <c r="D89" s="41"/>
      <c r="E89" s="41"/>
      <c r="F89" s="41"/>
      <c r="G89" s="41"/>
      <c r="H89" s="41"/>
      <c r="I89" s="42"/>
      <c r="J89" s="41"/>
      <c r="K89" s="41"/>
      <c r="L89" s="41"/>
      <c r="M89" s="41"/>
      <c r="N89" s="41"/>
      <c r="O89" s="121"/>
      <c r="P89" s="121"/>
      <c r="Q89" s="41"/>
    </row>
    <row r="90" spans="1:17" s="38" customFormat="1" ht="9" x14ac:dyDescent="0.15">
      <c r="B90" s="41"/>
      <c r="C90" s="41"/>
      <c r="D90" s="41"/>
      <c r="E90" s="41"/>
      <c r="F90" s="41"/>
      <c r="G90" s="41"/>
      <c r="H90" s="41"/>
      <c r="I90" s="42"/>
      <c r="J90" s="41"/>
      <c r="K90" s="41"/>
      <c r="L90" s="41"/>
      <c r="M90" s="41"/>
      <c r="N90" s="41"/>
      <c r="O90" s="121"/>
      <c r="P90" s="121"/>
      <c r="Q90" s="41"/>
    </row>
    <row r="91" spans="1:17" s="38" customFormat="1" ht="9" x14ac:dyDescent="0.15">
      <c r="B91" s="41"/>
      <c r="C91" s="41"/>
      <c r="D91" s="41"/>
      <c r="E91" s="41"/>
      <c r="F91" s="41"/>
      <c r="G91" s="41"/>
      <c r="H91" s="41"/>
      <c r="I91" s="42"/>
      <c r="J91" s="41"/>
      <c r="K91" s="41"/>
      <c r="L91" s="41"/>
      <c r="M91" s="41"/>
      <c r="N91" s="41"/>
      <c r="O91" s="121"/>
      <c r="P91" s="121"/>
      <c r="Q91" s="41"/>
    </row>
    <row r="92" spans="1:17" s="38" customFormat="1" ht="9" x14ac:dyDescent="0.15">
      <c r="B92" s="41"/>
      <c r="C92" s="41"/>
      <c r="D92" s="41"/>
      <c r="E92" s="41"/>
      <c r="F92" s="41"/>
      <c r="G92" s="41"/>
      <c r="H92" s="41"/>
      <c r="I92" s="42"/>
      <c r="J92" s="41"/>
      <c r="K92" s="41"/>
      <c r="L92" s="41"/>
      <c r="M92" s="41"/>
      <c r="N92" s="41"/>
      <c r="O92" s="121"/>
      <c r="P92" s="121"/>
      <c r="Q92" s="41"/>
    </row>
    <row r="93" spans="1:17" s="38" customFormat="1" ht="9" x14ac:dyDescent="0.15">
      <c r="B93" s="41"/>
      <c r="C93" s="41"/>
      <c r="D93" s="41"/>
      <c r="E93" s="41"/>
      <c r="F93" s="41"/>
      <c r="G93" s="41"/>
      <c r="H93" s="41"/>
      <c r="I93" s="42"/>
      <c r="J93" s="41"/>
      <c r="K93" s="41"/>
      <c r="L93" s="41"/>
      <c r="M93" s="41"/>
      <c r="N93" s="41"/>
      <c r="O93" s="121"/>
      <c r="P93" s="121"/>
      <c r="Q93" s="41"/>
    </row>
    <row r="94" spans="1:17" s="38" customFormat="1" ht="9" x14ac:dyDescent="0.15">
      <c r="B94" s="41"/>
      <c r="C94" s="41"/>
      <c r="D94" s="41"/>
      <c r="E94" s="41"/>
      <c r="F94" s="41"/>
      <c r="G94" s="41"/>
      <c r="H94" s="41"/>
      <c r="I94" s="42"/>
      <c r="J94" s="41"/>
      <c r="K94" s="41"/>
      <c r="L94" s="41"/>
      <c r="M94" s="41"/>
      <c r="N94" s="41"/>
      <c r="O94" s="121"/>
      <c r="P94" s="121"/>
      <c r="Q94" s="41"/>
    </row>
    <row r="95" spans="1:17" s="38" customFormat="1" ht="9" x14ac:dyDescent="0.15">
      <c r="B95" s="41"/>
      <c r="C95" s="41"/>
      <c r="D95" s="41"/>
      <c r="E95" s="41"/>
      <c r="F95" s="41"/>
      <c r="G95" s="41"/>
      <c r="H95" s="41"/>
      <c r="I95" s="42"/>
      <c r="J95" s="41"/>
      <c r="K95" s="41"/>
      <c r="L95" s="41"/>
      <c r="M95" s="41"/>
      <c r="N95" s="41"/>
      <c r="O95" s="121"/>
      <c r="P95" s="121"/>
      <c r="Q95" s="41"/>
    </row>
    <row r="96" spans="1: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7" s="38" customFormat="1" ht="9" x14ac:dyDescent="0.15">
      <c r="B113" s="41"/>
      <c r="C113" s="41"/>
      <c r="D113" s="41"/>
      <c r="E113" s="41"/>
      <c r="F113" s="41"/>
      <c r="G113" s="41"/>
      <c r="H113" s="41"/>
      <c r="I113" s="42"/>
      <c r="J113" s="41"/>
      <c r="K113" s="41"/>
      <c r="L113" s="41"/>
      <c r="M113" s="41"/>
      <c r="N113" s="41"/>
      <c r="O113" s="121"/>
      <c r="P113" s="121"/>
      <c r="Q113" s="41"/>
    </row>
    <row r="114" spans="2:17" s="38" customFormat="1" ht="9" x14ac:dyDescent="0.15">
      <c r="B114" s="41"/>
      <c r="C114" s="41"/>
      <c r="D114" s="41"/>
      <c r="E114" s="41"/>
      <c r="F114" s="41"/>
      <c r="G114" s="41"/>
      <c r="H114" s="41"/>
      <c r="I114" s="42"/>
      <c r="J114" s="41"/>
      <c r="K114" s="41"/>
      <c r="L114" s="41"/>
      <c r="M114" s="41"/>
      <c r="N114" s="41"/>
      <c r="O114" s="121"/>
      <c r="P114" s="121"/>
      <c r="Q114" s="41"/>
    </row>
    <row r="115" spans="2:17" s="38" customFormat="1" ht="9" x14ac:dyDescent="0.15">
      <c r="B115" s="41"/>
      <c r="C115" s="41"/>
      <c r="D115" s="41"/>
      <c r="E115" s="41"/>
      <c r="F115" s="41"/>
      <c r="G115" s="41"/>
      <c r="H115" s="41"/>
      <c r="I115" s="42"/>
      <c r="J115" s="41"/>
      <c r="K115" s="41"/>
      <c r="L115" s="41"/>
      <c r="M115" s="41"/>
      <c r="N115" s="41"/>
      <c r="O115" s="121"/>
      <c r="P115" s="121"/>
      <c r="Q115" s="41"/>
    </row>
    <row r="116" spans="2:17" s="38" customFormat="1" ht="9" x14ac:dyDescent="0.15">
      <c r="B116" s="41"/>
      <c r="C116" s="41"/>
      <c r="D116" s="41"/>
      <c r="E116" s="41"/>
      <c r="F116" s="41"/>
      <c r="G116" s="41"/>
      <c r="H116" s="41"/>
      <c r="I116" s="42"/>
      <c r="J116" s="41"/>
      <c r="K116" s="41"/>
      <c r="L116" s="41"/>
      <c r="M116" s="41"/>
      <c r="N116" s="41"/>
      <c r="O116" s="121"/>
      <c r="P116" s="121"/>
      <c r="Q116" s="41"/>
    </row>
    <row r="117" spans="2:17" s="38" customFormat="1" ht="9" x14ac:dyDescent="0.15">
      <c r="B117" s="41"/>
      <c r="C117" s="41"/>
      <c r="D117" s="41"/>
      <c r="E117" s="41"/>
      <c r="F117" s="41"/>
      <c r="G117" s="41"/>
      <c r="H117" s="41"/>
      <c r="I117" s="42"/>
      <c r="J117" s="41"/>
      <c r="K117" s="41"/>
      <c r="L117" s="41"/>
      <c r="M117" s="41"/>
      <c r="N117" s="41"/>
      <c r="O117" s="121"/>
      <c r="P117" s="121"/>
      <c r="Q117" s="41"/>
    </row>
    <row r="118" spans="2:17" s="38" customFormat="1" ht="9" x14ac:dyDescent="0.15">
      <c r="B118" s="41"/>
      <c r="C118" s="41"/>
      <c r="D118" s="41"/>
      <c r="E118" s="41"/>
      <c r="F118" s="41"/>
      <c r="G118" s="41"/>
      <c r="H118" s="41"/>
      <c r="I118" s="42"/>
      <c r="J118" s="41"/>
      <c r="K118" s="41"/>
      <c r="L118" s="41"/>
      <c r="M118" s="41"/>
      <c r="N118" s="41"/>
      <c r="O118" s="121"/>
      <c r="P118" s="121"/>
      <c r="Q118" s="41"/>
    </row>
    <row r="119" spans="2:17" s="38" customFormat="1" ht="9" x14ac:dyDescent="0.15">
      <c r="B119" s="41"/>
      <c r="C119" s="41"/>
      <c r="D119" s="41"/>
      <c r="E119" s="41"/>
      <c r="F119" s="41"/>
      <c r="G119" s="41"/>
      <c r="H119" s="41"/>
      <c r="I119" s="42"/>
      <c r="J119" s="41"/>
      <c r="K119" s="41"/>
      <c r="L119" s="41"/>
      <c r="M119" s="41"/>
      <c r="N119" s="41"/>
      <c r="O119" s="121"/>
      <c r="P119" s="121"/>
      <c r="Q119" s="41"/>
    </row>
    <row r="120" spans="2:17" s="38" customFormat="1" ht="9" x14ac:dyDescent="0.15">
      <c r="B120" s="41"/>
      <c r="C120" s="41"/>
      <c r="D120" s="41"/>
      <c r="E120" s="41"/>
      <c r="F120" s="41"/>
      <c r="G120" s="41"/>
      <c r="H120" s="41"/>
      <c r="I120" s="42"/>
      <c r="J120" s="41"/>
      <c r="K120" s="41"/>
      <c r="L120" s="41"/>
      <c r="M120" s="41"/>
      <c r="N120" s="41"/>
      <c r="O120" s="121"/>
      <c r="P120" s="121"/>
      <c r="Q120" s="41"/>
    </row>
    <row r="121" spans="2:17" s="38" customFormat="1" ht="9" x14ac:dyDescent="0.15">
      <c r="B121" s="41"/>
      <c r="C121" s="41"/>
      <c r="D121" s="41"/>
      <c r="E121" s="41"/>
      <c r="F121" s="41"/>
      <c r="G121" s="41"/>
      <c r="H121" s="41"/>
      <c r="I121" s="42"/>
      <c r="J121" s="41"/>
      <c r="K121" s="41"/>
      <c r="L121" s="41"/>
      <c r="M121" s="41"/>
      <c r="N121" s="41"/>
      <c r="O121" s="121"/>
      <c r="P121" s="121"/>
      <c r="Q121" s="41"/>
    </row>
    <row r="122" spans="2:17" s="38" customFormat="1" ht="9" x14ac:dyDescent="0.15">
      <c r="B122" s="41"/>
      <c r="C122" s="41"/>
      <c r="D122" s="41"/>
      <c r="E122" s="41"/>
      <c r="F122" s="41"/>
      <c r="G122" s="41"/>
      <c r="H122" s="41"/>
      <c r="I122" s="42"/>
      <c r="J122" s="41"/>
      <c r="K122" s="41"/>
      <c r="L122" s="41"/>
      <c r="M122" s="41"/>
      <c r="N122" s="41"/>
      <c r="O122" s="121"/>
      <c r="P122" s="121"/>
      <c r="Q122" s="41"/>
    </row>
    <row r="123" spans="2:17" s="38" customFormat="1" ht="9" x14ac:dyDescent="0.15">
      <c r="B123" s="41"/>
      <c r="C123" s="41"/>
      <c r="D123" s="41"/>
      <c r="E123" s="41"/>
      <c r="F123" s="41"/>
      <c r="G123" s="41"/>
      <c r="H123" s="41"/>
      <c r="I123" s="42"/>
      <c r="J123" s="41"/>
      <c r="K123" s="41"/>
      <c r="L123" s="41"/>
      <c r="M123" s="41"/>
      <c r="N123" s="41"/>
      <c r="O123" s="121"/>
      <c r="P123" s="121"/>
      <c r="Q123" s="41"/>
    </row>
    <row r="124" spans="2:17" x14ac:dyDescent="0.2">
      <c r="P124" s="121"/>
    </row>
  </sheetData>
  <mergeCells count="11">
    <mergeCell ref="A85:Q87"/>
    <mergeCell ref="A81:O81"/>
    <mergeCell ref="A1:Q1"/>
    <mergeCell ref="A2:Q2"/>
    <mergeCell ref="A76:Q76"/>
    <mergeCell ref="A74:O74"/>
    <mergeCell ref="A75:O75"/>
    <mergeCell ref="J55:L55"/>
    <mergeCell ref="J70:L70"/>
    <mergeCell ref="J72:L72"/>
    <mergeCell ref="A83:Q83"/>
  </mergeCells>
  <phoneticPr fontId="9" type="noConversion"/>
  <pageMargins left="0.25" right="0.25" top="0.5" bottom="0.5" header="0.5" footer="0.5"/>
  <pageSetup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7.85546875" style="39" bestFit="1" customWidth="1"/>
    <col min="9" max="9" width="9.42578125" style="40" bestFit="1" customWidth="1"/>
    <col min="10" max="11" width="6.85546875" style="39" bestFit="1" customWidth="1"/>
    <col min="12" max="12" width="8.5703125" style="39" customWidth="1"/>
    <col min="13" max="13" width="7.85546875" style="39" hidden="1" customWidth="1"/>
    <col min="14" max="14" width="10.140625" style="39" customWidth="1"/>
    <col min="15" max="15" width="10.140625" style="120" bestFit="1" customWidth="1"/>
    <col min="16" max="16" width="10" style="120" bestFit="1" customWidth="1"/>
    <col min="17" max="17" width="3.5703125" style="39" customWidth="1"/>
    <col min="18" max="19" width="9.140625" style="77" hidden="1" customWidth="1"/>
    <col min="20" max="20" width="11.140625" style="77" customWidth="1"/>
    <col min="21" max="21" width="8.5703125" style="77" customWidth="1"/>
    <col min="22" max="16384" width="9.140625" style="77"/>
  </cols>
  <sheetData>
    <row r="1" spans="1:21" x14ac:dyDescent="0.2">
      <c r="A1" s="684" t="s">
        <v>150</v>
      </c>
      <c r="B1" s="684"/>
      <c r="C1" s="684"/>
      <c r="D1" s="684"/>
      <c r="E1" s="684"/>
      <c r="F1" s="684"/>
      <c r="G1" s="684"/>
      <c r="H1" s="684"/>
      <c r="I1" s="684"/>
      <c r="J1" s="684"/>
      <c r="K1" s="684"/>
      <c r="L1" s="684"/>
      <c r="M1" s="684"/>
      <c r="N1" s="684"/>
      <c r="O1" s="684"/>
      <c r="P1" s="684"/>
      <c r="Q1" s="684"/>
    </row>
    <row r="2" spans="1:21" x14ac:dyDescent="0.2">
      <c r="A2" s="685" t="s">
        <v>614</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338</v>
      </c>
      <c r="K3" s="70" t="s">
        <v>339</v>
      </c>
      <c r="L3" s="70" t="s">
        <v>337</v>
      </c>
      <c r="M3" s="32" t="s">
        <v>279</v>
      </c>
      <c r="N3" s="32" t="s">
        <v>5</v>
      </c>
      <c r="O3" s="70" t="s">
        <v>6</v>
      </c>
      <c r="P3" s="70" t="s">
        <v>147</v>
      </c>
      <c r="Q3" s="106" t="s">
        <v>282</v>
      </c>
      <c r="R3" s="117" t="s">
        <v>225</v>
      </c>
      <c r="S3" s="117" t="s">
        <v>226</v>
      </c>
      <c r="T3" s="348" t="s">
        <v>575</v>
      </c>
      <c r="U3" s="117" t="s">
        <v>576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ROUND(SUM('Base Data'!$H$43:$H$45),0)</f>
        <v>66</v>
      </c>
      <c r="J7" s="64">
        <f>H7*I7</f>
        <v>2640</v>
      </c>
      <c r="K7" s="64">
        <f>J7*0.1</f>
        <v>264</v>
      </c>
      <c r="L7" s="63">
        <f>J7*0.05</f>
        <v>132</v>
      </c>
      <c r="M7" s="31">
        <f>C7*G7*I7</f>
        <v>0</v>
      </c>
      <c r="N7" s="37">
        <f>(J7*'Base Data'!$C$5)+(K7*'Base Data'!$C$6)+(L7*'Base Data'!$C$7)</f>
        <v>332451.24000000005</v>
      </c>
      <c r="O7" s="37">
        <f>(D7+E7+F7)*G7*I7</f>
        <v>0</v>
      </c>
      <c r="P7" s="64">
        <f>G7*I7</f>
        <v>66</v>
      </c>
      <c r="Q7" s="66" t="s">
        <v>276</v>
      </c>
      <c r="T7" s="95" t="s">
        <v>573</v>
      </c>
      <c r="U7" s="95" t="s">
        <v>577</v>
      </c>
    </row>
    <row r="8" spans="1:21" s="95" customFormat="1" ht="9" x14ac:dyDescent="0.15">
      <c r="A8" s="90" t="s">
        <v>288</v>
      </c>
      <c r="B8" s="31"/>
      <c r="C8" s="31"/>
      <c r="D8" s="37"/>
      <c r="E8" s="37"/>
      <c r="F8" s="37"/>
      <c r="G8" s="31"/>
      <c r="H8" s="31"/>
      <c r="I8" s="64"/>
      <c r="J8" s="64"/>
      <c r="K8" s="64"/>
      <c r="L8" s="64"/>
      <c r="M8" s="31"/>
      <c r="N8" s="37"/>
      <c r="O8" s="37"/>
      <c r="P8" s="37"/>
      <c r="Q8" s="66"/>
    </row>
    <row r="9" spans="1:21" s="95" customFormat="1" ht="9" x14ac:dyDescent="0.15">
      <c r="A9" s="91" t="s">
        <v>302</v>
      </c>
      <c r="B9" s="31"/>
      <c r="C9" s="31"/>
      <c r="D9" s="67"/>
      <c r="E9" s="37"/>
      <c r="F9" s="37"/>
      <c r="G9" s="31"/>
      <c r="H9" s="31"/>
      <c r="I9" s="63"/>
      <c r="J9" s="64"/>
      <c r="K9" s="64"/>
      <c r="L9" s="64"/>
      <c r="M9" s="65"/>
      <c r="N9" s="37"/>
      <c r="O9" s="37"/>
      <c r="P9" s="37"/>
      <c r="Q9" s="66"/>
      <c r="T9" s="347" t="s">
        <v>580</v>
      </c>
      <c r="U9" s="95" t="s">
        <v>578</v>
      </c>
    </row>
    <row r="10" spans="1:21" s="95" customFormat="1" ht="9" x14ac:dyDescent="0.15">
      <c r="A10" s="90" t="s">
        <v>211</v>
      </c>
      <c r="B10" s="31">
        <v>20</v>
      </c>
      <c r="C10" s="31"/>
      <c r="D10" s="37">
        <v>854</v>
      </c>
      <c r="E10" s="37">
        <v>0</v>
      </c>
      <c r="F10" s="37">
        <v>0</v>
      </c>
      <c r="G10" s="31">
        <v>1</v>
      </c>
      <c r="H10" s="31">
        <f>B10*G10</f>
        <v>20</v>
      </c>
      <c r="I10" s="63">
        <v>0</v>
      </c>
      <c r="J10" s="64">
        <f>H10*I10</f>
        <v>0</v>
      </c>
      <c r="K10" s="64">
        <f>J10*0.1</f>
        <v>0</v>
      </c>
      <c r="L10" s="64">
        <f>J10*0.05</f>
        <v>0</v>
      </c>
      <c r="M10" s="65">
        <f>C10*G10*I10</f>
        <v>0</v>
      </c>
      <c r="N10" s="37">
        <f>(J10*'Base Data'!$C$5)+(K10*'Base Data'!$C$6)+(L10*'Base Data'!$C$7)</f>
        <v>0</v>
      </c>
      <c r="O10" s="37">
        <f>(D10+E10+F10)*G10*I10</f>
        <v>0</v>
      </c>
      <c r="P10" s="64">
        <v>0</v>
      </c>
      <c r="Q10" s="66" t="s">
        <v>316</v>
      </c>
    </row>
    <row r="11" spans="1:21" s="95"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316</v>
      </c>
    </row>
    <row r="12" spans="1:21" s="95" customFormat="1" ht="9" x14ac:dyDescent="0.15">
      <c r="A12" s="91" t="s">
        <v>257</v>
      </c>
      <c r="B12" s="31">
        <v>12</v>
      </c>
      <c r="C12" s="31"/>
      <c r="D12" s="37">
        <v>0</v>
      </c>
      <c r="E12" s="37">
        <f>'Testing Costs'!$B$13</f>
        <v>5000</v>
      </c>
      <c r="F12" s="37">
        <v>0</v>
      </c>
      <c r="G12" s="31">
        <v>1</v>
      </c>
      <c r="H12" s="31">
        <f t="shared" ref="H12:H22" si="0">B12*G12</f>
        <v>12</v>
      </c>
      <c r="I12" s="63">
        <v>0</v>
      </c>
      <c r="J12" s="64">
        <f t="shared" ref="J12:J22" si="1">H12*I12</f>
        <v>0</v>
      </c>
      <c r="K12" s="64">
        <f t="shared" ref="K12:K22" si="2">J12*0.1</f>
        <v>0</v>
      </c>
      <c r="L12" s="64">
        <f t="shared" ref="L12:L22" si="3">J12*0.05</f>
        <v>0</v>
      </c>
      <c r="M12" s="65"/>
      <c r="N12" s="37">
        <f>(J12*'Base Data'!$C$5)+(K12*'Base Data'!$C$6)+(L12*'Base Data'!$C$7)</f>
        <v>0</v>
      </c>
      <c r="O12" s="37">
        <f t="shared" ref="O12:O22" si="4">(D12+E12+F12)*G12*I12</f>
        <v>0</v>
      </c>
      <c r="P12" s="64">
        <v>0</v>
      </c>
      <c r="Q12" s="66" t="s">
        <v>85</v>
      </c>
      <c r="T12" s="95" t="s">
        <v>571</v>
      </c>
      <c r="U12" s="95" t="s">
        <v>578</v>
      </c>
    </row>
    <row r="13" spans="1:21" s="95" customFormat="1" ht="9" x14ac:dyDescent="0.15">
      <c r="A13" s="91" t="s">
        <v>258</v>
      </c>
      <c r="B13" s="31">
        <v>12</v>
      </c>
      <c r="C13" s="31"/>
      <c r="D13" s="37">
        <v>0</v>
      </c>
      <c r="E13" s="37">
        <f>'Testing Costs'!$B$17</f>
        <v>8000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t="s">
        <v>277</v>
      </c>
      <c r="T13" s="95" t="s">
        <v>571</v>
      </c>
      <c r="U13" s="95" t="s">
        <v>578</v>
      </c>
    </row>
    <row r="14" spans="1:21" s="95" customFormat="1" ht="9" x14ac:dyDescent="0.15">
      <c r="A14" s="91" t="s">
        <v>259</v>
      </c>
      <c r="B14" s="31">
        <v>12</v>
      </c>
      <c r="C14" s="31"/>
      <c r="D14" s="37">
        <v>0</v>
      </c>
      <c r="E14" s="37">
        <f>'Testing Costs'!$B$15</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t="s">
        <v>277</v>
      </c>
      <c r="T14" s="95" t="s">
        <v>571</v>
      </c>
      <c r="U14" s="95" t="s">
        <v>578</v>
      </c>
    </row>
    <row r="15" spans="1:21" s="95" customFormat="1" ht="9" x14ac:dyDescent="0.15">
      <c r="A15" s="91" t="s">
        <v>158</v>
      </c>
      <c r="B15" s="31">
        <v>12</v>
      </c>
      <c r="C15" s="31"/>
      <c r="D15" s="37">
        <v>0</v>
      </c>
      <c r="E15" s="37">
        <f>'Testing Costs'!$B$14</f>
        <v>7000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t="s">
        <v>277</v>
      </c>
      <c r="T15" s="95" t="s">
        <v>571</v>
      </c>
      <c r="U15" s="95" t="s">
        <v>578</v>
      </c>
    </row>
    <row r="16" spans="1:21" s="95" customFormat="1" ht="9" customHeight="1" x14ac:dyDescent="0.15">
      <c r="A16" s="91" t="s">
        <v>122</v>
      </c>
      <c r="B16" s="31">
        <v>12</v>
      </c>
      <c r="C16" s="31"/>
      <c r="D16" s="37">
        <v>0</v>
      </c>
      <c r="E16" s="37">
        <f>'Testing Costs'!$B$13</f>
        <v>5000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t="s">
        <v>394</v>
      </c>
      <c r="T16" s="95" t="s">
        <v>572</v>
      </c>
      <c r="U16" s="95">
        <v>3</v>
      </c>
    </row>
    <row r="17" spans="1:21" s="95" customFormat="1" ht="9" x14ac:dyDescent="0.15">
      <c r="A17" s="91" t="s">
        <v>123</v>
      </c>
      <c r="B17" s="31">
        <v>12</v>
      </c>
      <c r="C17" s="31"/>
      <c r="D17" s="37">
        <v>0</v>
      </c>
      <c r="E17" s="37">
        <f>'Testing Costs'!$B$17</f>
        <v>8000</v>
      </c>
      <c r="F17" s="37">
        <v>0</v>
      </c>
      <c r="G17" s="31">
        <v>1</v>
      </c>
      <c r="H17" s="31">
        <f t="shared" si="0"/>
        <v>12</v>
      </c>
      <c r="I17" s="63">
        <v>0</v>
      </c>
      <c r="J17" s="64">
        <f t="shared" si="1"/>
        <v>0</v>
      </c>
      <c r="K17" s="64">
        <f t="shared" si="2"/>
        <v>0</v>
      </c>
      <c r="L17" s="64">
        <f t="shared" si="3"/>
        <v>0</v>
      </c>
      <c r="M17" s="65"/>
      <c r="N17" s="37">
        <f>(J17*'Base Data'!$C$5)+(K17*'Base Data'!$C$6)+(L17*'Base Data'!$C$7)</f>
        <v>0</v>
      </c>
      <c r="O17" s="37">
        <f t="shared" si="4"/>
        <v>0</v>
      </c>
      <c r="P17" s="64">
        <v>0</v>
      </c>
      <c r="Q17" s="66" t="s">
        <v>265</v>
      </c>
      <c r="T17" s="95" t="s">
        <v>572</v>
      </c>
      <c r="U17" s="95">
        <v>3</v>
      </c>
    </row>
    <row r="18" spans="1:21" s="95" customFormat="1" ht="9" x14ac:dyDescent="0.15">
      <c r="A18" s="91" t="s">
        <v>124</v>
      </c>
      <c r="B18" s="31">
        <v>12</v>
      </c>
      <c r="C18" s="31"/>
      <c r="D18" s="37">
        <v>0</v>
      </c>
      <c r="E18" s="37">
        <f>'Testing Costs'!$B$15</f>
        <v>8000</v>
      </c>
      <c r="F18" s="37">
        <v>0</v>
      </c>
      <c r="G18" s="31">
        <v>1</v>
      </c>
      <c r="H18" s="31">
        <f t="shared" si="0"/>
        <v>12</v>
      </c>
      <c r="I18" s="63">
        <v>0</v>
      </c>
      <c r="J18" s="64">
        <f t="shared" si="1"/>
        <v>0</v>
      </c>
      <c r="K18" s="64">
        <f t="shared" si="2"/>
        <v>0</v>
      </c>
      <c r="L18" s="64">
        <f t="shared" si="3"/>
        <v>0</v>
      </c>
      <c r="M18" s="65"/>
      <c r="N18" s="37">
        <f>(J18*'Base Data'!$C$5)+(K18*'Base Data'!$C$6)+(L18*'Base Data'!$C$7)</f>
        <v>0</v>
      </c>
      <c r="O18" s="37">
        <f t="shared" si="4"/>
        <v>0</v>
      </c>
      <c r="P18" s="64">
        <v>0</v>
      </c>
      <c r="Q18" s="66" t="s">
        <v>265</v>
      </c>
      <c r="T18" s="95" t="s">
        <v>572</v>
      </c>
      <c r="U18" s="95">
        <v>3</v>
      </c>
    </row>
    <row r="19" spans="1:21" s="95" customFormat="1" ht="9" x14ac:dyDescent="0.15">
      <c r="A19" s="91" t="s">
        <v>125</v>
      </c>
      <c r="B19" s="31">
        <v>12</v>
      </c>
      <c r="C19" s="31"/>
      <c r="D19" s="37">
        <v>0</v>
      </c>
      <c r="E19" s="37">
        <f>'Testing Costs'!$B$14</f>
        <v>7000</v>
      </c>
      <c r="F19" s="37">
        <v>0</v>
      </c>
      <c r="G19" s="31">
        <v>1</v>
      </c>
      <c r="H19" s="31">
        <f t="shared" si="0"/>
        <v>12</v>
      </c>
      <c r="I19" s="63">
        <v>0</v>
      </c>
      <c r="J19" s="64">
        <f t="shared" si="1"/>
        <v>0</v>
      </c>
      <c r="K19" s="64">
        <f t="shared" si="2"/>
        <v>0</v>
      </c>
      <c r="L19" s="64">
        <f t="shared" si="3"/>
        <v>0</v>
      </c>
      <c r="M19" s="65"/>
      <c r="N19" s="37">
        <f>(J19*'Base Data'!$C$5)+(K19*'Base Data'!$C$6)+(L19*'Base Data'!$C$7)</f>
        <v>0</v>
      </c>
      <c r="O19" s="37">
        <f t="shared" si="4"/>
        <v>0</v>
      </c>
      <c r="P19" s="64">
        <v>0</v>
      </c>
      <c r="Q19" s="66" t="s">
        <v>265</v>
      </c>
      <c r="T19" s="95" t="s">
        <v>572</v>
      </c>
      <c r="U19" s="95">
        <v>3</v>
      </c>
    </row>
    <row r="20" spans="1:21" s="95" customFormat="1" ht="18.75" customHeight="1" x14ac:dyDescent="0.15">
      <c r="A20" s="197" t="s">
        <v>428</v>
      </c>
      <c r="B20" s="31">
        <v>24</v>
      </c>
      <c r="C20" s="196"/>
      <c r="D20" s="37">
        <v>0</v>
      </c>
      <c r="E20" s="37">
        <f>$E$13+$E$14</f>
        <v>16000</v>
      </c>
      <c r="F20" s="37">
        <v>0</v>
      </c>
      <c r="G20" s="31">
        <v>1</v>
      </c>
      <c r="H20" s="31">
        <f t="shared" si="0"/>
        <v>24</v>
      </c>
      <c r="I20" s="63">
        <v>0</v>
      </c>
      <c r="J20" s="64">
        <f t="shared" si="1"/>
        <v>0</v>
      </c>
      <c r="K20" s="64">
        <f t="shared" si="2"/>
        <v>0</v>
      </c>
      <c r="L20" s="64">
        <f t="shared" si="3"/>
        <v>0</v>
      </c>
      <c r="M20" s="65"/>
      <c r="N20" s="37">
        <f>(J20*'Base Data'!$C$5)+(K20*'Base Data'!$C$6)+(L20*'Base Data'!$C$7)</f>
        <v>0</v>
      </c>
      <c r="O20" s="37">
        <f t="shared" si="4"/>
        <v>0</v>
      </c>
      <c r="P20" s="64">
        <v>0</v>
      </c>
      <c r="Q20" s="66" t="s">
        <v>86</v>
      </c>
      <c r="T20" s="95" t="s">
        <v>571</v>
      </c>
      <c r="U20" s="95" t="s">
        <v>578</v>
      </c>
    </row>
    <row r="21" spans="1:21" s="95" customFormat="1" ht="9" customHeight="1" x14ac:dyDescent="0.15">
      <c r="A21" s="91" t="s">
        <v>429</v>
      </c>
      <c r="B21" s="31">
        <v>5</v>
      </c>
      <c r="C21" s="31"/>
      <c r="D21" s="37">
        <v>0</v>
      </c>
      <c r="E21" s="37">
        <v>400</v>
      </c>
      <c r="F21" s="37">
        <v>0</v>
      </c>
      <c r="G21" s="31">
        <v>1</v>
      </c>
      <c r="H21" s="31">
        <f t="shared" si="0"/>
        <v>5</v>
      </c>
      <c r="I21" s="63">
        <v>0</v>
      </c>
      <c r="J21" s="64">
        <f t="shared" si="1"/>
        <v>0</v>
      </c>
      <c r="K21" s="64">
        <f t="shared" si="2"/>
        <v>0</v>
      </c>
      <c r="L21" s="64">
        <f t="shared" si="3"/>
        <v>0</v>
      </c>
      <c r="M21" s="65"/>
      <c r="N21" s="37">
        <f>(J21*'Base Data'!$C$5)+(K21*'Base Data'!$C$6)+(L21*'Base Data'!$C$7)</f>
        <v>0</v>
      </c>
      <c r="O21" s="37">
        <f t="shared" si="4"/>
        <v>0</v>
      </c>
      <c r="P21" s="64">
        <v>0</v>
      </c>
      <c r="Q21" s="66" t="s">
        <v>84</v>
      </c>
      <c r="T21" s="95" t="s">
        <v>571</v>
      </c>
      <c r="U21" s="95" t="s">
        <v>578</v>
      </c>
    </row>
    <row r="22" spans="1:21" s="95" customFormat="1" ht="9" customHeight="1" x14ac:dyDescent="0.15">
      <c r="A22" s="91" t="s">
        <v>430</v>
      </c>
      <c r="B22" s="31">
        <v>5</v>
      </c>
      <c r="C22" s="31"/>
      <c r="D22" s="37">
        <v>0</v>
      </c>
      <c r="E22" s="37">
        <v>400</v>
      </c>
      <c r="F22" s="37">
        <v>0</v>
      </c>
      <c r="G22" s="31">
        <v>12</v>
      </c>
      <c r="H22" s="31">
        <f t="shared" si="0"/>
        <v>60</v>
      </c>
      <c r="I22" s="63">
        <v>0</v>
      </c>
      <c r="J22" s="64">
        <f t="shared" si="1"/>
        <v>0</v>
      </c>
      <c r="K22" s="64">
        <f t="shared" si="2"/>
        <v>0</v>
      </c>
      <c r="L22" s="64">
        <f t="shared" si="3"/>
        <v>0</v>
      </c>
      <c r="M22" s="65"/>
      <c r="N22" s="37">
        <f>(J22*'Base Data'!$C$5)+(K22*'Base Data'!$C$6)+(L22*'Base Data'!$C$7)</f>
        <v>0</v>
      </c>
      <c r="O22" s="37">
        <f t="shared" si="4"/>
        <v>0</v>
      </c>
      <c r="P22" s="64">
        <v>0</v>
      </c>
      <c r="Q22" s="66" t="s">
        <v>84</v>
      </c>
      <c r="T22" s="95" t="s">
        <v>571</v>
      </c>
      <c r="U22" s="95" t="s">
        <v>578</v>
      </c>
    </row>
    <row r="23" spans="1:21" s="95" customFormat="1" ht="9" x14ac:dyDescent="0.15">
      <c r="A23" s="90" t="s">
        <v>432</v>
      </c>
      <c r="B23" s="31">
        <v>12</v>
      </c>
      <c r="C23" s="31"/>
      <c r="D23" s="37">
        <v>0</v>
      </c>
      <c r="E23" s="37">
        <v>2875</v>
      </c>
      <c r="F23" s="37">
        <v>0</v>
      </c>
      <c r="G23" s="31">
        <v>1</v>
      </c>
      <c r="H23" s="31">
        <f>B23*G23</f>
        <v>12</v>
      </c>
      <c r="I23" s="64">
        <v>0</v>
      </c>
      <c r="J23" s="63">
        <f>H23*I23</f>
        <v>0</v>
      </c>
      <c r="K23" s="63">
        <f>J23*0.1</f>
        <v>0</v>
      </c>
      <c r="L23" s="63">
        <f>J23*0.05</f>
        <v>0</v>
      </c>
      <c r="M23" s="64"/>
      <c r="N23" s="37">
        <f>(J23*'Base Data'!$C$5)+(K23*'Base Data'!$C$6)+(L23*'Base Data'!$C$7)</f>
        <v>0</v>
      </c>
      <c r="O23" s="37">
        <f>(D23+E23+F23)*G23*I23</f>
        <v>0</v>
      </c>
      <c r="P23" s="64">
        <v>0</v>
      </c>
      <c r="Q23" s="66" t="s">
        <v>401</v>
      </c>
      <c r="R23" s="250"/>
      <c r="T23" s="347">
        <v>42400</v>
      </c>
      <c r="U23" s="95" t="s">
        <v>578</v>
      </c>
    </row>
    <row r="24" spans="1:21" s="95" customFormat="1" ht="9" x14ac:dyDescent="0.15">
      <c r="A24" s="91" t="s">
        <v>207</v>
      </c>
      <c r="B24" s="31"/>
      <c r="C24" s="31"/>
      <c r="D24" s="37"/>
      <c r="E24" s="37"/>
      <c r="F24" s="37"/>
      <c r="G24" s="31"/>
      <c r="H24" s="31"/>
      <c r="I24" s="64"/>
      <c r="J24" s="64"/>
      <c r="K24" s="64"/>
      <c r="L24" s="64"/>
      <c r="M24" s="65"/>
      <c r="N24" s="37"/>
      <c r="O24" s="37"/>
      <c r="P24" s="64"/>
      <c r="Q24" s="66" t="s">
        <v>405</v>
      </c>
      <c r="T24" s="95" t="s">
        <v>571</v>
      </c>
      <c r="U24" s="95" t="s">
        <v>578</v>
      </c>
    </row>
    <row r="25" spans="1:21" s="95" customFormat="1" ht="9" x14ac:dyDescent="0.15">
      <c r="A25" s="91" t="s">
        <v>310</v>
      </c>
      <c r="B25" s="31">
        <v>40</v>
      </c>
      <c r="C25" s="31"/>
      <c r="D25" s="37">
        <v>0</v>
      </c>
      <c r="E25" s="37"/>
      <c r="F25" s="37">
        <v>0</v>
      </c>
      <c r="G25" s="31">
        <v>1</v>
      </c>
      <c r="H25" s="31">
        <f>B25*G25</f>
        <v>40</v>
      </c>
      <c r="I25" s="63">
        <v>0</v>
      </c>
      <c r="J25" s="64">
        <f>H25*I25</f>
        <v>0</v>
      </c>
      <c r="K25" s="64">
        <f>J25*0.1</f>
        <v>0</v>
      </c>
      <c r="L25" s="64">
        <f>J25*0.05</f>
        <v>0</v>
      </c>
      <c r="M25" s="65"/>
      <c r="N25" s="37">
        <f>(J25*'Base Data'!$C$5)+(K25*'Base Data'!$C$6)+(L25*'Base Data'!$C$7)</f>
        <v>0</v>
      </c>
      <c r="O25" s="37">
        <f>(D25+E25+F25)*G25*I25</f>
        <v>0</v>
      </c>
      <c r="P25" s="64">
        <v>0</v>
      </c>
      <c r="Q25" s="66" t="s">
        <v>277</v>
      </c>
    </row>
    <row r="26" spans="1:21" s="95" customFormat="1" ht="9" x14ac:dyDescent="0.15">
      <c r="A26" s="90" t="s">
        <v>289</v>
      </c>
      <c r="B26" s="31"/>
      <c r="C26" s="31"/>
      <c r="D26" s="37"/>
      <c r="E26" s="37"/>
      <c r="F26" s="37"/>
      <c r="G26" s="31"/>
      <c r="H26" s="31"/>
      <c r="I26" s="64"/>
      <c r="J26" s="64"/>
      <c r="K26" s="64"/>
      <c r="L26" s="64"/>
      <c r="M26" s="65"/>
      <c r="N26" s="37"/>
      <c r="O26" s="37"/>
      <c r="P26" s="64"/>
      <c r="Q26" s="66"/>
    </row>
    <row r="27" spans="1:21" s="95" customFormat="1" ht="9" x14ac:dyDescent="0.15">
      <c r="A27" s="90" t="s">
        <v>290</v>
      </c>
      <c r="B27" s="31">
        <v>10</v>
      </c>
      <c r="C27" s="31"/>
      <c r="D27" s="37">
        <v>0</v>
      </c>
      <c r="E27" s="37">
        <v>0</v>
      </c>
      <c r="F27" s="37">
        <v>43100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t="s">
        <v>277</v>
      </c>
    </row>
    <row r="28" spans="1:21" s="95" customFormat="1" ht="9" x14ac:dyDescent="0.15">
      <c r="A28" s="90" t="s">
        <v>293</v>
      </c>
      <c r="B28" s="31">
        <v>10</v>
      </c>
      <c r="C28" s="31"/>
      <c r="D28" s="37">
        <v>0</v>
      </c>
      <c r="E28" s="37">
        <v>0</v>
      </c>
      <c r="F28" s="37">
        <v>14700</v>
      </c>
      <c r="G28" s="31">
        <v>1</v>
      </c>
      <c r="H28" s="31">
        <f>B28*G28</f>
        <v>10</v>
      </c>
      <c r="I28" s="63">
        <v>0</v>
      </c>
      <c r="J28" s="64">
        <f>H28*I28</f>
        <v>0</v>
      </c>
      <c r="K28" s="64">
        <f>J28*0.1</f>
        <v>0</v>
      </c>
      <c r="L28" s="64">
        <f>J28*0.05</f>
        <v>0</v>
      </c>
      <c r="M28" s="65"/>
      <c r="N28" s="37">
        <f>(J28*'Base Data'!$C$5)+(K28*'Base Data'!$C$6)+(L28*'Base Data'!$C$7)</f>
        <v>0</v>
      </c>
      <c r="O28" s="37">
        <f>(D28+E28+F28)*G28*I28</f>
        <v>0</v>
      </c>
      <c r="P28" s="64">
        <v>0</v>
      </c>
      <c r="Q28" s="66" t="s">
        <v>277</v>
      </c>
    </row>
    <row r="29" spans="1:21" s="95" customFormat="1" ht="9" x14ac:dyDescent="0.15">
      <c r="A29" s="90" t="s">
        <v>256</v>
      </c>
      <c r="B29" s="31"/>
      <c r="C29" s="31"/>
      <c r="D29" s="37"/>
      <c r="E29" s="37"/>
      <c r="F29" s="37"/>
      <c r="G29" s="31"/>
      <c r="H29" s="31"/>
      <c r="I29" s="64"/>
      <c r="J29" s="64"/>
      <c r="K29" s="64"/>
      <c r="L29" s="64"/>
      <c r="M29" s="65"/>
      <c r="N29" s="37"/>
      <c r="O29" s="37"/>
      <c r="P29" s="64"/>
      <c r="Q29" s="66"/>
    </row>
    <row r="30" spans="1:21" s="95" customFormat="1" ht="9" x14ac:dyDescent="0.15">
      <c r="A30" s="90" t="s">
        <v>290</v>
      </c>
      <c r="B30" s="31">
        <v>10</v>
      </c>
      <c r="C30" s="31"/>
      <c r="D30" s="37">
        <v>0</v>
      </c>
      <c r="E30" s="37">
        <v>0</v>
      </c>
      <c r="F30" s="37">
        <v>158000</v>
      </c>
      <c r="G30" s="31">
        <v>1</v>
      </c>
      <c r="H30" s="31">
        <f>B30*G30</f>
        <v>10</v>
      </c>
      <c r="I30" s="63">
        <v>0</v>
      </c>
      <c r="J30" s="64">
        <f>H30*I30</f>
        <v>0</v>
      </c>
      <c r="K30" s="64">
        <f>J30*0.1</f>
        <v>0</v>
      </c>
      <c r="L30" s="64">
        <f>J30*0.05</f>
        <v>0</v>
      </c>
      <c r="M30" s="65"/>
      <c r="N30" s="37">
        <f>(J30*'Base Data'!$C$5)+(K30*'Base Data'!$C$6)+(L30*'Base Data'!$C$7)</f>
        <v>0</v>
      </c>
      <c r="O30" s="37">
        <f>(D30+E30+F30)*G30*I30</f>
        <v>0</v>
      </c>
      <c r="P30" s="64">
        <v>0</v>
      </c>
      <c r="Q30" s="66" t="s">
        <v>402</v>
      </c>
    </row>
    <row r="31" spans="1:21" s="95" customFormat="1" ht="9" x14ac:dyDescent="0.15">
      <c r="A31" s="90" t="s">
        <v>293</v>
      </c>
      <c r="B31" s="31">
        <v>10</v>
      </c>
      <c r="C31" s="31"/>
      <c r="D31" s="37">
        <v>0</v>
      </c>
      <c r="E31" s="37">
        <v>0</v>
      </c>
      <c r="F31" s="37">
        <v>56100</v>
      </c>
      <c r="G31" s="31">
        <v>1</v>
      </c>
      <c r="H31" s="31">
        <f>B31*G31</f>
        <v>10</v>
      </c>
      <c r="I31" s="63">
        <v>0</v>
      </c>
      <c r="J31" s="64">
        <f>H31*I31</f>
        <v>0</v>
      </c>
      <c r="K31" s="64">
        <f>J31*0.1</f>
        <v>0</v>
      </c>
      <c r="L31" s="64">
        <f>J31*0.05</f>
        <v>0</v>
      </c>
      <c r="M31" s="65"/>
      <c r="N31" s="37">
        <f>(J31*'Base Data'!$C$5)+(K31*'Base Data'!$C$6)+(L31*'Base Data'!$C$7)</f>
        <v>0</v>
      </c>
      <c r="O31" s="37">
        <f>(D31+E31+F31)*G31*I31</f>
        <v>0</v>
      </c>
      <c r="P31" s="64">
        <v>0</v>
      </c>
      <c r="Q31" s="66" t="s">
        <v>402</v>
      </c>
    </row>
    <row r="32" spans="1:21" s="95" customFormat="1" ht="9" x14ac:dyDescent="0.15">
      <c r="A32" s="90" t="s">
        <v>381</v>
      </c>
      <c r="B32" s="31"/>
      <c r="C32" s="31"/>
      <c r="D32" s="37"/>
      <c r="E32" s="37"/>
      <c r="F32" s="37"/>
      <c r="G32" s="31"/>
      <c r="H32" s="31"/>
      <c r="I32" s="63"/>
      <c r="J32" s="64"/>
      <c r="K32" s="64"/>
      <c r="L32" s="64"/>
      <c r="M32" s="65"/>
      <c r="N32" s="37"/>
      <c r="O32" s="37"/>
      <c r="P32" s="64"/>
      <c r="Q32" s="66"/>
    </row>
    <row r="33" spans="1:17" s="95" customFormat="1" ht="9" x14ac:dyDescent="0.15">
      <c r="A33" s="90" t="s">
        <v>290</v>
      </c>
      <c r="B33" s="31">
        <v>10</v>
      </c>
      <c r="C33" s="31"/>
      <c r="D33" s="37">
        <v>0</v>
      </c>
      <c r="E33" s="37">
        <v>0</v>
      </c>
      <c r="F33" s="37">
        <f>Monitors!$F$32</f>
        <v>8523</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277</v>
      </c>
    </row>
    <row r="34" spans="1:17" s="95" customFormat="1" ht="9" x14ac:dyDescent="0.15">
      <c r="A34" s="90" t="s">
        <v>293</v>
      </c>
      <c r="B34" s="31">
        <v>10</v>
      </c>
      <c r="C34" s="31"/>
      <c r="D34" s="37">
        <v>0</v>
      </c>
      <c r="E34" s="37">
        <v>0</v>
      </c>
      <c r="F34" s="37">
        <f>Monitors!$G$32</f>
        <v>1436</v>
      </c>
      <c r="G34" s="31">
        <v>1</v>
      </c>
      <c r="H34" s="31">
        <f>B34*G34</f>
        <v>10</v>
      </c>
      <c r="I34" s="63">
        <v>0</v>
      </c>
      <c r="J34" s="64">
        <f>H34*I34</f>
        <v>0</v>
      </c>
      <c r="K34" s="64">
        <f>J34*0.1</f>
        <v>0</v>
      </c>
      <c r="L34" s="64">
        <f>J34*0.05</f>
        <v>0</v>
      </c>
      <c r="M34" s="65"/>
      <c r="N34" s="37">
        <f>(J34*'Base Data'!$C$5)+(K34*'Base Data'!$C$6)+(L34*'Base Data'!$C$7)</f>
        <v>0</v>
      </c>
      <c r="O34" s="37">
        <f>(D34+E34+F34)*G34*I34</f>
        <v>0</v>
      </c>
      <c r="P34" s="64">
        <v>0</v>
      </c>
      <c r="Q34" s="66" t="s">
        <v>277</v>
      </c>
    </row>
    <row r="35" spans="1:17" s="95" customFormat="1" ht="18" x14ac:dyDescent="0.15">
      <c r="A35" s="91" t="s">
        <v>145</v>
      </c>
      <c r="B35" s="31"/>
      <c r="C35" s="31"/>
      <c r="D35" s="37"/>
      <c r="E35" s="37"/>
      <c r="F35" s="67"/>
      <c r="G35" s="31"/>
      <c r="H35" s="31"/>
      <c r="I35" s="63"/>
      <c r="J35" s="64"/>
      <c r="K35" s="64"/>
      <c r="L35" s="64"/>
      <c r="M35" s="65"/>
      <c r="N35" s="37"/>
      <c r="O35" s="37"/>
      <c r="P35" s="64"/>
      <c r="Q35" s="66"/>
    </row>
    <row r="36" spans="1:17" s="95" customFormat="1" ht="9" x14ac:dyDescent="0.15">
      <c r="A36" s="90" t="s">
        <v>290</v>
      </c>
      <c r="B36" s="31">
        <v>10</v>
      </c>
      <c r="C36" s="31"/>
      <c r="D36" s="37">
        <v>0</v>
      </c>
      <c r="E36" s="37">
        <v>0</v>
      </c>
      <c r="F36" s="37">
        <v>24300</v>
      </c>
      <c r="G36" s="31">
        <v>1</v>
      </c>
      <c r="H36" s="31">
        <f>B36*G36</f>
        <v>10</v>
      </c>
      <c r="I36" s="63">
        <v>0</v>
      </c>
      <c r="J36" s="64">
        <f>H36*I36</f>
        <v>0</v>
      </c>
      <c r="K36" s="64">
        <f>J36*0.1</f>
        <v>0</v>
      </c>
      <c r="L36" s="64">
        <f>J36*0.05</f>
        <v>0</v>
      </c>
      <c r="M36" s="65"/>
      <c r="N36" s="37">
        <f>(J36*'Base Data'!$C$5)+(K36*'Base Data'!$C$6)+(L36*'Base Data'!$C$7)</f>
        <v>0</v>
      </c>
      <c r="O36" s="37">
        <f>(D36+E36+F36)*G36*I36</f>
        <v>0</v>
      </c>
      <c r="P36" s="64">
        <v>0</v>
      </c>
      <c r="Q36" s="66" t="s">
        <v>277</v>
      </c>
    </row>
    <row r="37" spans="1:17" s="95" customFormat="1" ht="9" x14ac:dyDescent="0.15">
      <c r="A37" s="90" t="s">
        <v>293</v>
      </c>
      <c r="B37" s="31">
        <v>10</v>
      </c>
      <c r="C37" s="31"/>
      <c r="D37" s="37">
        <v>0</v>
      </c>
      <c r="E37" s="37">
        <v>0</v>
      </c>
      <c r="F37" s="37">
        <v>5600</v>
      </c>
      <c r="G37" s="31">
        <v>1</v>
      </c>
      <c r="H37" s="31">
        <f>B37*G37</f>
        <v>10</v>
      </c>
      <c r="I37" s="63">
        <v>0</v>
      </c>
      <c r="J37" s="64">
        <f>H37*I37</f>
        <v>0</v>
      </c>
      <c r="K37" s="64">
        <f>J37*0.1</f>
        <v>0</v>
      </c>
      <c r="L37" s="64">
        <f>J37*0.05</f>
        <v>0</v>
      </c>
      <c r="M37" s="65"/>
      <c r="N37" s="37">
        <f>(J37*'Base Data'!$C$5)+(K37*'Base Data'!$C$6)+(L37*'Base Data'!$C$7)</f>
        <v>0</v>
      </c>
      <c r="O37" s="37">
        <f>(D37+E37+F37)*G37*I37</f>
        <v>0</v>
      </c>
      <c r="P37" s="64">
        <v>0</v>
      </c>
      <c r="Q37" s="66" t="s">
        <v>277</v>
      </c>
    </row>
    <row r="38" spans="1:17" s="95" customFormat="1" ht="18" x14ac:dyDescent="0.15">
      <c r="A38" s="91" t="s">
        <v>348</v>
      </c>
      <c r="B38" s="31"/>
      <c r="C38" s="31"/>
      <c r="D38" s="37"/>
      <c r="E38" s="37"/>
      <c r="F38" s="37"/>
      <c r="G38" s="31"/>
      <c r="H38" s="31"/>
      <c r="I38" s="63"/>
      <c r="J38" s="64"/>
      <c r="K38" s="64"/>
      <c r="L38" s="64"/>
      <c r="M38" s="65"/>
      <c r="N38" s="37"/>
      <c r="O38" s="138"/>
      <c r="P38" s="64"/>
      <c r="Q38" s="66"/>
    </row>
    <row r="39" spans="1:17" s="95" customFormat="1" ht="9" x14ac:dyDescent="0.15">
      <c r="A39" s="90" t="s">
        <v>290</v>
      </c>
      <c r="B39" s="31">
        <v>10</v>
      </c>
      <c r="C39" s="31"/>
      <c r="D39" s="37">
        <v>0</v>
      </c>
      <c r="E39" s="37">
        <v>0</v>
      </c>
      <c r="F39" s="37">
        <f>25500</f>
        <v>25500</v>
      </c>
      <c r="G39" s="31">
        <v>1</v>
      </c>
      <c r="H39" s="31">
        <f>B39*G39</f>
        <v>10</v>
      </c>
      <c r="I39" s="63">
        <v>0</v>
      </c>
      <c r="J39" s="64">
        <f>H39*I39</f>
        <v>0</v>
      </c>
      <c r="K39" s="64">
        <f>J39*0.1</f>
        <v>0</v>
      </c>
      <c r="L39" s="64">
        <f>J39*0.05</f>
        <v>0</v>
      </c>
      <c r="M39" s="65"/>
      <c r="N39" s="37">
        <f>(J39*'Base Data'!$C$5)+(K39*'Base Data'!$C$6)+(L39*'Base Data'!$C$7)</f>
        <v>0</v>
      </c>
      <c r="O39" s="37">
        <f>(D39+E39+F39)*G39*I39</f>
        <v>0</v>
      </c>
      <c r="P39" s="64">
        <v>0</v>
      </c>
      <c r="Q39" s="66" t="s">
        <v>277</v>
      </c>
    </row>
    <row r="40" spans="1:17" s="95" customFormat="1" ht="9" x14ac:dyDescent="0.15">
      <c r="A40" s="90" t="s">
        <v>293</v>
      </c>
      <c r="B40" s="31">
        <v>10</v>
      </c>
      <c r="C40" s="31"/>
      <c r="D40" s="37">
        <v>0</v>
      </c>
      <c r="E40" s="37">
        <v>0</v>
      </c>
      <c r="F40" s="37">
        <v>9700</v>
      </c>
      <c r="G40" s="31">
        <v>1</v>
      </c>
      <c r="H40" s="31">
        <f>B40*G40</f>
        <v>10</v>
      </c>
      <c r="I40" s="63">
        <v>0</v>
      </c>
      <c r="J40" s="64">
        <f>H40*I40</f>
        <v>0</v>
      </c>
      <c r="K40" s="64">
        <f>J40*0.1</f>
        <v>0</v>
      </c>
      <c r="L40" s="64">
        <f>J40*0.05</f>
        <v>0</v>
      </c>
      <c r="M40" s="65"/>
      <c r="N40" s="37">
        <f>(J40*'Base Data'!$C$5)+(K40*'Base Data'!$C$6)+(L40*'Base Data'!$C$7)</f>
        <v>0</v>
      </c>
      <c r="O40" s="37">
        <f>(D40+E40+F40)*G40*I40</f>
        <v>0</v>
      </c>
      <c r="P40" s="64">
        <v>0</v>
      </c>
      <c r="Q40" s="66" t="s">
        <v>277</v>
      </c>
    </row>
    <row r="41" spans="1:17" s="95" customFormat="1" ht="9" x14ac:dyDescent="0.15">
      <c r="A41" s="91" t="s">
        <v>427</v>
      </c>
      <c r="B41" s="31"/>
      <c r="C41" s="31"/>
      <c r="D41" s="37"/>
      <c r="E41" s="37"/>
      <c r="F41" s="37"/>
      <c r="G41" s="31"/>
      <c r="H41" s="31"/>
      <c r="I41" s="63"/>
      <c r="J41" s="64"/>
      <c r="K41" s="64"/>
      <c r="L41" s="64"/>
      <c r="M41" s="65"/>
      <c r="N41" s="37"/>
      <c r="O41" s="138"/>
      <c r="P41" s="64"/>
      <c r="Q41" s="66"/>
    </row>
    <row r="42" spans="1:17" s="95" customFormat="1" ht="9" x14ac:dyDescent="0.15">
      <c r="A42" s="90" t="s">
        <v>290</v>
      </c>
      <c r="B42" s="31">
        <v>10</v>
      </c>
      <c r="C42" s="31"/>
      <c r="D42" s="37">
        <v>0</v>
      </c>
      <c r="E42" s="37">
        <v>0</v>
      </c>
      <c r="F42" s="37">
        <v>43500</v>
      </c>
      <c r="G42" s="31">
        <v>1</v>
      </c>
      <c r="H42" s="31">
        <f>B42*G42</f>
        <v>10</v>
      </c>
      <c r="I42" s="63">
        <v>0</v>
      </c>
      <c r="J42" s="64">
        <f>H42*I42</f>
        <v>0</v>
      </c>
      <c r="K42" s="64">
        <f>J42*0.1</f>
        <v>0</v>
      </c>
      <c r="L42" s="64">
        <f>J42*0.05</f>
        <v>0</v>
      </c>
      <c r="M42" s="65"/>
      <c r="N42" s="37">
        <f>(J42*'Base Data'!$C$5)+(K42*'Base Data'!$C$6)+(L42*'Base Data'!$C$7)</f>
        <v>0</v>
      </c>
      <c r="O42" s="37">
        <f>(D42+E42+F42)*G42*I42</f>
        <v>0</v>
      </c>
      <c r="P42" s="64">
        <v>0</v>
      </c>
      <c r="Q42" s="66" t="s">
        <v>277</v>
      </c>
    </row>
    <row r="43" spans="1:17" s="95" customFormat="1" ht="9" x14ac:dyDescent="0.15">
      <c r="A43" s="90" t="s">
        <v>293</v>
      </c>
      <c r="B43" s="31">
        <v>10</v>
      </c>
      <c r="C43" s="31"/>
      <c r="D43" s="37">
        <v>0</v>
      </c>
      <c r="E43" s="37">
        <v>0</v>
      </c>
      <c r="F43" s="37">
        <v>9700</v>
      </c>
      <c r="G43" s="31">
        <v>1</v>
      </c>
      <c r="H43" s="31">
        <f>B43*G43</f>
        <v>10</v>
      </c>
      <c r="I43" s="63">
        <v>0</v>
      </c>
      <c r="J43" s="64">
        <f>H43*I43</f>
        <v>0</v>
      </c>
      <c r="K43" s="64">
        <f>J43*0.1</f>
        <v>0</v>
      </c>
      <c r="L43" s="64">
        <f>J43*0.05</f>
        <v>0</v>
      </c>
      <c r="M43" s="65"/>
      <c r="N43" s="37">
        <f>(J43*'Base Data'!$C$5)+(K43*'Base Data'!$C$6)+(L43*'Base Data'!$C$7)</f>
        <v>0</v>
      </c>
      <c r="O43" s="37">
        <f>(D43+E43+F43)*G43*I43</f>
        <v>0</v>
      </c>
      <c r="P43" s="64">
        <v>0</v>
      </c>
      <c r="Q43" s="66" t="s">
        <v>277</v>
      </c>
    </row>
    <row r="44" spans="1:17" s="95" customFormat="1" ht="18" x14ac:dyDescent="0.15">
      <c r="A44" s="91" t="s">
        <v>146</v>
      </c>
      <c r="B44" s="31"/>
      <c r="C44" s="31"/>
      <c r="D44" s="37"/>
      <c r="E44" s="37"/>
      <c r="F44" s="37"/>
      <c r="G44" s="31"/>
      <c r="H44" s="31"/>
      <c r="I44" s="63"/>
      <c r="J44" s="64"/>
      <c r="K44" s="64"/>
      <c r="L44" s="64"/>
      <c r="M44" s="65"/>
      <c r="N44" s="37"/>
      <c r="O44" s="37"/>
      <c r="P44" s="64"/>
      <c r="Q44" s="66"/>
    </row>
    <row r="45" spans="1:17" s="95" customFormat="1" ht="9" x14ac:dyDescent="0.15">
      <c r="A45" s="90" t="s">
        <v>290</v>
      </c>
      <c r="B45" s="31">
        <v>10</v>
      </c>
      <c r="C45" s="31"/>
      <c r="D45" s="37">
        <v>0</v>
      </c>
      <c r="E45" s="37">
        <v>0</v>
      </c>
      <c r="F45" s="37">
        <v>115000</v>
      </c>
      <c r="G45" s="31">
        <v>1</v>
      </c>
      <c r="H45" s="31">
        <f>B45*G45</f>
        <v>10</v>
      </c>
      <c r="I45" s="63">
        <v>0</v>
      </c>
      <c r="J45" s="64">
        <f>H45*I45</f>
        <v>0</v>
      </c>
      <c r="K45" s="64">
        <f>J45*0.1</f>
        <v>0</v>
      </c>
      <c r="L45" s="64">
        <f>J45*0.05</f>
        <v>0</v>
      </c>
      <c r="M45" s="65"/>
      <c r="N45" s="37">
        <f>(J45*'Base Data'!$C$5)+(K45*'Base Data'!$C$6)+(L45*'Base Data'!$C$7)</f>
        <v>0</v>
      </c>
      <c r="O45" s="37">
        <f>(D45+E45+F45)*G45*I45</f>
        <v>0</v>
      </c>
      <c r="P45" s="64">
        <v>0</v>
      </c>
      <c r="Q45" s="66" t="s">
        <v>277</v>
      </c>
    </row>
    <row r="46" spans="1:17" s="95" customFormat="1" ht="9" x14ac:dyDescent="0.15">
      <c r="A46" s="90" t="s">
        <v>293</v>
      </c>
      <c r="B46" s="31">
        <v>10</v>
      </c>
      <c r="C46" s="31"/>
      <c r="D46" s="37">
        <v>0</v>
      </c>
      <c r="E46" s="37">
        <v>0</v>
      </c>
      <c r="F46" s="37">
        <v>9700</v>
      </c>
      <c r="G46" s="31">
        <v>1</v>
      </c>
      <c r="H46" s="31">
        <f>B46*G46</f>
        <v>10</v>
      </c>
      <c r="I46" s="63">
        <v>0</v>
      </c>
      <c r="J46" s="64">
        <f>H46*I46</f>
        <v>0</v>
      </c>
      <c r="K46" s="64">
        <f>J46*0.1</f>
        <v>0</v>
      </c>
      <c r="L46" s="64">
        <f>J46*0.05</f>
        <v>0</v>
      </c>
      <c r="M46" s="65"/>
      <c r="N46" s="37">
        <f>(J46*'Base Data'!$C$5)+(K46*'Base Data'!$C$6)+(L46*'Base Data'!$C$7)</f>
        <v>0</v>
      </c>
      <c r="O46" s="37">
        <f>(D46+E46+F46)*G46*I46</f>
        <v>0</v>
      </c>
      <c r="P46" s="64">
        <v>0</v>
      </c>
      <c r="Q46" s="66" t="s">
        <v>277</v>
      </c>
    </row>
    <row r="47" spans="1:17" s="95" customFormat="1" ht="9" x14ac:dyDescent="0.15">
      <c r="A47" s="90" t="s">
        <v>294</v>
      </c>
      <c r="B47" s="31" t="s">
        <v>311</v>
      </c>
      <c r="C47" s="31"/>
      <c r="D47" s="37"/>
      <c r="E47" s="37"/>
      <c r="F47" s="37"/>
      <c r="G47" s="31"/>
      <c r="H47" s="31"/>
      <c r="I47" s="64"/>
      <c r="J47" s="64"/>
      <c r="K47" s="64"/>
      <c r="L47" s="64"/>
      <c r="M47" s="31"/>
      <c r="N47" s="37"/>
      <c r="O47" s="37"/>
      <c r="P47" s="37"/>
      <c r="Q47" s="66"/>
    </row>
    <row r="48" spans="1:17" s="95" customFormat="1" ht="9" x14ac:dyDescent="0.15">
      <c r="A48" s="90" t="s">
        <v>295</v>
      </c>
      <c r="B48" s="31" t="s">
        <v>311</v>
      </c>
      <c r="C48" s="31"/>
      <c r="D48" s="37"/>
      <c r="E48" s="37"/>
      <c r="F48" s="37"/>
      <c r="G48" s="31"/>
      <c r="H48" s="31"/>
      <c r="I48" s="64"/>
      <c r="J48" s="64"/>
      <c r="K48" s="64"/>
      <c r="L48" s="64"/>
      <c r="M48" s="31"/>
      <c r="N48" s="37"/>
      <c r="O48" s="37"/>
      <c r="P48" s="37"/>
      <c r="Q48" s="66"/>
    </row>
    <row r="49" spans="1:21" s="95" customFormat="1" ht="9" x14ac:dyDescent="0.15">
      <c r="A49" s="90" t="s">
        <v>296</v>
      </c>
      <c r="B49" s="31"/>
      <c r="C49" s="31"/>
      <c r="D49" s="37"/>
      <c r="E49" s="37"/>
      <c r="F49" s="37"/>
      <c r="G49" s="31"/>
      <c r="H49" s="31"/>
      <c r="I49" s="64"/>
      <c r="J49" s="64"/>
      <c r="K49" s="64"/>
      <c r="L49" s="64"/>
      <c r="M49" s="31"/>
      <c r="N49" s="37"/>
      <c r="O49" s="37"/>
      <c r="P49" s="37"/>
      <c r="Q49" s="66"/>
    </row>
    <row r="50" spans="1:21" s="95" customFormat="1" ht="9" x14ac:dyDescent="0.15">
      <c r="A50" s="101" t="s">
        <v>312</v>
      </c>
      <c r="B50" s="31">
        <v>2</v>
      </c>
      <c r="C50" s="31"/>
      <c r="D50" s="37">
        <v>0</v>
      </c>
      <c r="E50" s="37">
        <v>0</v>
      </c>
      <c r="F50" s="37">
        <v>0</v>
      </c>
      <c r="G50" s="31">
        <v>1</v>
      </c>
      <c r="H50" s="31">
        <f>B50*G50</f>
        <v>2</v>
      </c>
      <c r="I50" s="63">
        <f>ROUND(SUM('Base Data'!$H$43:$H$45),0)</f>
        <v>66</v>
      </c>
      <c r="J50" s="64">
        <f>H50*I50</f>
        <v>132</v>
      </c>
      <c r="K50" s="64">
        <f>J50*0.1</f>
        <v>13.200000000000001</v>
      </c>
      <c r="L50" s="64">
        <f>J50*0.05</f>
        <v>6.6000000000000005</v>
      </c>
      <c r="M50" s="31">
        <f>C50*G50*I50</f>
        <v>0</v>
      </c>
      <c r="N50" s="37">
        <f>(J50*'Base Data'!$C$5)+(K50*'Base Data'!$C$6)+(L50*'Base Data'!$C$7)</f>
        <v>16622.562000000002</v>
      </c>
      <c r="O50" s="37">
        <f>(D50+E50+F50)*G50*I50</f>
        <v>0</v>
      </c>
      <c r="P50" s="64">
        <f>G50*I50</f>
        <v>66</v>
      </c>
      <c r="Q50" s="66" t="s">
        <v>276</v>
      </c>
      <c r="T50" s="347">
        <v>41425</v>
      </c>
      <c r="U50" s="95" t="s">
        <v>579</v>
      </c>
    </row>
    <row r="51" spans="1:21" s="95" customFormat="1" ht="9" customHeight="1" x14ac:dyDescent="0.15">
      <c r="A51" s="101" t="s">
        <v>273</v>
      </c>
      <c r="B51" s="31">
        <v>8</v>
      </c>
      <c r="C51" s="31"/>
      <c r="D51" s="37">
        <v>0</v>
      </c>
      <c r="E51" s="37">
        <v>0</v>
      </c>
      <c r="F51" s="37">
        <v>0</v>
      </c>
      <c r="G51" s="31">
        <v>1</v>
      </c>
      <c r="H51" s="31">
        <f>B51*G51</f>
        <v>8</v>
      </c>
      <c r="I51" s="63">
        <v>0</v>
      </c>
      <c r="J51" s="64">
        <f>H51*I51</f>
        <v>0</v>
      </c>
      <c r="K51" s="64">
        <f>J51*0.1</f>
        <v>0</v>
      </c>
      <c r="L51" s="64">
        <f>J51*0.05</f>
        <v>0</v>
      </c>
      <c r="M51" s="31">
        <f>C51*G51*I51</f>
        <v>0</v>
      </c>
      <c r="N51" s="37">
        <f>(J51*'Base Data'!$C$5)+(K51*'Base Data'!$C$6)+(L51*'Base Data'!$C$7)</f>
        <v>0</v>
      </c>
      <c r="O51" s="37">
        <f>(D51+E51+F51)*G51*I51</f>
        <v>0</v>
      </c>
      <c r="P51" s="64">
        <f>G51*I51</f>
        <v>0</v>
      </c>
      <c r="Q51" s="66" t="s">
        <v>277</v>
      </c>
      <c r="T51" s="347">
        <v>42642</v>
      </c>
      <c r="U51" s="95">
        <v>2</v>
      </c>
    </row>
    <row r="52" spans="1:21" s="95" customFormat="1" ht="9" x14ac:dyDescent="0.15">
      <c r="A52" s="101" t="s">
        <v>274</v>
      </c>
      <c r="B52" s="31">
        <v>5</v>
      </c>
      <c r="C52" s="31"/>
      <c r="D52" s="37">
        <v>0</v>
      </c>
      <c r="E52" s="37">
        <v>0</v>
      </c>
      <c r="F52" s="37">
        <v>0</v>
      </c>
      <c r="G52" s="31">
        <v>1</v>
      </c>
      <c r="H52" s="31">
        <f>B52*G52</f>
        <v>5</v>
      </c>
      <c r="I52" s="63">
        <v>0</v>
      </c>
      <c r="J52" s="64">
        <f>H52*I52</f>
        <v>0</v>
      </c>
      <c r="K52" s="64">
        <f>J52*0.1</f>
        <v>0</v>
      </c>
      <c r="L52" s="64">
        <f>J52*0.05</f>
        <v>0</v>
      </c>
      <c r="M52" s="31">
        <f>C52*G52*I52</f>
        <v>0</v>
      </c>
      <c r="N52" s="37">
        <f>(J52*'Base Data'!$C$5)+(K52*'Base Data'!$C$6)+(L52*'Base Data'!$C$7)</f>
        <v>0</v>
      </c>
      <c r="O52" s="37">
        <f>(D52+E52+F52)*G52*I52</f>
        <v>0</v>
      </c>
      <c r="P52" s="64">
        <f>G52*I52</f>
        <v>0</v>
      </c>
      <c r="Q52" s="66" t="s">
        <v>277</v>
      </c>
      <c r="T52" s="347">
        <v>42400</v>
      </c>
      <c r="U52" s="95">
        <v>2</v>
      </c>
    </row>
    <row r="53" spans="1:21" s="95" customFormat="1" ht="9" x14ac:dyDescent="0.15">
      <c r="A53" s="92" t="s">
        <v>332</v>
      </c>
      <c r="B53" s="31">
        <v>20</v>
      </c>
      <c r="C53" s="31">
        <v>0</v>
      </c>
      <c r="D53" s="37">
        <v>0</v>
      </c>
      <c r="E53" s="37">
        <v>0</v>
      </c>
      <c r="F53" s="37">
        <v>0</v>
      </c>
      <c r="G53" s="31">
        <v>2</v>
      </c>
      <c r="H53" s="31">
        <f>B53*G53</f>
        <v>40</v>
      </c>
      <c r="I53" s="63">
        <v>0</v>
      </c>
      <c r="J53" s="64">
        <f>H53*I53</f>
        <v>0</v>
      </c>
      <c r="K53" s="64">
        <f>J53*0.1</f>
        <v>0</v>
      </c>
      <c r="L53" s="64">
        <f>J53*0.05</f>
        <v>0</v>
      </c>
      <c r="M53" s="64">
        <f>C53*G53*I53</f>
        <v>0</v>
      </c>
      <c r="N53" s="37">
        <f>(J53*'Base Data'!$C$5)+(K53*'Base Data'!$C$6)+(L53*'Base Data'!$C$7)</f>
        <v>0</v>
      </c>
      <c r="O53" s="37">
        <f>(D53+E53+F53)*G53*I53</f>
        <v>0</v>
      </c>
      <c r="P53" s="64">
        <f>G53*I53</f>
        <v>0</v>
      </c>
      <c r="Q53" s="66" t="s">
        <v>276</v>
      </c>
      <c r="R53" s="108"/>
      <c r="T53" s="95" t="s">
        <v>569</v>
      </c>
      <c r="U53" s="95">
        <v>3</v>
      </c>
    </row>
    <row r="54" spans="1:21" s="95" customFormat="1" ht="9" x14ac:dyDescent="0.15">
      <c r="A54" s="92" t="s">
        <v>416</v>
      </c>
      <c r="B54" s="31">
        <v>30</v>
      </c>
      <c r="C54" s="31"/>
      <c r="D54" s="37">
        <v>0</v>
      </c>
      <c r="E54" s="37">
        <v>0</v>
      </c>
      <c r="F54" s="37">
        <v>0</v>
      </c>
      <c r="G54" s="31">
        <v>1</v>
      </c>
      <c r="H54" s="31">
        <f>B54*G54</f>
        <v>30</v>
      </c>
      <c r="I54" s="63">
        <v>0</v>
      </c>
      <c r="J54" s="64">
        <f>H54*I54</f>
        <v>0</v>
      </c>
      <c r="K54" s="64">
        <f>J54*0.1</f>
        <v>0</v>
      </c>
      <c r="L54" s="64">
        <f>J54*0.05</f>
        <v>0</v>
      </c>
      <c r="M54" s="64">
        <f>C54*G54*I54</f>
        <v>0</v>
      </c>
      <c r="N54" s="37">
        <f>(J54*'Base Data'!$C$5)+(K54*'Base Data'!$C$6)+(L54*'Base Data'!$C$7)</f>
        <v>0</v>
      </c>
      <c r="O54" s="37">
        <f>(D54+E54+F54)*G54*I54</f>
        <v>0</v>
      </c>
      <c r="P54" s="64">
        <f>G54*I54</f>
        <v>0</v>
      </c>
      <c r="Q54" s="66" t="s">
        <v>399</v>
      </c>
      <c r="R54" s="108"/>
      <c r="T54" s="95" t="s">
        <v>570</v>
      </c>
    </row>
    <row r="55" spans="1:21" s="95" customFormat="1" ht="9" x14ac:dyDescent="0.15">
      <c r="A55" s="93" t="s">
        <v>4</v>
      </c>
      <c r="B55" s="31"/>
      <c r="C55" s="31"/>
      <c r="D55" s="37"/>
      <c r="E55" s="37"/>
      <c r="F55" s="37"/>
      <c r="G55" s="31"/>
      <c r="H55" s="31"/>
      <c r="I55" s="63"/>
      <c r="J55" s="64">
        <f t="shared" ref="J55:O55" si="5">SUM(J7:J53)</f>
        <v>2772</v>
      </c>
      <c r="K55" s="64">
        <f t="shared" si="5"/>
        <v>277.2</v>
      </c>
      <c r="L55" s="64">
        <f t="shared" si="5"/>
        <v>138.6</v>
      </c>
      <c r="M55" s="64">
        <f t="shared" si="5"/>
        <v>0</v>
      </c>
      <c r="N55" s="37">
        <f t="shared" si="5"/>
        <v>349073.80200000003</v>
      </c>
      <c r="O55" s="37">
        <f t="shared" si="5"/>
        <v>0</v>
      </c>
      <c r="P55" s="64">
        <f>SUM(P50:P53)</f>
        <v>66</v>
      </c>
      <c r="Q55" s="66"/>
      <c r="R55" s="98">
        <f>SUM(O7,O10:O22,O28,O31,O34,O37,O40,O46)</f>
        <v>0</v>
      </c>
      <c r="S55" s="97">
        <f>SUM(O27,O30,O33,O36,O39,O45)</f>
        <v>0</v>
      </c>
    </row>
    <row r="56" spans="1:21" s="95" customFormat="1" ht="9" x14ac:dyDescent="0.15">
      <c r="A56" s="90" t="s">
        <v>309</v>
      </c>
      <c r="B56" s="31"/>
      <c r="C56" s="31"/>
      <c r="D56" s="37"/>
      <c r="E56" s="37"/>
      <c r="F56" s="37"/>
      <c r="G56" s="31"/>
      <c r="H56" s="31"/>
      <c r="I56" s="64"/>
      <c r="J56" s="64"/>
      <c r="K56" s="64"/>
      <c r="L56" s="64"/>
      <c r="M56" s="31"/>
      <c r="N56" s="37"/>
      <c r="O56" s="37"/>
      <c r="P56" s="37"/>
      <c r="Q56" s="66"/>
    </row>
    <row r="57" spans="1:21" s="95" customFormat="1" ht="9" x14ac:dyDescent="0.15">
      <c r="A57" s="90" t="s">
        <v>297</v>
      </c>
      <c r="B57" s="31" t="s">
        <v>301</v>
      </c>
      <c r="C57" s="31"/>
      <c r="D57" s="37"/>
      <c r="E57" s="37"/>
      <c r="F57" s="37"/>
      <c r="G57" s="31"/>
      <c r="H57" s="31"/>
      <c r="I57" s="64"/>
      <c r="J57" s="64"/>
      <c r="K57" s="64"/>
      <c r="L57" s="64"/>
      <c r="M57" s="31"/>
      <c r="N57" s="37"/>
      <c r="O57" s="37"/>
      <c r="P57" s="37"/>
      <c r="Q57" s="66"/>
    </row>
    <row r="58" spans="1:21" s="95" customFormat="1" ht="9" x14ac:dyDescent="0.15">
      <c r="A58" s="90" t="s">
        <v>298</v>
      </c>
      <c r="B58" s="31" t="s">
        <v>311</v>
      </c>
      <c r="C58" s="31"/>
      <c r="D58" s="37"/>
      <c r="E58" s="37"/>
      <c r="F58" s="37"/>
      <c r="G58" s="31"/>
      <c r="H58" s="31"/>
      <c r="I58" s="64"/>
      <c r="J58" s="64"/>
      <c r="K58" s="64"/>
      <c r="L58" s="64"/>
      <c r="M58" s="31"/>
      <c r="N58" s="37"/>
      <c r="O58" s="37"/>
      <c r="P58" s="37"/>
      <c r="Q58" s="66"/>
    </row>
    <row r="59" spans="1:21" s="95" customFormat="1" ht="9" x14ac:dyDescent="0.15">
      <c r="A59" s="90" t="s">
        <v>299</v>
      </c>
      <c r="B59" s="31" t="s">
        <v>311</v>
      </c>
      <c r="C59" s="31"/>
      <c r="D59" s="37"/>
      <c r="E59" s="37"/>
      <c r="F59" s="37"/>
      <c r="G59" s="31"/>
      <c r="H59" s="31"/>
      <c r="I59" s="64"/>
      <c r="J59" s="64"/>
      <c r="K59" s="64"/>
      <c r="L59" s="64"/>
      <c r="M59" s="31"/>
      <c r="N59" s="37"/>
      <c r="O59" s="37"/>
      <c r="P59" s="37"/>
      <c r="Q59" s="66" t="s">
        <v>278</v>
      </c>
    </row>
    <row r="60" spans="1:21" s="95" customFormat="1" ht="9" x14ac:dyDescent="0.15">
      <c r="A60" s="90" t="s">
        <v>300</v>
      </c>
      <c r="B60" s="31"/>
      <c r="C60" s="31"/>
      <c r="D60" s="37"/>
      <c r="E60" s="37"/>
      <c r="F60" s="37"/>
      <c r="G60" s="31"/>
      <c r="H60" s="31"/>
      <c r="I60" s="64"/>
      <c r="J60" s="64"/>
      <c r="K60" s="64"/>
      <c r="L60" s="64"/>
      <c r="M60" s="31"/>
      <c r="N60" s="37"/>
      <c r="O60" s="37"/>
      <c r="P60" s="37"/>
      <c r="Q60" s="66"/>
    </row>
    <row r="61" spans="1:21" s="95" customFormat="1" ht="9.75" customHeight="1" x14ac:dyDescent="0.15">
      <c r="A61" s="90" t="s">
        <v>307</v>
      </c>
      <c r="B61" s="31">
        <v>20</v>
      </c>
      <c r="C61" s="31"/>
      <c r="D61" s="37">
        <v>0</v>
      </c>
      <c r="E61" s="37">
        <v>0</v>
      </c>
      <c r="F61" s="37">
        <v>0</v>
      </c>
      <c r="G61" s="31">
        <v>1</v>
      </c>
      <c r="H61" s="31">
        <f t="shared" ref="H61:H67" si="6">B61*G61</f>
        <v>20</v>
      </c>
      <c r="I61" s="63">
        <v>0</v>
      </c>
      <c r="J61" s="64">
        <f t="shared" ref="J61:J67" si="7">H61*I61</f>
        <v>0</v>
      </c>
      <c r="K61" s="64">
        <f t="shared" ref="K61:K67" si="8">J61*0.1</f>
        <v>0</v>
      </c>
      <c r="L61" s="64">
        <f t="shared" ref="L61:L67" si="9">J61*0.05</f>
        <v>0</v>
      </c>
      <c r="M61" s="31"/>
      <c r="N61" s="37">
        <f>(J61*'Base Data'!$C$5)+(K61*'Base Data'!$C$6)+(L61*'Base Data'!$C$7)</f>
        <v>0</v>
      </c>
      <c r="O61" s="37">
        <f t="shared" ref="O61:O67" si="10">(D61+E61+F61)*G61*I61</f>
        <v>0</v>
      </c>
      <c r="P61" s="64">
        <v>0</v>
      </c>
      <c r="Q61" s="66" t="s">
        <v>277</v>
      </c>
      <c r="T61" s="347">
        <v>42400</v>
      </c>
      <c r="U61" s="95">
        <v>2</v>
      </c>
    </row>
    <row r="62" spans="1:21" s="95" customFormat="1" ht="9" x14ac:dyDescent="0.15">
      <c r="A62" s="91" t="s">
        <v>303</v>
      </c>
      <c r="B62" s="31">
        <v>15</v>
      </c>
      <c r="C62" s="31">
        <v>0</v>
      </c>
      <c r="D62" s="37">
        <v>0</v>
      </c>
      <c r="E62" s="37">
        <v>0</v>
      </c>
      <c r="F62" s="37">
        <v>0</v>
      </c>
      <c r="G62" s="31">
        <v>1</v>
      </c>
      <c r="H62" s="31">
        <f t="shared" si="6"/>
        <v>15</v>
      </c>
      <c r="I62" s="63">
        <v>0</v>
      </c>
      <c r="J62" s="64">
        <f t="shared" si="7"/>
        <v>0</v>
      </c>
      <c r="K62" s="64">
        <f t="shared" si="8"/>
        <v>0</v>
      </c>
      <c r="L62" s="64">
        <f t="shared" si="9"/>
        <v>0</v>
      </c>
      <c r="M62" s="31">
        <f>C62*G62*I62</f>
        <v>0</v>
      </c>
      <c r="N62" s="37">
        <f>(J62*'Base Data'!$C$5)+(K62*'Base Data'!$C$6)+(L62*'Base Data'!$C$7)</f>
        <v>0</v>
      </c>
      <c r="O62" s="37">
        <f t="shared" si="10"/>
        <v>0</v>
      </c>
      <c r="P62" s="64">
        <v>0</v>
      </c>
      <c r="Q62" s="66" t="s">
        <v>277</v>
      </c>
      <c r="T62" s="347">
        <v>42400</v>
      </c>
      <c r="U62" s="95">
        <v>2</v>
      </c>
    </row>
    <row r="63" spans="1:21" s="95" customFormat="1" ht="9.75" customHeight="1" x14ac:dyDescent="0.15">
      <c r="A63" s="90" t="s">
        <v>304</v>
      </c>
      <c r="B63" s="31">
        <v>2</v>
      </c>
      <c r="C63" s="31"/>
      <c r="D63" s="37">
        <v>0</v>
      </c>
      <c r="E63" s="37">
        <v>0</v>
      </c>
      <c r="F63" s="37">
        <v>0</v>
      </c>
      <c r="G63" s="31">
        <v>1</v>
      </c>
      <c r="H63" s="31">
        <f t="shared" si="6"/>
        <v>2</v>
      </c>
      <c r="I63" s="63">
        <v>0</v>
      </c>
      <c r="J63" s="64">
        <f t="shared" si="7"/>
        <v>0</v>
      </c>
      <c r="K63" s="64">
        <f t="shared" si="8"/>
        <v>0</v>
      </c>
      <c r="L63" s="64">
        <f t="shared" si="9"/>
        <v>0</v>
      </c>
      <c r="M63" s="31"/>
      <c r="N63" s="37">
        <f>(J63*'Base Data'!$C$5)+(K63*'Base Data'!$C$6)+(L63*'Base Data'!$C$7)</f>
        <v>0</v>
      </c>
      <c r="O63" s="37">
        <f t="shared" si="10"/>
        <v>0</v>
      </c>
      <c r="P63" s="64">
        <v>0</v>
      </c>
      <c r="Q63" s="66" t="s">
        <v>277</v>
      </c>
      <c r="T63" s="347">
        <v>42400</v>
      </c>
      <c r="U63" s="95">
        <v>2</v>
      </c>
    </row>
    <row r="64" spans="1:21" s="95" customFormat="1" ht="9" x14ac:dyDescent="0.15">
      <c r="A64" s="91" t="s">
        <v>313</v>
      </c>
      <c r="B64" s="31">
        <v>2</v>
      </c>
      <c r="C64" s="31"/>
      <c r="D64" s="37">
        <v>0</v>
      </c>
      <c r="E64" s="37">
        <v>0</v>
      </c>
      <c r="F64" s="37">
        <v>0</v>
      </c>
      <c r="G64" s="31">
        <v>1</v>
      </c>
      <c r="H64" s="31">
        <f t="shared" si="6"/>
        <v>2</v>
      </c>
      <c r="I64" s="63">
        <v>0</v>
      </c>
      <c r="J64" s="64">
        <f t="shared" si="7"/>
        <v>0</v>
      </c>
      <c r="K64" s="64">
        <f t="shared" si="8"/>
        <v>0</v>
      </c>
      <c r="L64" s="64">
        <f t="shared" si="9"/>
        <v>0</v>
      </c>
      <c r="M64" s="31"/>
      <c r="N64" s="37">
        <f>(J64*'Base Data'!$C$5)+(K64*'Base Data'!$C$6)+(L64*'Base Data'!$C$7)</f>
        <v>0</v>
      </c>
      <c r="O64" s="37">
        <f t="shared" si="10"/>
        <v>0</v>
      </c>
      <c r="P64" s="64">
        <v>0</v>
      </c>
      <c r="Q64" s="66" t="s">
        <v>277</v>
      </c>
      <c r="T64" s="347">
        <v>42400</v>
      </c>
      <c r="U64" s="95">
        <v>2</v>
      </c>
    </row>
    <row r="65" spans="1:21" s="95" customFormat="1" ht="9" x14ac:dyDescent="0.15">
      <c r="A65" s="91" t="s">
        <v>314</v>
      </c>
      <c r="B65" s="31">
        <v>2</v>
      </c>
      <c r="C65" s="31">
        <v>0</v>
      </c>
      <c r="D65" s="37">
        <v>0</v>
      </c>
      <c r="E65" s="37">
        <v>0</v>
      </c>
      <c r="F65" s="37">
        <v>0</v>
      </c>
      <c r="G65" s="31">
        <v>2</v>
      </c>
      <c r="H65" s="31">
        <f t="shared" si="6"/>
        <v>4</v>
      </c>
      <c r="I65" s="63">
        <v>0</v>
      </c>
      <c r="J65" s="64">
        <f t="shared" si="7"/>
        <v>0</v>
      </c>
      <c r="K65" s="64">
        <f t="shared" si="8"/>
        <v>0</v>
      </c>
      <c r="L65" s="64">
        <f t="shared" si="9"/>
        <v>0</v>
      </c>
      <c r="M65" s="31">
        <f>C65*G65*I65</f>
        <v>0</v>
      </c>
      <c r="N65" s="37">
        <f>(J65*'Base Data'!$C$5)+(K65*'Base Data'!$C$6)+(L65*'Base Data'!$C$7)</f>
        <v>0</v>
      </c>
      <c r="O65" s="37">
        <f t="shared" si="10"/>
        <v>0</v>
      </c>
      <c r="P65" s="64">
        <v>0</v>
      </c>
      <c r="Q65" s="66" t="s">
        <v>277</v>
      </c>
      <c r="T65" s="347">
        <v>42400</v>
      </c>
      <c r="U65" s="95">
        <v>2</v>
      </c>
    </row>
    <row r="66" spans="1:21" s="95" customFormat="1" ht="9" x14ac:dyDescent="0.15">
      <c r="A66" s="91" t="s">
        <v>315</v>
      </c>
      <c r="B66" s="31">
        <v>0.5</v>
      </c>
      <c r="C66" s="31"/>
      <c r="D66" s="37">
        <v>0</v>
      </c>
      <c r="E66" s="37">
        <v>0</v>
      </c>
      <c r="F66" s="37">
        <v>0</v>
      </c>
      <c r="G66" s="31">
        <v>12</v>
      </c>
      <c r="H66" s="31">
        <f t="shared" si="6"/>
        <v>6</v>
      </c>
      <c r="I66" s="63">
        <v>0</v>
      </c>
      <c r="J66" s="64">
        <f t="shared" si="7"/>
        <v>0</v>
      </c>
      <c r="K66" s="64">
        <f t="shared" si="8"/>
        <v>0</v>
      </c>
      <c r="L66" s="64">
        <f t="shared" si="9"/>
        <v>0</v>
      </c>
      <c r="M66" s="31"/>
      <c r="N66" s="37">
        <f>(J66*'Base Data'!$C$5)+(K66*'Base Data'!$C$6)+(L66*'Base Data'!$C$7)</f>
        <v>0</v>
      </c>
      <c r="O66" s="37">
        <f t="shared" si="10"/>
        <v>0</v>
      </c>
      <c r="P66" s="64">
        <v>0</v>
      </c>
      <c r="Q66" s="66" t="s">
        <v>277</v>
      </c>
      <c r="T66" s="347">
        <v>42400</v>
      </c>
      <c r="U66" s="95">
        <v>2</v>
      </c>
    </row>
    <row r="67" spans="1:21" s="95" customFormat="1" ht="9" x14ac:dyDescent="0.15">
      <c r="A67" s="90" t="s">
        <v>305</v>
      </c>
      <c r="B67" s="31">
        <v>40</v>
      </c>
      <c r="C67" s="31"/>
      <c r="D67" s="37">
        <v>0</v>
      </c>
      <c r="E67" s="37">
        <v>0</v>
      </c>
      <c r="F67" s="37">
        <v>0</v>
      </c>
      <c r="G67" s="31">
        <v>1</v>
      </c>
      <c r="H67" s="31">
        <f t="shared" si="6"/>
        <v>40</v>
      </c>
      <c r="I67" s="63">
        <v>0</v>
      </c>
      <c r="J67" s="64">
        <f t="shared" si="7"/>
        <v>0</v>
      </c>
      <c r="K67" s="64">
        <f t="shared" si="8"/>
        <v>0</v>
      </c>
      <c r="L67" s="64">
        <f t="shared" si="9"/>
        <v>0</v>
      </c>
      <c r="M67" s="31"/>
      <c r="N67" s="37">
        <f>(J67*'Base Data'!$C$5)+(K67*'Base Data'!$C$6)+(L67*'Base Data'!$C$7)</f>
        <v>0</v>
      </c>
      <c r="O67" s="37">
        <f t="shared" si="10"/>
        <v>0</v>
      </c>
      <c r="P67" s="64">
        <v>0</v>
      </c>
      <c r="Q67" s="66" t="s">
        <v>13</v>
      </c>
      <c r="T67" s="95" t="s">
        <v>574</v>
      </c>
    </row>
    <row r="68" spans="1:21" s="95" customFormat="1" ht="9" x14ac:dyDescent="0.15">
      <c r="A68" s="94" t="s">
        <v>306</v>
      </c>
      <c r="B68" s="31" t="s">
        <v>311</v>
      </c>
      <c r="C68" s="31"/>
      <c r="D68" s="37"/>
      <c r="E68" s="37"/>
      <c r="F68" s="37"/>
      <c r="G68" s="31"/>
      <c r="H68" s="31"/>
      <c r="I68" s="64"/>
      <c r="J68" s="64"/>
      <c r="K68" s="64"/>
      <c r="L68" s="64"/>
      <c r="M68" s="31"/>
      <c r="N68" s="37"/>
      <c r="O68" s="37"/>
      <c r="P68" s="37"/>
      <c r="Q68" s="66"/>
    </row>
    <row r="69" spans="1:21" s="95" customFormat="1" ht="9" x14ac:dyDescent="0.15">
      <c r="A69" s="104" t="s">
        <v>23</v>
      </c>
      <c r="B69" s="139"/>
      <c r="C69" s="139"/>
      <c r="D69" s="140"/>
      <c r="E69" s="140"/>
      <c r="F69" s="140"/>
      <c r="G69" s="139"/>
      <c r="H69" s="139"/>
      <c r="I69" s="141"/>
      <c r="J69" s="141">
        <f t="shared" ref="J69:P69" si="11">SUM(J57:J68)</f>
        <v>0</v>
      </c>
      <c r="K69" s="141">
        <f t="shared" si="11"/>
        <v>0</v>
      </c>
      <c r="L69" s="141">
        <f t="shared" si="11"/>
        <v>0</v>
      </c>
      <c r="M69" s="140">
        <f t="shared" si="11"/>
        <v>0</v>
      </c>
      <c r="N69" s="140">
        <f t="shared" si="11"/>
        <v>0</v>
      </c>
      <c r="O69" s="140">
        <f t="shared" si="11"/>
        <v>0</v>
      </c>
      <c r="P69" s="141">
        <f t="shared" si="11"/>
        <v>0</v>
      </c>
      <c r="Q69" s="142"/>
      <c r="R69" s="37">
        <f>SUM(R57:R68)</f>
        <v>0</v>
      </c>
    </row>
    <row r="70" spans="1:21" s="109" customFormat="1" x14ac:dyDescent="0.2">
      <c r="A70" s="110" t="s">
        <v>283</v>
      </c>
      <c r="B70" s="111"/>
      <c r="C70" s="111"/>
      <c r="D70" s="111"/>
      <c r="E70" s="111"/>
      <c r="F70" s="112"/>
      <c r="G70" s="111"/>
      <c r="H70" s="111"/>
      <c r="I70" s="113"/>
      <c r="J70" s="114">
        <f>J55+J69</f>
        <v>2772</v>
      </c>
      <c r="K70" s="114">
        <f t="shared" ref="K70:P70" si="12">K55+K69</f>
        <v>277.2</v>
      </c>
      <c r="L70" s="114">
        <f t="shared" si="12"/>
        <v>138.6</v>
      </c>
      <c r="M70" s="115">
        <f t="shared" si="12"/>
        <v>0</v>
      </c>
      <c r="N70" s="115">
        <f t="shared" si="12"/>
        <v>349073.80200000003</v>
      </c>
      <c r="O70" s="115">
        <f t="shared" si="12"/>
        <v>0</v>
      </c>
      <c r="P70" s="114">
        <f t="shared" si="12"/>
        <v>66</v>
      </c>
      <c r="Q70" s="116"/>
    </row>
    <row r="71" spans="1:21" ht="6" customHeight="1" x14ac:dyDescent="0.2"/>
    <row r="72" spans="1:21" s="38" customFormat="1" ht="9" x14ac:dyDescent="0.15">
      <c r="A72" s="38" t="s">
        <v>451</v>
      </c>
      <c r="B72" s="41"/>
      <c r="C72" s="41"/>
      <c r="D72" s="41"/>
      <c r="E72" s="41"/>
      <c r="F72" s="41"/>
      <c r="G72" s="41"/>
      <c r="H72" s="41"/>
      <c r="I72" s="42"/>
      <c r="J72" s="41"/>
      <c r="K72" s="41"/>
      <c r="L72" s="41"/>
      <c r="M72" s="41"/>
      <c r="N72" s="41"/>
      <c r="O72" s="121"/>
      <c r="P72" s="121"/>
      <c r="Q72" s="41"/>
    </row>
    <row r="73" spans="1:21" s="38" customFormat="1" ht="19.5" customHeight="1" x14ac:dyDescent="0.15">
      <c r="A73" s="682" t="s">
        <v>450</v>
      </c>
      <c r="B73" s="682"/>
      <c r="C73" s="682"/>
      <c r="D73" s="682"/>
      <c r="E73" s="682"/>
      <c r="F73" s="682"/>
      <c r="G73" s="682"/>
      <c r="H73" s="682"/>
      <c r="I73" s="682"/>
      <c r="J73" s="682"/>
      <c r="K73" s="682"/>
      <c r="L73" s="682"/>
      <c r="M73" s="682"/>
      <c r="N73" s="682"/>
      <c r="O73" s="682"/>
      <c r="P73" s="315"/>
      <c r="Q73" s="41"/>
    </row>
    <row r="74" spans="1:21" s="38" customFormat="1" ht="9" customHeight="1" x14ac:dyDescent="0.15">
      <c r="A74" s="682" t="s">
        <v>270</v>
      </c>
      <c r="B74" s="682"/>
      <c r="C74" s="682"/>
      <c r="D74" s="682"/>
      <c r="E74" s="682"/>
      <c r="F74" s="682"/>
      <c r="G74" s="682"/>
      <c r="H74" s="682"/>
      <c r="I74" s="682"/>
      <c r="J74" s="682"/>
      <c r="K74" s="682"/>
      <c r="L74" s="682"/>
      <c r="M74" s="682"/>
      <c r="N74" s="682"/>
      <c r="O74" s="682"/>
      <c r="P74" s="315"/>
      <c r="Q74" s="41"/>
    </row>
    <row r="75" spans="1:21" s="38" customFormat="1" ht="18.75" customHeight="1" x14ac:dyDescent="0.15">
      <c r="A75" s="682" t="s">
        <v>88</v>
      </c>
      <c r="B75" s="682"/>
      <c r="C75" s="682"/>
      <c r="D75" s="682"/>
      <c r="E75" s="682"/>
      <c r="F75" s="682"/>
      <c r="G75" s="682"/>
      <c r="H75" s="682"/>
      <c r="I75" s="682"/>
      <c r="J75" s="682"/>
      <c r="K75" s="682"/>
      <c r="L75" s="682"/>
      <c r="M75" s="682"/>
      <c r="N75" s="682"/>
      <c r="O75" s="682"/>
      <c r="P75" s="682"/>
      <c r="Q75" s="682"/>
    </row>
    <row r="76" spans="1:21" s="38" customFormat="1" ht="9" customHeight="1" x14ac:dyDescent="0.15">
      <c r="A76" s="38" t="s">
        <v>317</v>
      </c>
      <c r="B76" s="41"/>
      <c r="C76" s="41"/>
      <c r="D76" s="41"/>
      <c r="E76" s="41"/>
      <c r="F76" s="41"/>
      <c r="G76" s="41"/>
      <c r="H76" s="41"/>
      <c r="I76" s="42"/>
      <c r="J76" s="41"/>
      <c r="K76" s="41"/>
      <c r="L76" s="41"/>
      <c r="M76" s="41"/>
      <c r="N76" s="41"/>
      <c r="O76" s="121"/>
      <c r="P76" s="121"/>
      <c r="Q76" s="41"/>
    </row>
    <row r="77" spans="1:21" s="38" customFormat="1" ht="9" customHeight="1" x14ac:dyDescent="0.15">
      <c r="A77" s="38" t="s">
        <v>396</v>
      </c>
    </row>
    <row r="78" spans="1:21" s="38" customFormat="1" ht="9" x14ac:dyDescent="0.15">
      <c r="A78" s="38" t="s">
        <v>386</v>
      </c>
      <c r="B78" s="41"/>
      <c r="C78" s="41"/>
      <c r="D78" s="41"/>
      <c r="E78" s="41"/>
      <c r="F78" s="41"/>
      <c r="G78" s="41"/>
      <c r="H78" s="41"/>
      <c r="I78" s="42"/>
      <c r="J78" s="41"/>
      <c r="K78" s="41"/>
      <c r="L78" s="41"/>
      <c r="M78" s="41"/>
      <c r="N78" s="41"/>
      <c r="O78" s="121"/>
      <c r="P78" s="121"/>
      <c r="Q78" s="41"/>
    </row>
    <row r="79" spans="1:21" s="38" customFormat="1" ht="9" x14ac:dyDescent="0.15">
      <c r="A79" s="38" t="s">
        <v>508</v>
      </c>
      <c r="B79" s="41"/>
      <c r="C79" s="41"/>
      <c r="D79" s="41"/>
      <c r="E79" s="41"/>
      <c r="F79" s="41"/>
      <c r="G79" s="41"/>
      <c r="H79" s="41"/>
      <c r="I79" s="42"/>
      <c r="J79" s="41"/>
      <c r="K79" s="41"/>
      <c r="L79" s="41"/>
      <c r="M79" s="41"/>
      <c r="N79" s="41"/>
      <c r="O79" s="121"/>
      <c r="P79" s="121"/>
      <c r="Q79" s="41"/>
    </row>
    <row r="80" spans="1:21" s="38" customFormat="1" ht="9" x14ac:dyDescent="0.15">
      <c r="A80" s="683" t="s">
        <v>268</v>
      </c>
      <c r="B80" s="683"/>
      <c r="C80" s="683"/>
      <c r="D80" s="683"/>
      <c r="E80" s="683"/>
      <c r="F80" s="683"/>
      <c r="G80" s="683"/>
      <c r="H80" s="683"/>
      <c r="I80" s="683"/>
      <c r="J80" s="683"/>
      <c r="K80" s="683"/>
      <c r="L80" s="683"/>
      <c r="M80" s="683"/>
      <c r="N80" s="683"/>
      <c r="O80" s="121"/>
      <c r="P80" s="121"/>
      <c r="Q80" s="41"/>
    </row>
    <row r="81" spans="1:17" s="38" customFormat="1" ht="9" customHeight="1" x14ac:dyDescent="0.15">
      <c r="A81" s="38" t="s">
        <v>398</v>
      </c>
      <c r="B81" s="41"/>
      <c r="C81" s="41"/>
      <c r="D81" s="41"/>
      <c r="E81" s="41"/>
      <c r="F81" s="41"/>
      <c r="G81" s="41"/>
      <c r="H81" s="41"/>
      <c r="I81" s="42"/>
      <c r="J81" s="41"/>
      <c r="K81" s="41"/>
      <c r="L81" s="41"/>
      <c r="M81" s="41"/>
      <c r="N81" s="41"/>
      <c r="O81" s="121"/>
      <c r="P81" s="121"/>
      <c r="Q81" s="41"/>
    </row>
    <row r="82" spans="1:17" s="38" customFormat="1" ht="20.25" customHeight="1" x14ac:dyDescent="0.15">
      <c r="A82" s="682" t="s">
        <v>564</v>
      </c>
      <c r="B82" s="682"/>
      <c r="C82" s="682"/>
      <c r="D82" s="682"/>
      <c r="E82" s="682"/>
      <c r="F82" s="682"/>
      <c r="G82" s="682"/>
      <c r="H82" s="682"/>
      <c r="I82" s="682"/>
      <c r="J82" s="682"/>
      <c r="K82" s="682"/>
      <c r="L82" s="682"/>
      <c r="M82" s="682"/>
      <c r="N82" s="682"/>
      <c r="O82" s="682"/>
      <c r="P82" s="682"/>
      <c r="Q82" s="682"/>
    </row>
    <row r="83" spans="1:17" s="38" customFormat="1" ht="9" x14ac:dyDescent="0.15">
      <c r="A83" s="38" t="s">
        <v>449</v>
      </c>
      <c r="B83" s="41"/>
      <c r="C83" s="41"/>
      <c r="D83" s="41"/>
      <c r="E83" s="41"/>
      <c r="F83" s="41"/>
      <c r="G83" s="41"/>
      <c r="H83" s="41"/>
      <c r="I83" s="42"/>
      <c r="J83" s="41"/>
      <c r="K83" s="41"/>
      <c r="L83" s="41"/>
      <c r="M83" s="41"/>
      <c r="N83" s="41"/>
      <c r="O83" s="121"/>
      <c r="P83" s="121"/>
      <c r="Q83" s="41"/>
    </row>
    <row r="84" spans="1:17" s="38" customFormat="1" ht="9" x14ac:dyDescent="0.15">
      <c r="A84" s="38" t="s">
        <v>515</v>
      </c>
      <c r="B84" s="41"/>
      <c r="C84" s="41"/>
      <c r="D84" s="41"/>
      <c r="E84" s="41"/>
      <c r="F84" s="41"/>
      <c r="G84" s="41"/>
      <c r="H84" s="41"/>
      <c r="I84" s="42"/>
      <c r="J84" s="41"/>
      <c r="K84" s="41"/>
      <c r="L84" s="41"/>
      <c r="M84" s="41"/>
      <c r="N84" s="41"/>
      <c r="O84" s="121"/>
      <c r="P84" s="121"/>
      <c r="Q84" s="41"/>
    </row>
    <row r="85" spans="1:17" s="38" customFormat="1" ht="9" x14ac:dyDescent="0.15">
      <c r="A85" s="682" t="s">
        <v>552</v>
      </c>
      <c r="B85" s="682"/>
      <c r="C85" s="682"/>
      <c r="D85" s="682"/>
      <c r="E85" s="682"/>
      <c r="F85" s="682"/>
      <c r="G85" s="682"/>
      <c r="H85" s="682"/>
      <c r="I85" s="682"/>
      <c r="J85" s="682"/>
      <c r="K85" s="682"/>
      <c r="L85" s="682"/>
      <c r="M85" s="682"/>
      <c r="N85" s="682"/>
      <c r="O85" s="682"/>
      <c r="P85" s="682"/>
      <c r="Q85" s="682"/>
    </row>
    <row r="86" spans="1:17" s="38" customFormat="1" ht="9" x14ac:dyDescent="0.15">
      <c r="A86" s="682"/>
      <c r="B86" s="682"/>
      <c r="C86" s="682"/>
      <c r="D86" s="682"/>
      <c r="E86" s="682"/>
      <c r="F86" s="682"/>
      <c r="G86" s="682"/>
      <c r="H86" s="682"/>
      <c r="I86" s="682"/>
      <c r="J86" s="682"/>
      <c r="K86" s="682"/>
      <c r="L86" s="682"/>
      <c r="M86" s="682"/>
      <c r="N86" s="682"/>
      <c r="O86" s="682"/>
      <c r="P86" s="682"/>
      <c r="Q86" s="682"/>
    </row>
    <row r="87" spans="1:17" s="38" customFormat="1" ht="9" x14ac:dyDescent="0.15">
      <c r="A87" s="682"/>
      <c r="B87" s="682"/>
      <c r="C87" s="682"/>
      <c r="D87" s="682"/>
      <c r="E87" s="682"/>
      <c r="F87" s="682"/>
      <c r="G87" s="682"/>
      <c r="H87" s="682"/>
      <c r="I87" s="682"/>
      <c r="J87" s="682"/>
      <c r="K87" s="682"/>
      <c r="L87" s="682"/>
      <c r="M87" s="682"/>
      <c r="N87" s="682"/>
      <c r="O87" s="682"/>
      <c r="P87" s="682"/>
      <c r="Q87" s="682"/>
    </row>
    <row r="88" spans="1:17" s="38" customFormat="1" ht="9" x14ac:dyDescent="0.15">
      <c r="B88" s="41"/>
      <c r="C88" s="41"/>
      <c r="D88" s="41"/>
      <c r="E88" s="41"/>
      <c r="F88" s="41"/>
      <c r="G88" s="41"/>
      <c r="H88" s="41"/>
      <c r="I88" s="42"/>
      <c r="J88" s="41"/>
      <c r="K88" s="41"/>
      <c r="L88" s="41"/>
      <c r="M88" s="41"/>
      <c r="N88" s="41"/>
      <c r="O88" s="121"/>
      <c r="P88" s="121"/>
      <c r="Q88" s="41"/>
    </row>
    <row r="89" spans="1:17" s="38" customFormat="1" ht="9" x14ac:dyDescent="0.15">
      <c r="B89" s="41"/>
      <c r="C89" s="41"/>
      <c r="D89" s="41"/>
      <c r="E89" s="41"/>
      <c r="F89" s="41"/>
      <c r="G89" s="41"/>
      <c r="H89" s="41"/>
      <c r="I89" s="42"/>
      <c r="J89" s="41"/>
      <c r="K89" s="41"/>
      <c r="L89" s="41"/>
      <c r="M89" s="41"/>
      <c r="N89" s="41"/>
      <c r="O89" s="121"/>
      <c r="P89" s="121"/>
      <c r="Q89" s="41"/>
    </row>
    <row r="90" spans="1:17" s="38" customFormat="1" ht="9" x14ac:dyDescent="0.15">
      <c r="B90" s="41"/>
      <c r="C90" s="41"/>
      <c r="D90" s="41"/>
      <c r="E90" s="41"/>
      <c r="F90" s="41"/>
      <c r="G90" s="41"/>
      <c r="H90" s="41"/>
      <c r="I90" s="42"/>
      <c r="J90" s="41"/>
      <c r="K90" s="41"/>
      <c r="L90" s="41"/>
      <c r="M90" s="41"/>
      <c r="N90" s="41"/>
      <c r="O90" s="121"/>
      <c r="P90" s="121"/>
      <c r="Q90" s="41"/>
    </row>
    <row r="91" spans="1:17" s="38" customFormat="1" ht="9" x14ac:dyDescent="0.15">
      <c r="B91" s="41"/>
      <c r="C91" s="41"/>
      <c r="D91" s="41"/>
      <c r="E91" s="41"/>
      <c r="F91" s="41"/>
      <c r="G91" s="41"/>
      <c r="H91" s="41"/>
      <c r="I91" s="42"/>
      <c r="J91" s="41"/>
      <c r="K91" s="41"/>
      <c r="L91" s="41"/>
      <c r="M91" s="41"/>
      <c r="N91" s="41"/>
      <c r="O91" s="121"/>
      <c r="P91" s="121"/>
      <c r="Q91" s="41"/>
    </row>
    <row r="92" spans="1:17" s="38" customFormat="1" ht="9" x14ac:dyDescent="0.15">
      <c r="B92" s="41"/>
      <c r="C92" s="41"/>
      <c r="D92" s="41"/>
      <c r="E92" s="41"/>
      <c r="F92" s="41"/>
      <c r="G92" s="41"/>
      <c r="H92" s="41"/>
      <c r="I92" s="42"/>
      <c r="J92" s="41"/>
      <c r="K92" s="41"/>
      <c r="L92" s="41"/>
      <c r="M92" s="41"/>
      <c r="N92" s="41"/>
      <c r="O92" s="121"/>
      <c r="P92" s="121"/>
      <c r="Q92" s="41"/>
    </row>
    <row r="93" spans="1:17" s="38" customFormat="1" ht="9" x14ac:dyDescent="0.15">
      <c r="B93" s="41"/>
      <c r="C93" s="41"/>
      <c r="D93" s="41"/>
      <c r="E93" s="41"/>
      <c r="F93" s="41"/>
      <c r="G93" s="41"/>
      <c r="H93" s="41"/>
      <c r="I93" s="42"/>
      <c r="J93" s="41"/>
      <c r="K93" s="41"/>
      <c r="L93" s="41"/>
      <c r="M93" s="41"/>
      <c r="N93" s="41"/>
      <c r="O93" s="121"/>
      <c r="P93" s="121"/>
      <c r="Q93" s="41"/>
    </row>
    <row r="94" spans="1:17" s="38" customFormat="1" ht="9" x14ac:dyDescent="0.15">
      <c r="B94" s="41"/>
      <c r="C94" s="41"/>
      <c r="D94" s="41"/>
      <c r="E94" s="41"/>
      <c r="F94" s="41"/>
      <c r="G94" s="41"/>
      <c r="H94" s="41"/>
      <c r="I94" s="42"/>
      <c r="J94" s="41"/>
      <c r="K94" s="41"/>
      <c r="L94" s="41"/>
      <c r="M94" s="41"/>
      <c r="N94" s="41"/>
      <c r="O94" s="121"/>
      <c r="P94" s="121"/>
      <c r="Q94" s="41"/>
    </row>
    <row r="95" spans="1:17" s="38" customFormat="1" ht="9" x14ac:dyDescent="0.15">
      <c r="B95" s="41"/>
      <c r="C95" s="41"/>
      <c r="D95" s="41"/>
      <c r="E95" s="41"/>
      <c r="F95" s="41"/>
      <c r="G95" s="41"/>
      <c r="H95" s="41"/>
      <c r="I95" s="42"/>
      <c r="J95" s="41"/>
      <c r="K95" s="41"/>
      <c r="L95" s="41"/>
      <c r="M95" s="41"/>
      <c r="N95" s="41"/>
      <c r="O95" s="121"/>
      <c r="P95" s="121"/>
      <c r="Q95" s="41"/>
    </row>
    <row r="96" spans="1: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7" s="38" customFormat="1" ht="9" x14ac:dyDescent="0.15">
      <c r="B113" s="41"/>
      <c r="C113" s="41"/>
      <c r="D113" s="41"/>
      <c r="E113" s="41"/>
      <c r="F113" s="41"/>
      <c r="G113" s="41"/>
      <c r="H113" s="41"/>
      <c r="I113" s="42"/>
      <c r="J113" s="41"/>
      <c r="K113" s="41"/>
      <c r="L113" s="41"/>
      <c r="M113" s="41"/>
      <c r="N113" s="41"/>
      <c r="O113" s="121"/>
      <c r="P113" s="121"/>
      <c r="Q113" s="41"/>
    </row>
    <row r="114" spans="2:17" s="38" customFormat="1" ht="9" x14ac:dyDescent="0.15">
      <c r="B114" s="41"/>
      <c r="C114" s="41"/>
      <c r="D114" s="41"/>
      <c r="E114" s="41"/>
      <c r="F114" s="41"/>
      <c r="G114" s="41"/>
      <c r="H114" s="41"/>
      <c r="I114" s="42"/>
      <c r="J114" s="41"/>
      <c r="K114" s="41"/>
      <c r="L114" s="41"/>
      <c r="M114" s="41"/>
      <c r="N114" s="41"/>
      <c r="O114" s="121"/>
      <c r="P114" s="121"/>
      <c r="Q114" s="41"/>
    </row>
    <row r="115" spans="2:17" s="38" customFormat="1" ht="9" x14ac:dyDescent="0.15">
      <c r="B115" s="41"/>
      <c r="C115" s="41"/>
      <c r="D115" s="41"/>
      <c r="E115" s="41"/>
      <c r="F115" s="41"/>
      <c r="G115" s="41"/>
      <c r="H115" s="41"/>
      <c r="I115" s="42"/>
      <c r="J115" s="41"/>
      <c r="K115" s="41"/>
      <c r="L115" s="41"/>
      <c r="M115" s="41"/>
      <c r="N115" s="41"/>
      <c r="O115" s="121"/>
      <c r="P115" s="121"/>
      <c r="Q115" s="41"/>
    </row>
    <row r="116" spans="2:17" s="38" customFormat="1" ht="9" x14ac:dyDescent="0.15">
      <c r="B116" s="41"/>
      <c r="C116" s="41"/>
      <c r="D116" s="41"/>
      <c r="E116" s="41"/>
      <c r="F116" s="41"/>
      <c r="G116" s="41"/>
      <c r="H116" s="41"/>
      <c r="I116" s="42"/>
      <c r="J116" s="41"/>
      <c r="K116" s="41"/>
      <c r="L116" s="41"/>
      <c r="M116" s="41"/>
      <c r="N116" s="41"/>
      <c r="O116" s="121"/>
      <c r="P116" s="121"/>
      <c r="Q116" s="41"/>
    </row>
    <row r="117" spans="2:17" s="38" customFormat="1" ht="9" x14ac:dyDescent="0.15">
      <c r="B117" s="41"/>
      <c r="C117" s="41"/>
      <c r="D117" s="41"/>
      <c r="E117" s="41"/>
      <c r="F117" s="41"/>
      <c r="G117" s="41"/>
      <c r="H117" s="41"/>
      <c r="I117" s="42"/>
      <c r="J117" s="41"/>
      <c r="K117" s="41"/>
      <c r="L117" s="41"/>
      <c r="M117" s="41"/>
      <c r="N117" s="41"/>
      <c r="O117" s="121"/>
      <c r="P117" s="121"/>
      <c r="Q117" s="41"/>
    </row>
    <row r="118" spans="2:17" s="38" customFormat="1" ht="9" x14ac:dyDescent="0.15">
      <c r="B118" s="41"/>
      <c r="C118" s="41"/>
      <c r="D118" s="41"/>
      <c r="E118" s="41"/>
      <c r="F118" s="41"/>
      <c r="G118" s="41"/>
      <c r="H118" s="41"/>
      <c r="I118" s="42"/>
      <c r="J118" s="41"/>
      <c r="K118" s="41"/>
      <c r="L118" s="41"/>
      <c r="M118" s="41"/>
      <c r="N118" s="41"/>
      <c r="O118" s="121"/>
      <c r="P118" s="121"/>
      <c r="Q118" s="41"/>
    </row>
    <row r="119" spans="2:17" s="38" customFormat="1" ht="9" x14ac:dyDescent="0.15">
      <c r="B119" s="41"/>
      <c r="C119" s="41"/>
      <c r="D119" s="41"/>
      <c r="E119" s="41"/>
      <c r="F119" s="41"/>
      <c r="G119" s="41"/>
      <c r="H119" s="41"/>
      <c r="I119" s="42"/>
      <c r="J119" s="41"/>
      <c r="K119" s="41"/>
      <c r="L119" s="41"/>
      <c r="M119" s="41"/>
      <c r="N119" s="41"/>
      <c r="O119" s="121"/>
      <c r="P119" s="121"/>
      <c r="Q119" s="41"/>
    </row>
    <row r="120" spans="2:17" s="38" customFormat="1" ht="9" x14ac:dyDescent="0.15">
      <c r="B120" s="41"/>
      <c r="C120" s="41"/>
      <c r="D120" s="41"/>
      <c r="E120" s="41"/>
      <c r="F120" s="41"/>
      <c r="G120" s="41"/>
      <c r="H120" s="41"/>
      <c r="I120" s="42"/>
      <c r="J120" s="41"/>
      <c r="K120" s="41"/>
      <c r="L120" s="41"/>
      <c r="M120" s="41"/>
      <c r="N120" s="41"/>
      <c r="O120" s="121"/>
      <c r="P120" s="121"/>
      <c r="Q120" s="41"/>
    </row>
    <row r="121" spans="2:17" s="38" customFormat="1" ht="9" x14ac:dyDescent="0.15">
      <c r="B121" s="41"/>
      <c r="C121" s="41"/>
      <c r="D121" s="41"/>
      <c r="E121" s="41"/>
      <c r="F121" s="41"/>
      <c r="G121" s="41"/>
      <c r="H121" s="41"/>
      <c r="I121" s="42"/>
      <c r="J121" s="41"/>
      <c r="K121" s="41"/>
      <c r="L121" s="41"/>
      <c r="M121" s="41"/>
      <c r="N121" s="41"/>
      <c r="O121" s="121"/>
      <c r="P121" s="121"/>
      <c r="Q121" s="41"/>
    </row>
    <row r="122" spans="2:17" s="38" customFormat="1" ht="9" x14ac:dyDescent="0.15">
      <c r="B122" s="41"/>
      <c r="C122" s="41"/>
      <c r="D122" s="41"/>
      <c r="E122" s="41"/>
      <c r="F122" s="41"/>
      <c r="G122" s="41"/>
      <c r="H122" s="41"/>
      <c r="I122" s="42"/>
      <c r="J122" s="41"/>
      <c r="K122" s="41"/>
      <c r="L122" s="41"/>
      <c r="M122" s="41"/>
      <c r="N122" s="41"/>
      <c r="O122" s="121"/>
      <c r="P122" s="121"/>
      <c r="Q122" s="41"/>
    </row>
    <row r="123" spans="2:17" s="38" customFormat="1" ht="9" x14ac:dyDescent="0.15">
      <c r="B123" s="41"/>
      <c r="C123" s="41"/>
      <c r="D123" s="41"/>
      <c r="E123" s="41"/>
      <c r="F123" s="41"/>
      <c r="G123" s="41"/>
      <c r="H123" s="41"/>
      <c r="I123" s="42"/>
      <c r="J123" s="41"/>
      <c r="K123" s="41"/>
      <c r="L123" s="41"/>
      <c r="M123" s="41"/>
      <c r="N123" s="41"/>
      <c r="O123" s="121"/>
      <c r="P123" s="121"/>
      <c r="Q123" s="41"/>
    </row>
  </sheetData>
  <mergeCells count="8">
    <mergeCell ref="A85:Q87"/>
    <mergeCell ref="A82:Q82"/>
    <mergeCell ref="A80:N80"/>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6"/>
  <sheetViews>
    <sheetView zoomScale="115" zoomScaleNormal="115" workbookViewId="0">
      <pane xSplit="1" ySplit="3" topLeftCell="B58" activePane="bottomRight" state="frozen"/>
      <selection activeCell="O55" sqref="O55"/>
      <selection pane="topRight" activeCell="O55" sqref="O55"/>
      <selection pane="bottomLeft" activeCell="O55" sqref="O55"/>
      <selection pane="bottomRight" activeCell="I4" sqref="I4"/>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7.85546875" style="39" bestFit="1" customWidth="1"/>
    <col min="9" max="9" width="9.42578125" style="40" bestFit="1" customWidth="1"/>
    <col min="10" max="11" width="6.85546875" style="39" bestFit="1" customWidth="1"/>
    <col min="12" max="12" width="8.85546875" style="39" customWidth="1"/>
    <col min="13" max="13" width="7.85546875" style="39" hidden="1" customWidth="1"/>
    <col min="14" max="14" width="10.140625" style="39" customWidth="1"/>
    <col min="15" max="15" width="10.140625" style="120" bestFit="1" customWidth="1"/>
    <col min="16" max="16" width="10" style="120" bestFit="1" customWidth="1"/>
    <col min="17" max="17" width="3.5703125" style="39" customWidth="1"/>
    <col min="18" max="19" width="9.140625" style="77" hidden="1" customWidth="1"/>
    <col min="20" max="20" width="11.140625" style="77" customWidth="1"/>
    <col min="21" max="21" width="8.5703125" style="77" hidden="1" customWidth="1"/>
    <col min="22" max="16384" width="9.140625" style="77"/>
  </cols>
  <sheetData>
    <row r="1" spans="1:21" x14ac:dyDescent="0.2">
      <c r="A1" s="684" t="s">
        <v>716</v>
      </c>
      <c r="B1" s="684"/>
      <c r="C1" s="684"/>
      <c r="D1" s="684"/>
      <c r="E1" s="684"/>
      <c r="F1" s="684"/>
      <c r="G1" s="684"/>
      <c r="H1" s="684"/>
      <c r="I1" s="684"/>
      <c r="J1" s="684"/>
      <c r="K1" s="684"/>
      <c r="L1" s="684"/>
      <c r="M1" s="684"/>
      <c r="N1" s="684"/>
      <c r="O1" s="684"/>
      <c r="P1" s="684"/>
      <c r="Q1" s="684"/>
    </row>
    <row r="2" spans="1:21" x14ac:dyDescent="0.2">
      <c r="A2" s="685" t="s">
        <v>589</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117" t="s">
        <v>225</v>
      </c>
      <c r="S3" s="117" t="s">
        <v>226</v>
      </c>
      <c r="U3" s="349" t="s">
        <v>665</v>
      </c>
    </row>
    <row r="4" spans="1:21" s="95" customFormat="1" ht="9" x14ac:dyDescent="0.15">
      <c r="A4" s="102" t="s">
        <v>284</v>
      </c>
      <c r="B4" s="103" t="s">
        <v>311</v>
      </c>
      <c r="C4" s="103"/>
      <c r="D4" s="105"/>
      <c r="E4" s="105"/>
      <c r="F4" s="105"/>
      <c r="G4" s="103"/>
      <c r="H4" s="103"/>
      <c r="I4" s="107"/>
      <c r="J4" s="107"/>
      <c r="K4" s="107"/>
      <c r="L4" s="107"/>
      <c r="M4" s="103"/>
      <c r="N4" s="105"/>
      <c r="O4" s="105"/>
      <c r="P4" s="105"/>
      <c r="Q4" s="143"/>
      <c r="U4" s="250"/>
    </row>
    <row r="5" spans="1:21" s="95" customFormat="1" ht="9" x14ac:dyDescent="0.15">
      <c r="A5" s="90" t="s">
        <v>285</v>
      </c>
      <c r="B5" s="31" t="s">
        <v>311</v>
      </c>
      <c r="C5" s="31"/>
      <c r="D5" s="37"/>
      <c r="E5" s="37"/>
      <c r="F5" s="37"/>
      <c r="G5" s="31"/>
      <c r="H5" s="31"/>
      <c r="I5" s="64"/>
      <c r="J5" s="64"/>
      <c r="K5" s="64"/>
      <c r="L5" s="64"/>
      <c r="M5" s="31"/>
      <c r="N5" s="37"/>
      <c r="O5" s="37"/>
      <c r="P5" s="37"/>
      <c r="Q5" s="66"/>
      <c r="U5" s="250"/>
    </row>
    <row r="6" spans="1:21" s="95" customFormat="1" ht="9" x14ac:dyDescent="0.15">
      <c r="A6" s="90" t="s">
        <v>286</v>
      </c>
      <c r="B6" s="31"/>
      <c r="C6" s="31"/>
      <c r="D6" s="37"/>
      <c r="E6" s="37"/>
      <c r="F6" s="37"/>
      <c r="G6" s="31"/>
      <c r="H6" s="31"/>
      <c r="I6" s="64"/>
      <c r="J6" s="64"/>
      <c r="K6" s="64"/>
      <c r="L6" s="64"/>
      <c r="M6" s="31"/>
      <c r="N6" s="37"/>
      <c r="O6" s="37"/>
      <c r="P6" s="37"/>
      <c r="Q6" s="66"/>
      <c r="U6" s="250"/>
    </row>
    <row r="7" spans="1:21" s="95" customFormat="1" ht="9" x14ac:dyDescent="0.15">
      <c r="A7" s="91" t="s">
        <v>626</v>
      </c>
      <c r="B7" s="31">
        <v>10</v>
      </c>
      <c r="C7" s="31"/>
      <c r="D7" s="37">
        <v>0</v>
      </c>
      <c r="E7" s="37">
        <v>0</v>
      </c>
      <c r="F7" s="37">
        <v>0</v>
      </c>
      <c r="G7" s="31">
        <v>1</v>
      </c>
      <c r="H7" s="31">
        <f>B7*G7</f>
        <v>10</v>
      </c>
      <c r="I7" s="63">
        <f>ROUND(SUM('Base Data'!$H$43:$H$45,(SUM('Base Data'!$H$79:$H$81)/3)),0)</f>
        <v>66</v>
      </c>
      <c r="J7" s="64">
        <f>H7*I7</f>
        <v>660</v>
      </c>
      <c r="K7" s="64">
        <f>J7*0.1</f>
        <v>66</v>
      </c>
      <c r="L7" s="63">
        <f>J7*0.05</f>
        <v>33</v>
      </c>
      <c r="M7" s="31">
        <f>C7*G7*I7</f>
        <v>0</v>
      </c>
      <c r="N7" s="37">
        <f>(J7*'Base Data'!$C$5)+(K7*'Base Data'!$C$6)+(L7*'Base Data'!$C$7)</f>
        <v>83112.810000000012</v>
      </c>
      <c r="O7" s="37">
        <f>(D7+E7+F7)*G7*I7</f>
        <v>0</v>
      </c>
      <c r="P7" s="64">
        <f>G7*I7</f>
        <v>66</v>
      </c>
      <c r="Q7" s="66" t="s">
        <v>276</v>
      </c>
      <c r="U7" s="496">
        <v>66</v>
      </c>
    </row>
    <row r="8" spans="1:21" s="95" customFormat="1" ht="9" x14ac:dyDescent="0.15">
      <c r="A8" s="90" t="s">
        <v>288</v>
      </c>
      <c r="B8" s="31"/>
      <c r="C8" s="31"/>
      <c r="D8" s="37"/>
      <c r="E8" s="37"/>
      <c r="F8" s="37"/>
      <c r="G8" s="31"/>
      <c r="H8" s="31"/>
      <c r="I8" s="64"/>
      <c r="J8" s="64"/>
      <c r="K8" s="64"/>
      <c r="L8" s="64"/>
      <c r="M8" s="31"/>
      <c r="N8" s="37"/>
      <c r="O8" s="37"/>
      <c r="P8" s="37"/>
      <c r="Q8" s="66"/>
      <c r="U8" s="496"/>
    </row>
    <row r="9" spans="1:21" s="95" customFormat="1" ht="9" x14ac:dyDescent="0.15">
      <c r="A9" s="91" t="s">
        <v>302</v>
      </c>
      <c r="B9" s="31"/>
      <c r="C9" s="31"/>
      <c r="D9" s="365"/>
      <c r="E9" s="37"/>
      <c r="F9" s="37"/>
      <c r="G9" s="31"/>
      <c r="H9" s="31"/>
      <c r="I9" s="63"/>
      <c r="J9" s="64"/>
      <c r="K9" s="64"/>
      <c r="L9" s="64"/>
      <c r="M9" s="65"/>
      <c r="N9" s="37"/>
      <c r="O9" s="37"/>
      <c r="P9" s="37"/>
      <c r="Q9" s="66"/>
      <c r="U9" s="496"/>
    </row>
    <row r="10" spans="1:21" s="95" customFormat="1" ht="9" x14ac:dyDescent="0.15">
      <c r="A10" s="90" t="s">
        <v>211</v>
      </c>
      <c r="B10" s="31">
        <v>20</v>
      </c>
      <c r="C10" s="31"/>
      <c r="D10" s="37">
        <v>854</v>
      </c>
      <c r="E10" s="37">
        <v>0</v>
      </c>
      <c r="F10" s="37">
        <v>0</v>
      </c>
      <c r="G10" s="31">
        <v>1</v>
      </c>
      <c r="H10" s="31">
        <f>B10*G10</f>
        <v>20</v>
      </c>
      <c r="I10" s="63">
        <v>0</v>
      </c>
      <c r="J10" s="64">
        <f>H10*I10</f>
        <v>0</v>
      </c>
      <c r="K10" s="64">
        <f t="shared" ref="K10:K22" si="0">J10*0.1</f>
        <v>0</v>
      </c>
      <c r="L10" s="64">
        <f>J10*0.05</f>
        <v>0</v>
      </c>
      <c r="M10" s="65">
        <f>C10*G10*I10</f>
        <v>0</v>
      </c>
      <c r="N10" s="37">
        <f>(J10*'Base Data'!$C$5)+(K10*'Base Data'!$C$6)+(L10*'Base Data'!$C$7)</f>
        <v>0</v>
      </c>
      <c r="O10" s="37">
        <f>(D10+E10+F10)*G10*I10</f>
        <v>0</v>
      </c>
      <c r="P10" s="64">
        <v>0</v>
      </c>
      <c r="Q10" s="66" t="s">
        <v>316</v>
      </c>
      <c r="U10" s="496">
        <v>4</v>
      </c>
    </row>
    <row r="11" spans="1:21" s="95" customFormat="1" ht="9" x14ac:dyDescent="0.15">
      <c r="A11" s="90" t="s">
        <v>212</v>
      </c>
      <c r="B11" s="31">
        <v>20</v>
      </c>
      <c r="C11" s="31"/>
      <c r="D11" s="37">
        <v>18292</v>
      </c>
      <c r="E11" s="37">
        <v>0</v>
      </c>
      <c r="F11" s="37">
        <v>0</v>
      </c>
      <c r="G11" s="31">
        <v>1</v>
      </c>
      <c r="H11" s="31">
        <f>B11*G11</f>
        <v>20</v>
      </c>
      <c r="I11" s="63">
        <v>0</v>
      </c>
      <c r="J11" s="64">
        <f>H11*I11</f>
        <v>0</v>
      </c>
      <c r="K11" s="64">
        <f t="shared" si="0"/>
        <v>0</v>
      </c>
      <c r="L11" s="64">
        <f>J11*0.05</f>
        <v>0</v>
      </c>
      <c r="M11" s="65">
        <f>C11*G11*I11</f>
        <v>0</v>
      </c>
      <c r="N11" s="37">
        <f>(J11*'Base Data'!$C$5)+(K11*'Base Data'!$C$6)+(L11*'Base Data'!$C$7)</f>
        <v>0</v>
      </c>
      <c r="O11" s="37">
        <f>(D11+E11+F11)*G11*I11</f>
        <v>0</v>
      </c>
      <c r="P11" s="64">
        <v>0</v>
      </c>
      <c r="Q11" s="66" t="s">
        <v>316</v>
      </c>
      <c r="U11" s="496">
        <v>29</v>
      </c>
    </row>
    <row r="12" spans="1:21" s="95" customFormat="1" ht="9" x14ac:dyDescent="0.15">
      <c r="A12" s="91" t="s">
        <v>257</v>
      </c>
      <c r="B12" s="31">
        <v>12</v>
      </c>
      <c r="C12" s="31"/>
      <c r="D12" s="37">
        <v>0</v>
      </c>
      <c r="E12" s="37">
        <f>'Testing Costs'!$B$13</f>
        <v>5000</v>
      </c>
      <c r="F12" s="37">
        <v>0</v>
      </c>
      <c r="G12" s="31">
        <v>1</v>
      </c>
      <c r="H12" s="31">
        <f t="shared" ref="H12:H22" si="1">B12*G12</f>
        <v>12</v>
      </c>
      <c r="I12" s="63">
        <v>0</v>
      </c>
      <c r="J12" s="64">
        <f t="shared" ref="J12:J22" si="2">H12*I12</f>
        <v>0</v>
      </c>
      <c r="K12" s="64">
        <f t="shared" si="0"/>
        <v>0</v>
      </c>
      <c r="L12" s="64">
        <f t="shared" ref="L12:L22" si="3">J12*0.05</f>
        <v>0</v>
      </c>
      <c r="M12" s="65"/>
      <c r="N12" s="37">
        <f>(J12*'Base Data'!$C$5)+(K12*'Base Data'!$C$6)+(L12*'Base Data'!$C$7)</f>
        <v>0</v>
      </c>
      <c r="O12" s="37">
        <f t="shared" ref="O12:O22" si="4">(D12+E12+F12)*G12*I12</f>
        <v>0</v>
      </c>
      <c r="P12" s="64">
        <v>0</v>
      </c>
      <c r="Q12" s="66" t="s">
        <v>85</v>
      </c>
      <c r="U12" s="496">
        <v>285</v>
      </c>
    </row>
    <row r="13" spans="1:21" s="95" customFormat="1" ht="9" x14ac:dyDescent="0.15">
      <c r="A13" s="91" t="s">
        <v>258</v>
      </c>
      <c r="B13" s="31">
        <v>12</v>
      </c>
      <c r="C13" s="31"/>
      <c r="D13" s="37">
        <v>0</v>
      </c>
      <c r="E13" s="37">
        <f>'Testing Costs'!$B$17</f>
        <v>8000</v>
      </c>
      <c r="F13" s="37">
        <v>0</v>
      </c>
      <c r="G13" s="31">
        <v>1</v>
      </c>
      <c r="H13" s="31">
        <f t="shared" si="1"/>
        <v>12</v>
      </c>
      <c r="I13" s="63">
        <v>0</v>
      </c>
      <c r="J13" s="64">
        <f t="shared" si="2"/>
        <v>0</v>
      </c>
      <c r="K13" s="64">
        <f t="shared" si="0"/>
        <v>0</v>
      </c>
      <c r="L13" s="64">
        <f t="shared" si="3"/>
        <v>0</v>
      </c>
      <c r="M13" s="65"/>
      <c r="N13" s="37">
        <f>(J13*'Base Data'!$C$5)+(K13*'Base Data'!$C$6)+(L13*'Base Data'!$C$7)</f>
        <v>0</v>
      </c>
      <c r="O13" s="37">
        <f t="shared" si="4"/>
        <v>0</v>
      </c>
      <c r="P13" s="64">
        <v>0</v>
      </c>
      <c r="Q13" s="66" t="s">
        <v>277</v>
      </c>
      <c r="U13" s="496">
        <v>0</v>
      </c>
    </row>
    <row r="14" spans="1:21" s="95" customFormat="1" ht="9" x14ac:dyDescent="0.15">
      <c r="A14" s="91" t="s">
        <v>259</v>
      </c>
      <c r="B14" s="31">
        <v>12</v>
      </c>
      <c r="C14" s="31"/>
      <c r="D14" s="37">
        <v>0</v>
      </c>
      <c r="E14" s="37">
        <f>'Testing Costs'!$B$15</f>
        <v>8000</v>
      </c>
      <c r="F14" s="37">
        <v>0</v>
      </c>
      <c r="G14" s="31">
        <v>1</v>
      </c>
      <c r="H14" s="31">
        <f t="shared" si="1"/>
        <v>12</v>
      </c>
      <c r="I14" s="63">
        <v>0</v>
      </c>
      <c r="J14" s="64">
        <f t="shared" si="2"/>
        <v>0</v>
      </c>
      <c r="K14" s="64">
        <f t="shared" si="0"/>
        <v>0</v>
      </c>
      <c r="L14" s="64">
        <f t="shared" si="3"/>
        <v>0</v>
      </c>
      <c r="M14" s="65"/>
      <c r="N14" s="37">
        <f>(J14*'Base Data'!$C$5)+(K14*'Base Data'!$C$6)+(L14*'Base Data'!$C$7)</f>
        <v>0</v>
      </c>
      <c r="O14" s="37">
        <f t="shared" si="4"/>
        <v>0</v>
      </c>
      <c r="P14" s="64">
        <v>0</v>
      </c>
      <c r="Q14" s="66" t="s">
        <v>277</v>
      </c>
      <c r="U14" s="496">
        <v>0</v>
      </c>
    </row>
    <row r="15" spans="1:21" s="95" customFormat="1" ht="9" x14ac:dyDescent="0.15">
      <c r="A15" s="91" t="s">
        <v>158</v>
      </c>
      <c r="B15" s="31">
        <v>12</v>
      </c>
      <c r="C15" s="31"/>
      <c r="D15" s="37">
        <v>0</v>
      </c>
      <c r="E15" s="37">
        <f>'Testing Costs'!$B$14</f>
        <v>7000</v>
      </c>
      <c r="F15" s="37">
        <v>0</v>
      </c>
      <c r="G15" s="31">
        <v>1</v>
      </c>
      <c r="H15" s="31">
        <f t="shared" si="1"/>
        <v>12</v>
      </c>
      <c r="I15" s="63">
        <v>0</v>
      </c>
      <c r="J15" s="64">
        <f t="shared" si="2"/>
        <v>0</v>
      </c>
      <c r="K15" s="64">
        <f t="shared" si="0"/>
        <v>0</v>
      </c>
      <c r="L15" s="64">
        <f t="shared" si="3"/>
        <v>0</v>
      </c>
      <c r="M15" s="65"/>
      <c r="N15" s="37">
        <f>(J15*'Base Data'!$C$5)+(K15*'Base Data'!$C$6)+(L15*'Base Data'!$C$7)</f>
        <v>0</v>
      </c>
      <c r="O15" s="37">
        <f t="shared" si="4"/>
        <v>0</v>
      </c>
      <c r="P15" s="64">
        <v>0</v>
      </c>
      <c r="Q15" s="66" t="s">
        <v>265</v>
      </c>
      <c r="U15" s="496">
        <v>285</v>
      </c>
    </row>
    <row r="16" spans="1:21" s="95" customFormat="1" ht="9" customHeight="1" x14ac:dyDescent="0.15">
      <c r="A16" s="91" t="s">
        <v>122</v>
      </c>
      <c r="B16" s="31">
        <v>12</v>
      </c>
      <c r="C16" s="31"/>
      <c r="D16" s="37">
        <v>0</v>
      </c>
      <c r="E16" s="37">
        <f>'Testing Costs'!$B$13</f>
        <v>5000</v>
      </c>
      <c r="F16" s="37">
        <v>0</v>
      </c>
      <c r="G16" s="31">
        <v>1</v>
      </c>
      <c r="H16" s="31">
        <f t="shared" si="1"/>
        <v>12</v>
      </c>
      <c r="I16" s="63">
        <f>ROUNDDOWN(SUM('Base Data'!$D$43:$D$45,(SUM('Base Data'!$D$79:$D$81)/3)),0)</f>
        <v>570</v>
      </c>
      <c r="J16" s="64">
        <f t="shared" si="2"/>
        <v>6840</v>
      </c>
      <c r="K16" s="64">
        <f t="shared" si="0"/>
        <v>684</v>
      </c>
      <c r="L16" s="64">
        <f t="shared" si="3"/>
        <v>342</v>
      </c>
      <c r="M16" s="65"/>
      <c r="N16" s="37">
        <f>(J16*'Base Data'!$C$5)+(K16*'Base Data'!$C$6)+(L16*'Base Data'!$C$7)</f>
        <v>861350.94000000006</v>
      </c>
      <c r="O16" s="37">
        <f t="shared" si="4"/>
        <v>2850000</v>
      </c>
      <c r="P16" s="64">
        <v>0</v>
      </c>
      <c r="Q16" s="66" t="s">
        <v>388</v>
      </c>
      <c r="U16" s="496">
        <v>0</v>
      </c>
    </row>
    <row r="17" spans="1:21" s="95" customFormat="1" ht="9" x14ac:dyDescent="0.15">
      <c r="A17" s="91" t="s">
        <v>123</v>
      </c>
      <c r="B17" s="31">
        <v>12</v>
      </c>
      <c r="C17" s="31"/>
      <c r="D17" s="37">
        <v>0</v>
      </c>
      <c r="E17" s="37">
        <f>'Testing Costs'!$B$17</f>
        <v>8000</v>
      </c>
      <c r="F17" s="37">
        <v>0</v>
      </c>
      <c r="G17" s="31">
        <v>1</v>
      </c>
      <c r="H17" s="31">
        <f t="shared" si="1"/>
        <v>12</v>
      </c>
      <c r="I17" s="63">
        <v>0</v>
      </c>
      <c r="J17" s="64">
        <f t="shared" si="2"/>
        <v>0</v>
      </c>
      <c r="K17" s="64">
        <f t="shared" si="0"/>
        <v>0</v>
      </c>
      <c r="L17" s="64">
        <f t="shared" si="3"/>
        <v>0</v>
      </c>
      <c r="M17" s="65"/>
      <c r="N17" s="37">
        <f>(J17*'Base Data'!$C$5)+(K17*'Base Data'!$C$6)+(L17*'Base Data'!$C$7)</f>
        <v>0</v>
      </c>
      <c r="O17" s="37">
        <f t="shared" si="4"/>
        <v>0</v>
      </c>
      <c r="P17" s="64">
        <v>0</v>
      </c>
      <c r="Q17" s="66" t="s">
        <v>269</v>
      </c>
      <c r="U17" s="496">
        <v>0</v>
      </c>
    </row>
    <row r="18" spans="1:21" s="95" customFormat="1" ht="9" x14ac:dyDescent="0.15">
      <c r="A18" s="91" t="s">
        <v>124</v>
      </c>
      <c r="B18" s="31">
        <v>12</v>
      </c>
      <c r="C18" s="31"/>
      <c r="D18" s="37">
        <v>0</v>
      </c>
      <c r="E18" s="37">
        <f>'Testing Costs'!$B$15</f>
        <v>8000</v>
      </c>
      <c r="F18" s="37">
        <v>0</v>
      </c>
      <c r="G18" s="31">
        <v>1</v>
      </c>
      <c r="H18" s="31">
        <f t="shared" si="1"/>
        <v>12</v>
      </c>
      <c r="I18" s="63">
        <v>0</v>
      </c>
      <c r="J18" s="64">
        <f t="shared" si="2"/>
        <v>0</v>
      </c>
      <c r="K18" s="64">
        <f t="shared" si="0"/>
        <v>0</v>
      </c>
      <c r="L18" s="64">
        <f t="shared" si="3"/>
        <v>0</v>
      </c>
      <c r="M18" s="65"/>
      <c r="N18" s="37">
        <f>(J18*'Base Data'!$C$5)+(K18*'Base Data'!$C$6)+(L18*'Base Data'!$C$7)</f>
        <v>0</v>
      </c>
      <c r="O18" s="37">
        <f t="shared" si="4"/>
        <v>0</v>
      </c>
      <c r="P18" s="64">
        <v>0</v>
      </c>
      <c r="Q18" s="66" t="s">
        <v>269</v>
      </c>
      <c r="U18" s="496">
        <v>0</v>
      </c>
    </row>
    <row r="19" spans="1:21" s="95" customFormat="1" ht="9" x14ac:dyDescent="0.15">
      <c r="A19" s="91" t="s">
        <v>125</v>
      </c>
      <c r="B19" s="31">
        <v>12</v>
      </c>
      <c r="C19" s="31"/>
      <c r="D19" s="37">
        <v>0</v>
      </c>
      <c r="E19" s="37">
        <f>'Testing Costs'!$B$14</f>
        <v>7000</v>
      </c>
      <c r="F19" s="37">
        <v>0</v>
      </c>
      <c r="G19" s="31">
        <v>1</v>
      </c>
      <c r="H19" s="31">
        <f t="shared" si="1"/>
        <v>12</v>
      </c>
      <c r="I19" s="63">
        <f>ROUNDDOWN(SUM('Base Data'!$D$43:$D$45,(SUM('Base Data'!$D$79:$D$81)/3)),0)</f>
        <v>570</v>
      </c>
      <c r="J19" s="64">
        <f t="shared" si="2"/>
        <v>6840</v>
      </c>
      <c r="K19" s="64">
        <f t="shared" si="0"/>
        <v>684</v>
      </c>
      <c r="L19" s="64">
        <f t="shared" si="3"/>
        <v>342</v>
      </c>
      <c r="M19" s="65"/>
      <c r="N19" s="37">
        <f>(J19*'Base Data'!$C$5)+(K19*'Base Data'!$C$6)+(L19*'Base Data'!$C$7)</f>
        <v>861350.94000000006</v>
      </c>
      <c r="O19" s="37">
        <f t="shared" si="4"/>
        <v>3990000</v>
      </c>
      <c r="P19" s="64">
        <v>0</v>
      </c>
      <c r="Q19" s="66" t="s">
        <v>269</v>
      </c>
      <c r="U19" s="496">
        <v>0</v>
      </c>
    </row>
    <row r="20" spans="1:21" s="95" customFormat="1" ht="18.75" customHeight="1" x14ac:dyDescent="0.15">
      <c r="A20" s="197" t="s">
        <v>428</v>
      </c>
      <c r="B20" s="31">
        <v>24</v>
      </c>
      <c r="C20" s="559"/>
      <c r="D20" s="37">
        <v>0</v>
      </c>
      <c r="E20" s="37">
        <f>$E$13+$E$14</f>
        <v>16000</v>
      </c>
      <c r="F20" s="37">
        <v>0</v>
      </c>
      <c r="G20" s="31">
        <v>1</v>
      </c>
      <c r="H20" s="31">
        <f t="shared" si="1"/>
        <v>24</v>
      </c>
      <c r="I20" s="63">
        <v>0</v>
      </c>
      <c r="J20" s="64">
        <f t="shared" si="2"/>
        <v>0</v>
      </c>
      <c r="K20" s="64">
        <f t="shared" si="0"/>
        <v>0</v>
      </c>
      <c r="L20" s="64">
        <f t="shared" si="3"/>
        <v>0</v>
      </c>
      <c r="M20" s="65"/>
      <c r="N20" s="37">
        <f>(J20*'Base Data'!$C$5)+(K20*'Base Data'!$C$6)+(L20*'Base Data'!$C$7)</f>
        <v>0</v>
      </c>
      <c r="O20" s="37">
        <f t="shared" si="4"/>
        <v>0</v>
      </c>
      <c r="P20" s="64">
        <v>0</v>
      </c>
      <c r="Q20" s="66" t="s">
        <v>86</v>
      </c>
      <c r="U20" s="496">
        <v>0</v>
      </c>
    </row>
    <row r="21" spans="1:21" s="95" customFormat="1" ht="9" customHeight="1" x14ac:dyDescent="0.15">
      <c r="A21" s="91" t="s">
        <v>429</v>
      </c>
      <c r="B21" s="31">
        <v>5</v>
      </c>
      <c r="C21" s="31"/>
      <c r="D21" s="37">
        <v>0</v>
      </c>
      <c r="E21" s="37">
        <v>400</v>
      </c>
      <c r="F21" s="37">
        <v>0</v>
      </c>
      <c r="G21" s="31">
        <v>1</v>
      </c>
      <c r="H21" s="31">
        <f t="shared" si="1"/>
        <v>5</v>
      </c>
      <c r="I21" s="63">
        <v>0</v>
      </c>
      <c r="J21" s="64">
        <f t="shared" si="2"/>
        <v>0</v>
      </c>
      <c r="K21" s="457">
        <f t="shared" si="0"/>
        <v>0</v>
      </c>
      <c r="L21" s="457">
        <f t="shared" si="3"/>
        <v>0</v>
      </c>
      <c r="M21" s="65"/>
      <c r="N21" s="37">
        <f>(J21*'Base Data'!$C$5)+(K21*'Base Data'!$C$6)+(L21*'Base Data'!$C$7)</f>
        <v>0</v>
      </c>
      <c r="O21" s="37">
        <f t="shared" si="4"/>
        <v>0</v>
      </c>
      <c r="P21" s="64">
        <v>0</v>
      </c>
      <c r="Q21" s="66" t="s">
        <v>84</v>
      </c>
      <c r="U21" s="496">
        <v>285</v>
      </c>
    </row>
    <row r="22" spans="1:21" s="95" customFormat="1" ht="9" customHeight="1" x14ac:dyDescent="0.15">
      <c r="A22" s="91" t="s">
        <v>430</v>
      </c>
      <c r="B22" s="31">
        <v>5</v>
      </c>
      <c r="C22" s="31"/>
      <c r="D22" s="37">
        <v>0</v>
      </c>
      <c r="E22" s="37">
        <v>400</v>
      </c>
      <c r="F22" s="37">
        <v>0</v>
      </c>
      <c r="G22" s="31">
        <v>12</v>
      </c>
      <c r="H22" s="31">
        <f t="shared" si="1"/>
        <v>60</v>
      </c>
      <c r="I22" s="63">
        <f>ROUNDDOWN(SUM('Base Data'!$D$43:$D$45,(SUM('Base Data'!$D$79:$D$81)/3)),0)</f>
        <v>570</v>
      </c>
      <c r="J22" s="64">
        <f t="shared" si="2"/>
        <v>34200</v>
      </c>
      <c r="K22" s="64">
        <f t="shared" si="0"/>
        <v>3420</v>
      </c>
      <c r="L22" s="64">
        <f t="shared" si="3"/>
        <v>1710</v>
      </c>
      <c r="M22" s="65"/>
      <c r="N22" s="37">
        <f>(J22*'Base Data'!$C$5)+(K22*'Base Data'!$C$6)+(L22*'Base Data'!$C$7)</f>
        <v>4306754.7</v>
      </c>
      <c r="O22" s="37">
        <f t="shared" si="4"/>
        <v>2736000</v>
      </c>
      <c r="P22" s="64">
        <v>0</v>
      </c>
      <c r="Q22" s="66" t="s">
        <v>84</v>
      </c>
      <c r="U22" s="496">
        <v>570</v>
      </c>
    </row>
    <row r="23" spans="1:21" s="95" customFormat="1" ht="9" x14ac:dyDescent="0.15">
      <c r="A23" s="90" t="s">
        <v>432</v>
      </c>
      <c r="B23" s="31">
        <v>12</v>
      </c>
      <c r="C23" s="31"/>
      <c r="D23" s="37">
        <v>0</v>
      </c>
      <c r="E23" s="37">
        <v>2875</v>
      </c>
      <c r="F23" s="37">
        <v>0</v>
      </c>
      <c r="G23" s="31">
        <v>1</v>
      </c>
      <c r="H23" s="31">
        <f>B23*G23</f>
        <v>12</v>
      </c>
      <c r="I23" s="63">
        <f>ROUNDDOWN(SUM('Base Data'!$D$43:$D$45,(SUM('Base Data'!$D$79:$D$81)/3)),0)</f>
        <v>570</v>
      </c>
      <c r="J23" s="63">
        <f>H23*I23</f>
        <v>6840</v>
      </c>
      <c r="K23" s="63">
        <f>J23*0.1</f>
        <v>684</v>
      </c>
      <c r="L23" s="63">
        <f>J23*0.05</f>
        <v>342</v>
      </c>
      <c r="M23" s="64"/>
      <c r="N23" s="37">
        <f>(J23*'Base Data'!$C$5)+(K23*'Base Data'!$C$6)+(L23*'Base Data'!$C$7)</f>
        <v>861350.94000000006</v>
      </c>
      <c r="O23" s="37">
        <f>(D23+E23+F23)*G23*I23</f>
        <v>1638750</v>
      </c>
      <c r="P23" s="64">
        <v>0</v>
      </c>
      <c r="Q23" s="66" t="s">
        <v>401</v>
      </c>
      <c r="R23" s="250"/>
      <c r="T23" s="250"/>
      <c r="U23" s="496">
        <v>285</v>
      </c>
    </row>
    <row r="24" spans="1:21" s="95" customFormat="1" ht="9" x14ac:dyDescent="0.15">
      <c r="A24" s="91" t="s">
        <v>207</v>
      </c>
      <c r="B24" s="31"/>
      <c r="C24" s="31"/>
      <c r="D24" s="37"/>
      <c r="E24" s="37"/>
      <c r="F24" s="37"/>
      <c r="G24" s="31"/>
      <c r="H24" s="31"/>
      <c r="I24" s="64"/>
      <c r="J24" s="64"/>
      <c r="K24" s="64"/>
      <c r="L24" s="64"/>
      <c r="M24" s="65"/>
      <c r="N24" s="37"/>
      <c r="O24" s="37"/>
      <c r="P24" s="64"/>
      <c r="Q24" s="66" t="s">
        <v>405</v>
      </c>
      <c r="U24" s="496"/>
    </row>
    <row r="25" spans="1:21" s="95" customFormat="1" ht="9" x14ac:dyDescent="0.15">
      <c r="A25" s="91" t="s">
        <v>310</v>
      </c>
      <c r="B25" s="31">
        <v>40</v>
      </c>
      <c r="C25" s="31"/>
      <c r="D25" s="37">
        <v>0</v>
      </c>
      <c r="E25" s="37"/>
      <c r="F25" s="37">
        <v>0</v>
      </c>
      <c r="G25" s="31">
        <v>1</v>
      </c>
      <c r="H25" s="31">
        <f>B25*G25</f>
        <v>40</v>
      </c>
      <c r="I25" s="63">
        <v>0</v>
      </c>
      <c r="J25" s="64">
        <f>H25*I25</f>
        <v>0</v>
      </c>
      <c r="K25" s="64">
        <f>J25*0.1</f>
        <v>0</v>
      </c>
      <c r="L25" s="64">
        <f>J25*0.05</f>
        <v>0</v>
      </c>
      <c r="M25" s="65"/>
      <c r="N25" s="37">
        <f>(J25*'Base Data'!$C$5)+(K25*'Base Data'!$C$6)+(L25*'Base Data'!$C$7)</f>
        <v>0</v>
      </c>
      <c r="O25" s="37">
        <f>(D25+E25+F25)*G25*I25</f>
        <v>0</v>
      </c>
      <c r="P25" s="64">
        <v>0</v>
      </c>
      <c r="Q25" s="66" t="s">
        <v>277</v>
      </c>
      <c r="U25" s="496">
        <v>33</v>
      </c>
    </row>
    <row r="26" spans="1:21" s="95" customFormat="1" ht="9" x14ac:dyDescent="0.15">
      <c r="A26" s="90" t="s">
        <v>289</v>
      </c>
      <c r="B26" s="31"/>
      <c r="C26" s="31"/>
      <c r="D26" s="37"/>
      <c r="E26" s="37"/>
      <c r="F26" s="37"/>
      <c r="G26" s="31"/>
      <c r="H26" s="31"/>
      <c r="I26" s="64"/>
      <c r="J26" s="64"/>
      <c r="K26" s="64"/>
      <c r="L26" s="64"/>
      <c r="M26" s="65"/>
      <c r="N26" s="37"/>
      <c r="O26" s="37"/>
      <c r="P26" s="64"/>
      <c r="Q26" s="66"/>
      <c r="U26" s="496"/>
    </row>
    <row r="27" spans="1:21" s="95" customFormat="1" ht="9" x14ac:dyDescent="0.15">
      <c r="A27" s="90" t="s">
        <v>290</v>
      </c>
      <c r="B27" s="31">
        <v>10</v>
      </c>
      <c r="C27" s="31"/>
      <c r="D27" s="37">
        <v>0</v>
      </c>
      <c r="E27" s="37">
        <v>0</v>
      </c>
      <c r="F27" s="37">
        <v>43100</v>
      </c>
      <c r="G27" s="31">
        <v>1</v>
      </c>
      <c r="H27" s="31">
        <f>B27*G27</f>
        <v>10</v>
      </c>
      <c r="I27" s="63">
        <v>0</v>
      </c>
      <c r="J27" s="64">
        <f>H27*I27</f>
        <v>0</v>
      </c>
      <c r="K27" s="64">
        <f>J27*0.1</f>
        <v>0</v>
      </c>
      <c r="L27" s="457">
        <f>J27*0.05</f>
        <v>0</v>
      </c>
      <c r="M27" s="65"/>
      <c r="N27" s="37">
        <f>(J27*'Base Data'!$C$5)+(K27*'Base Data'!$C$6)+(L27*'Base Data'!$C$7)</f>
        <v>0</v>
      </c>
      <c r="O27" s="37">
        <f>(D27+E27+F27)*G27*I27</f>
        <v>0</v>
      </c>
      <c r="P27" s="64">
        <v>0</v>
      </c>
      <c r="Q27" s="66" t="s">
        <v>277</v>
      </c>
      <c r="U27" s="496">
        <v>15</v>
      </c>
    </row>
    <row r="28" spans="1:21" s="95" customFormat="1" ht="9" x14ac:dyDescent="0.15">
      <c r="A28" s="90" t="s">
        <v>293</v>
      </c>
      <c r="B28" s="31">
        <v>10</v>
      </c>
      <c r="C28" s="31"/>
      <c r="D28" s="37">
        <v>0</v>
      </c>
      <c r="E28" s="37">
        <v>0</v>
      </c>
      <c r="F28" s="37">
        <v>14700</v>
      </c>
      <c r="G28" s="31">
        <v>1</v>
      </c>
      <c r="H28" s="31">
        <f>B28*G28</f>
        <v>10</v>
      </c>
      <c r="I28" s="63">
        <f>ROUNDDOWN(Monitors!$C$8,0)</f>
        <v>30</v>
      </c>
      <c r="J28" s="64">
        <f>H28*I28</f>
        <v>300</v>
      </c>
      <c r="K28" s="64">
        <f>J28*0.1</f>
        <v>30</v>
      </c>
      <c r="L28" s="457">
        <f>J28*0.05</f>
        <v>15</v>
      </c>
      <c r="M28" s="65"/>
      <c r="N28" s="37">
        <f>(J28*'Base Data'!$C$5)+(K28*'Base Data'!$C$6)+(L28*'Base Data'!$C$7)</f>
        <v>37778.550000000003</v>
      </c>
      <c r="O28" s="37">
        <f>(D28+E28+F28)*G28*I28</f>
        <v>441000</v>
      </c>
      <c r="P28" s="64">
        <v>0</v>
      </c>
      <c r="Q28" s="66" t="s">
        <v>277</v>
      </c>
      <c r="U28" s="496">
        <v>15</v>
      </c>
    </row>
    <row r="29" spans="1:21" s="95" customFormat="1" ht="9" x14ac:dyDescent="0.15">
      <c r="A29" s="90" t="s">
        <v>256</v>
      </c>
      <c r="B29" s="31"/>
      <c r="C29" s="31"/>
      <c r="D29" s="37"/>
      <c r="E29" s="37"/>
      <c r="F29" s="37"/>
      <c r="G29" s="31"/>
      <c r="H29" s="31"/>
      <c r="I29" s="64"/>
      <c r="J29" s="64"/>
      <c r="K29" s="64"/>
      <c r="L29" s="64"/>
      <c r="M29" s="65"/>
      <c r="N29" s="37"/>
      <c r="O29" s="37"/>
      <c r="P29" s="64"/>
      <c r="Q29" s="66"/>
      <c r="U29" s="496"/>
    </row>
    <row r="30" spans="1:21" s="95" customFormat="1" ht="9" x14ac:dyDescent="0.15">
      <c r="A30" s="90" t="s">
        <v>290</v>
      </c>
      <c r="B30" s="31">
        <v>10</v>
      </c>
      <c r="C30" s="31"/>
      <c r="D30" s="37">
        <v>0</v>
      </c>
      <c r="E30" s="37">
        <v>0</v>
      </c>
      <c r="F30" s="37">
        <v>158000</v>
      </c>
      <c r="G30" s="31">
        <v>1</v>
      </c>
      <c r="H30" s="31">
        <f>B30*G30</f>
        <v>10</v>
      </c>
      <c r="I30" s="63">
        <v>0</v>
      </c>
      <c r="J30" s="64">
        <f>H30*I30</f>
        <v>0</v>
      </c>
      <c r="K30" s="64">
        <f>J30*0.1</f>
        <v>0</v>
      </c>
      <c r="L30" s="457">
        <f>J30*0.05</f>
        <v>0</v>
      </c>
      <c r="M30" s="65"/>
      <c r="N30" s="37">
        <f>(J30*'Base Data'!$C$5)+(K30*'Base Data'!$C$6)+(L30*'Base Data'!$C$7)</f>
        <v>0</v>
      </c>
      <c r="O30" s="37">
        <f>(D30+E30+F30)*G30*I30</f>
        <v>0</v>
      </c>
      <c r="P30" s="64">
        <v>0</v>
      </c>
      <c r="Q30" s="66" t="s">
        <v>402</v>
      </c>
      <c r="R30" s="250"/>
      <c r="U30" s="496">
        <v>11</v>
      </c>
    </row>
    <row r="31" spans="1:21" s="95" customFormat="1" ht="9" x14ac:dyDescent="0.15">
      <c r="A31" s="90" t="s">
        <v>293</v>
      </c>
      <c r="B31" s="31">
        <v>10</v>
      </c>
      <c r="C31" s="31"/>
      <c r="D31" s="37">
        <v>0</v>
      </c>
      <c r="E31" s="37">
        <v>0</v>
      </c>
      <c r="F31" s="37">
        <v>56100</v>
      </c>
      <c r="G31" s="31">
        <v>1</v>
      </c>
      <c r="H31" s="31">
        <f>B31*G31</f>
        <v>10</v>
      </c>
      <c r="I31" s="63">
        <f>ROUNDUP(Monitors!$H$8,0)</f>
        <v>21</v>
      </c>
      <c r="J31" s="64">
        <f>H31*I31</f>
        <v>210</v>
      </c>
      <c r="K31" s="64">
        <f>J31*0.1</f>
        <v>21</v>
      </c>
      <c r="L31" s="457">
        <f>J31*0.05</f>
        <v>10.5</v>
      </c>
      <c r="M31" s="65"/>
      <c r="N31" s="37">
        <f>(J31*'Base Data'!$C$5)+(K31*'Base Data'!$C$6)+(L31*'Base Data'!$C$7)</f>
        <v>26444.984999999997</v>
      </c>
      <c r="O31" s="37">
        <f>(D31+E31+F31)*G31*I31</f>
        <v>1178100</v>
      </c>
      <c r="P31" s="64">
        <v>0</v>
      </c>
      <c r="Q31" s="66" t="s">
        <v>402</v>
      </c>
      <c r="R31" s="250"/>
      <c r="U31" s="496">
        <v>11</v>
      </c>
    </row>
    <row r="32" spans="1:21" s="95" customFormat="1" ht="9" x14ac:dyDescent="0.15">
      <c r="A32" s="90" t="s">
        <v>381</v>
      </c>
      <c r="B32" s="31"/>
      <c r="C32" s="31"/>
      <c r="D32" s="37"/>
      <c r="E32" s="37"/>
      <c r="F32" s="37"/>
      <c r="G32" s="31"/>
      <c r="H32" s="31"/>
      <c r="I32" s="63"/>
      <c r="J32" s="64"/>
      <c r="K32" s="64"/>
      <c r="L32" s="64"/>
      <c r="M32" s="65"/>
      <c r="N32" s="37"/>
      <c r="O32" s="37"/>
      <c r="P32" s="64"/>
      <c r="Q32" s="66"/>
      <c r="U32" s="496"/>
    </row>
    <row r="33" spans="1:21" s="95" customFormat="1" ht="9" x14ac:dyDescent="0.15">
      <c r="A33" s="90" t="s">
        <v>290</v>
      </c>
      <c r="B33" s="31">
        <v>10</v>
      </c>
      <c r="C33" s="31"/>
      <c r="D33" s="37">
        <v>0</v>
      </c>
      <c r="E33" s="37">
        <v>0</v>
      </c>
      <c r="F33" s="37">
        <f>Monitors!$F$32</f>
        <v>8523</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722</v>
      </c>
      <c r="U33" s="496">
        <v>158</v>
      </c>
    </row>
    <row r="34" spans="1:21" s="95" customFormat="1" ht="9" x14ac:dyDescent="0.15">
      <c r="A34" s="90" t="s">
        <v>293</v>
      </c>
      <c r="B34" s="31">
        <v>10</v>
      </c>
      <c r="C34" s="31"/>
      <c r="D34" s="37">
        <v>0</v>
      </c>
      <c r="E34" s="37">
        <v>0</v>
      </c>
      <c r="F34" s="37">
        <f>Monitors!$G$32</f>
        <v>1436</v>
      </c>
      <c r="G34" s="31">
        <v>1</v>
      </c>
      <c r="H34" s="31">
        <f>B34*G34</f>
        <v>10</v>
      </c>
      <c r="I34" s="63">
        <f>ROUNDDOWN(Monitors!$F$8,0)</f>
        <v>316</v>
      </c>
      <c r="J34" s="64">
        <f>H34*I34</f>
        <v>3160</v>
      </c>
      <c r="K34" s="64">
        <f>J34*0.1</f>
        <v>316</v>
      </c>
      <c r="L34" s="64">
        <f>J34*0.05</f>
        <v>158</v>
      </c>
      <c r="M34" s="65"/>
      <c r="N34" s="37">
        <f>(J34*'Base Data'!$C$5)+(K34*'Base Data'!$C$6)+(L34*'Base Data'!$C$7)</f>
        <v>397934.06</v>
      </c>
      <c r="O34" s="37">
        <f>(D34+E34+F34)*G34*I34</f>
        <v>453776</v>
      </c>
      <c r="P34" s="64">
        <v>0</v>
      </c>
      <c r="Q34" s="66" t="s">
        <v>722</v>
      </c>
      <c r="U34" s="496">
        <v>158</v>
      </c>
    </row>
    <row r="35" spans="1:21" s="95" customFormat="1" ht="18" x14ac:dyDescent="0.15">
      <c r="A35" s="91" t="s">
        <v>145</v>
      </c>
      <c r="B35" s="31"/>
      <c r="C35" s="31"/>
      <c r="D35" s="37"/>
      <c r="E35" s="37"/>
      <c r="F35" s="365"/>
      <c r="G35" s="31"/>
      <c r="H35" s="31"/>
      <c r="I35" s="366"/>
      <c r="J35" s="64"/>
      <c r="K35" s="64"/>
      <c r="L35" s="64"/>
      <c r="M35" s="65"/>
      <c r="N35" s="37"/>
      <c r="O35" s="37"/>
      <c r="P35" s="64"/>
      <c r="Q35" s="66"/>
      <c r="U35" s="496"/>
    </row>
    <row r="36" spans="1:21" s="95" customFormat="1" ht="9" x14ac:dyDescent="0.15">
      <c r="A36" s="90" t="s">
        <v>290</v>
      </c>
      <c r="B36" s="31">
        <v>10</v>
      </c>
      <c r="C36" s="31"/>
      <c r="D36" s="37">
        <v>0</v>
      </c>
      <c r="E36" s="37">
        <v>0</v>
      </c>
      <c r="F36" s="37">
        <v>24300</v>
      </c>
      <c r="G36" s="31">
        <v>1</v>
      </c>
      <c r="H36" s="31">
        <f>B36*G36</f>
        <v>10</v>
      </c>
      <c r="I36" s="63">
        <v>0</v>
      </c>
      <c r="J36" s="64">
        <f>H36*I36</f>
        <v>0</v>
      </c>
      <c r="K36" s="64">
        <f>J36*0.1</f>
        <v>0</v>
      </c>
      <c r="L36" s="457">
        <f>J36*0.05</f>
        <v>0</v>
      </c>
      <c r="M36" s="65"/>
      <c r="N36" s="37">
        <f>(J36*'Base Data'!$C$5)+(K36*'Base Data'!$C$6)+(L36*'Base Data'!$C$7)</f>
        <v>0</v>
      </c>
      <c r="O36" s="37">
        <f>(D36+E36+F36)*G36*I36</f>
        <v>0</v>
      </c>
      <c r="P36" s="64">
        <v>0</v>
      </c>
      <c r="Q36" s="66" t="s">
        <v>722</v>
      </c>
      <c r="U36" s="496">
        <v>135</v>
      </c>
    </row>
    <row r="37" spans="1:21" s="95" customFormat="1" ht="9" x14ac:dyDescent="0.15">
      <c r="A37" s="90" t="s">
        <v>293</v>
      </c>
      <c r="B37" s="31">
        <v>10</v>
      </c>
      <c r="C37" s="31"/>
      <c r="D37" s="37">
        <v>0</v>
      </c>
      <c r="E37" s="37">
        <v>0</v>
      </c>
      <c r="F37" s="37">
        <v>5600</v>
      </c>
      <c r="G37" s="31">
        <v>1</v>
      </c>
      <c r="H37" s="31">
        <f>B37*G37</f>
        <v>10</v>
      </c>
      <c r="I37" s="63">
        <f>ROUNDDOWN(Monitors!$D$8,0)</f>
        <v>271</v>
      </c>
      <c r="J37" s="64">
        <f>H37*I37</f>
        <v>2710</v>
      </c>
      <c r="K37" s="64">
        <f>J37*0.1</f>
        <v>271</v>
      </c>
      <c r="L37" s="457">
        <f>J37*0.05</f>
        <v>135.5</v>
      </c>
      <c r="M37" s="65"/>
      <c r="N37" s="37">
        <f>(J37*'Base Data'!$C$5)+(K37*'Base Data'!$C$6)+(L37*'Base Data'!$C$7)</f>
        <v>341266.23499999999</v>
      </c>
      <c r="O37" s="37">
        <f>(D37+E37+F37)*G37*I37</f>
        <v>1517600</v>
      </c>
      <c r="P37" s="64">
        <v>0</v>
      </c>
      <c r="Q37" s="66" t="s">
        <v>722</v>
      </c>
      <c r="U37" s="496">
        <v>135</v>
      </c>
    </row>
    <row r="38" spans="1:21" s="95" customFormat="1" ht="18" x14ac:dyDescent="0.15">
      <c r="A38" s="91" t="s">
        <v>348</v>
      </c>
      <c r="B38" s="31"/>
      <c r="C38" s="31"/>
      <c r="D38" s="37"/>
      <c r="E38" s="37"/>
      <c r="F38" s="37"/>
      <c r="G38" s="31"/>
      <c r="H38" s="31"/>
      <c r="I38" s="63"/>
      <c r="J38" s="64"/>
      <c r="K38" s="64"/>
      <c r="L38" s="64"/>
      <c r="M38" s="65"/>
      <c r="N38" s="37"/>
      <c r="O38" s="138"/>
      <c r="P38" s="64"/>
      <c r="Q38" s="66"/>
      <c r="U38" s="496"/>
    </row>
    <row r="39" spans="1:21" s="95" customFormat="1" ht="9" x14ac:dyDescent="0.15">
      <c r="A39" s="90" t="s">
        <v>290</v>
      </c>
      <c r="B39" s="31">
        <v>10</v>
      </c>
      <c r="C39" s="31"/>
      <c r="D39" s="37">
        <v>0</v>
      </c>
      <c r="E39" s="37">
        <v>0</v>
      </c>
      <c r="F39" s="37">
        <f>25500</f>
        <v>25500</v>
      </c>
      <c r="G39" s="31">
        <v>1</v>
      </c>
      <c r="H39" s="31">
        <f>B39*G39</f>
        <v>10</v>
      </c>
      <c r="I39" s="63">
        <v>0</v>
      </c>
      <c r="J39" s="64">
        <f>H39*I39</f>
        <v>0</v>
      </c>
      <c r="K39" s="64">
        <f>J39*0.1</f>
        <v>0</v>
      </c>
      <c r="L39" s="457">
        <f>J39*0.05</f>
        <v>0</v>
      </c>
      <c r="M39" s="65"/>
      <c r="N39" s="37">
        <f>(J39*'Base Data'!$C$5)+(K39*'Base Data'!$C$6)+(L39*'Base Data'!$C$7)</f>
        <v>0</v>
      </c>
      <c r="O39" s="37">
        <f>(D39+E39+F39)*G39*I39</f>
        <v>0</v>
      </c>
      <c r="P39" s="64">
        <v>0</v>
      </c>
      <c r="Q39" s="66" t="s">
        <v>722</v>
      </c>
      <c r="U39" s="496">
        <v>131</v>
      </c>
    </row>
    <row r="40" spans="1:21" s="95" customFormat="1" ht="9" x14ac:dyDescent="0.15">
      <c r="A40" s="90" t="s">
        <v>293</v>
      </c>
      <c r="B40" s="31">
        <v>10</v>
      </c>
      <c r="C40" s="31"/>
      <c r="D40" s="37">
        <v>0</v>
      </c>
      <c r="E40" s="37">
        <v>0</v>
      </c>
      <c r="F40" s="37">
        <v>9700</v>
      </c>
      <c r="G40" s="31">
        <v>1</v>
      </c>
      <c r="H40" s="31">
        <f>B40*G40</f>
        <v>10</v>
      </c>
      <c r="I40" s="63">
        <f>ROUNDDOWN(Monitors!$B$8,0)</f>
        <v>262</v>
      </c>
      <c r="J40" s="64">
        <f>H40*I40</f>
        <v>2620</v>
      </c>
      <c r="K40" s="64">
        <f>J40*0.1</f>
        <v>262</v>
      </c>
      <c r="L40" s="457">
        <f>J40*0.05</f>
        <v>131</v>
      </c>
      <c r="M40" s="65"/>
      <c r="N40" s="37">
        <f>(J40*'Base Data'!$C$5)+(K40*'Base Data'!$C$6)+(L40*'Base Data'!$C$7)</f>
        <v>329932.67000000004</v>
      </c>
      <c r="O40" s="37">
        <f>(D40+E40+F40)*G40*I40</f>
        <v>2541400</v>
      </c>
      <c r="P40" s="64">
        <v>0</v>
      </c>
      <c r="Q40" s="66" t="s">
        <v>722</v>
      </c>
      <c r="U40" s="496">
        <v>131</v>
      </c>
    </row>
    <row r="41" spans="1:21" s="95" customFormat="1" ht="9" x14ac:dyDescent="0.15">
      <c r="A41" s="91" t="s">
        <v>427</v>
      </c>
      <c r="B41" s="31"/>
      <c r="C41" s="31"/>
      <c r="D41" s="37"/>
      <c r="E41" s="37"/>
      <c r="F41" s="37"/>
      <c r="G41" s="31"/>
      <c r="H41" s="31"/>
      <c r="I41" s="63"/>
      <c r="J41" s="64"/>
      <c r="K41" s="64"/>
      <c r="L41" s="64"/>
      <c r="M41" s="65"/>
      <c r="N41" s="37"/>
      <c r="O41" s="138"/>
      <c r="P41" s="64"/>
      <c r="Q41" s="66"/>
      <c r="U41" s="496"/>
    </row>
    <row r="42" spans="1:21" s="95" customFormat="1" ht="9" x14ac:dyDescent="0.15">
      <c r="A42" s="90" t="s">
        <v>290</v>
      </c>
      <c r="B42" s="31">
        <v>10</v>
      </c>
      <c r="C42" s="31"/>
      <c r="D42" s="37">
        <v>0</v>
      </c>
      <c r="E42" s="37">
        <v>0</v>
      </c>
      <c r="F42" s="37">
        <v>43500</v>
      </c>
      <c r="G42" s="31">
        <v>1</v>
      </c>
      <c r="H42" s="31">
        <f>B42*G42</f>
        <v>10</v>
      </c>
      <c r="I42" s="63">
        <v>0</v>
      </c>
      <c r="J42" s="64">
        <f>H42*I42</f>
        <v>0</v>
      </c>
      <c r="K42" s="64">
        <f>J42*0.1</f>
        <v>0</v>
      </c>
      <c r="L42" s="64">
        <f>J42*0.05</f>
        <v>0</v>
      </c>
      <c r="M42" s="65"/>
      <c r="N42" s="37">
        <f>(J42*'Base Data'!$C$5)+(K42*'Base Data'!$C$6)+(L42*'Base Data'!$C$7)</f>
        <v>0</v>
      </c>
      <c r="O42" s="37">
        <f>(D42+E42+F42)*G42*I42</f>
        <v>0</v>
      </c>
      <c r="P42" s="64">
        <v>0</v>
      </c>
      <c r="Q42" s="66" t="s">
        <v>722</v>
      </c>
      <c r="U42" s="496">
        <v>14</v>
      </c>
    </row>
    <row r="43" spans="1:21" s="95" customFormat="1" ht="9" x14ac:dyDescent="0.15">
      <c r="A43" s="90" t="s">
        <v>293</v>
      </c>
      <c r="B43" s="31">
        <v>10</v>
      </c>
      <c r="C43" s="31"/>
      <c r="D43" s="37">
        <v>0</v>
      </c>
      <c r="E43" s="37">
        <v>0</v>
      </c>
      <c r="F43" s="37">
        <v>9700</v>
      </c>
      <c r="G43" s="31">
        <v>1</v>
      </c>
      <c r="H43" s="31">
        <f>B43*G43</f>
        <v>10</v>
      </c>
      <c r="I43" s="63">
        <f>ROUNDUP(Monitors!$G$8,0)</f>
        <v>28</v>
      </c>
      <c r="J43" s="64">
        <f>H43*I43</f>
        <v>280</v>
      </c>
      <c r="K43" s="64">
        <f>J43*0.1</f>
        <v>28</v>
      </c>
      <c r="L43" s="64">
        <f>J43*0.05</f>
        <v>14</v>
      </c>
      <c r="M43" s="65"/>
      <c r="N43" s="37">
        <f>(J43*'Base Data'!$C$5)+(K43*'Base Data'!$C$6)+(L43*'Base Data'!$C$7)</f>
        <v>35259.980000000003</v>
      </c>
      <c r="O43" s="37">
        <f>(D43+E43+F43)*G43*I43</f>
        <v>271600</v>
      </c>
      <c r="P43" s="64">
        <v>0</v>
      </c>
      <c r="Q43" s="66" t="s">
        <v>722</v>
      </c>
      <c r="U43" s="496">
        <v>14</v>
      </c>
    </row>
    <row r="44" spans="1:21" s="95" customFormat="1" ht="18" x14ac:dyDescent="0.15">
      <c r="A44" s="91" t="s">
        <v>146</v>
      </c>
      <c r="B44" s="31"/>
      <c r="C44" s="31"/>
      <c r="D44" s="37"/>
      <c r="E44" s="37"/>
      <c r="F44" s="37"/>
      <c r="G44" s="31"/>
      <c r="H44" s="31"/>
      <c r="I44" s="63"/>
      <c r="J44" s="64"/>
      <c r="K44" s="64"/>
      <c r="L44" s="64"/>
      <c r="M44" s="65"/>
      <c r="N44" s="37"/>
      <c r="O44" s="37"/>
      <c r="P44" s="64"/>
      <c r="Q44" s="66"/>
      <c r="U44" s="496"/>
    </row>
    <row r="45" spans="1:21" s="95" customFormat="1" ht="9" x14ac:dyDescent="0.15">
      <c r="A45" s="90" t="s">
        <v>290</v>
      </c>
      <c r="B45" s="31">
        <v>10</v>
      </c>
      <c r="C45" s="31"/>
      <c r="D45" s="37">
        <v>0</v>
      </c>
      <c r="E45" s="37">
        <v>0</v>
      </c>
      <c r="F45" s="37">
        <v>115000</v>
      </c>
      <c r="G45" s="31">
        <v>1</v>
      </c>
      <c r="H45" s="31">
        <f>B45*G45</f>
        <v>10</v>
      </c>
      <c r="I45" s="63">
        <v>0</v>
      </c>
      <c r="J45" s="64">
        <f>H45*I45</f>
        <v>0</v>
      </c>
      <c r="K45" s="64">
        <f>J45*0.1</f>
        <v>0</v>
      </c>
      <c r="L45" s="64">
        <f>J45*0.05</f>
        <v>0</v>
      </c>
      <c r="M45" s="65"/>
      <c r="N45" s="37">
        <f>(J45*'Base Data'!$C$5)+(K45*'Base Data'!$C$6)+(L45*'Base Data'!$C$7)</f>
        <v>0</v>
      </c>
      <c r="O45" s="37">
        <f>(D45+E45+F45)*G45*I45</f>
        <v>0</v>
      </c>
      <c r="P45" s="64">
        <v>0</v>
      </c>
      <c r="Q45" s="66" t="s">
        <v>722</v>
      </c>
      <c r="U45" s="496">
        <v>8</v>
      </c>
    </row>
    <row r="46" spans="1:21" s="95" customFormat="1" ht="9" x14ac:dyDescent="0.15">
      <c r="A46" s="90" t="s">
        <v>293</v>
      </c>
      <c r="B46" s="31">
        <v>10</v>
      </c>
      <c r="C46" s="31"/>
      <c r="D46" s="37">
        <v>0</v>
      </c>
      <c r="E46" s="37">
        <v>0</v>
      </c>
      <c r="F46" s="37">
        <v>9700</v>
      </c>
      <c r="G46" s="31">
        <v>1</v>
      </c>
      <c r="H46" s="31">
        <f>B46*G46</f>
        <v>10</v>
      </c>
      <c r="I46" s="63">
        <f>ROUND(Monitors!$E$8,0)</f>
        <v>8</v>
      </c>
      <c r="J46" s="64">
        <f>H46*I46</f>
        <v>80</v>
      </c>
      <c r="K46" s="64">
        <f>J46*0.1</f>
        <v>8</v>
      </c>
      <c r="L46" s="64">
        <f>J46*0.05</f>
        <v>4</v>
      </c>
      <c r="M46" s="65"/>
      <c r="N46" s="37">
        <f>(J46*'Base Data'!$C$5)+(K46*'Base Data'!$C$6)+(L46*'Base Data'!$C$7)</f>
        <v>10074.279999999999</v>
      </c>
      <c r="O46" s="37">
        <f>(D46+E46+F46)*G46*I46</f>
        <v>77600</v>
      </c>
      <c r="P46" s="64">
        <v>0</v>
      </c>
      <c r="Q46" s="66" t="s">
        <v>722</v>
      </c>
      <c r="U46" s="496">
        <v>8</v>
      </c>
    </row>
    <row r="47" spans="1:21" s="95" customFormat="1" ht="9" x14ac:dyDescent="0.15">
      <c r="A47" s="90" t="s">
        <v>294</v>
      </c>
      <c r="B47" s="31" t="s">
        <v>311</v>
      </c>
      <c r="C47" s="31"/>
      <c r="D47" s="37"/>
      <c r="E47" s="37"/>
      <c r="F47" s="37"/>
      <c r="G47" s="31"/>
      <c r="H47" s="31"/>
      <c r="I47" s="64"/>
      <c r="J47" s="64"/>
      <c r="K47" s="64"/>
      <c r="L47" s="64"/>
      <c r="M47" s="31"/>
      <c r="N47" s="37"/>
      <c r="O47" s="37"/>
      <c r="P47" s="37"/>
      <c r="Q47" s="66"/>
      <c r="U47" s="496"/>
    </row>
    <row r="48" spans="1:21" s="95" customFormat="1" ht="9" x14ac:dyDescent="0.15">
      <c r="A48" s="90" t="s">
        <v>295</v>
      </c>
      <c r="B48" s="31" t="s">
        <v>311</v>
      </c>
      <c r="C48" s="31"/>
      <c r="D48" s="37"/>
      <c r="E48" s="37"/>
      <c r="F48" s="37"/>
      <c r="G48" s="31"/>
      <c r="H48" s="31"/>
      <c r="I48" s="64"/>
      <c r="J48" s="64"/>
      <c r="K48" s="64"/>
      <c r="L48" s="64"/>
      <c r="M48" s="31"/>
      <c r="N48" s="37"/>
      <c r="O48" s="37"/>
      <c r="P48" s="37"/>
      <c r="Q48" s="66"/>
      <c r="U48" s="496"/>
    </row>
    <row r="49" spans="1:21" s="95" customFormat="1" ht="9" x14ac:dyDescent="0.15">
      <c r="A49" s="90" t="s">
        <v>296</v>
      </c>
      <c r="B49" s="31"/>
      <c r="C49" s="31"/>
      <c r="D49" s="37"/>
      <c r="E49" s="37"/>
      <c r="F49" s="37"/>
      <c r="G49" s="31"/>
      <c r="H49" s="31"/>
      <c r="I49" s="64"/>
      <c r="J49" s="64"/>
      <c r="K49" s="64"/>
      <c r="L49" s="64"/>
      <c r="M49" s="31"/>
      <c r="N49" s="37"/>
      <c r="O49" s="37"/>
      <c r="P49" s="37"/>
      <c r="Q49" s="66"/>
      <c r="U49" s="496"/>
    </row>
    <row r="50" spans="1:21" s="95" customFormat="1" ht="9" x14ac:dyDescent="0.15">
      <c r="A50" s="101" t="s">
        <v>312</v>
      </c>
      <c r="B50" s="31">
        <v>2</v>
      </c>
      <c r="C50" s="31"/>
      <c r="D50" s="37">
        <v>0</v>
      </c>
      <c r="E50" s="37">
        <v>0</v>
      </c>
      <c r="F50" s="37">
        <v>0</v>
      </c>
      <c r="G50" s="31">
        <v>1</v>
      </c>
      <c r="H50" s="31">
        <f>B50*G50</f>
        <v>2</v>
      </c>
      <c r="I50" s="63">
        <v>0</v>
      </c>
      <c r="J50" s="64">
        <f>H50*I50</f>
        <v>0</v>
      </c>
      <c r="K50" s="64">
        <f>J50*0.1</f>
        <v>0</v>
      </c>
      <c r="L50" s="64">
        <f>J50*0.05</f>
        <v>0</v>
      </c>
      <c r="M50" s="31">
        <f>C50*G50*I50</f>
        <v>0</v>
      </c>
      <c r="N50" s="37">
        <f>(J50*'Base Data'!$C$5)+(K50*'Base Data'!$C$6)+(L50*'Base Data'!$C$7)</f>
        <v>0</v>
      </c>
      <c r="O50" s="37">
        <f>(D50+E50+F50)*G50*I50</f>
        <v>0</v>
      </c>
      <c r="P50" s="64">
        <f>G50*I50</f>
        <v>0</v>
      </c>
      <c r="Q50" s="66" t="s">
        <v>276</v>
      </c>
      <c r="U50" s="496">
        <v>0</v>
      </c>
    </row>
    <row r="51" spans="1:21" s="95" customFormat="1" ht="9" customHeight="1" x14ac:dyDescent="0.15">
      <c r="A51" s="101" t="s">
        <v>273</v>
      </c>
      <c r="B51" s="31">
        <v>8</v>
      </c>
      <c r="C51" s="31"/>
      <c r="D51" s="37">
        <v>0</v>
      </c>
      <c r="E51" s="37">
        <v>0</v>
      </c>
      <c r="F51" s="37">
        <v>0</v>
      </c>
      <c r="G51" s="31">
        <v>1</v>
      </c>
      <c r="H51" s="31">
        <f>B51*G51</f>
        <v>8</v>
      </c>
      <c r="I51" s="63">
        <v>0</v>
      </c>
      <c r="J51" s="64">
        <f>H51*I51</f>
        <v>0</v>
      </c>
      <c r="K51" s="457">
        <f>J51*0.1</f>
        <v>0</v>
      </c>
      <c r="L51" s="457">
        <f>J51*0.05</f>
        <v>0</v>
      </c>
      <c r="M51" s="31">
        <f>C51*G51*I51</f>
        <v>0</v>
      </c>
      <c r="N51" s="37">
        <f>(J51*'Base Data'!$C$5)+(K51*'Base Data'!$C$6)+(L51*'Base Data'!$C$7)</f>
        <v>0</v>
      </c>
      <c r="O51" s="37">
        <f>(D51+E51+F51)*G51*I51</f>
        <v>0</v>
      </c>
      <c r="P51" s="64">
        <f>G51*I51</f>
        <v>0</v>
      </c>
      <c r="Q51" s="66" t="s">
        <v>277</v>
      </c>
      <c r="U51" s="496">
        <v>66</v>
      </c>
    </row>
    <row r="52" spans="1:21" s="95" customFormat="1" ht="9" x14ac:dyDescent="0.15">
      <c r="A52" s="101" t="s">
        <v>274</v>
      </c>
      <c r="B52" s="31">
        <v>5</v>
      </c>
      <c r="C52" s="31"/>
      <c r="D52" s="37">
        <v>0</v>
      </c>
      <c r="E52" s="37">
        <v>0</v>
      </c>
      <c r="F52" s="37">
        <v>0</v>
      </c>
      <c r="G52" s="31">
        <v>1</v>
      </c>
      <c r="H52" s="31">
        <f>B52*G52</f>
        <v>5</v>
      </c>
      <c r="I52" s="63">
        <v>0</v>
      </c>
      <c r="J52" s="64">
        <f>H52*I52</f>
        <v>0</v>
      </c>
      <c r="K52" s="457">
        <f>J52*0.1</f>
        <v>0</v>
      </c>
      <c r="L52" s="457">
        <f>J52*0.05</f>
        <v>0</v>
      </c>
      <c r="M52" s="31">
        <f>C52*G52*I52</f>
        <v>0</v>
      </c>
      <c r="N52" s="37">
        <f>(J52*'Base Data'!$C$5)+(K52*'Base Data'!$C$6)+(L52*'Base Data'!$C$7)</f>
        <v>0</v>
      </c>
      <c r="O52" s="37">
        <f>(D52+E52+F52)*G52*I52</f>
        <v>0</v>
      </c>
      <c r="P52" s="64">
        <f>G52*I52</f>
        <v>0</v>
      </c>
      <c r="Q52" s="66" t="s">
        <v>277</v>
      </c>
      <c r="U52" s="496">
        <v>66</v>
      </c>
    </row>
    <row r="53" spans="1:21" s="95" customFormat="1" ht="9" x14ac:dyDescent="0.15">
      <c r="A53" s="92" t="s">
        <v>332</v>
      </c>
      <c r="B53" s="31">
        <v>20</v>
      </c>
      <c r="C53" s="31">
        <v>0</v>
      </c>
      <c r="D53" s="37">
        <v>0</v>
      </c>
      <c r="E53" s="37">
        <v>0</v>
      </c>
      <c r="F53" s="37">
        <v>0</v>
      </c>
      <c r="G53" s="31">
        <v>2</v>
      </c>
      <c r="H53" s="31">
        <f>B53*G53</f>
        <v>40</v>
      </c>
      <c r="I53" s="63">
        <f>ROUND(SUM('Base Data'!$H$43:$H$45,(SUM('Base Data'!$H$79:$H$81)/3)),0)</f>
        <v>66</v>
      </c>
      <c r="J53" s="64">
        <f>H53*I53</f>
        <v>2640</v>
      </c>
      <c r="K53" s="64">
        <f>J53*0.1</f>
        <v>264</v>
      </c>
      <c r="L53" s="64">
        <f>J53*0.05</f>
        <v>132</v>
      </c>
      <c r="M53" s="64">
        <f>C53*G53*I53</f>
        <v>0</v>
      </c>
      <c r="N53" s="37">
        <f>(J53*'Base Data'!$C$5)+(K53*'Base Data'!$C$6)+(L53*'Base Data'!$C$7)</f>
        <v>332451.24000000005</v>
      </c>
      <c r="O53" s="37">
        <f>(D53+E53+F53)*G53*I53</f>
        <v>0</v>
      </c>
      <c r="P53" s="64">
        <f>G53*I53</f>
        <v>132</v>
      </c>
      <c r="Q53" s="66" t="s">
        <v>277</v>
      </c>
      <c r="R53" s="108"/>
      <c r="U53" s="496">
        <v>66</v>
      </c>
    </row>
    <row r="54" spans="1:21" s="95" customFormat="1" ht="15.95" hidden="1" customHeight="1" x14ac:dyDescent="0.15">
      <c r="A54" s="92"/>
      <c r="B54" s="31"/>
      <c r="C54" s="31"/>
      <c r="D54" s="37"/>
      <c r="E54" s="37"/>
      <c r="F54" s="37"/>
      <c r="G54" s="31"/>
      <c r="H54" s="31"/>
      <c r="I54" s="63"/>
      <c r="J54" s="367">
        <f>SUM(J7:J53)</f>
        <v>67380</v>
      </c>
      <c r="K54" s="367">
        <f>SUM(K7:K53)</f>
        <v>6738</v>
      </c>
      <c r="L54" s="367">
        <f>SUM(L7:L53)</f>
        <v>3369</v>
      </c>
      <c r="M54" s="64"/>
      <c r="N54" s="37"/>
      <c r="O54" s="37"/>
      <c r="P54" s="64"/>
      <c r="Q54" s="66"/>
      <c r="R54" s="108"/>
      <c r="U54" s="496"/>
    </row>
    <row r="55" spans="1:21" s="371" customFormat="1" ht="9" x14ac:dyDescent="0.15">
      <c r="A55" s="362" t="s">
        <v>4</v>
      </c>
      <c r="B55" s="364"/>
      <c r="C55" s="364"/>
      <c r="D55" s="365"/>
      <c r="E55" s="365"/>
      <c r="F55" s="365"/>
      <c r="G55" s="364"/>
      <c r="H55" s="364"/>
      <c r="I55" s="366"/>
      <c r="J55" s="727">
        <f>J54+K54+L54</f>
        <v>77487</v>
      </c>
      <c r="K55" s="728"/>
      <c r="L55" s="729"/>
      <c r="M55" s="367">
        <f>SUM(M7:M53)</f>
        <v>0</v>
      </c>
      <c r="N55" s="365">
        <f>SUM(N7:N53)</f>
        <v>8485062.3300000019</v>
      </c>
      <c r="O55" s="365">
        <f>SUM(O7:O53)</f>
        <v>17695826</v>
      </c>
      <c r="P55" s="367">
        <f>SUM(P50:P53)</f>
        <v>132</v>
      </c>
      <c r="Q55" s="368"/>
      <c r="R55" s="369">
        <f>SUM(O7,O10:O23,O28,O31,O34,O37,O40,O46,O43)</f>
        <v>17695826</v>
      </c>
      <c r="S55" s="370">
        <f>SUM(O27,O30,O33,O36,O39,O45,O42)</f>
        <v>0</v>
      </c>
      <c r="U55" s="497"/>
    </row>
    <row r="56" spans="1:21" s="95" customFormat="1" ht="9" x14ac:dyDescent="0.15">
      <c r="A56" s="90" t="s">
        <v>309</v>
      </c>
      <c r="B56" s="31"/>
      <c r="C56" s="31"/>
      <c r="D56" s="37"/>
      <c r="E56" s="37"/>
      <c r="F56" s="37"/>
      <c r="G56" s="31"/>
      <c r="H56" s="31"/>
      <c r="I56" s="64"/>
      <c r="J56" s="64"/>
      <c r="K56" s="64"/>
      <c r="L56" s="64"/>
      <c r="M56" s="31"/>
      <c r="N56" s="37"/>
      <c r="O56" s="37"/>
      <c r="P56" s="37"/>
      <c r="Q56" s="66"/>
      <c r="U56" s="496"/>
    </row>
    <row r="57" spans="1:21" s="95" customFormat="1" ht="9" x14ac:dyDescent="0.15">
      <c r="A57" s="91" t="s">
        <v>626</v>
      </c>
      <c r="B57" s="664" t="s">
        <v>301</v>
      </c>
      <c r="C57" s="31"/>
      <c r="D57" s="37"/>
      <c r="E57" s="37"/>
      <c r="F57" s="37"/>
      <c r="G57" s="31"/>
      <c r="H57" s="31"/>
      <c r="I57" s="64"/>
      <c r="J57" s="64"/>
      <c r="K57" s="64"/>
      <c r="L57" s="64"/>
      <c r="M57" s="31"/>
      <c r="N57" s="37"/>
      <c r="O57" s="37"/>
      <c r="P57" s="37"/>
      <c r="Q57" s="66"/>
      <c r="U57" s="496"/>
    </row>
    <row r="58" spans="1:21" s="95" customFormat="1" ht="9" x14ac:dyDescent="0.15">
      <c r="A58" s="90" t="s">
        <v>298</v>
      </c>
      <c r="B58" s="31" t="s">
        <v>311</v>
      </c>
      <c r="C58" s="31"/>
      <c r="D58" s="37"/>
      <c r="E58" s="37"/>
      <c r="F58" s="37"/>
      <c r="G58" s="31"/>
      <c r="H58" s="31"/>
      <c r="I58" s="64"/>
      <c r="J58" s="64"/>
      <c r="K58" s="64"/>
      <c r="L58" s="64"/>
      <c r="M58" s="31"/>
      <c r="N58" s="37"/>
      <c r="O58" s="37"/>
      <c r="P58" s="37"/>
      <c r="Q58" s="66"/>
      <c r="U58" s="496"/>
    </row>
    <row r="59" spans="1:21" s="95" customFormat="1" ht="9" x14ac:dyDescent="0.15">
      <c r="A59" s="90" t="s">
        <v>299</v>
      </c>
      <c r="B59" s="31" t="s">
        <v>311</v>
      </c>
      <c r="C59" s="31"/>
      <c r="D59" s="37"/>
      <c r="E59" s="37"/>
      <c r="F59" s="37"/>
      <c r="G59" s="31"/>
      <c r="H59" s="31"/>
      <c r="I59" s="64"/>
      <c r="J59" s="64"/>
      <c r="K59" s="64"/>
      <c r="L59" s="64"/>
      <c r="M59" s="31"/>
      <c r="N59" s="37"/>
      <c r="O59" s="37"/>
      <c r="P59" s="37"/>
      <c r="Q59" s="66" t="s">
        <v>278</v>
      </c>
      <c r="U59" s="496"/>
    </row>
    <row r="60" spans="1:21" s="95" customFormat="1" ht="9" x14ac:dyDescent="0.15">
      <c r="A60" s="90" t="s">
        <v>300</v>
      </c>
      <c r="B60" s="31"/>
      <c r="C60" s="31"/>
      <c r="D60" s="37"/>
      <c r="E60" s="37"/>
      <c r="F60" s="37"/>
      <c r="G60" s="31"/>
      <c r="H60" s="31"/>
      <c r="I60" s="64"/>
      <c r="J60" s="64"/>
      <c r="K60" s="64"/>
      <c r="L60" s="64"/>
      <c r="M60" s="31"/>
      <c r="N60" s="37"/>
      <c r="O60" s="37"/>
      <c r="P60" s="37"/>
      <c r="Q60" s="66"/>
      <c r="U60" s="496"/>
    </row>
    <row r="61" spans="1:21" s="95" customFormat="1" ht="9.75" customHeight="1" x14ac:dyDescent="0.15">
      <c r="A61" s="90" t="s">
        <v>307</v>
      </c>
      <c r="B61" s="31">
        <v>20</v>
      </c>
      <c r="C61" s="31"/>
      <c r="D61" s="37">
        <v>0</v>
      </c>
      <c r="E61" s="37">
        <v>0</v>
      </c>
      <c r="F61" s="37">
        <v>0</v>
      </c>
      <c r="G61" s="31">
        <v>1</v>
      </c>
      <c r="H61" s="31">
        <f t="shared" ref="H61:H67" si="5">B61*G61</f>
        <v>20</v>
      </c>
      <c r="I61" s="63">
        <f>ROUNDDOWN(SUM('Base Data'!$D$43:$D$45,(SUM('Base Data'!$D$79:$D$81)/3)),0)</f>
        <v>570</v>
      </c>
      <c r="J61" s="64">
        <f t="shared" ref="J61:J67" si="6">H61*I61</f>
        <v>11400</v>
      </c>
      <c r="K61" s="64">
        <f t="shared" ref="K61:K67" si="7">J61*0.1</f>
        <v>1140</v>
      </c>
      <c r="L61" s="64">
        <f t="shared" ref="L61:L67" si="8">J61*0.05</f>
        <v>570</v>
      </c>
      <c r="M61" s="31"/>
      <c r="N61" s="37">
        <f>(J61*'Base Data'!$C$5)+(K61*'Base Data'!$C$6)+(L61*'Base Data'!$C$7)</f>
        <v>1435584.9</v>
      </c>
      <c r="O61" s="37">
        <f t="shared" ref="O61:O67" si="9">(D61+E61+F61)*G61*I61</f>
        <v>0</v>
      </c>
      <c r="P61" s="64">
        <v>0</v>
      </c>
      <c r="Q61" s="66" t="s">
        <v>277</v>
      </c>
      <c r="U61" s="496">
        <v>570</v>
      </c>
    </row>
    <row r="62" spans="1:21" s="95" customFormat="1" ht="9" x14ac:dyDescent="0.15">
      <c r="A62" s="91" t="s">
        <v>303</v>
      </c>
      <c r="B62" s="31">
        <v>15</v>
      </c>
      <c r="C62" s="31">
        <v>0</v>
      </c>
      <c r="D62" s="37">
        <v>0</v>
      </c>
      <c r="E62" s="37">
        <v>0</v>
      </c>
      <c r="F62" s="37">
        <v>0</v>
      </c>
      <c r="G62" s="31">
        <v>1</v>
      </c>
      <c r="H62" s="31">
        <f t="shared" si="5"/>
        <v>15</v>
      </c>
      <c r="I62" s="63">
        <f>ROUNDDOWN(SUM('Base Data'!$D$43:$D$45,(SUM('Base Data'!$D$79:$D$81)/3)),0)</f>
        <v>570</v>
      </c>
      <c r="J62" s="64">
        <f t="shared" si="6"/>
        <v>8550</v>
      </c>
      <c r="K62" s="64">
        <f t="shared" si="7"/>
        <v>855</v>
      </c>
      <c r="L62" s="64">
        <f t="shared" si="8"/>
        <v>427.5</v>
      </c>
      <c r="M62" s="31">
        <f>C62*G62*I62</f>
        <v>0</v>
      </c>
      <c r="N62" s="37">
        <f>(J62*'Base Data'!$C$5)+(K62*'Base Data'!$C$6)+(L62*'Base Data'!$C$7)</f>
        <v>1076688.675</v>
      </c>
      <c r="O62" s="37">
        <f t="shared" si="9"/>
        <v>0</v>
      </c>
      <c r="P62" s="64">
        <v>0</v>
      </c>
      <c r="Q62" s="66" t="s">
        <v>723</v>
      </c>
      <c r="U62" s="496">
        <v>570</v>
      </c>
    </row>
    <row r="63" spans="1:21" s="95" customFormat="1" ht="9.75" customHeight="1" x14ac:dyDescent="0.15">
      <c r="A63" s="90" t="s">
        <v>304</v>
      </c>
      <c r="B63" s="31">
        <v>2</v>
      </c>
      <c r="C63" s="31"/>
      <c r="D63" s="37">
        <v>0</v>
      </c>
      <c r="E63" s="37">
        <v>0</v>
      </c>
      <c r="F63" s="37">
        <v>0</v>
      </c>
      <c r="G63" s="31">
        <v>1</v>
      </c>
      <c r="H63" s="31">
        <f t="shared" si="5"/>
        <v>2</v>
      </c>
      <c r="I63" s="63">
        <f>ROUNDDOWN(SUM('Base Data'!$D$43:$D$45,(SUM('Base Data'!$D$79:$D$81)/3)),0)</f>
        <v>570</v>
      </c>
      <c r="J63" s="64">
        <f t="shared" si="6"/>
        <v>1140</v>
      </c>
      <c r="K63" s="64">
        <f t="shared" si="7"/>
        <v>114</v>
      </c>
      <c r="L63" s="64">
        <f t="shared" si="8"/>
        <v>57</v>
      </c>
      <c r="M63" s="31"/>
      <c r="N63" s="37">
        <f>(J63*'Base Data'!$C$5)+(K63*'Base Data'!$C$6)+(L63*'Base Data'!$C$7)</f>
        <v>143558.49000000002</v>
      </c>
      <c r="O63" s="37">
        <f t="shared" si="9"/>
        <v>0</v>
      </c>
      <c r="P63" s="64">
        <v>0</v>
      </c>
      <c r="Q63" s="66" t="s">
        <v>277</v>
      </c>
      <c r="U63" s="496">
        <v>570</v>
      </c>
    </row>
    <row r="64" spans="1:21" s="95" customFormat="1" ht="9" x14ac:dyDescent="0.15">
      <c r="A64" s="91" t="s">
        <v>313</v>
      </c>
      <c r="B64" s="31">
        <v>2</v>
      </c>
      <c r="C64" s="31"/>
      <c r="D64" s="37">
        <v>0</v>
      </c>
      <c r="E64" s="37">
        <v>0</v>
      </c>
      <c r="F64" s="37">
        <v>0</v>
      </c>
      <c r="G64" s="31">
        <v>1</v>
      </c>
      <c r="H64" s="31">
        <f t="shared" si="5"/>
        <v>2</v>
      </c>
      <c r="I64" s="63">
        <f>ROUNDDOWN(SUM('Base Data'!$D$43:$D$45,(SUM('Base Data'!$D$79:$D$81)/3)),0)</f>
        <v>570</v>
      </c>
      <c r="J64" s="64">
        <f t="shared" si="6"/>
        <v>1140</v>
      </c>
      <c r="K64" s="64">
        <f t="shared" si="7"/>
        <v>114</v>
      </c>
      <c r="L64" s="64">
        <f t="shared" si="8"/>
        <v>57</v>
      </c>
      <c r="M64" s="31"/>
      <c r="N64" s="37">
        <f>(J64*'Base Data'!$C$5)+(K64*'Base Data'!$C$6)+(L64*'Base Data'!$C$7)</f>
        <v>143558.49000000002</v>
      </c>
      <c r="O64" s="37">
        <f t="shared" si="9"/>
        <v>0</v>
      </c>
      <c r="P64" s="64">
        <v>0</v>
      </c>
      <c r="Q64" s="66" t="s">
        <v>277</v>
      </c>
      <c r="U64" s="496">
        <v>570</v>
      </c>
    </row>
    <row r="65" spans="1:21" s="95" customFormat="1" ht="9" x14ac:dyDescent="0.15">
      <c r="A65" s="91" t="s">
        <v>314</v>
      </c>
      <c r="B65" s="31">
        <v>2</v>
      </c>
      <c r="C65" s="31">
        <v>0</v>
      </c>
      <c r="D65" s="37">
        <v>0</v>
      </c>
      <c r="E65" s="37">
        <v>0</v>
      </c>
      <c r="F65" s="37">
        <v>0</v>
      </c>
      <c r="G65" s="31">
        <v>2</v>
      </c>
      <c r="H65" s="31">
        <f t="shared" si="5"/>
        <v>4</v>
      </c>
      <c r="I65" s="63">
        <f>ROUNDDOWN(SUM('Base Data'!$D$43:$D$45,(SUM('Base Data'!$D$79:$D$81)/3)),0)</f>
        <v>570</v>
      </c>
      <c r="J65" s="64">
        <f t="shared" si="6"/>
        <v>2280</v>
      </c>
      <c r="K65" s="64">
        <f t="shared" si="7"/>
        <v>228</v>
      </c>
      <c r="L65" s="64">
        <f t="shared" si="8"/>
        <v>114</v>
      </c>
      <c r="M65" s="31">
        <f>C65*G65*I65</f>
        <v>0</v>
      </c>
      <c r="N65" s="37">
        <f>(J65*'Base Data'!$C$5)+(K65*'Base Data'!$C$6)+(L65*'Base Data'!$C$7)</f>
        <v>287116.98000000004</v>
      </c>
      <c r="O65" s="37">
        <f t="shared" si="9"/>
        <v>0</v>
      </c>
      <c r="P65" s="64">
        <v>0</v>
      </c>
      <c r="Q65" s="66" t="s">
        <v>277</v>
      </c>
      <c r="U65" s="496">
        <v>570</v>
      </c>
    </row>
    <row r="66" spans="1:21" s="95" customFormat="1" ht="9" x14ac:dyDescent="0.15">
      <c r="A66" s="91" t="s">
        <v>315</v>
      </c>
      <c r="B66" s="31">
        <v>0.5</v>
      </c>
      <c r="C66" s="31"/>
      <c r="D66" s="37">
        <v>0</v>
      </c>
      <c r="E66" s="37">
        <v>0</v>
      </c>
      <c r="F66" s="37">
        <v>0</v>
      </c>
      <c r="G66" s="31">
        <v>12</v>
      </c>
      <c r="H66" s="31">
        <f t="shared" si="5"/>
        <v>6</v>
      </c>
      <c r="I66" s="63">
        <f>ROUNDDOWN(SUM('Base Data'!$D$43:$D$45,(SUM('Base Data'!$D$79:$D$81)/3)),0)</f>
        <v>570</v>
      </c>
      <c r="J66" s="64">
        <f t="shared" si="6"/>
        <v>3420</v>
      </c>
      <c r="K66" s="64">
        <f t="shared" si="7"/>
        <v>342</v>
      </c>
      <c r="L66" s="64">
        <f t="shared" si="8"/>
        <v>171</v>
      </c>
      <c r="M66" s="31"/>
      <c r="N66" s="37">
        <f>(J66*'Base Data'!$C$5)+(K66*'Base Data'!$C$6)+(L66*'Base Data'!$C$7)</f>
        <v>430675.47000000003</v>
      </c>
      <c r="O66" s="37">
        <f t="shared" si="9"/>
        <v>0</v>
      </c>
      <c r="P66" s="64">
        <v>0</v>
      </c>
      <c r="Q66" s="66" t="s">
        <v>277</v>
      </c>
      <c r="U66" s="496">
        <v>570</v>
      </c>
    </row>
    <row r="67" spans="1:21" s="95" customFormat="1" ht="9" x14ac:dyDescent="0.15">
      <c r="A67" s="90" t="s">
        <v>305</v>
      </c>
      <c r="B67" s="31">
        <v>40</v>
      </c>
      <c r="C67" s="31"/>
      <c r="D67" s="37">
        <v>0</v>
      </c>
      <c r="E67" s="37">
        <v>0</v>
      </c>
      <c r="F67" s="37">
        <v>0</v>
      </c>
      <c r="G67" s="31">
        <v>1</v>
      </c>
      <c r="H67" s="31">
        <f t="shared" si="5"/>
        <v>40</v>
      </c>
      <c r="I67" s="63">
        <f>ROUNDDOWN(SUM('Base Data'!$H$43:$H$45,(SUM('Base Data'!$D$79:$D$81)/3))/2,0)</f>
        <v>33</v>
      </c>
      <c r="J67" s="64">
        <f t="shared" si="6"/>
        <v>1320</v>
      </c>
      <c r="K67" s="64">
        <f t="shared" si="7"/>
        <v>132</v>
      </c>
      <c r="L67" s="64">
        <f t="shared" si="8"/>
        <v>66</v>
      </c>
      <c r="M67" s="31"/>
      <c r="N67" s="37">
        <f>(J67*'Base Data'!$C$5)+(K67*'Base Data'!$C$6)+(L67*'Base Data'!$C$7)</f>
        <v>166225.62000000002</v>
      </c>
      <c r="O67" s="37">
        <f t="shared" si="9"/>
        <v>0</v>
      </c>
      <c r="P67" s="64">
        <v>0</v>
      </c>
      <c r="Q67" s="66" t="s">
        <v>399</v>
      </c>
      <c r="U67" s="496">
        <v>33</v>
      </c>
    </row>
    <row r="68" spans="1:21" s="95" customFormat="1" ht="9" x14ac:dyDescent="0.15">
      <c r="A68" s="94" t="s">
        <v>306</v>
      </c>
      <c r="B68" s="31" t="s">
        <v>311</v>
      </c>
      <c r="C68" s="31"/>
      <c r="D68" s="37"/>
      <c r="E68" s="37"/>
      <c r="F68" s="37"/>
      <c r="G68" s="31"/>
      <c r="H68" s="31"/>
      <c r="I68" s="64"/>
      <c r="J68" s="64"/>
      <c r="K68" s="64"/>
      <c r="L68" s="64"/>
      <c r="M68" s="31"/>
      <c r="N68" s="37"/>
      <c r="O68" s="37"/>
      <c r="P68" s="37"/>
      <c r="Q68" s="66"/>
      <c r="U68" s="250"/>
    </row>
    <row r="69" spans="1:21" s="95" customFormat="1" ht="9.75" hidden="1" customHeight="1" x14ac:dyDescent="0.15">
      <c r="A69" s="436"/>
      <c r="B69" s="437"/>
      <c r="C69" s="437"/>
      <c r="D69" s="438"/>
      <c r="E69" s="438"/>
      <c r="F69" s="438"/>
      <c r="G69" s="437"/>
      <c r="H69" s="437"/>
      <c r="I69" s="439"/>
      <c r="J69" s="374">
        <f>SUM(J57:J68)</f>
        <v>29250</v>
      </c>
      <c r="K69" s="374">
        <f>SUM(K57:K68)</f>
        <v>2925</v>
      </c>
      <c r="L69" s="374">
        <f>SUM(L57:L68)</f>
        <v>1462.5</v>
      </c>
      <c r="M69" s="437"/>
      <c r="N69" s="438"/>
      <c r="O69" s="438"/>
      <c r="P69" s="438"/>
      <c r="Q69" s="440"/>
      <c r="U69" s="250"/>
    </row>
    <row r="70" spans="1:21" s="371" customFormat="1" ht="9" x14ac:dyDescent="0.15">
      <c r="A70" s="382" t="s">
        <v>23</v>
      </c>
      <c r="B70" s="372"/>
      <c r="C70" s="372"/>
      <c r="D70" s="373"/>
      <c r="E70" s="373"/>
      <c r="F70" s="373"/>
      <c r="G70" s="372"/>
      <c r="H70" s="372"/>
      <c r="I70" s="374"/>
      <c r="J70" s="736">
        <f>J69+K69+L69</f>
        <v>33637.5</v>
      </c>
      <c r="K70" s="737"/>
      <c r="L70" s="738"/>
      <c r="M70" s="373">
        <f>SUM(M57:M68)</f>
        <v>0</v>
      </c>
      <c r="N70" s="373">
        <f>SUM(N57:N68)</f>
        <v>3683408.6250000009</v>
      </c>
      <c r="O70" s="373">
        <f>SUM(O57:O68)</f>
        <v>0</v>
      </c>
      <c r="P70" s="374">
        <f>SUM(P57:P68)</f>
        <v>0</v>
      </c>
      <c r="Q70" s="375"/>
      <c r="R70" s="365">
        <f>SUM(R57:R68)</f>
        <v>0</v>
      </c>
      <c r="U70" s="378"/>
    </row>
    <row r="71" spans="1:21" s="371" customFormat="1" ht="9" hidden="1" x14ac:dyDescent="0.15">
      <c r="A71" s="382"/>
      <c r="B71" s="429"/>
      <c r="C71" s="429"/>
      <c r="D71" s="430"/>
      <c r="E71" s="430"/>
      <c r="F71" s="430"/>
      <c r="G71" s="429"/>
      <c r="H71" s="429"/>
      <c r="I71" s="431"/>
      <c r="J71" s="114">
        <f>J54+J69</f>
        <v>96630</v>
      </c>
      <c r="K71" s="114">
        <f>K54+K69</f>
        <v>9663</v>
      </c>
      <c r="L71" s="114">
        <f>L54+L69</f>
        <v>4831.5</v>
      </c>
      <c r="M71" s="430"/>
      <c r="N71" s="430"/>
      <c r="O71" s="430"/>
      <c r="P71" s="431"/>
      <c r="Q71" s="432"/>
      <c r="R71" s="433"/>
    </row>
    <row r="72" spans="1:21" s="109" customFormat="1" x14ac:dyDescent="0.2">
      <c r="A72" s="110" t="s">
        <v>283</v>
      </c>
      <c r="B72" s="111"/>
      <c r="C72" s="111"/>
      <c r="D72" s="111"/>
      <c r="E72" s="111"/>
      <c r="F72" s="112"/>
      <c r="G72" s="111"/>
      <c r="H72" s="111"/>
      <c r="I72" s="441"/>
      <c r="J72" s="739">
        <f>J71+K71+L71</f>
        <v>111124.5</v>
      </c>
      <c r="K72" s="734"/>
      <c r="L72" s="735"/>
      <c r="M72" s="442">
        <f>M55+M70</f>
        <v>0</v>
      </c>
      <c r="N72" s="115">
        <f>N55+N70</f>
        <v>12168470.955000002</v>
      </c>
      <c r="O72" s="115">
        <f>O55+O70</f>
        <v>17695826</v>
      </c>
      <c r="P72" s="114">
        <f>P55+P70</f>
        <v>132</v>
      </c>
      <c r="Q72" s="555"/>
    </row>
    <row r="73" spans="1:21" ht="6" customHeight="1" x14ac:dyDescent="0.2"/>
    <row r="74" spans="1:21" s="38" customFormat="1" ht="9" x14ac:dyDescent="0.15">
      <c r="A74" s="38" t="s">
        <v>718</v>
      </c>
      <c r="B74" s="41"/>
      <c r="C74" s="41"/>
      <c r="D74" s="41"/>
      <c r="E74" s="41"/>
      <c r="F74" s="41"/>
      <c r="G74" s="41"/>
      <c r="H74" s="41"/>
      <c r="I74" s="42"/>
      <c r="J74" s="41"/>
      <c r="K74" s="41"/>
      <c r="L74" s="41"/>
      <c r="M74" s="41"/>
      <c r="N74" s="41"/>
      <c r="O74" s="121"/>
      <c r="P74" s="121"/>
      <c r="Q74" s="41"/>
    </row>
    <row r="75" spans="1:21" s="38" customFormat="1" ht="18" customHeight="1" x14ac:dyDescent="0.15">
      <c r="A75" s="682" t="s">
        <v>450</v>
      </c>
      <c r="B75" s="682"/>
      <c r="C75" s="682"/>
      <c r="D75" s="682"/>
      <c r="E75" s="682"/>
      <c r="F75" s="682"/>
      <c r="G75" s="682"/>
      <c r="H75" s="682"/>
      <c r="I75" s="682"/>
      <c r="J75" s="682"/>
      <c r="K75" s="682"/>
      <c r="L75" s="682"/>
      <c r="M75" s="682"/>
      <c r="N75" s="682"/>
      <c r="O75" s="682"/>
      <c r="P75" s="552"/>
      <c r="Q75" s="41"/>
    </row>
    <row r="76" spans="1:21" s="38" customFormat="1" ht="26.25" customHeight="1" x14ac:dyDescent="0.15">
      <c r="A76" s="682" t="s">
        <v>726</v>
      </c>
      <c r="B76" s="726"/>
      <c r="C76" s="726"/>
      <c r="D76" s="726"/>
      <c r="E76" s="726"/>
      <c r="F76" s="726"/>
      <c r="G76" s="726"/>
      <c r="H76" s="726"/>
      <c r="I76" s="726"/>
      <c r="J76" s="726"/>
      <c r="K76" s="726"/>
      <c r="L76" s="726"/>
      <c r="M76" s="726"/>
      <c r="N76" s="726"/>
      <c r="O76" s="726"/>
      <c r="P76" s="552"/>
      <c r="Q76" s="41"/>
    </row>
    <row r="77" spans="1:21" s="38" customFormat="1" ht="18" customHeight="1" x14ac:dyDescent="0.15">
      <c r="A77" s="682" t="s">
        <v>88</v>
      </c>
      <c r="B77" s="682"/>
      <c r="C77" s="682"/>
      <c r="D77" s="682"/>
      <c r="E77" s="682"/>
      <c r="F77" s="682"/>
      <c r="G77" s="682"/>
      <c r="H77" s="682"/>
      <c r="I77" s="682"/>
      <c r="J77" s="682"/>
      <c r="K77" s="682"/>
      <c r="L77" s="682"/>
      <c r="M77" s="682"/>
      <c r="N77" s="682"/>
      <c r="O77" s="682"/>
      <c r="P77" s="682"/>
      <c r="Q77" s="682"/>
    </row>
    <row r="78" spans="1:21" s="38" customFormat="1" ht="9" customHeight="1" x14ac:dyDescent="0.15">
      <c r="A78" s="38" t="s">
        <v>317</v>
      </c>
      <c r="B78" s="41"/>
      <c r="C78" s="41"/>
      <c r="D78" s="41"/>
      <c r="E78" s="41"/>
      <c r="F78" s="41"/>
      <c r="G78" s="41"/>
      <c r="H78" s="41"/>
      <c r="I78" s="42"/>
      <c r="J78" s="41"/>
      <c r="K78" s="41"/>
      <c r="L78" s="41"/>
      <c r="M78" s="41"/>
      <c r="N78" s="41"/>
      <c r="O78" s="121"/>
      <c r="P78" s="121"/>
      <c r="Q78" s="41"/>
    </row>
    <row r="79" spans="1:21" s="38" customFormat="1" ht="9" customHeight="1" x14ac:dyDescent="0.15">
      <c r="A79" s="682" t="s">
        <v>396</v>
      </c>
      <c r="B79" s="682"/>
      <c r="C79" s="682"/>
      <c r="D79" s="682"/>
      <c r="E79" s="682"/>
      <c r="F79" s="682"/>
      <c r="G79" s="682"/>
      <c r="H79" s="682"/>
      <c r="I79" s="682"/>
      <c r="J79" s="682"/>
      <c r="K79" s="682"/>
      <c r="L79" s="682"/>
      <c r="M79" s="682"/>
      <c r="N79" s="41"/>
      <c r="O79" s="121"/>
      <c r="P79" s="121"/>
      <c r="Q79" s="41"/>
    </row>
    <row r="80" spans="1:21" s="38" customFormat="1" ht="9" x14ac:dyDescent="0.15">
      <c r="A80" s="38" t="s">
        <v>386</v>
      </c>
      <c r="B80" s="41"/>
      <c r="C80" s="41"/>
      <c r="D80" s="41"/>
      <c r="E80" s="41"/>
      <c r="F80" s="41"/>
      <c r="G80" s="41"/>
      <c r="H80" s="41"/>
      <c r="I80" s="42"/>
      <c r="J80" s="41"/>
      <c r="K80" s="41"/>
      <c r="L80" s="41"/>
      <c r="M80" s="41"/>
      <c r="N80" s="41"/>
      <c r="O80" s="121"/>
      <c r="P80" s="121"/>
      <c r="Q80" s="41"/>
    </row>
    <row r="81" spans="1:17" s="38" customFormat="1" ht="9" x14ac:dyDescent="0.15">
      <c r="A81" s="38" t="s">
        <v>508</v>
      </c>
      <c r="B81" s="41"/>
      <c r="C81" s="41"/>
      <c r="D81" s="41"/>
      <c r="E81" s="41"/>
      <c r="F81" s="41"/>
      <c r="G81" s="41"/>
      <c r="H81" s="41"/>
      <c r="I81" s="42"/>
      <c r="J81" s="41"/>
      <c r="K81" s="41"/>
      <c r="L81" s="41"/>
      <c r="M81" s="41"/>
      <c r="N81" s="41"/>
      <c r="O81" s="121"/>
      <c r="P81" s="121"/>
      <c r="Q81" s="41"/>
    </row>
    <row r="82" spans="1:17" s="38" customFormat="1" ht="19.5" customHeight="1" x14ac:dyDescent="0.15">
      <c r="A82" s="682" t="s">
        <v>724</v>
      </c>
      <c r="B82" s="682"/>
      <c r="C82" s="682"/>
      <c r="D82" s="682"/>
      <c r="E82" s="682"/>
      <c r="F82" s="682"/>
      <c r="G82" s="682"/>
      <c r="H82" s="682"/>
      <c r="I82" s="682"/>
      <c r="J82" s="682"/>
      <c r="K82" s="682"/>
      <c r="L82" s="682"/>
      <c r="M82" s="682"/>
      <c r="N82" s="682"/>
      <c r="O82" s="682"/>
      <c r="P82" s="121"/>
      <c r="Q82" s="41"/>
    </row>
    <row r="83" spans="1:17" s="38" customFormat="1" ht="9" x14ac:dyDescent="0.15">
      <c r="A83" s="38" t="s">
        <v>774</v>
      </c>
      <c r="B83" s="41"/>
      <c r="C83" s="41"/>
      <c r="D83" s="41"/>
      <c r="E83" s="41"/>
      <c r="F83" s="41"/>
      <c r="G83" s="41"/>
      <c r="H83" s="41"/>
      <c r="I83" s="42"/>
      <c r="J83" s="41"/>
      <c r="K83" s="41"/>
      <c r="L83" s="41"/>
      <c r="M83" s="41"/>
      <c r="N83" s="41"/>
      <c r="O83" s="121"/>
      <c r="P83" s="121"/>
      <c r="Q83" s="41"/>
    </row>
    <row r="84" spans="1:17" s="38" customFormat="1" ht="20.25" customHeight="1" x14ac:dyDescent="0.15">
      <c r="A84" s="682" t="s">
        <v>772</v>
      </c>
      <c r="B84" s="682"/>
      <c r="C84" s="682"/>
      <c r="D84" s="682"/>
      <c r="E84" s="682"/>
      <c r="F84" s="682"/>
      <c r="G84" s="682"/>
      <c r="H84" s="682"/>
      <c r="I84" s="682"/>
      <c r="J84" s="682"/>
      <c r="K84" s="682"/>
      <c r="L84" s="682"/>
      <c r="M84" s="682"/>
      <c r="N84" s="682"/>
      <c r="O84" s="682"/>
      <c r="P84" s="682"/>
      <c r="Q84" s="41"/>
    </row>
    <row r="85" spans="1:17" s="38" customFormat="1" ht="9" x14ac:dyDescent="0.15">
      <c r="A85" s="38" t="s">
        <v>515</v>
      </c>
      <c r="B85" s="41"/>
      <c r="C85" s="41"/>
      <c r="D85" s="41"/>
      <c r="E85" s="41"/>
      <c r="F85" s="41"/>
      <c r="G85" s="41"/>
      <c r="H85" s="41"/>
      <c r="I85" s="42"/>
      <c r="J85" s="41"/>
      <c r="K85" s="41"/>
      <c r="L85" s="41"/>
      <c r="M85" s="41"/>
      <c r="N85" s="41"/>
      <c r="O85" s="121"/>
      <c r="P85" s="121"/>
      <c r="Q85" s="41"/>
    </row>
    <row r="86" spans="1:17" s="38" customFormat="1" ht="9" customHeight="1" x14ac:dyDescent="0.15">
      <c r="A86" s="682" t="s">
        <v>725</v>
      </c>
      <c r="B86" s="682"/>
      <c r="C86" s="682"/>
      <c r="D86" s="682"/>
      <c r="E86" s="682"/>
      <c r="F86" s="682"/>
      <c r="G86" s="682"/>
      <c r="H86" s="682"/>
      <c r="I86" s="682"/>
      <c r="J86" s="682"/>
      <c r="K86" s="682"/>
      <c r="L86" s="682"/>
      <c r="M86" s="682"/>
      <c r="N86" s="682"/>
      <c r="O86" s="682"/>
      <c r="P86" s="682"/>
      <c r="Q86" s="682"/>
    </row>
    <row r="87" spans="1:17" s="38" customFormat="1" ht="9" x14ac:dyDescent="0.15">
      <c r="A87" s="682"/>
      <c r="B87" s="682"/>
      <c r="C87" s="682"/>
      <c r="D87" s="682"/>
      <c r="E87" s="682"/>
      <c r="F87" s="682"/>
      <c r="G87" s="682"/>
      <c r="H87" s="682"/>
      <c r="I87" s="682"/>
      <c r="J87" s="682"/>
      <c r="K87" s="682"/>
      <c r="L87" s="682"/>
      <c r="M87" s="682"/>
      <c r="N87" s="682"/>
      <c r="O87" s="682"/>
      <c r="P87" s="682"/>
      <c r="Q87" s="682"/>
    </row>
    <row r="88" spans="1:17" s="38" customFormat="1" ht="9" x14ac:dyDescent="0.15">
      <c r="A88" s="682"/>
      <c r="B88" s="682"/>
      <c r="C88" s="682"/>
      <c r="D88" s="682"/>
      <c r="E88" s="682"/>
      <c r="F88" s="682"/>
      <c r="G88" s="682"/>
      <c r="H88" s="682"/>
      <c r="I88" s="682"/>
      <c r="J88" s="682"/>
      <c r="K88" s="682"/>
      <c r="L88" s="682"/>
      <c r="M88" s="682"/>
      <c r="N88" s="682"/>
      <c r="O88" s="682"/>
      <c r="P88" s="682"/>
      <c r="Q88" s="682"/>
    </row>
    <row r="89" spans="1:17" s="38" customFormat="1" ht="9" x14ac:dyDescent="0.15">
      <c r="A89" s="38" t="s">
        <v>662</v>
      </c>
      <c r="B89" s="41"/>
      <c r="C89" s="41"/>
      <c r="D89" s="41"/>
      <c r="E89" s="41"/>
      <c r="F89" s="41"/>
      <c r="G89" s="41"/>
      <c r="H89" s="41"/>
      <c r="I89" s="42"/>
      <c r="J89" s="41"/>
      <c r="K89" s="41"/>
      <c r="L89" s="41"/>
      <c r="M89" s="41"/>
      <c r="N89" s="41"/>
      <c r="O89" s="121"/>
      <c r="P89" s="121"/>
      <c r="Q89" s="41"/>
    </row>
    <row r="90" spans="1:17" s="38" customFormat="1" ht="9" x14ac:dyDescent="0.15">
      <c r="A90" s="38" t="s">
        <v>661</v>
      </c>
      <c r="B90" s="41"/>
      <c r="C90" s="41"/>
      <c r="D90" s="41"/>
      <c r="E90" s="41"/>
      <c r="F90" s="41"/>
      <c r="G90" s="41"/>
      <c r="H90" s="41"/>
      <c r="I90" s="42"/>
      <c r="J90" s="41"/>
      <c r="K90" s="41"/>
      <c r="L90" s="41"/>
      <c r="M90" s="41"/>
      <c r="N90" s="41"/>
      <c r="O90" s="121"/>
      <c r="P90" s="121"/>
      <c r="Q90" s="41"/>
    </row>
    <row r="91" spans="1:17" s="38" customFormat="1" ht="9" x14ac:dyDescent="0.15">
      <c r="B91" s="41"/>
      <c r="C91" s="41"/>
      <c r="D91" s="41"/>
      <c r="E91" s="41"/>
      <c r="F91" s="41"/>
      <c r="G91" s="41"/>
      <c r="H91" s="41"/>
      <c r="I91" s="42"/>
      <c r="J91" s="41"/>
      <c r="K91" s="41"/>
      <c r="L91" s="41"/>
      <c r="M91" s="41"/>
      <c r="N91" s="41"/>
      <c r="O91" s="121"/>
      <c r="P91" s="121"/>
      <c r="Q91" s="41"/>
    </row>
    <row r="92" spans="1:17" s="38" customFormat="1" ht="9" x14ac:dyDescent="0.15">
      <c r="B92" s="41"/>
      <c r="C92" s="41"/>
      <c r="D92" s="41"/>
      <c r="E92" s="41"/>
      <c r="F92" s="41"/>
      <c r="G92" s="41"/>
      <c r="H92" s="41"/>
      <c r="I92" s="42"/>
      <c r="J92" s="41"/>
      <c r="K92" s="41"/>
      <c r="L92" s="41"/>
      <c r="M92" s="41"/>
      <c r="N92" s="41"/>
      <c r="O92" s="121"/>
      <c r="P92" s="121"/>
      <c r="Q92" s="41"/>
    </row>
    <row r="93" spans="1:17" s="38" customFormat="1" ht="9" x14ac:dyDescent="0.15">
      <c r="B93" s="41"/>
      <c r="C93" s="41"/>
      <c r="D93" s="41"/>
      <c r="E93" s="41"/>
      <c r="F93" s="41"/>
      <c r="G93" s="41"/>
      <c r="H93" s="41"/>
      <c r="I93" s="42"/>
      <c r="J93" s="41"/>
      <c r="K93" s="41"/>
      <c r="L93" s="41"/>
      <c r="M93" s="41"/>
      <c r="N93" s="41"/>
      <c r="O93" s="121"/>
      <c r="P93" s="121"/>
      <c r="Q93" s="41"/>
    </row>
    <row r="94" spans="1:17" s="38" customFormat="1" ht="9" x14ac:dyDescent="0.15">
      <c r="B94" s="41"/>
      <c r="C94" s="41"/>
      <c r="D94" s="41"/>
      <c r="E94" s="41"/>
      <c r="F94" s="41"/>
      <c r="G94" s="41"/>
      <c r="H94" s="41"/>
      <c r="I94" s="42"/>
      <c r="J94" s="41"/>
      <c r="K94" s="41"/>
      <c r="L94" s="41"/>
      <c r="M94" s="41"/>
      <c r="N94" s="41"/>
      <c r="O94" s="121"/>
      <c r="P94" s="121"/>
      <c r="Q94" s="41"/>
    </row>
    <row r="95" spans="1:17" s="38" customFormat="1" ht="9" x14ac:dyDescent="0.15">
      <c r="B95" s="41"/>
      <c r="C95" s="41"/>
      <c r="D95" s="41"/>
      <c r="E95" s="41"/>
      <c r="F95" s="41"/>
      <c r="G95" s="41"/>
      <c r="H95" s="41"/>
      <c r="I95" s="42"/>
      <c r="J95" s="41"/>
      <c r="K95" s="41"/>
      <c r="L95" s="41"/>
      <c r="M95" s="41"/>
      <c r="N95" s="41"/>
      <c r="O95" s="121"/>
      <c r="P95" s="121"/>
      <c r="Q95" s="41"/>
    </row>
    <row r="96" spans="1: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7" s="38" customFormat="1" ht="9" x14ac:dyDescent="0.15">
      <c r="B113" s="41"/>
      <c r="C113" s="41"/>
      <c r="D113" s="41"/>
      <c r="E113" s="41"/>
      <c r="F113" s="41"/>
      <c r="G113" s="41"/>
      <c r="H113" s="41"/>
      <c r="I113" s="42"/>
      <c r="J113" s="41"/>
      <c r="K113" s="41"/>
      <c r="L113" s="41"/>
      <c r="M113" s="41"/>
      <c r="N113" s="41"/>
      <c r="O113" s="121"/>
      <c r="P113" s="121"/>
      <c r="Q113" s="41"/>
    </row>
    <row r="114" spans="2:17" s="38" customFormat="1" ht="9" x14ac:dyDescent="0.15">
      <c r="B114" s="41"/>
      <c r="C114" s="41"/>
      <c r="D114" s="41"/>
      <c r="E114" s="41"/>
      <c r="F114" s="41"/>
      <c r="G114" s="41"/>
      <c r="H114" s="41"/>
      <c r="I114" s="42"/>
      <c r="J114" s="41"/>
      <c r="K114" s="41"/>
      <c r="L114" s="41"/>
      <c r="M114" s="41"/>
      <c r="N114" s="41"/>
      <c r="O114" s="121"/>
      <c r="P114" s="121"/>
      <c r="Q114" s="41"/>
    </row>
    <row r="115" spans="2:17" s="38" customFormat="1" ht="9" x14ac:dyDescent="0.15">
      <c r="B115" s="41"/>
      <c r="C115" s="41"/>
      <c r="D115" s="41"/>
      <c r="E115" s="41"/>
      <c r="F115" s="41"/>
      <c r="G115" s="41"/>
      <c r="H115" s="41"/>
      <c r="I115" s="42"/>
      <c r="J115" s="41"/>
      <c r="K115" s="41"/>
      <c r="L115" s="41"/>
      <c r="M115" s="41"/>
      <c r="N115" s="41"/>
      <c r="O115" s="121"/>
      <c r="P115" s="121"/>
      <c r="Q115" s="41"/>
    </row>
    <row r="116" spans="2:17" s="38" customFormat="1" ht="9" x14ac:dyDescent="0.15">
      <c r="B116" s="41"/>
      <c r="C116" s="41"/>
      <c r="D116" s="41"/>
      <c r="E116" s="41"/>
      <c r="F116" s="41"/>
      <c r="G116" s="41"/>
      <c r="H116" s="41"/>
      <c r="I116" s="42"/>
      <c r="J116" s="41"/>
      <c r="K116" s="41"/>
      <c r="L116" s="41"/>
      <c r="M116" s="41"/>
      <c r="N116" s="41"/>
      <c r="O116" s="121"/>
      <c r="P116" s="121"/>
      <c r="Q116" s="41"/>
    </row>
    <row r="117" spans="2:17" s="38" customFormat="1" ht="9" x14ac:dyDescent="0.15">
      <c r="B117" s="41"/>
      <c r="C117" s="41"/>
      <c r="D117" s="41"/>
      <c r="E117" s="41"/>
      <c r="F117" s="41"/>
      <c r="G117" s="41"/>
      <c r="H117" s="41"/>
      <c r="I117" s="42"/>
      <c r="J117" s="41"/>
      <c r="K117" s="41"/>
      <c r="L117" s="41"/>
      <c r="M117" s="41"/>
      <c r="N117" s="41"/>
      <c r="O117" s="121"/>
      <c r="P117" s="121"/>
      <c r="Q117" s="41"/>
    </row>
    <row r="118" spans="2:17" s="38" customFormat="1" ht="9" x14ac:dyDescent="0.15">
      <c r="B118" s="41"/>
      <c r="C118" s="41"/>
      <c r="D118" s="41"/>
      <c r="E118" s="41"/>
      <c r="F118" s="41"/>
      <c r="G118" s="41"/>
      <c r="H118" s="41"/>
      <c r="I118" s="42"/>
      <c r="J118" s="41"/>
      <c r="K118" s="41"/>
      <c r="L118" s="41"/>
      <c r="M118" s="41"/>
      <c r="N118" s="41"/>
      <c r="O118" s="121"/>
      <c r="P118" s="121"/>
      <c r="Q118" s="41"/>
    </row>
    <row r="119" spans="2:17" s="38" customFormat="1" ht="9" x14ac:dyDescent="0.15">
      <c r="B119" s="41"/>
      <c r="C119" s="41"/>
      <c r="D119" s="41"/>
      <c r="E119" s="41"/>
      <c r="F119" s="41"/>
      <c r="G119" s="41"/>
      <c r="H119" s="41"/>
      <c r="I119" s="42"/>
      <c r="J119" s="41"/>
      <c r="K119" s="41"/>
      <c r="L119" s="41"/>
      <c r="M119" s="41"/>
      <c r="N119" s="41"/>
      <c r="O119" s="121"/>
      <c r="P119" s="121"/>
      <c r="Q119" s="41"/>
    </row>
    <row r="120" spans="2:17" s="38" customFormat="1" ht="9" x14ac:dyDescent="0.15">
      <c r="B120" s="41"/>
      <c r="C120" s="41"/>
      <c r="D120" s="41"/>
      <c r="E120" s="41"/>
      <c r="F120" s="41"/>
      <c r="G120" s="41"/>
      <c r="H120" s="41"/>
      <c r="I120" s="42"/>
      <c r="J120" s="41"/>
      <c r="K120" s="41"/>
      <c r="L120" s="41"/>
      <c r="M120" s="41"/>
      <c r="N120" s="41"/>
      <c r="O120" s="121"/>
      <c r="P120" s="121"/>
      <c r="Q120" s="41"/>
    </row>
    <row r="121" spans="2:17" s="38" customFormat="1" ht="9" x14ac:dyDescent="0.15">
      <c r="B121" s="41"/>
      <c r="C121" s="41"/>
      <c r="D121" s="41"/>
      <c r="E121" s="41"/>
      <c r="F121" s="41"/>
      <c r="G121" s="41"/>
      <c r="H121" s="41"/>
      <c r="I121" s="42"/>
      <c r="J121" s="41"/>
      <c r="K121" s="41"/>
      <c r="L121" s="41"/>
      <c r="M121" s="41"/>
      <c r="N121" s="41"/>
      <c r="O121" s="121"/>
      <c r="P121" s="121"/>
      <c r="Q121" s="41"/>
    </row>
    <row r="122" spans="2:17" s="38" customFormat="1" ht="9" x14ac:dyDescent="0.15">
      <c r="B122" s="41"/>
      <c r="C122" s="41"/>
      <c r="D122" s="41"/>
      <c r="E122" s="41"/>
      <c r="F122" s="41"/>
      <c r="G122" s="41"/>
      <c r="H122" s="41"/>
      <c r="I122" s="42"/>
      <c r="J122" s="41"/>
      <c r="K122" s="41"/>
      <c r="L122" s="41"/>
      <c r="M122" s="41"/>
      <c r="N122" s="41"/>
      <c r="O122" s="121"/>
      <c r="P122" s="121"/>
      <c r="Q122" s="41"/>
    </row>
    <row r="123" spans="2:17" s="38" customFormat="1" ht="9" x14ac:dyDescent="0.15">
      <c r="B123" s="41"/>
      <c r="C123" s="41"/>
      <c r="D123" s="41"/>
      <c r="E123" s="41"/>
      <c r="F123" s="41"/>
      <c r="G123" s="41"/>
      <c r="H123" s="41"/>
      <c r="I123" s="42"/>
      <c r="J123" s="41"/>
      <c r="K123" s="41"/>
      <c r="L123" s="41"/>
      <c r="M123" s="41"/>
      <c r="N123" s="41"/>
      <c r="O123" s="121"/>
      <c r="P123" s="121"/>
      <c r="Q123" s="41"/>
    </row>
    <row r="124" spans="2:17" s="38" customFormat="1" ht="9" x14ac:dyDescent="0.15">
      <c r="B124" s="41"/>
      <c r="C124" s="41"/>
      <c r="D124" s="41"/>
      <c r="E124" s="41"/>
      <c r="F124" s="41"/>
      <c r="G124" s="41"/>
      <c r="H124" s="41"/>
      <c r="I124" s="42"/>
      <c r="J124" s="41"/>
      <c r="K124" s="41"/>
      <c r="L124" s="41"/>
      <c r="M124" s="41"/>
      <c r="N124" s="41"/>
      <c r="O124" s="121"/>
      <c r="P124" s="121"/>
      <c r="Q124" s="41"/>
    </row>
    <row r="125" spans="2:17" x14ac:dyDescent="0.2">
      <c r="P125" s="121"/>
    </row>
    <row r="126" spans="2:17" x14ac:dyDescent="0.2">
      <c r="P126" s="121"/>
    </row>
  </sheetData>
  <mergeCells count="12">
    <mergeCell ref="A86:Q88"/>
    <mergeCell ref="A82:O82"/>
    <mergeCell ref="A79:M79"/>
    <mergeCell ref="A1:Q1"/>
    <mergeCell ref="A2:Q2"/>
    <mergeCell ref="A77:Q77"/>
    <mergeCell ref="A75:O75"/>
    <mergeCell ref="A76:O76"/>
    <mergeCell ref="J55:L55"/>
    <mergeCell ref="J70:L70"/>
    <mergeCell ref="J72:L72"/>
    <mergeCell ref="A84:P84"/>
  </mergeCells>
  <phoneticPr fontId="9" type="noConversion"/>
  <pageMargins left="0.25" right="0.25" top="0.5" bottom="0.5" header="0.5" footer="0.5"/>
  <pageSetup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7.42578125" style="77" customWidth="1"/>
    <col min="2" max="2" width="8.85546875" style="39" bestFit="1" customWidth="1"/>
    <col min="3" max="3" width="8" style="39" hidden="1" customWidth="1"/>
    <col min="4" max="4" width="8.42578125" style="39" bestFit="1" customWidth="1"/>
    <col min="5" max="5" width="8.85546875" style="39" bestFit="1" customWidth="1"/>
    <col min="6" max="6" width="7.85546875" style="39" customWidth="1"/>
    <col min="7" max="7" width="9.42578125" style="39" bestFit="1" customWidth="1"/>
    <col min="8" max="8" width="8.42578125" style="39" customWidth="1"/>
    <col min="9" max="9" width="9.42578125" style="40" bestFit="1" customWidth="1"/>
    <col min="10" max="11" width="6.85546875" style="39" bestFit="1" customWidth="1"/>
    <col min="12" max="12" width="8.85546875" style="39" customWidth="1"/>
    <col min="13" max="13" width="7.85546875" style="39" hidden="1" customWidth="1"/>
    <col min="14" max="14" width="10.140625" style="39" customWidth="1"/>
    <col min="15" max="15" width="10.140625" style="120" bestFit="1" customWidth="1"/>
    <col min="16" max="16" width="10" style="120" bestFit="1" customWidth="1"/>
    <col min="17" max="17" width="3.5703125" style="39" customWidth="1"/>
    <col min="18" max="19" width="9.140625" style="77" hidden="1" customWidth="1"/>
    <col min="20" max="16384" width="9.140625" style="77"/>
  </cols>
  <sheetData>
    <row r="1" spans="1:22" x14ac:dyDescent="0.2">
      <c r="A1" s="684" t="s">
        <v>152</v>
      </c>
      <c r="B1" s="684"/>
      <c r="C1" s="684"/>
      <c r="D1" s="684"/>
      <c r="E1" s="684"/>
      <c r="F1" s="684"/>
      <c r="G1" s="684"/>
      <c r="H1" s="684"/>
      <c r="I1" s="684"/>
      <c r="J1" s="684"/>
      <c r="K1" s="684"/>
      <c r="L1" s="684"/>
      <c r="M1" s="684"/>
      <c r="N1" s="684"/>
      <c r="O1" s="684"/>
      <c r="P1" s="684"/>
      <c r="Q1" s="684"/>
    </row>
    <row r="2" spans="1:22" x14ac:dyDescent="0.2">
      <c r="A2" s="685" t="s">
        <v>613</v>
      </c>
      <c r="B2" s="685"/>
      <c r="C2" s="685"/>
      <c r="D2" s="685"/>
      <c r="E2" s="685"/>
      <c r="F2" s="685"/>
      <c r="G2" s="685"/>
      <c r="H2" s="685"/>
      <c r="I2" s="685"/>
      <c r="J2" s="685"/>
      <c r="K2" s="685"/>
      <c r="L2" s="685"/>
      <c r="M2" s="685"/>
      <c r="N2" s="685"/>
      <c r="O2" s="685"/>
      <c r="P2" s="685"/>
      <c r="Q2" s="685"/>
    </row>
    <row r="3" spans="1:22" s="117" customFormat="1" ht="63" x14ac:dyDescent="0.15">
      <c r="A3" s="32" t="s">
        <v>280</v>
      </c>
      <c r="B3" s="32" t="s">
        <v>281</v>
      </c>
      <c r="C3" s="32" t="s">
        <v>308</v>
      </c>
      <c r="D3" s="32" t="s">
        <v>1</v>
      </c>
      <c r="E3" s="32" t="s">
        <v>3</v>
      </c>
      <c r="F3" s="32" t="s">
        <v>2</v>
      </c>
      <c r="G3" s="32" t="s">
        <v>148</v>
      </c>
      <c r="H3" s="32" t="s">
        <v>335</v>
      </c>
      <c r="I3" s="43" t="s">
        <v>336</v>
      </c>
      <c r="J3" s="70" t="s">
        <v>338</v>
      </c>
      <c r="K3" s="70" t="s">
        <v>339</v>
      </c>
      <c r="L3" s="70" t="s">
        <v>337</v>
      </c>
      <c r="M3" s="32" t="s">
        <v>279</v>
      </c>
      <c r="N3" s="32" t="s">
        <v>5</v>
      </c>
      <c r="O3" s="70" t="s">
        <v>6</v>
      </c>
      <c r="P3" s="70" t="s">
        <v>147</v>
      </c>
      <c r="Q3" s="106" t="s">
        <v>282</v>
      </c>
      <c r="R3" s="117" t="s">
        <v>225</v>
      </c>
      <c r="S3" s="117" t="s">
        <v>226</v>
      </c>
      <c r="T3" s="348" t="s">
        <v>575</v>
      </c>
      <c r="U3" s="117" t="s">
        <v>576</v>
      </c>
    </row>
    <row r="4" spans="1:22" s="95" customFormat="1" ht="9" x14ac:dyDescent="0.15">
      <c r="A4" s="102" t="s">
        <v>284</v>
      </c>
      <c r="B4" s="103" t="s">
        <v>311</v>
      </c>
      <c r="C4" s="103"/>
      <c r="D4" s="105"/>
      <c r="E4" s="105"/>
      <c r="F4" s="105"/>
      <c r="G4" s="103"/>
      <c r="H4" s="103"/>
      <c r="I4" s="107"/>
      <c r="J4" s="107"/>
      <c r="K4" s="107"/>
      <c r="L4" s="107"/>
      <c r="M4" s="103"/>
      <c r="N4" s="105"/>
      <c r="O4" s="105"/>
      <c r="P4" s="105"/>
      <c r="Q4" s="143"/>
    </row>
    <row r="5" spans="1:22" s="95" customFormat="1" ht="9" x14ac:dyDescent="0.15">
      <c r="A5" s="90" t="s">
        <v>285</v>
      </c>
      <c r="B5" s="31" t="s">
        <v>311</v>
      </c>
      <c r="C5" s="31"/>
      <c r="D5" s="37"/>
      <c r="E5" s="37"/>
      <c r="F5" s="37"/>
      <c r="G5" s="31"/>
      <c r="H5" s="31"/>
      <c r="I5" s="64"/>
      <c r="J5" s="64"/>
      <c r="K5" s="64"/>
      <c r="L5" s="64"/>
      <c r="M5" s="31"/>
      <c r="N5" s="37"/>
      <c r="O5" s="37"/>
      <c r="P5" s="37"/>
      <c r="Q5" s="66"/>
    </row>
    <row r="6" spans="1:22" s="95" customFormat="1" ht="9" x14ac:dyDescent="0.15">
      <c r="A6" s="90" t="s">
        <v>286</v>
      </c>
      <c r="B6" s="31"/>
      <c r="C6" s="31"/>
      <c r="D6" s="37"/>
      <c r="E6" s="37"/>
      <c r="F6" s="37"/>
      <c r="G6" s="31"/>
      <c r="H6" s="31"/>
      <c r="I6" s="64"/>
      <c r="J6" s="64"/>
      <c r="K6" s="64"/>
      <c r="L6" s="64"/>
      <c r="M6" s="31"/>
      <c r="N6" s="37"/>
      <c r="O6" s="37"/>
      <c r="P6" s="37"/>
      <c r="Q6" s="66"/>
    </row>
    <row r="7" spans="1:22" s="95" customFormat="1" ht="9" x14ac:dyDescent="0.15">
      <c r="A7" s="91" t="s">
        <v>287</v>
      </c>
      <c r="B7" s="31">
        <v>40</v>
      </c>
      <c r="C7" s="31"/>
      <c r="D7" s="37">
        <v>0</v>
      </c>
      <c r="E7" s="37">
        <v>0</v>
      </c>
      <c r="F7" s="37">
        <v>0</v>
      </c>
      <c r="G7" s="31">
        <v>1</v>
      </c>
      <c r="H7" s="31">
        <f>B7*G7</f>
        <v>40</v>
      </c>
      <c r="I7" s="63">
        <f>ROUND(SUM('Base Data'!$H$28:$H$30,'Base Data'!$H$33:$H$35,'Base Data'!$H$38:$H$40),0)</f>
        <v>636</v>
      </c>
      <c r="J7" s="64">
        <f>H7*I7</f>
        <v>25440</v>
      </c>
      <c r="K7" s="64">
        <f>J7*0.1</f>
        <v>2544</v>
      </c>
      <c r="L7" s="63">
        <f>J7*0.05</f>
        <v>1272</v>
      </c>
      <c r="M7" s="31">
        <f>C7*G7*I7</f>
        <v>0</v>
      </c>
      <c r="N7" s="37">
        <f>(J7*'Base Data'!$C$5)+(K7*'Base Data'!$C$6)+(L7*'Base Data'!$C$7)</f>
        <v>3203621.0400000005</v>
      </c>
      <c r="O7" s="37">
        <f>(D7+E7+F7)*G7*I7</f>
        <v>0</v>
      </c>
      <c r="P7" s="64">
        <v>0</v>
      </c>
      <c r="Q7" s="66" t="s">
        <v>276</v>
      </c>
      <c r="T7" s="95" t="s">
        <v>573</v>
      </c>
    </row>
    <row r="8" spans="1:22" s="95" customFormat="1" ht="9" x14ac:dyDescent="0.15">
      <c r="A8" s="90" t="s">
        <v>288</v>
      </c>
      <c r="B8" s="31"/>
      <c r="C8" s="31"/>
      <c r="D8" s="37"/>
      <c r="E8" s="37"/>
      <c r="F8" s="37"/>
      <c r="G8" s="31"/>
      <c r="H8" s="31"/>
      <c r="I8" s="64"/>
      <c r="J8" s="64"/>
      <c r="K8" s="64"/>
      <c r="L8" s="64"/>
      <c r="M8" s="31"/>
      <c r="N8" s="37"/>
      <c r="O8" s="37"/>
      <c r="P8" s="64"/>
      <c r="Q8" s="66"/>
    </row>
    <row r="9" spans="1:22" s="95" customFormat="1" ht="9" x14ac:dyDescent="0.15">
      <c r="A9" s="91" t="s">
        <v>302</v>
      </c>
      <c r="B9" s="31"/>
      <c r="C9" s="31"/>
      <c r="D9" s="67"/>
      <c r="E9" s="37"/>
      <c r="F9" s="37"/>
      <c r="G9" s="31"/>
      <c r="H9" s="31"/>
      <c r="I9" s="63"/>
      <c r="J9" s="64"/>
      <c r="K9" s="64"/>
      <c r="L9" s="64"/>
      <c r="M9" s="65"/>
      <c r="N9" s="37"/>
      <c r="O9" s="37"/>
      <c r="P9" s="64"/>
      <c r="Q9" s="66"/>
      <c r="T9" s="347" t="s">
        <v>580</v>
      </c>
    </row>
    <row r="10" spans="1:22" s="95" customFormat="1" ht="9" x14ac:dyDescent="0.15">
      <c r="A10" s="90" t="s">
        <v>211</v>
      </c>
      <c r="B10" s="31">
        <v>20</v>
      </c>
      <c r="C10" s="31"/>
      <c r="D10" s="37">
        <v>854</v>
      </c>
      <c r="E10" s="37">
        <v>0</v>
      </c>
      <c r="F10" s="37">
        <v>0</v>
      </c>
      <c r="G10" s="31">
        <v>1</v>
      </c>
      <c r="H10" s="31">
        <f>B10*G10</f>
        <v>20</v>
      </c>
      <c r="I10" s="63">
        <v>0</v>
      </c>
      <c r="J10" s="64">
        <f>H10*I10</f>
        <v>0</v>
      </c>
      <c r="K10" s="64">
        <f t="shared" ref="K10:K22" si="0">J10*0.1</f>
        <v>0</v>
      </c>
      <c r="L10" s="64">
        <f>J10*0.05</f>
        <v>0</v>
      </c>
      <c r="M10" s="65">
        <f>C10*G10*I10</f>
        <v>0</v>
      </c>
      <c r="N10" s="37">
        <f>(J10*'Base Data'!$C$5)+(K10*'Base Data'!$C$6)+(L10*'Base Data'!$C$7)</f>
        <v>0</v>
      </c>
      <c r="O10" s="37">
        <f>(D10+E10+F10)*G10*I10</f>
        <v>0</v>
      </c>
      <c r="P10" s="64">
        <v>0</v>
      </c>
      <c r="Q10" s="66" t="s">
        <v>316</v>
      </c>
    </row>
    <row r="11" spans="1:22" s="95" customFormat="1" ht="9" x14ac:dyDescent="0.15">
      <c r="A11" s="90" t="s">
        <v>212</v>
      </c>
      <c r="B11" s="31">
        <v>20</v>
      </c>
      <c r="C11" s="31"/>
      <c r="D11" s="37">
        <v>18292</v>
      </c>
      <c r="E11" s="37">
        <v>0</v>
      </c>
      <c r="F11" s="37">
        <v>0</v>
      </c>
      <c r="G11" s="31">
        <v>1</v>
      </c>
      <c r="H11" s="31">
        <f>B11*G11</f>
        <v>20</v>
      </c>
      <c r="I11" s="63">
        <v>0</v>
      </c>
      <c r="J11" s="64">
        <f>H11*I11</f>
        <v>0</v>
      </c>
      <c r="K11" s="64">
        <f t="shared" si="0"/>
        <v>0</v>
      </c>
      <c r="L11" s="64">
        <f>J11*0.05</f>
        <v>0</v>
      </c>
      <c r="M11" s="65">
        <f>C11*G11*I11</f>
        <v>0</v>
      </c>
      <c r="N11" s="37">
        <f>(J11*'Base Data'!$C$5)+(K11*'Base Data'!$C$6)+(L11*'Base Data'!$C$7)</f>
        <v>0</v>
      </c>
      <c r="O11" s="37">
        <f>(D11+E11+F11)*G11*I11</f>
        <v>0</v>
      </c>
      <c r="P11" s="64">
        <v>0</v>
      </c>
      <c r="Q11" s="66" t="s">
        <v>316</v>
      </c>
    </row>
    <row r="12" spans="1:22" s="95" customFormat="1" ht="9" x14ac:dyDescent="0.15">
      <c r="A12" s="91" t="s">
        <v>257</v>
      </c>
      <c r="B12" s="31">
        <v>12</v>
      </c>
      <c r="C12" s="31"/>
      <c r="D12" s="37">
        <v>0</v>
      </c>
      <c r="E12" s="37">
        <f>'Testing Costs'!$B$13</f>
        <v>5000</v>
      </c>
      <c r="F12" s="37">
        <v>0</v>
      </c>
      <c r="G12" s="31">
        <v>1</v>
      </c>
      <c r="H12" s="31">
        <f t="shared" ref="H12:H22" si="1">B12*G12</f>
        <v>12</v>
      </c>
      <c r="I12" s="63">
        <v>0</v>
      </c>
      <c r="J12" s="64">
        <f t="shared" ref="J12:J22" si="2">H12*I12</f>
        <v>0</v>
      </c>
      <c r="K12" s="64">
        <f t="shared" si="0"/>
        <v>0</v>
      </c>
      <c r="L12" s="64">
        <f t="shared" ref="L12:L22" si="3">J12*0.05</f>
        <v>0</v>
      </c>
      <c r="M12" s="65"/>
      <c r="N12" s="37">
        <f>(J12*'Base Data'!$C$5)+(K12*'Base Data'!$C$6)+(L12*'Base Data'!$C$7)</f>
        <v>0</v>
      </c>
      <c r="O12" s="37">
        <f t="shared" ref="O12:O22" si="4">(D12+E12+F12)*G12*I12</f>
        <v>0</v>
      </c>
      <c r="P12" s="64">
        <v>0</v>
      </c>
      <c r="Q12" s="66" t="s">
        <v>203</v>
      </c>
      <c r="T12" s="95" t="s">
        <v>571</v>
      </c>
      <c r="U12" s="95" t="s">
        <v>578</v>
      </c>
      <c r="V12" s="95" t="s">
        <v>583</v>
      </c>
    </row>
    <row r="13" spans="1:22" s="95" customFormat="1" ht="9" x14ac:dyDescent="0.15">
      <c r="A13" s="91" t="s">
        <v>258</v>
      </c>
      <c r="B13" s="31">
        <v>12</v>
      </c>
      <c r="C13" s="31"/>
      <c r="D13" s="37">
        <v>0</v>
      </c>
      <c r="E13" s="37">
        <f>'Testing Costs'!$B$17</f>
        <v>8000</v>
      </c>
      <c r="F13" s="37">
        <v>0</v>
      </c>
      <c r="G13" s="31">
        <v>1</v>
      </c>
      <c r="H13" s="31">
        <f t="shared" si="1"/>
        <v>12</v>
      </c>
      <c r="I13" s="63">
        <v>0</v>
      </c>
      <c r="J13" s="64">
        <f t="shared" si="2"/>
        <v>0</v>
      </c>
      <c r="K13" s="64">
        <f t="shared" si="0"/>
        <v>0</v>
      </c>
      <c r="L13" s="64">
        <f t="shared" si="3"/>
        <v>0</v>
      </c>
      <c r="M13" s="65"/>
      <c r="N13" s="37">
        <f>(J13*'Base Data'!$C$5)+(K13*'Base Data'!$C$6)+(L13*'Base Data'!$C$7)</f>
        <v>0</v>
      </c>
      <c r="O13" s="37">
        <f t="shared" si="4"/>
        <v>0</v>
      </c>
      <c r="P13" s="64">
        <v>0</v>
      </c>
      <c r="Q13" s="66" t="s">
        <v>203</v>
      </c>
      <c r="T13" s="95" t="s">
        <v>571</v>
      </c>
      <c r="U13" s="95" t="s">
        <v>578</v>
      </c>
      <c r="V13" s="95" t="s">
        <v>583</v>
      </c>
    </row>
    <row r="14" spans="1:22" s="95" customFormat="1" ht="9" x14ac:dyDescent="0.15">
      <c r="A14" s="91" t="s">
        <v>259</v>
      </c>
      <c r="B14" s="31">
        <v>12</v>
      </c>
      <c r="C14" s="31"/>
      <c r="D14" s="37">
        <v>0</v>
      </c>
      <c r="E14" s="37">
        <f>'Testing Costs'!$B$15</f>
        <v>8000</v>
      </c>
      <c r="F14" s="37">
        <v>0</v>
      </c>
      <c r="G14" s="31">
        <v>1</v>
      </c>
      <c r="H14" s="31">
        <f t="shared" si="1"/>
        <v>12</v>
      </c>
      <c r="I14" s="63">
        <v>0</v>
      </c>
      <c r="J14" s="64">
        <f t="shared" si="2"/>
        <v>0</v>
      </c>
      <c r="K14" s="64">
        <f t="shared" si="0"/>
        <v>0</v>
      </c>
      <c r="L14" s="64">
        <f t="shared" si="3"/>
        <v>0</v>
      </c>
      <c r="M14" s="65"/>
      <c r="N14" s="37">
        <f>(J14*'Base Data'!$C$5)+(K14*'Base Data'!$C$6)+(L14*'Base Data'!$C$7)</f>
        <v>0</v>
      </c>
      <c r="O14" s="37">
        <f t="shared" si="4"/>
        <v>0</v>
      </c>
      <c r="P14" s="64">
        <v>0</v>
      </c>
      <c r="Q14" s="66" t="s">
        <v>203</v>
      </c>
      <c r="T14" s="95" t="s">
        <v>571</v>
      </c>
      <c r="U14" s="95" t="s">
        <v>578</v>
      </c>
      <c r="V14" s="95" t="s">
        <v>583</v>
      </c>
    </row>
    <row r="15" spans="1:22" s="95" customFormat="1" ht="9" x14ac:dyDescent="0.15">
      <c r="A15" s="91" t="s">
        <v>158</v>
      </c>
      <c r="B15" s="31">
        <v>12</v>
      </c>
      <c r="C15" s="31"/>
      <c r="D15" s="37">
        <v>0</v>
      </c>
      <c r="E15" s="37">
        <f>'Testing Costs'!$B$14</f>
        <v>7000</v>
      </c>
      <c r="F15" s="37">
        <v>0</v>
      </c>
      <c r="G15" s="31">
        <v>1</v>
      </c>
      <c r="H15" s="31">
        <f t="shared" si="1"/>
        <v>12</v>
      </c>
      <c r="I15" s="63">
        <v>0</v>
      </c>
      <c r="J15" s="64">
        <f t="shared" si="2"/>
        <v>0</v>
      </c>
      <c r="K15" s="64">
        <f t="shared" si="0"/>
        <v>0</v>
      </c>
      <c r="L15" s="64">
        <f t="shared" si="3"/>
        <v>0</v>
      </c>
      <c r="M15" s="65"/>
      <c r="N15" s="37">
        <f>(J15*'Base Data'!$C$5)+(K15*'Base Data'!$C$6)+(L15*'Base Data'!$C$7)</f>
        <v>0</v>
      </c>
      <c r="O15" s="37">
        <f t="shared" si="4"/>
        <v>0</v>
      </c>
      <c r="P15" s="64">
        <v>0</v>
      </c>
      <c r="Q15" s="66" t="s">
        <v>203</v>
      </c>
      <c r="T15" s="95" t="s">
        <v>571</v>
      </c>
      <c r="U15" s="95" t="s">
        <v>578</v>
      </c>
      <c r="V15" s="95" t="s">
        <v>583</v>
      </c>
    </row>
    <row r="16" spans="1:22" s="95" customFormat="1" ht="9" customHeight="1" x14ac:dyDescent="0.15">
      <c r="A16" s="91" t="s">
        <v>122</v>
      </c>
      <c r="B16" s="31">
        <v>12</v>
      </c>
      <c r="C16" s="31"/>
      <c r="D16" s="37">
        <v>0</v>
      </c>
      <c r="E16" s="37">
        <f>'Testing Costs'!$B$13</f>
        <v>5000</v>
      </c>
      <c r="F16" s="37">
        <v>0</v>
      </c>
      <c r="G16" s="31">
        <v>1</v>
      </c>
      <c r="H16" s="31">
        <f t="shared" si="1"/>
        <v>12</v>
      </c>
      <c r="I16" s="63">
        <v>0</v>
      </c>
      <c r="J16" s="64">
        <f t="shared" si="2"/>
        <v>0</v>
      </c>
      <c r="K16" s="64">
        <f t="shared" si="0"/>
        <v>0</v>
      </c>
      <c r="L16" s="64">
        <f t="shared" si="3"/>
        <v>0</v>
      </c>
      <c r="M16" s="65"/>
      <c r="N16" s="37">
        <f>(J16*'Base Data'!$C$5)+(K16*'Base Data'!$C$6)+(L16*'Base Data'!$C$7)</f>
        <v>0</v>
      </c>
      <c r="O16" s="37">
        <f t="shared" si="4"/>
        <v>0</v>
      </c>
      <c r="P16" s="64">
        <v>0</v>
      </c>
      <c r="Q16" s="66" t="s">
        <v>203</v>
      </c>
      <c r="T16" s="95" t="s">
        <v>572</v>
      </c>
      <c r="U16" s="95">
        <v>3</v>
      </c>
      <c r="V16" s="95" t="s">
        <v>583</v>
      </c>
    </row>
    <row r="17" spans="1:22" s="95" customFormat="1" ht="9" x14ac:dyDescent="0.15">
      <c r="A17" s="91" t="s">
        <v>123</v>
      </c>
      <c r="B17" s="31">
        <v>12</v>
      </c>
      <c r="C17" s="31"/>
      <c r="D17" s="37">
        <v>0</v>
      </c>
      <c r="E17" s="37">
        <f>'Testing Costs'!$B$17</f>
        <v>8000</v>
      </c>
      <c r="F17" s="37">
        <v>0</v>
      </c>
      <c r="G17" s="31">
        <v>1</v>
      </c>
      <c r="H17" s="31">
        <f t="shared" si="1"/>
        <v>12</v>
      </c>
      <c r="I17" s="63">
        <v>0</v>
      </c>
      <c r="J17" s="64">
        <f t="shared" si="2"/>
        <v>0</v>
      </c>
      <c r="K17" s="64">
        <f t="shared" si="0"/>
        <v>0</v>
      </c>
      <c r="L17" s="64">
        <f t="shared" si="3"/>
        <v>0</v>
      </c>
      <c r="M17" s="65"/>
      <c r="N17" s="37">
        <f>(J17*'Base Data'!$C$5)+(K17*'Base Data'!$C$6)+(L17*'Base Data'!$C$7)</f>
        <v>0</v>
      </c>
      <c r="O17" s="37">
        <f t="shared" si="4"/>
        <v>0</v>
      </c>
      <c r="P17" s="64">
        <v>0</v>
      </c>
      <c r="Q17" s="66" t="s">
        <v>203</v>
      </c>
      <c r="T17" s="95" t="s">
        <v>572</v>
      </c>
      <c r="U17" s="95">
        <v>3</v>
      </c>
      <c r="V17" s="95" t="s">
        <v>583</v>
      </c>
    </row>
    <row r="18" spans="1:22" s="95" customFormat="1" ht="9" x14ac:dyDescent="0.15">
      <c r="A18" s="91" t="s">
        <v>124</v>
      </c>
      <c r="B18" s="31">
        <v>12</v>
      </c>
      <c r="C18" s="31"/>
      <c r="D18" s="37">
        <v>0</v>
      </c>
      <c r="E18" s="37">
        <f>'Testing Costs'!$B$15</f>
        <v>8000</v>
      </c>
      <c r="F18" s="37">
        <v>0</v>
      </c>
      <c r="G18" s="31">
        <v>1</v>
      </c>
      <c r="H18" s="31">
        <f t="shared" si="1"/>
        <v>12</v>
      </c>
      <c r="I18" s="63">
        <v>0</v>
      </c>
      <c r="J18" s="64">
        <f t="shared" si="2"/>
        <v>0</v>
      </c>
      <c r="K18" s="64">
        <f t="shared" si="0"/>
        <v>0</v>
      </c>
      <c r="L18" s="64">
        <f t="shared" si="3"/>
        <v>0</v>
      </c>
      <c r="M18" s="65"/>
      <c r="N18" s="37">
        <f>(J18*'Base Data'!$C$5)+(K18*'Base Data'!$C$6)+(L18*'Base Data'!$C$7)</f>
        <v>0</v>
      </c>
      <c r="O18" s="37">
        <f t="shared" si="4"/>
        <v>0</v>
      </c>
      <c r="P18" s="64">
        <v>0</v>
      </c>
      <c r="Q18" s="66" t="s">
        <v>203</v>
      </c>
      <c r="T18" s="95" t="s">
        <v>572</v>
      </c>
      <c r="U18" s="95">
        <v>3</v>
      </c>
      <c r="V18" s="95" t="s">
        <v>583</v>
      </c>
    </row>
    <row r="19" spans="1:22" s="95" customFormat="1" ht="9" x14ac:dyDescent="0.15">
      <c r="A19" s="91" t="s">
        <v>125</v>
      </c>
      <c r="B19" s="31">
        <v>12</v>
      </c>
      <c r="C19" s="31"/>
      <c r="D19" s="37">
        <v>0</v>
      </c>
      <c r="E19" s="37">
        <f>'Testing Costs'!$B$14</f>
        <v>7000</v>
      </c>
      <c r="F19" s="37">
        <v>0</v>
      </c>
      <c r="G19" s="31">
        <v>1</v>
      </c>
      <c r="H19" s="31">
        <f t="shared" si="1"/>
        <v>12</v>
      </c>
      <c r="I19" s="63">
        <v>0</v>
      </c>
      <c r="J19" s="64">
        <f t="shared" si="2"/>
        <v>0</v>
      </c>
      <c r="K19" s="64">
        <f t="shared" si="0"/>
        <v>0</v>
      </c>
      <c r="L19" s="64">
        <f t="shared" si="3"/>
        <v>0</v>
      </c>
      <c r="M19" s="65"/>
      <c r="N19" s="37">
        <f>(J19*'Base Data'!$C$5)+(K19*'Base Data'!$C$6)+(L19*'Base Data'!$C$7)</f>
        <v>0</v>
      </c>
      <c r="O19" s="37">
        <f t="shared" si="4"/>
        <v>0</v>
      </c>
      <c r="P19" s="64">
        <v>0</v>
      </c>
      <c r="Q19" s="66" t="s">
        <v>203</v>
      </c>
      <c r="T19" s="95" t="s">
        <v>572</v>
      </c>
      <c r="U19" s="95">
        <v>3</v>
      </c>
      <c r="V19" s="95" t="s">
        <v>583</v>
      </c>
    </row>
    <row r="20" spans="1:22" s="95" customFormat="1" ht="18.75" customHeight="1" x14ac:dyDescent="0.15">
      <c r="A20" s="197" t="s">
        <v>428</v>
      </c>
      <c r="B20" s="31">
        <v>24</v>
      </c>
      <c r="C20" s="196"/>
      <c r="D20" s="37">
        <v>0</v>
      </c>
      <c r="E20" s="37">
        <f>$E$13+$E$14</f>
        <v>16000</v>
      </c>
      <c r="F20" s="37">
        <v>0</v>
      </c>
      <c r="G20" s="31">
        <v>1</v>
      </c>
      <c r="H20" s="31">
        <f t="shared" si="1"/>
        <v>24</v>
      </c>
      <c r="I20" s="63">
        <v>0</v>
      </c>
      <c r="J20" s="64">
        <f t="shared" si="2"/>
        <v>0</v>
      </c>
      <c r="K20" s="64">
        <f t="shared" si="0"/>
        <v>0</v>
      </c>
      <c r="L20" s="64">
        <f t="shared" si="3"/>
        <v>0</v>
      </c>
      <c r="M20" s="65"/>
      <c r="N20" s="37">
        <f>(J20*'Base Data'!$C$5)+(K20*'Base Data'!$C$6)+(L20*'Base Data'!$C$7)</f>
        <v>0</v>
      </c>
      <c r="O20" s="37">
        <f t="shared" si="4"/>
        <v>0</v>
      </c>
      <c r="P20" s="64">
        <v>0</v>
      </c>
      <c r="Q20" s="66" t="s">
        <v>86</v>
      </c>
    </row>
    <row r="21" spans="1:22" s="95" customFormat="1" ht="9" customHeight="1" x14ac:dyDescent="0.15">
      <c r="A21" s="91" t="s">
        <v>429</v>
      </c>
      <c r="B21" s="31">
        <v>5</v>
      </c>
      <c r="C21" s="31"/>
      <c r="D21" s="37">
        <v>0</v>
      </c>
      <c r="E21" s="37">
        <v>400</v>
      </c>
      <c r="F21" s="37">
        <v>0</v>
      </c>
      <c r="G21" s="31">
        <v>1</v>
      </c>
      <c r="H21" s="31">
        <f t="shared" si="1"/>
        <v>5</v>
      </c>
      <c r="I21" s="63">
        <v>0</v>
      </c>
      <c r="J21" s="64">
        <f t="shared" si="2"/>
        <v>0</v>
      </c>
      <c r="K21" s="64">
        <f t="shared" si="0"/>
        <v>0</v>
      </c>
      <c r="L21" s="64">
        <f t="shared" si="3"/>
        <v>0</v>
      </c>
      <c r="M21" s="65"/>
      <c r="N21" s="37">
        <f>(J21*'Base Data'!$C$5)+(K21*'Base Data'!$C$6)+(L21*'Base Data'!$C$7)</f>
        <v>0</v>
      </c>
      <c r="O21" s="37">
        <f t="shared" si="4"/>
        <v>0</v>
      </c>
      <c r="P21" s="64">
        <v>0</v>
      </c>
      <c r="Q21" s="66" t="s">
        <v>84</v>
      </c>
      <c r="T21" s="95" t="s">
        <v>571</v>
      </c>
      <c r="U21" s="95" t="s">
        <v>578</v>
      </c>
      <c r="V21" s="95" t="s">
        <v>583</v>
      </c>
    </row>
    <row r="22" spans="1:22" s="95" customFormat="1" ht="9" customHeight="1" x14ac:dyDescent="0.15">
      <c r="A22" s="91" t="s">
        <v>430</v>
      </c>
      <c r="B22" s="31">
        <v>5</v>
      </c>
      <c r="C22" s="31"/>
      <c r="D22" s="37">
        <v>0</v>
      </c>
      <c r="E22" s="37">
        <v>400</v>
      </c>
      <c r="F22" s="37">
        <v>0</v>
      </c>
      <c r="G22" s="31">
        <v>12</v>
      </c>
      <c r="H22" s="31">
        <f t="shared" si="1"/>
        <v>60</v>
      </c>
      <c r="I22" s="63">
        <v>0</v>
      </c>
      <c r="J22" s="64">
        <f t="shared" si="2"/>
        <v>0</v>
      </c>
      <c r="K22" s="64">
        <f t="shared" si="0"/>
        <v>0</v>
      </c>
      <c r="L22" s="64">
        <f t="shared" si="3"/>
        <v>0</v>
      </c>
      <c r="M22" s="65"/>
      <c r="N22" s="37">
        <f>(J22*'Base Data'!$C$5)+(K22*'Base Data'!$C$6)+(L22*'Base Data'!$C$7)</f>
        <v>0</v>
      </c>
      <c r="O22" s="37">
        <f t="shared" si="4"/>
        <v>0</v>
      </c>
      <c r="P22" s="64">
        <v>0</v>
      </c>
      <c r="Q22" s="66" t="s">
        <v>84</v>
      </c>
      <c r="T22" s="95" t="s">
        <v>571</v>
      </c>
      <c r="U22" s="95" t="s">
        <v>578</v>
      </c>
      <c r="V22" s="95" t="s">
        <v>583</v>
      </c>
    </row>
    <row r="23" spans="1:22" s="95" customFormat="1" ht="9" x14ac:dyDescent="0.15">
      <c r="A23" s="91" t="s">
        <v>431</v>
      </c>
      <c r="B23" s="31"/>
      <c r="C23" s="31"/>
      <c r="D23" s="37"/>
      <c r="E23" s="37"/>
      <c r="F23" s="37"/>
      <c r="G23" s="31"/>
      <c r="H23" s="31"/>
      <c r="I23" s="64"/>
      <c r="J23" s="64"/>
      <c r="K23" s="64"/>
      <c r="L23" s="64"/>
      <c r="M23" s="65"/>
      <c r="N23" s="37"/>
      <c r="O23" s="37"/>
      <c r="P23" s="64"/>
      <c r="Q23" s="66" t="s">
        <v>544</v>
      </c>
      <c r="T23" s="95" t="s">
        <v>571</v>
      </c>
      <c r="U23" s="95" t="s">
        <v>578</v>
      </c>
      <c r="V23" s="95" t="s">
        <v>583</v>
      </c>
    </row>
    <row r="24" spans="1:22" s="95" customFormat="1" ht="9" x14ac:dyDescent="0.15">
      <c r="A24" s="91" t="s">
        <v>310</v>
      </c>
      <c r="B24" s="31">
        <v>40</v>
      </c>
      <c r="C24" s="31"/>
      <c r="D24" s="37">
        <v>0</v>
      </c>
      <c r="E24" s="37"/>
      <c r="F24" s="37">
        <v>0</v>
      </c>
      <c r="G24" s="31">
        <v>1</v>
      </c>
      <c r="H24" s="31">
        <f>B24*G24</f>
        <v>40</v>
      </c>
      <c r="I24" s="63">
        <v>0</v>
      </c>
      <c r="J24" s="64">
        <f>H24*I24</f>
        <v>0</v>
      </c>
      <c r="K24" s="64">
        <f>J24*0.1</f>
        <v>0</v>
      </c>
      <c r="L24" s="64">
        <f>J24*0.05</f>
        <v>0</v>
      </c>
      <c r="M24" s="65"/>
      <c r="N24" s="37">
        <f>(J24*'Base Data'!$C$5)+(K24*'Base Data'!$C$6)+(L24*'Base Data'!$C$7)</f>
        <v>0</v>
      </c>
      <c r="O24" s="37">
        <f>(D24+E24+F24)*G24*I24</f>
        <v>0</v>
      </c>
      <c r="P24" s="64">
        <v>0</v>
      </c>
      <c r="Q24" s="66" t="s">
        <v>277</v>
      </c>
    </row>
    <row r="25" spans="1:22" s="95" customFormat="1" ht="9" x14ac:dyDescent="0.15">
      <c r="A25" s="90" t="s">
        <v>289</v>
      </c>
      <c r="B25" s="31"/>
      <c r="C25" s="31"/>
      <c r="D25" s="37"/>
      <c r="E25" s="37"/>
      <c r="F25" s="37"/>
      <c r="G25" s="31"/>
      <c r="H25" s="31"/>
      <c r="I25" s="64"/>
      <c r="J25" s="64"/>
      <c r="K25" s="64"/>
      <c r="L25" s="64"/>
      <c r="M25" s="65"/>
      <c r="N25" s="37"/>
      <c r="O25" s="37"/>
      <c r="P25" s="64"/>
      <c r="Q25" s="66"/>
    </row>
    <row r="26" spans="1:22" s="95" customFormat="1" ht="9" x14ac:dyDescent="0.15">
      <c r="A26" s="90" t="s">
        <v>290</v>
      </c>
      <c r="B26" s="31">
        <v>10</v>
      </c>
      <c r="C26" s="31"/>
      <c r="D26" s="37">
        <v>0</v>
      </c>
      <c r="E26" s="37">
        <v>0</v>
      </c>
      <c r="F26" s="37">
        <v>43100</v>
      </c>
      <c r="G26" s="31">
        <v>1</v>
      </c>
      <c r="H26" s="31">
        <f>B26*G26</f>
        <v>10</v>
      </c>
      <c r="I26" s="63">
        <v>0</v>
      </c>
      <c r="J26" s="64">
        <f>H26*I26</f>
        <v>0</v>
      </c>
      <c r="K26" s="64">
        <f>J26*0.1</f>
        <v>0</v>
      </c>
      <c r="L26" s="64">
        <f>J26*0.05</f>
        <v>0</v>
      </c>
      <c r="M26" s="65"/>
      <c r="N26" s="37">
        <f>(J26*'Base Data'!$C$5)+(K26*'Base Data'!$C$6)+(L26*'Base Data'!$C$7)</f>
        <v>0</v>
      </c>
      <c r="O26" s="37">
        <f>(D26+E26+F26)*G26*I26</f>
        <v>0</v>
      </c>
      <c r="P26" s="64">
        <v>0</v>
      </c>
      <c r="Q26" s="66" t="s">
        <v>85</v>
      </c>
    </row>
    <row r="27" spans="1:22" s="95" customFormat="1" ht="9" x14ac:dyDescent="0.15">
      <c r="A27" s="90" t="s">
        <v>293</v>
      </c>
      <c r="B27" s="31">
        <v>10</v>
      </c>
      <c r="C27" s="31"/>
      <c r="D27" s="37">
        <v>0</v>
      </c>
      <c r="E27" s="37">
        <v>0</v>
      </c>
      <c r="F27" s="37">
        <v>14700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t="s">
        <v>85</v>
      </c>
    </row>
    <row r="28" spans="1:22" s="95" customFormat="1" ht="9" x14ac:dyDescent="0.15">
      <c r="A28" s="90" t="s">
        <v>256</v>
      </c>
      <c r="B28" s="31"/>
      <c r="C28" s="31"/>
      <c r="D28" s="37"/>
      <c r="E28" s="37"/>
      <c r="F28" s="37"/>
      <c r="G28" s="31"/>
      <c r="H28" s="31"/>
      <c r="I28" s="64"/>
      <c r="J28" s="64"/>
      <c r="K28" s="64"/>
      <c r="L28" s="64"/>
      <c r="M28" s="65"/>
      <c r="N28" s="37"/>
      <c r="O28" s="37"/>
      <c r="P28" s="64"/>
      <c r="Q28" s="66"/>
    </row>
    <row r="29" spans="1:22" s="95" customFormat="1" ht="9" x14ac:dyDescent="0.15">
      <c r="A29" s="90" t="s">
        <v>290</v>
      </c>
      <c r="B29" s="31">
        <v>10</v>
      </c>
      <c r="C29" s="31"/>
      <c r="D29" s="37">
        <v>0</v>
      </c>
      <c r="E29" s="37">
        <v>0</v>
      </c>
      <c r="F29" s="37">
        <v>158000</v>
      </c>
      <c r="G29" s="31">
        <v>1</v>
      </c>
      <c r="H29" s="31">
        <f>B29*G29</f>
        <v>10</v>
      </c>
      <c r="I29" s="63">
        <v>0</v>
      </c>
      <c r="J29" s="64">
        <f>H29*I29</f>
        <v>0</v>
      </c>
      <c r="K29" s="64">
        <f>J29*0.1</f>
        <v>0</v>
      </c>
      <c r="L29" s="64">
        <f>J29*0.05</f>
        <v>0</v>
      </c>
      <c r="M29" s="65"/>
      <c r="N29" s="37">
        <f>(J29*'Base Data'!$C$5)+(K29*'Base Data'!$C$6)+(L29*'Base Data'!$C$7)</f>
        <v>0</v>
      </c>
      <c r="O29" s="37">
        <f>(D29+E29+F29)*G29*I29</f>
        <v>0</v>
      </c>
      <c r="P29" s="64">
        <v>0</v>
      </c>
      <c r="Q29" s="66" t="s">
        <v>85</v>
      </c>
    </row>
    <row r="30" spans="1:22" s="95" customFormat="1" ht="9" x14ac:dyDescent="0.15">
      <c r="A30" s="90" t="s">
        <v>293</v>
      </c>
      <c r="B30" s="31">
        <v>10</v>
      </c>
      <c r="C30" s="31"/>
      <c r="D30" s="37">
        <v>0</v>
      </c>
      <c r="E30" s="37">
        <v>0</v>
      </c>
      <c r="F30" s="37">
        <v>56100</v>
      </c>
      <c r="G30" s="31">
        <v>1</v>
      </c>
      <c r="H30" s="31">
        <f>B30*G30</f>
        <v>10</v>
      </c>
      <c r="I30" s="63">
        <v>0</v>
      </c>
      <c r="J30" s="64">
        <f>H30*I30</f>
        <v>0</v>
      </c>
      <c r="K30" s="64">
        <f>J30*0.1</f>
        <v>0</v>
      </c>
      <c r="L30" s="64">
        <f>J30*0.05</f>
        <v>0</v>
      </c>
      <c r="M30" s="65"/>
      <c r="N30" s="37">
        <f>(J30*'Base Data'!$C$5)+(K30*'Base Data'!$C$6)+(L30*'Base Data'!$C$7)</f>
        <v>0</v>
      </c>
      <c r="O30" s="37">
        <f>(D30+E30+F30)*G30*I30</f>
        <v>0</v>
      </c>
      <c r="P30" s="64">
        <v>0</v>
      </c>
      <c r="Q30" s="66" t="s">
        <v>85</v>
      </c>
    </row>
    <row r="31" spans="1:22" s="95" customFormat="1" ht="9" x14ac:dyDescent="0.15">
      <c r="A31" s="90" t="s">
        <v>381</v>
      </c>
      <c r="B31" s="31"/>
      <c r="C31" s="31"/>
      <c r="D31" s="37"/>
      <c r="E31" s="37"/>
      <c r="F31" s="37"/>
      <c r="G31" s="31"/>
      <c r="H31" s="31"/>
      <c r="I31" s="63"/>
      <c r="J31" s="64"/>
      <c r="K31" s="64"/>
      <c r="L31" s="64"/>
      <c r="M31" s="65"/>
      <c r="N31" s="37"/>
      <c r="O31" s="37"/>
      <c r="P31" s="64"/>
      <c r="Q31" s="66"/>
    </row>
    <row r="32" spans="1:22" s="95" customFormat="1" ht="9" x14ac:dyDescent="0.15">
      <c r="A32" s="90" t="s">
        <v>290</v>
      </c>
      <c r="B32" s="31">
        <v>10</v>
      </c>
      <c r="C32" s="31"/>
      <c r="D32" s="37">
        <v>0</v>
      </c>
      <c r="E32" s="37">
        <v>0</v>
      </c>
      <c r="F32" s="37">
        <f>Monitors!$F$32</f>
        <v>8523</v>
      </c>
      <c r="G32" s="31">
        <v>1</v>
      </c>
      <c r="H32" s="31">
        <f>B32*G32</f>
        <v>10</v>
      </c>
      <c r="I32" s="63">
        <v>0</v>
      </c>
      <c r="J32" s="64">
        <f>H32*I32</f>
        <v>0</v>
      </c>
      <c r="K32" s="64">
        <f>J32*0.1</f>
        <v>0</v>
      </c>
      <c r="L32" s="64">
        <f>J32*0.05</f>
        <v>0</v>
      </c>
      <c r="M32" s="65"/>
      <c r="N32" s="37">
        <f>(J32*'Base Data'!$C$5)+(K32*'Base Data'!$C$6)+(L32*'Base Data'!$C$7)</f>
        <v>0</v>
      </c>
      <c r="O32" s="37">
        <f>(D32+E32+F32)*G32*I32</f>
        <v>0</v>
      </c>
      <c r="P32" s="64">
        <v>0</v>
      </c>
      <c r="Q32" s="66" t="s">
        <v>277</v>
      </c>
    </row>
    <row r="33" spans="1:22" s="95" customFormat="1" ht="9" x14ac:dyDescent="0.15">
      <c r="A33" s="90" t="s">
        <v>293</v>
      </c>
      <c r="B33" s="31">
        <v>10</v>
      </c>
      <c r="C33" s="31"/>
      <c r="D33" s="37">
        <v>0</v>
      </c>
      <c r="E33" s="37">
        <v>0</v>
      </c>
      <c r="F33" s="37">
        <f>Monitors!$G$32</f>
        <v>1436</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277</v>
      </c>
    </row>
    <row r="34" spans="1:22" s="95" customFormat="1" ht="18" x14ac:dyDescent="0.15">
      <c r="A34" s="91" t="s">
        <v>145</v>
      </c>
      <c r="B34" s="31"/>
      <c r="C34" s="31"/>
      <c r="D34" s="37"/>
      <c r="E34" s="37"/>
      <c r="F34" s="67"/>
      <c r="G34" s="31"/>
      <c r="H34" s="31"/>
      <c r="I34" s="63"/>
      <c r="J34" s="64"/>
      <c r="K34" s="64"/>
      <c r="L34" s="64"/>
      <c r="M34" s="65"/>
      <c r="N34" s="37"/>
      <c r="O34" s="37"/>
      <c r="P34" s="64"/>
      <c r="Q34" s="66"/>
    </row>
    <row r="35" spans="1:22" s="95" customFormat="1" ht="9" x14ac:dyDescent="0.15">
      <c r="A35" s="90" t="s">
        <v>290</v>
      </c>
      <c r="B35" s="31">
        <v>10</v>
      </c>
      <c r="C35" s="31"/>
      <c r="D35" s="37">
        <v>0</v>
      </c>
      <c r="E35" s="37">
        <v>0</v>
      </c>
      <c r="F35" s="37">
        <v>24300</v>
      </c>
      <c r="G35" s="31">
        <v>1</v>
      </c>
      <c r="H35" s="31">
        <f>B35*G35</f>
        <v>10</v>
      </c>
      <c r="I35" s="63">
        <v>0</v>
      </c>
      <c r="J35" s="64">
        <f>H35*I35</f>
        <v>0</v>
      </c>
      <c r="K35" s="64">
        <f>J35*0.1</f>
        <v>0</v>
      </c>
      <c r="L35" s="64">
        <f>J35*0.05</f>
        <v>0</v>
      </c>
      <c r="M35" s="65"/>
      <c r="N35" s="37">
        <f>(J35*'Base Data'!$C$5)+(K35*'Base Data'!$C$6)+(L35*'Base Data'!$C$7)</f>
        <v>0</v>
      </c>
      <c r="O35" s="37">
        <f>(D35+E35+F35)*G35*I35</f>
        <v>0</v>
      </c>
      <c r="P35" s="64">
        <v>0</v>
      </c>
      <c r="Q35" s="66" t="s">
        <v>277</v>
      </c>
    </row>
    <row r="36" spans="1:22" s="95" customFormat="1" ht="9" x14ac:dyDescent="0.15">
      <c r="A36" s="90" t="s">
        <v>293</v>
      </c>
      <c r="B36" s="31">
        <v>10</v>
      </c>
      <c r="C36" s="31"/>
      <c r="D36" s="37">
        <v>0</v>
      </c>
      <c r="E36" s="37">
        <v>0</v>
      </c>
      <c r="F36" s="37">
        <v>5600</v>
      </c>
      <c r="G36" s="31">
        <v>1</v>
      </c>
      <c r="H36" s="31">
        <f>B36*G36</f>
        <v>10</v>
      </c>
      <c r="I36" s="63">
        <v>0</v>
      </c>
      <c r="J36" s="64">
        <f>H36*I36</f>
        <v>0</v>
      </c>
      <c r="K36" s="64">
        <f>J36*0.1</f>
        <v>0</v>
      </c>
      <c r="L36" s="64">
        <f>J36*0.05</f>
        <v>0</v>
      </c>
      <c r="M36" s="65"/>
      <c r="N36" s="37">
        <f>(J36*'Base Data'!$C$5)+(K36*'Base Data'!$C$6)+(L36*'Base Data'!$C$7)</f>
        <v>0</v>
      </c>
      <c r="O36" s="37">
        <f>(D36+E36+F36)*G36*I36</f>
        <v>0</v>
      </c>
      <c r="P36" s="64">
        <v>0</v>
      </c>
      <c r="Q36" s="66" t="s">
        <v>277</v>
      </c>
    </row>
    <row r="37" spans="1:22" s="95" customFormat="1" ht="18" x14ac:dyDescent="0.15">
      <c r="A37" s="91" t="s">
        <v>348</v>
      </c>
      <c r="B37" s="31"/>
      <c r="C37" s="31"/>
      <c r="D37" s="37"/>
      <c r="E37" s="37"/>
      <c r="F37" s="37"/>
      <c r="G37" s="31"/>
      <c r="H37" s="31"/>
      <c r="I37" s="63"/>
      <c r="J37" s="64"/>
      <c r="K37" s="64"/>
      <c r="L37" s="64"/>
      <c r="M37" s="65"/>
      <c r="N37" s="37"/>
      <c r="O37" s="138"/>
      <c r="P37" s="64"/>
      <c r="Q37" s="66"/>
    </row>
    <row r="38" spans="1:22" s="95" customFormat="1" ht="9" x14ac:dyDescent="0.15">
      <c r="A38" s="90" t="s">
        <v>290</v>
      </c>
      <c r="B38" s="31">
        <v>10</v>
      </c>
      <c r="C38" s="31"/>
      <c r="D38" s="37">
        <v>0</v>
      </c>
      <c r="E38" s="37">
        <v>0</v>
      </c>
      <c r="F38" s="37">
        <f>25500</f>
        <v>25500</v>
      </c>
      <c r="G38" s="31">
        <v>1</v>
      </c>
      <c r="H38" s="31">
        <f>B38*G38</f>
        <v>10</v>
      </c>
      <c r="I38" s="63">
        <v>0</v>
      </c>
      <c r="J38" s="64">
        <f>H38*I38</f>
        <v>0</v>
      </c>
      <c r="K38" s="64">
        <f>J38*0.1</f>
        <v>0</v>
      </c>
      <c r="L38" s="64">
        <f>J38*0.05</f>
        <v>0</v>
      </c>
      <c r="M38" s="65"/>
      <c r="N38" s="37">
        <f>(J38*'Base Data'!$C$5)+(K38*'Base Data'!$C$6)+(L38*'Base Data'!$C$7)</f>
        <v>0</v>
      </c>
      <c r="O38" s="37">
        <f>(D38+E38+F38)*G38*I38</f>
        <v>0</v>
      </c>
      <c r="P38" s="64">
        <v>0</v>
      </c>
      <c r="Q38" s="66" t="s">
        <v>277</v>
      </c>
    </row>
    <row r="39" spans="1:22" s="95" customFormat="1" ht="9" x14ac:dyDescent="0.15">
      <c r="A39" s="90" t="s">
        <v>293</v>
      </c>
      <c r="B39" s="31">
        <v>10</v>
      </c>
      <c r="C39" s="31"/>
      <c r="D39" s="37">
        <v>0</v>
      </c>
      <c r="E39" s="37">
        <v>0</v>
      </c>
      <c r="F39" s="37">
        <v>9700</v>
      </c>
      <c r="G39" s="31">
        <v>1</v>
      </c>
      <c r="H39" s="31">
        <f>B39*G39</f>
        <v>10</v>
      </c>
      <c r="I39" s="63">
        <v>0</v>
      </c>
      <c r="J39" s="64">
        <f>H39*I39</f>
        <v>0</v>
      </c>
      <c r="K39" s="64">
        <f>J39*0.1</f>
        <v>0</v>
      </c>
      <c r="L39" s="64">
        <f>J39*0.05</f>
        <v>0</v>
      </c>
      <c r="M39" s="65"/>
      <c r="N39" s="37">
        <f>(J39*'Base Data'!$C$5)+(K39*'Base Data'!$C$6)+(L39*'Base Data'!$C$7)</f>
        <v>0</v>
      </c>
      <c r="O39" s="37">
        <f>(D39+E39+F39)*G39*I39</f>
        <v>0</v>
      </c>
      <c r="P39" s="64">
        <v>0</v>
      </c>
      <c r="Q39" s="66" t="s">
        <v>277</v>
      </c>
    </row>
    <row r="40" spans="1:22" s="95" customFormat="1" ht="9" x14ac:dyDescent="0.15">
      <c r="A40" s="90" t="s">
        <v>437</v>
      </c>
      <c r="B40" s="31">
        <v>12</v>
      </c>
      <c r="C40" s="31"/>
      <c r="D40" s="37">
        <v>0</v>
      </c>
      <c r="E40" s="37">
        <v>2875</v>
      </c>
      <c r="F40" s="37">
        <v>0</v>
      </c>
      <c r="G40" s="31">
        <v>1</v>
      </c>
      <c r="H40" s="31">
        <f>B40*G40</f>
        <v>12</v>
      </c>
      <c r="I40" s="64">
        <v>0</v>
      </c>
      <c r="J40" s="63">
        <f>H40*I40</f>
        <v>0</v>
      </c>
      <c r="K40" s="63">
        <f>J40*0.1</f>
        <v>0</v>
      </c>
      <c r="L40" s="63">
        <f>J40*0.05</f>
        <v>0</v>
      </c>
      <c r="M40" s="64"/>
      <c r="N40" s="37">
        <f>(J40*'Base Data'!$C$5)+(K40*'Base Data'!$C$6)+(L40*'Base Data'!$C$7)</f>
        <v>0</v>
      </c>
      <c r="O40" s="37">
        <f>(D40+E40+F40)*G40*I40</f>
        <v>0</v>
      </c>
      <c r="P40" s="64">
        <v>0</v>
      </c>
      <c r="Q40" s="66" t="s">
        <v>277</v>
      </c>
      <c r="T40" s="347">
        <v>42400</v>
      </c>
      <c r="U40" s="95" t="s">
        <v>578</v>
      </c>
      <c r="V40" s="95" t="s">
        <v>584</v>
      </c>
    </row>
    <row r="41" spans="1:22" s="95" customFormat="1" ht="9" x14ac:dyDescent="0.15">
      <c r="A41" s="90" t="s">
        <v>438</v>
      </c>
      <c r="B41" s="31">
        <v>5</v>
      </c>
      <c r="C41" s="31"/>
      <c r="D41" s="37">
        <v>0</v>
      </c>
      <c r="E41" s="37">
        <v>200</v>
      </c>
      <c r="F41" s="37">
        <v>0</v>
      </c>
      <c r="G41" s="31">
        <v>12</v>
      </c>
      <c r="H41" s="31">
        <f>B41*G41</f>
        <v>60</v>
      </c>
      <c r="I41" s="64">
        <v>0</v>
      </c>
      <c r="J41" s="63">
        <f>H41*I41</f>
        <v>0</v>
      </c>
      <c r="K41" s="63">
        <f>J41*0.1</f>
        <v>0</v>
      </c>
      <c r="L41" s="63">
        <f>J41*0.05</f>
        <v>0</v>
      </c>
      <c r="M41" s="64"/>
      <c r="N41" s="37">
        <f>(J41*'Base Data'!$C$5)+(K41*'Base Data'!$C$6)+(L41*'Base Data'!$C$7)</f>
        <v>0</v>
      </c>
      <c r="O41" s="37">
        <f>(D41+E41+F41)*G41*I41</f>
        <v>0</v>
      </c>
      <c r="P41" s="64">
        <v>0</v>
      </c>
      <c r="Q41" s="66" t="s">
        <v>265</v>
      </c>
      <c r="T41" s="95" t="s">
        <v>571</v>
      </c>
      <c r="U41" s="95" t="s">
        <v>578</v>
      </c>
      <c r="V41" s="95" t="s">
        <v>583</v>
      </c>
    </row>
    <row r="42" spans="1:22" s="95" customFormat="1" ht="9" x14ac:dyDescent="0.15">
      <c r="A42" s="90" t="s">
        <v>294</v>
      </c>
      <c r="B42" s="31" t="s">
        <v>311</v>
      </c>
      <c r="C42" s="31"/>
      <c r="D42" s="37"/>
      <c r="E42" s="37"/>
      <c r="F42" s="37"/>
      <c r="G42" s="31"/>
      <c r="H42" s="31"/>
      <c r="I42" s="64"/>
      <c r="J42" s="64"/>
      <c r="K42" s="64"/>
      <c r="L42" s="64"/>
      <c r="M42" s="31"/>
      <c r="N42" s="37"/>
      <c r="O42" s="37"/>
      <c r="P42" s="64"/>
      <c r="Q42" s="66"/>
    </row>
    <row r="43" spans="1:22" s="95" customFormat="1" ht="9" x14ac:dyDescent="0.15">
      <c r="A43" s="90" t="s">
        <v>295</v>
      </c>
      <c r="B43" s="31" t="s">
        <v>311</v>
      </c>
      <c r="C43" s="31"/>
      <c r="D43" s="37"/>
      <c r="E43" s="37"/>
      <c r="F43" s="37"/>
      <c r="G43" s="31"/>
      <c r="H43" s="31"/>
      <c r="I43" s="64"/>
      <c r="J43" s="64"/>
      <c r="K43" s="64"/>
      <c r="L43" s="64"/>
      <c r="M43" s="31"/>
      <c r="N43" s="37"/>
      <c r="O43" s="37"/>
      <c r="P43" s="64"/>
      <c r="Q43" s="66"/>
    </row>
    <row r="44" spans="1:22" s="95" customFormat="1" ht="12.75" x14ac:dyDescent="0.2">
      <c r="A44" s="90" t="s">
        <v>296</v>
      </c>
      <c r="B44" s="31"/>
      <c r="C44" s="31"/>
      <c r="D44" s="37"/>
      <c r="E44" s="37"/>
      <c r="F44" s="37"/>
      <c r="G44" s="31"/>
      <c r="H44" s="31"/>
      <c r="I44" s="64"/>
      <c r="J44" s="64"/>
      <c r="K44" s="64"/>
      <c r="L44" s="64"/>
      <c r="M44" s="31"/>
      <c r="N44" s="37"/>
      <c r="O44" s="37"/>
      <c r="P44" s="64"/>
      <c r="Q44" s="66"/>
      <c r="U44"/>
    </row>
    <row r="45" spans="1:22" s="95" customFormat="1" ht="9" customHeight="1" x14ac:dyDescent="0.15">
      <c r="A45" s="92" t="s">
        <v>312</v>
      </c>
      <c r="B45" s="31">
        <v>2</v>
      </c>
      <c r="C45" s="31"/>
      <c r="D45" s="37">
        <v>0</v>
      </c>
      <c r="E45" s="37">
        <v>0</v>
      </c>
      <c r="F45" s="37">
        <v>0</v>
      </c>
      <c r="G45" s="31">
        <v>1</v>
      </c>
      <c r="H45" s="31">
        <f t="shared" ref="H45:H50" si="5">B45*G45</f>
        <v>2</v>
      </c>
      <c r="I45" s="63">
        <f>ROUND(SUM('Base Data'!$H$28:$H$30,'Base Data'!$H$33:$H$35,'Base Data'!$H$38:$H$40),0)</f>
        <v>636</v>
      </c>
      <c r="J45" s="64">
        <f t="shared" ref="J45:J50" si="6">H45*I45</f>
        <v>1272</v>
      </c>
      <c r="K45" s="64">
        <f t="shared" ref="K45:K50" si="7">J45*0.1</f>
        <v>127.2</v>
      </c>
      <c r="L45" s="64">
        <f t="shared" ref="L45:L50" si="8">J45*0.05</f>
        <v>63.6</v>
      </c>
      <c r="M45" s="31">
        <f t="shared" ref="M45:M50" si="9">C45*G45*I45</f>
        <v>0</v>
      </c>
      <c r="N45" s="37">
        <f>(J45*'Base Data'!$C$5)+(K45*'Base Data'!$C$6)+(L45*'Base Data'!$C$7)</f>
        <v>160181.052</v>
      </c>
      <c r="O45" s="37">
        <f t="shared" ref="O45:O50" si="10">(D45+E45+F45)*G45*I45</f>
        <v>0</v>
      </c>
      <c r="P45" s="64">
        <f t="shared" ref="P45:P50" si="11">G45*I45</f>
        <v>636</v>
      </c>
      <c r="Q45" s="66" t="s">
        <v>276</v>
      </c>
      <c r="T45" s="347">
        <v>41425</v>
      </c>
      <c r="U45" s="95" t="s">
        <v>579</v>
      </c>
    </row>
    <row r="46" spans="1:22" s="95" customFormat="1" ht="9" customHeight="1" x14ac:dyDescent="0.15">
      <c r="A46" s="92" t="s">
        <v>273</v>
      </c>
      <c r="B46" s="31">
        <v>8</v>
      </c>
      <c r="C46" s="31"/>
      <c r="D46" s="37">
        <v>0</v>
      </c>
      <c r="E46" s="37">
        <v>0</v>
      </c>
      <c r="F46" s="37">
        <v>0</v>
      </c>
      <c r="G46" s="31">
        <v>1</v>
      </c>
      <c r="H46" s="31">
        <f t="shared" si="5"/>
        <v>8</v>
      </c>
      <c r="I46" s="63">
        <v>0</v>
      </c>
      <c r="J46" s="64">
        <f t="shared" si="6"/>
        <v>0</v>
      </c>
      <c r="K46" s="64">
        <f t="shared" si="7"/>
        <v>0</v>
      </c>
      <c r="L46" s="64">
        <f t="shared" si="8"/>
        <v>0</v>
      </c>
      <c r="M46" s="31">
        <f t="shared" si="9"/>
        <v>0</v>
      </c>
      <c r="N46" s="37">
        <f>(J46*'Base Data'!$C$5)+(K46*'Base Data'!$C$6)+(L46*'Base Data'!$C$7)</f>
        <v>0</v>
      </c>
      <c r="O46" s="37">
        <f t="shared" si="10"/>
        <v>0</v>
      </c>
      <c r="P46" s="64">
        <f t="shared" si="11"/>
        <v>0</v>
      </c>
      <c r="Q46" s="66" t="s">
        <v>277</v>
      </c>
      <c r="T46" s="347">
        <v>42642</v>
      </c>
      <c r="U46" s="95">
        <v>2</v>
      </c>
      <c r="V46" s="95" t="s">
        <v>584</v>
      </c>
    </row>
    <row r="47" spans="1:22" s="95" customFormat="1" ht="9" customHeight="1" x14ac:dyDescent="0.15">
      <c r="A47" s="92" t="s">
        <v>274</v>
      </c>
      <c r="B47" s="31">
        <v>5</v>
      </c>
      <c r="C47" s="31"/>
      <c r="D47" s="37">
        <v>0</v>
      </c>
      <c r="E47" s="37">
        <v>0</v>
      </c>
      <c r="F47" s="37">
        <v>0</v>
      </c>
      <c r="G47" s="31">
        <v>1</v>
      </c>
      <c r="H47" s="31">
        <f t="shared" si="5"/>
        <v>5</v>
      </c>
      <c r="I47" s="63">
        <v>0</v>
      </c>
      <c r="J47" s="64">
        <f t="shared" si="6"/>
        <v>0</v>
      </c>
      <c r="K47" s="64">
        <f t="shared" si="7"/>
        <v>0</v>
      </c>
      <c r="L47" s="64">
        <f t="shared" si="8"/>
        <v>0</v>
      </c>
      <c r="M47" s="31">
        <f t="shared" si="9"/>
        <v>0</v>
      </c>
      <c r="N47" s="37">
        <f>(J47*'Base Data'!$C$5)+(K47*'Base Data'!$C$6)+(L47*'Base Data'!$C$7)</f>
        <v>0</v>
      </c>
      <c r="O47" s="37">
        <f t="shared" si="10"/>
        <v>0</v>
      </c>
      <c r="P47" s="64">
        <f t="shared" si="11"/>
        <v>0</v>
      </c>
      <c r="Q47" s="66" t="s">
        <v>277</v>
      </c>
      <c r="R47" s="108"/>
      <c r="T47" s="347">
        <v>42400</v>
      </c>
      <c r="U47" s="95">
        <v>2</v>
      </c>
      <c r="V47" s="95" t="s">
        <v>584</v>
      </c>
    </row>
    <row r="48" spans="1:22" s="95" customFormat="1" ht="9" customHeight="1" x14ac:dyDescent="0.15">
      <c r="A48" s="92" t="s">
        <v>191</v>
      </c>
      <c r="B48" s="31">
        <v>20</v>
      </c>
      <c r="C48" s="31">
        <v>0</v>
      </c>
      <c r="D48" s="37">
        <v>0</v>
      </c>
      <c r="E48" s="37">
        <v>0</v>
      </c>
      <c r="F48" s="37">
        <v>0</v>
      </c>
      <c r="G48" s="31">
        <v>1</v>
      </c>
      <c r="H48" s="31">
        <f t="shared" si="5"/>
        <v>20</v>
      </c>
      <c r="I48" s="63">
        <v>0</v>
      </c>
      <c r="J48" s="64">
        <f t="shared" si="6"/>
        <v>0</v>
      </c>
      <c r="K48" s="64">
        <f t="shared" si="7"/>
        <v>0</v>
      </c>
      <c r="L48" s="64">
        <f t="shared" si="8"/>
        <v>0</v>
      </c>
      <c r="M48" s="64">
        <f t="shared" si="9"/>
        <v>0</v>
      </c>
      <c r="N48" s="37">
        <f>(J48*'Base Data'!$C$5)+(K48*'Base Data'!$C$6)+(L48*'Base Data'!$C$7)</f>
        <v>0</v>
      </c>
      <c r="O48" s="37">
        <f t="shared" si="10"/>
        <v>0</v>
      </c>
      <c r="P48" s="64">
        <f>G48*I48</f>
        <v>0</v>
      </c>
      <c r="Q48" s="66" t="s">
        <v>401</v>
      </c>
      <c r="R48" s="108"/>
      <c r="T48" s="95" t="s">
        <v>569</v>
      </c>
      <c r="U48" s="95">
        <v>3</v>
      </c>
      <c r="V48" s="95" t="s">
        <v>584</v>
      </c>
    </row>
    <row r="49" spans="1:22" s="95" customFormat="1" ht="9" customHeight="1" x14ac:dyDescent="0.15">
      <c r="A49" s="92" t="s">
        <v>190</v>
      </c>
      <c r="B49" s="31">
        <v>20</v>
      </c>
      <c r="C49" s="31">
        <v>0</v>
      </c>
      <c r="D49" s="37">
        <v>0</v>
      </c>
      <c r="E49" s="37">
        <v>0</v>
      </c>
      <c r="F49" s="37">
        <v>0</v>
      </c>
      <c r="G49" s="31">
        <v>2</v>
      </c>
      <c r="H49" s="31">
        <f t="shared" si="5"/>
        <v>40</v>
      </c>
      <c r="I49" s="63">
        <v>0</v>
      </c>
      <c r="J49" s="64">
        <f t="shared" si="6"/>
        <v>0</v>
      </c>
      <c r="K49" s="64">
        <f t="shared" si="7"/>
        <v>0</v>
      </c>
      <c r="L49" s="64">
        <f t="shared" si="8"/>
        <v>0</v>
      </c>
      <c r="M49" s="64">
        <f t="shared" si="9"/>
        <v>0</v>
      </c>
      <c r="N49" s="37">
        <f>(J49*'Base Data'!$C$5)+(K49*'Base Data'!$C$6)+(L49*'Base Data'!$C$7)</f>
        <v>0</v>
      </c>
      <c r="O49" s="37">
        <f t="shared" si="10"/>
        <v>0</v>
      </c>
      <c r="P49" s="64">
        <f t="shared" si="11"/>
        <v>0</v>
      </c>
      <c r="Q49" s="66" t="s">
        <v>401</v>
      </c>
      <c r="T49" s="95" t="s">
        <v>569</v>
      </c>
      <c r="U49" s="95">
        <v>3</v>
      </c>
      <c r="V49" s="95" t="s">
        <v>583</v>
      </c>
    </row>
    <row r="50" spans="1:22" s="95" customFormat="1" ht="9" customHeight="1" x14ac:dyDescent="0.15">
      <c r="A50" s="92" t="s">
        <v>345</v>
      </c>
      <c r="B50" s="31">
        <v>5</v>
      </c>
      <c r="C50" s="31"/>
      <c r="D50" s="37">
        <v>0</v>
      </c>
      <c r="E50" s="37">
        <v>0</v>
      </c>
      <c r="F50" s="37">
        <v>0</v>
      </c>
      <c r="G50" s="31">
        <v>1</v>
      </c>
      <c r="H50" s="31">
        <f t="shared" si="5"/>
        <v>5</v>
      </c>
      <c r="I50" s="63">
        <v>0</v>
      </c>
      <c r="J50" s="64">
        <f t="shared" si="6"/>
        <v>0</v>
      </c>
      <c r="K50" s="64">
        <f t="shared" si="7"/>
        <v>0</v>
      </c>
      <c r="L50" s="64">
        <f t="shared" si="8"/>
        <v>0</v>
      </c>
      <c r="M50" s="64">
        <f t="shared" si="9"/>
        <v>0</v>
      </c>
      <c r="N50" s="37">
        <f>(J50*'Base Data'!$C$5)+(K50*'Base Data'!$C$6)+(L50*'Base Data'!$C$7)</f>
        <v>0</v>
      </c>
      <c r="O50" s="37">
        <f t="shared" si="10"/>
        <v>0</v>
      </c>
      <c r="P50" s="64">
        <f t="shared" si="11"/>
        <v>0</v>
      </c>
      <c r="Q50" s="66" t="s">
        <v>402</v>
      </c>
      <c r="T50" s="347">
        <v>42400</v>
      </c>
      <c r="U50" s="95">
        <v>2</v>
      </c>
      <c r="V50" s="95" t="s">
        <v>585</v>
      </c>
    </row>
    <row r="51" spans="1:22" s="95" customFormat="1" ht="9" customHeight="1" x14ac:dyDescent="0.2">
      <c r="A51" s="92" t="s">
        <v>418</v>
      </c>
      <c r="B51" s="31">
        <v>30</v>
      </c>
      <c r="C51" s="31"/>
      <c r="D51" s="37">
        <v>0</v>
      </c>
      <c r="E51" s="37">
        <v>0</v>
      </c>
      <c r="F51" s="37">
        <v>0</v>
      </c>
      <c r="G51" s="31">
        <v>1</v>
      </c>
      <c r="H51" s="31">
        <f>B51*G51</f>
        <v>30</v>
      </c>
      <c r="I51" s="63">
        <v>0</v>
      </c>
      <c r="J51" s="64">
        <f>H51*I51</f>
        <v>0</v>
      </c>
      <c r="K51" s="64">
        <f>J51*0.1</f>
        <v>0</v>
      </c>
      <c r="L51" s="64">
        <f>J51*0.05</f>
        <v>0</v>
      </c>
      <c r="M51" s="64">
        <f>C51*G51*I51</f>
        <v>0</v>
      </c>
      <c r="N51" s="37">
        <f>(J51*'Base Data'!$C$5)+(K51*'Base Data'!$C$6)+(L51*'Base Data'!$C$7)</f>
        <v>0</v>
      </c>
      <c r="O51" s="37">
        <f>(D51+E51+F51)*G51*I51</f>
        <v>0</v>
      </c>
      <c r="P51" s="64">
        <f>G51*I51</f>
        <v>0</v>
      </c>
      <c r="Q51" s="66" t="s">
        <v>417</v>
      </c>
      <c r="R51" s="108"/>
      <c r="T51" s="95" t="s">
        <v>570</v>
      </c>
      <c r="U51"/>
    </row>
    <row r="52" spans="1:22" s="95" customFormat="1" ht="12.75" x14ac:dyDescent="0.2">
      <c r="A52" s="93" t="s">
        <v>4</v>
      </c>
      <c r="B52" s="31"/>
      <c r="C52" s="31"/>
      <c r="D52" s="37"/>
      <c r="E52" s="37"/>
      <c r="F52" s="37"/>
      <c r="G52" s="31"/>
      <c r="H52" s="31"/>
      <c r="I52" s="63"/>
      <c r="J52" s="64">
        <f t="shared" ref="J52:O52" si="12">SUM(J7:J49)</f>
        <v>26712</v>
      </c>
      <c r="K52" s="64">
        <f t="shared" si="12"/>
        <v>2671.2</v>
      </c>
      <c r="L52" s="64">
        <f t="shared" si="12"/>
        <v>1335.6</v>
      </c>
      <c r="M52" s="64">
        <f t="shared" si="12"/>
        <v>0</v>
      </c>
      <c r="N52" s="37">
        <f t="shared" si="12"/>
        <v>3363802.0920000006</v>
      </c>
      <c r="O52" s="37">
        <f t="shared" si="12"/>
        <v>0</v>
      </c>
      <c r="P52" s="64">
        <f>SUM(P45:P49)</f>
        <v>636</v>
      </c>
      <c r="Q52" s="66"/>
      <c r="R52" s="98">
        <f>SUM(O7,O10:O22,O27,O30,O33,O36,O39,O40:O41)</f>
        <v>0</v>
      </c>
      <c r="S52" s="97">
        <f>SUM(O26,O29,O32,O35,O38)</f>
        <v>0</v>
      </c>
      <c r="U52"/>
    </row>
    <row r="53" spans="1:22" s="95" customFormat="1" ht="9" x14ac:dyDescent="0.15">
      <c r="A53" s="90" t="s">
        <v>309</v>
      </c>
      <c r="B53" s="31"/>
      <c r="C53" s="31"/>
      <c r="D53" s="37"/>
      <c r="E53" s="37"/>
      <c r="F53" s="37"/>
      <c r="G53" s="31"/>
      <c r="H53" s="31"/>
      <c r="I53" s="64"/>
      <c r="J53" s="64"/>
      <c r="K53" s="64"/>
      <c r="L53" s="64"/>
      <c r="M53" s="31"/>
      <c r="N53" s="37"/>
      <c r="O53" s="37"/>
      <c r="P53" s="64"/>
      <c r="Q53" s="66"/>
    </row>
    <row r="54" spans="1:22" s="95" customFormat="1" ht="9" x14ac:dyDescent="0.15">
      <c r="A54" s="90" t="s">
        <v>297</v>
      </c>
      <c r="B54" s="31" t="s">
        <v>301</v>
      </c>
      <c r="C54" s="31"/>
      <c r="D54" s="37"/>
      <c r="E54" s="37"/>
      <c r="F54" s="37"/>
      <c r="G54" s="31"/>
      <c r="H54" s="31"/>
      <c r="I54" s="64"/>
      <c r="J54" s="64"/>
      <c r="K54" s="64"/>
      <c r="L54" s="64"/>
      <c r="M54" s="31"/>
      <c r="N54" s="37"/>
      <c r="O54" s="37"/>
      <c r="P54" s="64"/>
      <c r="Q54" s="66"/>
    </row>
    <row r="55" spans="1:22" s="95" customFormat="1" ht="9" x14ac:dyDescent="0.15">
      <c r="A55" s="90" t="s">
        <v>298</v>
      </c>
      <c r="B55" s="31" t="s">
        <v>311</v>
      </c>
      <c r="C55" s="31"/>
      <c r="D55" s="37"/>
      <c r="E55" s="37"/>
      <c r="F55" s="37"/>
      <c r="G55" s="31"/>
      <c r="H55" s="31"/>
      <c r="I55" s="64"/>
      <c r="J55" s="64"/>
      <c r="K55" s="64"/>
      <c r="L55" s="64"/>
      <c r="M55" s="31"/>
      <c r="N55" s="37"/>
      <c r="O55" s="37"/>
      <c r="P55" s="64"/>
      <c r="Q55" s="66"/>
    </row>
    <row r="56" spans="1:22" s="95" customFormat="1" ht="9" x14ac:dyDescent="0.15">
      <c r="A56" s="90" t="s">
        <v>299</v>
      </c>
      <c r="B56" s="31" t="s">
        <v>311</v>
      </c>
      <c r="C56" s="31"/>
      <c r="D56" s="37"/>
      <c r="E56" s="37"/>
      <c r="F56" s="37"/>
      <c r="G56" s="31"/>
      <c r="H56" s="31"/>
      <c r="I56" s="64"/>
      <c r="J56" s="64"/>
      <c r="K56" s="64"/>
      <c r="L56" s="64"/>
      <c r="M56" s="31"/>
      <c r="N56" s="37"/>
      <c r="O56" s="37"/>
      <c r="P56" s="64"/>
      <c r="Q56" s="66" t="s">
        <v>278</v>
      </c>
    </row>
    <row r="57" spans="1:22" s="95" customFormat="1" ht="9" x14ac:dyDescent="0.15">
      <c r="A57" s="90" t="s">
        <v>300</v>
      </c>
      <c r="B57" s="31"/>
      <c r="C57" s="31"/>
      <c r="D57" s="37"/>
      <c r="E57" s="37"/>
      <c r="F57" s="37"/>
      <c r="G57" s="31"/>
      <c r="H57" s="31"/>
      <c r="I57" s="64"/>
      <c r="J57" s="64"/>
      <c r="K57" s="64"/>
      <c r="L57" s="64"/>
      <c r="M57" s="31"/>
      <c r="N57" s="37"/>
      <c r="O57" s="37"/>
      <c r="P57" s="64"/>
      <c r="Q57" s="66"/>
    </row>
    <row r="58" spans="1:22" s="95" customFormat="1" ht="9.75" customHeight="1" x14ac:dyDescent="0.15">
      <c r="A58" s="90" t="s">
        <v>307</v>
      </c>
      <c r="B58" s="31">
        <v>20</v>
      </c>
      <c r="C58" s="31"/>
      <c r="D58" s="37">
        <v>0</v>
      </c>
      <c r="E58" s="37">
        <v>0</v>
      </c>
      <c r="F58" s="37">
        <v>0</v>
      </c>
      <c r="G58" s="31">
        <v>1</v>
      </c>
      <c r="H58" s="31">
        <f t="shared" ref="H58:H64" si="13">B58*G58</f>
        <v>20</v>
      </c>
      <c r="I58" s="63">
        <v>0</v>
      </c>
      <c r="J58" s="64">
        <f t="shared" ref="J58:J64" si="14">H58*I58</f>
        <v>0</v>
      </c>
      <c r="K58" s="64">
        <f t="shared" ref="K58:K64" si="15">J58*0.1</f>
        <v>0</v>
      </c>
      <c r="L58" s="64">
        <f t="shared" ref="L58:L64" si="16">J58*0.05</f>
        <v>0</v>
      </c>
      <c r="M58" s="31"/>
      <c r="N58" s="37">
        <f>(J58*'Base Data'!$C$5)+(K58*'Base Data'!$C$6)+(L58*'Base Data'!$C$7)</f>
        <v>0</v>
      </c>
      <c r="O58" s="37">
        <f t="shared" ref="O58:O64" si="17">(D58+E58+F58)*G58*I58</f>
        <v>0</v>
      </c>
      <c r="P58" s="64">
        <v>0</v>
      </c>
      <c r="Q58" s="66" t="s">
        <v>277</v>
      </c>
    </row>
    <row r="59" spans="1:22" s="95" customFormat="1" ht="9" x14ac:dyDescent="0.15">
      <c r="A59" s="91" t="s">
        <v>303</v>
      </c>
      <c r="B59" s="31">
        <v>15</v>
      </c>
      <c r="C59" s="31">
        <v>0</v>
      </c>
      <c r="D59" s="37">
        <v>0</v>
      </c>
      <c r="E59" s="37">
        <v>0</v>
      </c>
      <c r="F59" s="37">
        <v>0</v>
      </c>
      <c r="G59" s="31">
        <v>1</v>
      </c>
      <c r="H59" s="31">
        <f t="shared" si="13"/>
        <v>15</v>
      </c>
      <c r="I59" s="63">
        <v>0</v>
      </c>
      <c r="J59" s="64">
        <f t="shared" si="14"/>
        <v>0</v>
      </c>
      <c r="K59" s="64">
        <f t="shared" si="15"/>
        <v>0</v>
      </c>
      <c r="L59" s="64">
        <f t="shared" si="16"/>
        <v>0</v>
      </c>
      <c r="M59" s="31">
        <f>C59*G59*I59</f>
        <v>0</v>
      </c>
      <c r="N59" s="37">
        <f>(J59*'Base Data'!$C$5)+(K59*'Base Data'!$C$6)+(L59*'Base Data'!$C$7)</f>
        <v>0</v>
      </c>
      <c r="O59" s="37">
        <f t="shared" si="17"/>
        <v>0</v>
      </c>
      <c r="P59" s="64">
        <v>0</v>
      </c>
      <c r="Q59" s="66" t="s">
        <v>277</v>
      </c>
      <c r="T59" s="347">
        <v>42400</v>
      </c>
      <c r="U59" s="95">
        <v>2</v>
      </c>
    </row>
    <row r="60" spans="1:22" s="95" customFormat="1" ht="9.75" customHeight="1" x14ac:dyDescent="0.15">
      <c r="A60" s="90" t="s">
        <v>304</v>
      </c>
      <c r="B60" s="31">
        <v>2</v>
      </c>
      <c r="C60" s="31"/>
      <c r="D60" s="37">
        <v>0</v>
      </c>
      <c r="E60" s="37">
        <v>0</v>
      </c>
      <c r="F60" s="37">
        <v>0</v>
      </c>
      <c r="G60" s="31">
        <v>1</v>
      </c>
      <c r="H60" s="31">
        <f t="shared" si="13"/>
        <v>2</v>
      </c>
      <c r="I60" s="63">
        <v>0</v>
      </c>
      <c r="J60" s="64">
        <f t="shared" si="14"/>
        <v>0</v>
      </c>
      <c r="K60" s="64">
        <f t="shared" si="15"/>
        <v>0</v>
      </c>
      <c r="L60" s="64">
        <f t="shared" si="16"/>
        <v>0</v>
      </c>
      <c r="M60" s="31"/>
      <c r="N60" s="37">
        <f>(J60*'Base Data'!$C$5)+(K60*'Base Data'!$C$6)+(L60*'Base Data'!$C$7)</f>
        <v>0</v>
      </c>
      <c r="O60" s="37">
        <f t="shared" si="17"/>
        <v>0</v>
      </c>
      <c r="P60" s="64">
        <v>0</v>
      </c>
      <c r="Q60" s="66" t="s">
        <v>277</v>
      </c>
      <c r="T60" s="347">
        <v>42400</v>
      </c>
      <c r="U60" s="95">
        <v>2</v>
      </c>
    </row>
    <row r="61" spans="1:22" s="95" customFormat="1" ht="9" x14ac:dyDescent="0.15">
      <c r="A61" s="91" t="s">
        <v>313</v>
      </c>
      <c r="B61" s="31">
        <v>2</v>
      </c>
      <c r="C61" s="31"/>
      <c r="D61" s="37">
        <v>0</v>
      </c>
      <c r="E61" s="37">
        <v>0</v>
      </c>
      <c r="F61" s="37">
        <v>0</v>
      </c>
      <c r="G61" s="31">
        <v>1</v>
      </c>
      <c r="H61" s="31">
        <f t="shared" si="13"/>
        <v>2</v>
      </c>
      <c r="I61" s="63">
        <v>0</v>
      </c>
      <c r="J61" s="64">
        <f t="shared" si="14"/>
        <v>0</v>
      </c>
      <c r="K61" s="64">
        <f t="shared" si="15"/>
        <v>0</v>
      </c>
      <c r="L61" s="64">
        <f t="shared" si="16"/>
        <v>0</v>
      </c>
      <c r="M61" s="31"/>
      <c r="N61" s="37">
        <f>(J61*'Base Data'!$C$5)+(K61*'Base Data'!$C$6)+(L61*'Base Data'!$C$7)</f>
        <v>0</v>
      </c>
      <c r="O61" s="37">
        <f t="shared" si="17"/>
        <v>0</v>
      </c>
      <c r="P61" s="64">
        <v>0</v>
      </c>
      <c r="Q61" s="66" t="s">
        <v>277</v>
      </c>
      <c r="T61" s="347">
        <v>42400</v>
      </c>
      <c r="U61" s="95">
        <v>2</v>
      </c>
    </row>
    <row r="62" spans="1:22" s="95" customFormat="1" ht="9" customHeight="1" x14ac:dyDescent="0.15">
      <c r="A62" s="91" t="s">
        <v>192</v>
      </c>
      <c r="B62" s="31">
        <v>2</v>
      </c>
      <c r="C62" s="31">
        <v>0</v>
      </c>
      <c r="D62" s="37">
        <v>0</v>
      </c>
      <c r="E62" s="37">
        <v>0</v>
      </c>
      <c r="F62" s="37">
        <v>0</v>
      </c>
      <c r="G62" s="31">
        <v>1</v>
      </c>
      <c r="H62" s="31">
        <f>B62*G62</f>
        <v>2</v>
      </c>
      <c r="I62" s="63">
        <v>0</v>
      </c>
      <c r="J62" s="64">
        <f>H62*I62</f>
        <v>0</v>
      </c>
      <c r="K62" s="64">
        <f t="shared" si="15"/>
        <v>0</v>
      </c>
      <c r="L62" s="64">
        <f>J62*0.05</f>
        <v>0</v>
      </c>
      <c r="M62" s="31">
        <f>C62*G62*I62</f>
        <v>0</v>
      </c>
      <c r="N62" s="37">
        <f>(J62*'Base Data'!$C$5)+(K62*'Base Data'!$C$6)+(L62*'Base Data'!$C$7)</f>
        <v>0</v>
      </c>
      <c r="O62" s="37">
        <f>(D62+E62+F62)*G62*I62</f>
        <v>0</v>
      </c>
      <c r="P62" s="64">
        <v>0</v>
      </c>
      <c r="Q62" s="66" t="s">
        <v>202</v>
      </c>
      <c r="T62" s="347">
        <v>42400</v>
      </c>
      <c r="U62" s="95">
        <v>2</v>
      </c>
      <c r="V62" s="95" t="s">
        <v>586</v>
      </c>
    </row>
    <row r="63" spans="1:22" s="95" customFormat="1" ht="18" x14ac:dyDescent="0.15">
      <c r="A63" s="91" t="s">
        <v>354</v>
      </c>
      <c r="B63" s="31">
        <v>2</v>
      </c>
      <c r="C63" s="31">
        <v>0</v>
      </c>
      <c r="D63" s="37">
        <v>0</v>
      </c>
      <c r="E63" s="37">
        <v>0</v>
      </c>
      <c r="F63" s="37">
        <v>0</v>
      </c>
      <c r="G63" s="31">
        <v>2</v>
      </c>
      <c r="H63" s="31">
        <f>B63*G63</f>
        <v>4</v>
      </c>
      <c r="I63" s="63">
        <v>0</v>
      </c>
      <c r="J63" s="64">
        <f>H63*I63</f>
        <v>0</v>
      </c>
      <c r="K63" s="64">
        <f t="shared" si="15"/>
        <v>0</v>
      </c>
      <c r="L63" s="64">
        <f>J63*0.05</f>
        <v>0</v>
      </c>
      <c r="M63" s="31">
        <f>C63*G63*I63</f>
        <v>0</v>
      </c>
      <c r="N63" s="37">
        <f>(J63*'Base Data'!$C$5)+(K63*'Base Data'!$C$6)+(L63*'Base Data'!$C$7)</f>
        <v>0</v>
      </c>
      <c r="O63" s="37">
        <f>(D63+E63+F63)*G63*I63</f>
        <v>0</v>
      </c>
      <c r="P63" s="64">
        <v>0</v>
      </c>
      <c r="Q63" s="66" t="s">
        <v>202</v>
      </c>
      <c r="T63" s="347">
        <v>42400</v>
      </c>
      <c r="U63" s="95">
        <v>2</v>
      </c>
      <c r="V63" s="95" t="s">
        <v>583</v>
      </c>
    </row>
    <row r="64" spans="1:22" s="95" customFormat="1" ht="9" x14ac:dyDescent="0.15">
      <c r="A64" s="91" t="s">
        <v>196</v>
      </c>
      <c r="B64" s="31">
        <v>0.5</v>
      </c>
      <c r="C64" s="31"/>
      <c r="D64" s="37">
        <v>0</v>
      </c>
      <c r="E64" s="37">
        <v>0</v>
      </c>
      <c r="F64" s="37">
        <v>0</v>
      </c>
      <c r="G64" s="31">
        <v>12</v>
      </c>
      <c r="H64" s="31">
        <f t="shared" si="13"/>
        <v>6</v>
      </c>
      <c r="I64" s="63">
        <v>0</v>
      </c>
      <c r="J64" s="64">
        <f t="shared" si="14"/>
        <v>0</v>
      </c>
      <c r="K64" s="64">
        <f t="shared" si="15"/>
        <v>0</v>
      </c>
      <c r="L64" s="64">
        <f t="shared" si="16"/>
        <v>0</v>
      </c>
      <c r="M64" s="31"/>
      <c r="N64" s="37">
        <f>(J64*'Base Data'!$C$5)+(K64*'Base Data'!$C$6)+(L64*'Base Data'!$C$7)</f>
        <v>0</v>
      </c>
      <c r="O64" s="37">
        <f t="shared" si="17"/>
        <v>0</v>
      </c>
      <c r="P64" s="64">
        <v>0</v>
      </c>
      <c r="Q64" s="66" t="s">
        <v>84</v>
      </c>
      <c r="T64" s="347">
        <v>42400</v>
      </c>
      <c r="U64" s="95">
        <v>2</v>
      </c>
      <c r="V64" s="95" t="s">
        <v>586</v>
      </c>
    </row>
    <row r="65" spans="1:22" s="95" customFormat="1" ht="9" x14ac:dyDescent="0.15">
      <c r="A65" s="198" t="s">
        <v>355</v>
      </c>
      <c r="B65" s="31">
        <v>0.25</v>
      </c>
      <c r="C65" s="31"/>
      <c r="D65" s="37">
        <v>0</v>
      </c>
      <c r="E65" s="37">
        <v>0</v>
      </c>
      <c r="F65" s="37">
        <v>0</v>
      </c>
      <c r="G65" s="31">
        <v>1</v>
      </c>
      <c r="H65" s="31">
        <f>B65*G65</f>
        <v>0.25</v>
      </c>
      <c r="I65" s="64">
        <v>0</v>
      </c>
      <c r="J65" s="63">
        <f>H65*I65</f>
        <v>0</v>
      </c>
      <c r="K65" s="63">
        <f>J65*0.1</f>
        <v>0</v>
      </c>
      <c r="L65" s="63">
        <f>J65*0.05</f>
        <v>0</v>
      </c>
      <c r="M65" s="31">
        <f>C65*G65*I65</f>
        <v>0</v>
      </c>
      <c r="N65" s="37">
        <f>(J65*'Base Data'!$C$5)+(K65*'Base Data'!$C$6)+(L65*'Base Data'!$C$7)</f>
        <v>0</v>
      </c>
      <c r="O65" s="37">
        <f>(D65+E65+F65)*G65*I65</f>
        <v>0</v>
      </c>
      <c r="P65" s="64">
        <v>0</v>
      </c>
      <c r="Q65" s="66" t="s">
        <v>277</v>
      </c>
      <c r="T65" s="347">
        <v>42400</v>
      </c>
      <c r="U65" s="95">
        <v>2</v>
      </c>
      <c r="V65" s="95" t="s">
        <v>585</v>
      </c>
    </row>
    <row r="66" spans="1:22" s="95" customFormat="1" ht="9" x14ac:dyDescent="0.15">
      <c r="A66" s="90" t="s">
        <v>305</v>
      </c>
      <c r="B66" s="31">
        <v>40</v>
      </c>
      <c r="C66" s="31"/>
      <c r="D66" s="37">
        <v>0</v>
      </c>
      <c r="E66" s="37">
        <v>0</v>
      </c>
      <c r="F66" s="37">
        <v>0</v>
      </c>
      <c r="G66" s="31">
        <v>1</v>
      </c>
      <c r="H66" s="31">
        <f>B66*G66</f>
        <v>40</v>
      </c>
      <c r="I66" s="63">
        <v>0</v>
      </c>
      <c r="J66" s="64">
        <f>H66*I66</f>
        <v>0</v>
      </c>
      <c r="K66" s="64">
        <f>J66*0.1</f>
        <v>0</v>
      </c>
      <c r="L66" s="64">
        <f>J66*0.05</f>
        <v>0</v>
      </c>
      <c r="M66" s="31"/>
      <c r="N66" s="37">
        <f>(J66*'Base Data'!$C$5)+(K66*'Base Data'!$C$6)+(L66*'Base Data'!$C$7)</f>
        <v>0</v>
      </c>
      <c r="O66" s="37">
        <f>(D66+E66+F66)*G66*I66</f>
        <v>0</v>
      </c>
      <c r="P66" s="64">
        <v>0</v>
      </c>
      <c r="Q66" s="66" t="s">
        <v>405</v>
      </c>
      <c r="T66" s="95" t="s">
        <v>574</v>
      </c>
    </row>
    <row r="67" spans="1:22" s="95" customFormat="1" x14ac:dyDescent="0.2">
      <c r="A67" s="94" t="s">
        <v>306</v>
      </c>
      <c r="B67" s="31" t="s">
        <v>311</v>
      </c>
      <c r="C67" s="31"/>
      <c r="D67" s="37"/>
      <c r="E67" s="37"/>
      <c r="F67" s="37"/>
      <c r="G67" s="31"/>
      <c r="H67" s="31"/>
      <c r="I67" s="64"/>
      <c r="J67" s="64"/>
      <c r="K67" s="64"/>
      <c r="L67" s="64"/>
      <c r="M67" s="31"/>
      <c r="N67" s="37"/>
      <c r="O67" s="37"/>
      <c r="P67" s="64"/>
      <c r="Q67" s="66"/>
      <c r="R67" s="109"/>
    </row>
    <row r="68" spans="1:22" s="95" customFormat="1" x14ac:dyDescent="0.2">
      <c r="A68" s="104" t="s">
        <v>23</v>
      </c>
      <c r="B68" s="139"/>
      <c r="C68" s="139"/>
      <c r="D68" s="140"/>
      <c r="E68" s="140"/>
      <c r="F68" s="140"/>
      <c r="G68" s="139"/>
      <c r="H68" s="139"/>
      <c r="I68" s="141"/>
      <c r="J68" s="141">
        <f t="shared" ref="J68:P68" si="18">SUM(J54:J67)</f>
        <v>0</v>
      </c>
      <c r="K68" s="141">
        <f t="shared" si="18"/>
        <v>0</v>
      </c>
      <c r="L68" s="141">
        <f t="shared" si="18"/>
        <v>0</v>
      </c>
      <c r="M68" s="140">
        <f t="shared" si="18"/>
        <v>0</v>
      </c>
      <c r="N68" s="140">
        <f t="shared" si="18"/>
        <v>0</v>
      </c>
      <c r="O68" s="140">
        <f t="shared" si="18"/>
        <v>0</v>
      </c>
      <c r="P68" s="141">
        <f t="shared" si="18"/>
        <v>0</v>
      </c>
      <c r="Q68" s="142"/>
      <c r="R68" s="77"/>
    </row>
    <row r="69" spans="1:22" s="109" customFormat="1" x14ac:dyDescent="0.2">
      <c r="A69" s="110" t="s">
        <v>283</v>
      </c>
      <c r="B69" s="111"/>
      <c r="C69" s="111"/>
      <c r="D69" s="111"/>
      <c r="E69" s="111"/>
      <c r="F69" s="112"/>
      <c r="G69" s="111"/>
      <c r="H69" s="111"/>
      <c r="I69" s="113"/>
      <c r="J69" s="114">
        <f t="shared" ref="J69:P69" si="19">J52+J68</f>
        <v>26712</v>
      </c>
      <c r="K69" s="114">
        <f t="shared" si="19"/>
        <v>2671.2</v>
      </c>
      <c r="L69" s="114">
        <f t="shared" si="19"/>
        <v>1335.6</v>
      </c>
      <c r="M69" s="115">
        <f t="shared" si="19"/>
        <v>0</v>
      </c>
      <c r="N69" s="115">
        <f t="shared" si="19"/>
        <v>3363802.0920000006</v>
      </c>
      <c r="O69" s="115">
        <f t="shared" si="19"/>
        <v>0</v>
      </c>
      <c r="P69" s="114">
        <f t="shared" si="19"/>
        <v>636</v>
      </c>
      <c r="Q69" s="116"/>
      <c r="R69" s="38"/>
    </row>
    <row r="70" spans="1:22" ht="6" customHeight="1" x14ac:dyDescent="0.2">
      <c r="R70" s="38"/>
    </row>
    <row r="71" spans="1:22" s="38" customFormat="1" ht="9" x14ac:dyDescent="0.15">
      <c r="A71" s="38" t="s">
        <v>453</v>
      </c>
      <c r="B71" s="41"/>
      <c r="C71" s="41"/>
      <c r="D71" s="41"/>
      <c r="E71" s="41"/>
      <c r="F71" s="41"/>
      <c r="G71" s="41"/>
      <c r="H71" s="41"/>
      <c r="I71" s="42"/>
      <c r="J71" s="41"/>
      <c r="K71" s="41"/>
      <c r="L71" s="41"/>
      <c r="M71" s="41"/>
      <c r="N71" s="41"/>
      <c r="O71" s="121"/>
      <c r="P71" s="121"/>
      <c r="Q71" s="41"/>
      <c r="S71" s="41"/>
    </row>
    <row r="72" spans="1:22" s="38" customFormat="1" ht="19.5" customHeight="1" x14ac:dyDescent="0.15">
      <c r="A72" s="682" t="s">
        <v>450</v>
      </c>
      <c r="B72" s="682"/>
      <c r="C72" s="682"/>
      <c r="D72" s="682"/>
      <c r="E72" s="682"/>
      <c r="F72" s="682"/>
      <c r="G72" s="682"/>
      <c r="H72" s="682"/>
      <c r="I72" s="682"/>
      <c r="J72" s="682"/>
      <c r="K72" s="682"/>
      <c r="L72" s="682"/>
      <c r="M72" s="682"/>
      <c r="N72" s="682"/>
      <c r="O72" s="682"/>
      <c r="P72" s="315"/>
      <c r="Q72" s="41"/>
      <c r="R72" s="682"/>
      <c r="S72" s="682"/>
    </row>
    <row r="73" spans="1:22" s="38" customFormat="1" ht="9" customHeight="1" x14ac:dyDescent="0.15">
      <c r="A73" s="682" t="s">
        <v>270</v>
      </c>
      <c r="B73" s="682"/>
      <c r="C73" s="682"/>
      <c r="D73" s="682"/>
      <c r="E73" s="682"/>
      <c r="F73" s="682"/>
      <c r="G73" s="682"/>
      <c r="H73" s="682"/>
      <c r="I73" s="682"/>
      <c r="J73" s="682"/>
      <c r="K73" s="682"/>
      <c r="L73" s="682"/>
      <c r="M73" s="682"/>
      <c r="N73" s="682"/>
      <c r="O73" s="682"/>
      <c r="P73" s="315"/>
      <c r="Q73" s="41"/>
      <c r="R73" s="682"/>
      <c r="S73" s="682"/>
    </row>
    <row r="74" spans="1:22" s="38" customFormat="1" ht="20.25" customHeight="1" x14ac:dyDescent="0.15">
      <c r="A74" s="682" t="s">
        <v>88</v>
      </c>
      <c r="B74" s="682"/>
      <c r="C74" s="682"/>
      <c r="D74" s="682"/>
      <c r="E74" s="682"/>
      <c r="F74" s="682"/>
      <c r="G74" s="682"/>
      <c r="H74" s="682"/>
      <c r="I74" s="682"/>
      <c r="J74" s="682"/>
      <c r="K74" s="682"/>
      <c r="L74" s="682"/>
      <c r="M74" s="682"/>
      <c r="N74" s="682"/>
      <c r="O74" s="682"/>
      <c r="P74" s="682"/>
      <c r="Q74" s="682"/>
      <c r="R74" s="682"/>
      <c r="S74" s="682"/>
    </row>
    <row r="75" spans="1:22" s="38" customFormat="1" ht="9" customHeight="1" x14ac:dyDescent="0.15">
      <c r="A75" s="38" t="s">
        <v>317</v>
      </c>
      <c r="B75" s="41"/>
      <c r="C75" s="41"/>
      <c r="D75" s="41"/>
      <c r="E75" s="41"/>
      <c r="F75" s="41"/>
      <c r="G75" s="41"/>
      <c r="H75" s="41"/>
      <c r="I75" s="42"/>
      <c r="J75" s="41"/>
      <c r="K75" s="41"/>
      <c r="L75" s="41"/>
      <c r="M75" s="41"/>
      <c r="N75" s="41"/>
      <c r="O75" s="121"/>
      <c r="P75" s="121"/>
      <c r="Q75" s="41"/>
      <c r="S75" s="41"/>
    </row>
    <row r="76" spans="1:22" s="38" customFormat="1" ht="9" x14ac:dyDescent="0.15">
      <c r="A76" s="682" t="s">
        <v>396</v>
      </c>
      <c r="B76" s="682"/>
      <c r="C76" s="682"/>
      <c r="D76" s="682"/>
      <c r="E76" s="682"/>
      <c r="F76" s="682"/>
      <c r="G76" s="682"/>
      <c r="H76" s="682"/>
      <c r="I76" s="682"/>
      <c r="J76" s="682"/>
      <c r="K76" s="682"/>
      <c r="L76" s="682"/>
      <c r="M76" s="682"/>
      <c r="N76" s="41"/>
      <c r="O76" s="121"/>
      <c r="P76" s="121"/>
      <c r="Q76" s="41"/>
      <c r="S76" s="41"/>
    </row>
    <row r="77" spans="1:22" s="38" customFormat="1" ht="9" x14ac:dyDescent="0.15">
      <c r="A77" s="38" t="s">
        <v>188</v>
      </c>
      <c r="B77" s="41"/>
      <c r="C77" s="41"/>
      <c r="D77" s="41"/>
      <c r="E77" s="41"/>
      <c r="F77" s="41"/>
      <c r="G77" s="41"/>
      <c r="H77" s="41"/>
      <c r="I77" s="42"/>
      <c r="J77" s="41"/>
      <c r="K77" s="41"/>
      <c r="L77" s="41"/>
      <c r="M77" s="41"/>
      <c r="N77" s="41"/>
      <c r="O77" s="121"/>
      <c r="P77" s="121"/>
      <c r="Q77" s="41"/>
      <c r="S77" s="41"/>
    </row>
    <row r="78" spans="1:22" s="38" customFormat="1" ht="9" x14ac:dyDescent="0.15">
      <c r="A78" s="38" t="s">
        <v>509</v>
      </c>
      <c r="B78" s="41"/>
      <c r="C78" s="41"/>
      <c r="D78" s="41"/>
      <c r="E78" s="41"/>
      <c r="F78" s="41"/>
      <c r="G78" s="41"/>
      <c r="H78" s="41"/>
      <c r="I78" s="42"/>
      <c r="J78" s="41"/>
      <c r="K78" s="41"/>
      <c r="L78" s="41"/>
      <c r="M78" s="41"/>
      <c r="N78" s="41"/>
      <c r="O78" s="121"/>
      <c r="P78" s="121"/>
      <c r="Q78" s="41"/>
      <c r="S78" s="41"/>
    </row>
    <row r="79" spans="1:22" s="38" customFormat="1" ht="9" x14ac:dyDescent="0.15">
      <c r="A79" s="38" t="s">
        <v>400</v>
      </c>
      <c r="B79" s="41"/>
      <c r="C79" s="41"/>
      <c r="D79" s="41"/>
      <c r="E79" s="41"/>
      <c r="F79" s="41"/>
      <c r="G79" s="41"/>
      <c r="H79" s="41"/>
      <c r="I79" s="42"/>
      <c r="J79" s="41"/>
      <c r="K79" s="41"/>
      <c r="L79" s="41"/>
      <c r="M79" s="41"/>
      <c r="N79" s="41"/>
      <c r="O79" s="121"/>
      <c r="P79" s="121"/>
      <c r="Q79" s="41"/>
      <c r="S79" s="41"/>
    </row>
    <row r="80" spans="1:22" s="38" customFormat="1" ht="9" customHeight="1" x14ac:dyDescent="0.15">
      <c r="A80" s="682" t="s">
        <v>454</v>
      </c>
      <c r="B80" s="682"/>
      <c r="C80" s="682"/>
      <c r="D80" s="682"/>
      <c r="E80" s="682"/>
      <c r="F80" s="682"/>
      <c r="G80" s="682"/>
      <c r="H80" s="682"/>
      <c r="I80" s="682"/>
      <c r="J80" s="682"/>
      <c r="K80" s="682"/>
      <c r="L80" s="682"/>
      <c r="M80" s="682"/>
      <c r="N80" s="682"/>
      <c r="O80" s="682"/>
      <c r="P80" s="682"/>
      <c r="Q80" s="682"/>
      <c r="R80" s="682"/>
      <c r="S80" s="682"/>
    </row>
    <row r="81" spans="1:19" s="38" customFormat="1" ht="9" x14ac:dyDescent="0.15">
      <c r="A81" s="69" t="s">
        <v>193</v>
      </c>
      <c r="B81" s="41"/>
      <c r="C81" s="41"/>
      <c r="D81" s="41"/>
      <c r="E81" s="41"/>
      <c r="F81" s="41"/>
      <c r="G81" s="41"/>
      <c r="H81" s="41"/>
      <c r="I81" s="42"/>
      <c r="J81" s="41"/>
      <c r="K81" s="41"/>
      <c r="L81" s="41"/>
      <c r="M81" s="41"/>
      <c r="N81" s="41"/>
      <c r="O81" s="121"/>
      <c r="P81" s="121"/>
      <c r="Q81" s="41"/>
      <c r="R81" s="69"/>
      <c r="S81" s="41"/>
    </row>
    <row r="82" spans="1:19" s="38" customFormat="1" ht="9" x14ac:dyDescent="0.15">
      <c r="A82" s="212" t="s">
        <v>195</v>
      </c>
      <c r="B82" s="41"/>
      <c r="C82" s="41"/>
      <c r="D82" s="41"/>
      <c r="E82" s="41"/>
      <c r="F82" s="41"/>
      <c r="G82" s="41"/>
      <c r="H82" s="41"/>
      <c r="I82" s="42"/>
      <c r="J82" s="41"/>
      <c r="K82" s="41"/>
      <c r="L82" s="41"/>
      <c r="M82" s="41"/>
      <c r="N82" s="41"/>
      <c r="O82" s="121"/>
      <c r="P82" s="121"/>
      <c r="Q82" s="41"/>
    </row>
    <row r="83" spans="1:19" s="87" customFormat="1" ht="9" x14ac:dyDescent="0.15">
      <c r="A83" s="87" t="s">
        <v>403</v>
      </c>
      <c r="N83" s="74"/>
      <c r="O83" s="89"/>
      <c r="P83" s="89"/>
      <c r="Q83" s="74"/>
    </row>
    <row r="84" spans="1:19" s="87" customFormat="1" ht="9" x14ac:dyDescent="0.15">
      <c r="A84" s="38" t="s">
        <v>404</v>
      </c>
      <c r="B84" s="74"/>
      <c r="C84" s="74"/>
      <c r="D84" s="74"/>
      <c r="E84" s="74"/>
      <c r="F84" s="74"/>
      <c r="G84" s="74"/>
      <c r="H84" s="74"/>
      <c r="I84" s="88"/>
      <c r="J84" s="74"/>
      <c r="K84" s="74"/>
      <c r="L84" s="74"/>
      <c r="M84" s="74"/>
      <c r="N84" s="74"/>
      <c r="O84" s="89"/>
      <c r="P84" s="89"/>
      <c r="Q84" s="74"/>
    </row>
    <row r="85" spans="1:19" s="38" customFormat="1" ht="20.25" customHeight="1" x14ac:dyDescent="0.15">
      <c r="A85" s="682" t="s">
        <v>565</v>
      </c>
      <c r="B85" s="682"/>
      <c r="C85" s="682"/>
      <c r="D85" s="682"/>
      <c r="E85" s="682"/>
      <c r="F85" s="682"/>
      <c r="G85" s="682"/>
      <c r="H85" s="682"/>
      <c r="I85" s="682"/>
      <c r="J85" s="682"/>
      <c r="K85" s="682"/>
      <c r="L85" s="682"/>
      <c r="M85" s="682"/>
      <c r="N85" s="682"/>
      <c r="O85" s="682"/>
      <c r="P85" s="682"/>
      <c r="Q85" s="682"/>
    </row>
    <row r="86" spans="1:19" s="38" customFormat="1" ht="9" x14ac:dyDescent="0.15">
      <c r="A86" s="682" t="s">
        <v>553</v>
      </c>
      <c r="B86" s="682"/>
      <c r="C86" s="682"/>
      <c r="D86" s="682"/>
      <c r="E86" s="682"/>
      <c r="F86" s="682"/>
      <c r="G86" s="682"/>
      <c r="H86" s="682"/>
      <c r="I86" s="682"/>
      <c r="J86" s="682"/>
      <c r="K86" s="682"/>
      <c r="L86" s="682"/>
      <c r="M86" s="682"/>
      <c r="N86" s="682"/>
      <c r="O86" s="682"/>
      <c r="P86" s="682"/>
      <c r="Q86" s="682"/>
    </row>
    <row r="87" spans="1:19" s="38" customFormat="1" ht="9" x14ac:dyDescent="0.15">
      <c r="A87" s="682"/>
      <c r="B87" s="682"/>
      <c r="C87" s="682"/>
      <c r="D87" s="682"/>
      <c r="E87" s="682"/>
      <c r="F87" s="682"/>
      <c r="G87" s="682"/>
      <c r="H87" s="682"/>
      <c r="I87" s="682"/>
      <c r="J87" s="682"/>
      <c r="K87" s="682"/>
      <c r="L87" s="682"/>
      <c r="M87" s="682"/>
      <c r="N87" s="682"/>
      <c r="O87" s="682"/>
      <c r="P87" s="682"/>
      <c r="Q87" s="682"/>
    </row>
    <row r="88" spans="1:19" s="38" customFormat="1" ht="9" x14ac:dyDescent="0.15">
      <c r="A88" s="682"/>
      <c r="B88" s="682"/>
      <c r="C88" s="682"/>
      <c r="D88" s="682"/>
      <c r="E88" s="682"/>
      <c r="F88" s="682"/>
      <c r="G88" s="682"/>
      <c r="H88" s="682"/>
      <c r="I88" s="682"/>
      <c r="J88" s="682"/>
      <c r="K88" s="682"/>
      <c r="L88" s="682"/>
      <c r="M88" s="682"/>
      <c r="N88" s="682"/>
      <c r="O88" s="682"/>
      <c r="P88" s="682"/>
      <c r="Q88" s="682"/>
    </row>
    <row r="89" spans="1:19" s="38" customFormat="1" ht="9" x14ac:dyDescent="0.15">
      <c r="B89" s="41"/>
      <c r="C89" s="41"/>
      <c r="D89" s="41"/>
      <c r="E89" s="41"/>
      <c r="F89" s="41"/>
      <c r="G89" s="41"/>
      <c r="H89" s="41"/>
      <c r="I89" s="42"/>
      <c r="J89" s="41"/>
      <c r="K89" s="41"/>
      <c r="L89" s="41"/>
      <c r="M89" s="41"/>
      <c r="N89" s="41"/>
      <c r="O89" s="121"/>
      <c r="P89" s="121"/>
      <c r="Q89" s="41"/>
    </row>
    <row r="90" spans="1:19" s="38" customFormat="1" ht="9" x14ac:dyDescent="0.15">
      <c r="B90" s="41"/>
      <c r="C90" s="41"/>
      <c r="D90" s="41"/>
      <c r="E90" s="41"/>
      <c r="F90" s="41"/>
      <c r="G90" s="41"/>
      <c r="H90" s="41"/>
      <c r="I90" s="42"/>
      <c r="J90" s="41"/>
      <c r="K90" s="41"/>
      <c r="L90" s="41"/>
      <c r="M90" s="41"/>
      <c r="N90" s="41"/>
      <c r="O90" s="121"/>
      <c r="P90" s="121"/>
      <c r="Q90" s="41"/>
    </row>
    <row r="91" spans="1:19" s="38" customFormat="1" ht="9" x14ac:dyDescent="0.15">
      <c r="B91" s="41"/>
      <c r="C91" s="41"/>
      <c r="D91" s="41"/>
      <c r="E91" s="41"/>
      <c r="F91" s="41"/>
      <c r="G91" s="41"/>
      <c r="H91" s="41"/>
      <c r="I91" s="42"/>
      <c r="J91" s="41"/>
      <c r="K91" s="41"/>
      <c r="L91" s="41"/>
      <c r="M91" s="41"/>
      <c r="N91" s="41"/>
      <c r="O91" s="121"/>
      <c r="P91" s="121"/>
      <c r="Q91" s="41"/>
    </row>
    <row r="92" spans="1:19" s="38" customFormat="1" ht="9" x14ac:dyDescent="0.15">
      <c r="B92" s="41"/>
      <c r="C92" s="41"/>
      <c r="D92" s="41"/>
      <c r="E92" s="41"/>
      <c r="F92" s="41"/>
      <c r="G92" s="41"/>
      <c r="H92" s="41"/>
      <c r="I92" s="42"/>
      <c r="J92" s="41"/>
      <c r="K92" s="41"/>
      <c r="L92" s="41"/>
      <c r="M92" s="41"/>
      <c r="N92" s="41"/>
      <c r="O92" s="121"/>
      <c r="P92" s="121"/>
      <c r="Q92" s="41"/>
    </row>
    <row r="93" spans="1:19" s="38" customFormat="1" ht="9" x14ac:dyDescent="0.15">
      <c r="B93" s="41"/>
      <c r="C93" s="41"/>
      <c r="D93" s="41"/>
      <c r="E93" s="41"/>
      <c r="F93" s="41"/>
      <c r="G93" s="41"/>
      <c r="H93" s="41"/>
      <c r="I93" s="42"/>
      <c r="J93" s="41"/>
      <c r="K93" s="41"/>
      <c r="L93" s="41"/>
      <c r="M93" s="41"/>
      <c r="N93" s="41"/>
      <c r="O93" s="121"/>
      <c r="P93" s="121"/>
      <c r="Q93" s="41"/>
    </row>
    <row r="94" spans="1:19" s="38" customFormat="1" ht="9" x14ac:dyDescent="0.15">
      <c r="B94" s="41"/>
      <c r="C94" s="41"/>
      <c r="D94" s="41"/>
      <c r="E94" s="41"/>
      <c r="F94" s="41"/>
      <c r="G94" s="41"/>
      <c r="H94" s="41"/>
      <c r="I94" s="42"/>
      <c r="J94" s="41"/>
      <c r="K94" s="41"/>
      <c r="L94" s="41"/>
      <c r="M94" s="41"/>
      <c r="N94" s="41"/>
      <c r="O94" s="121"/>
      <c r="P94" s="121"/>
      <c r="Q94" s="41"/>
    </row>
    <row r="95" spans="1:19" s="38" customFormat="1" ht="9" x14ac:dyDescent="0.15">
      <c r="B95" s="41"/>
      <c r="C95" s="41"/>
      <c r="D95" s="41"/>
      <c r="E95" s="41"/>
      <c r="F95" s="41"/>
      <c r="G95" s="41"/>
      <c r="H95" s="41"/>
      <c r="I95" s="42"/>
      <c r="J95" s="41"/>
      <c r="K95" s="41"/>
      <c r="L95" s="41"/>
      <c r="M95" s="41"/>
      <c r="N95" s="41"/>
      <c r="O95" s="121"/>
      <c r="P95" s="121"/>
      <c r="Q95" s="41"/>
    </row>
    <row r="96" spans="1:19"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8" s="38" customFormat="1" ht="9" x14ac:dyDescent="0.15">
      <c r="B113" s="41"/>
      <c r="C113" s="41"/>
      <c r="D113" s="41"/>
      <c r="E113" s="41"/>
      <c r="F113" s="41"/>
      <c r="G113" s="41"/>
      <c r="H113" s="41"/>
      <c r="I113" s="42"/>
      <c r="J113" s="41"/>
      <c r="K113" s="41"/>
      <c r="L113" s="41"/>
      <c r="M113" s="41"/>
      <c r="N113" s="41"/>
      <c r="O113" s="121"/>
      <c r="P113" s="121"/>
      <c r="Q113" s="41"/>
    </row>
    <row r="114" spans="2:18" s="38" customFormat="1" ht="9" x14ac:dyDescent="0.15">
      <c r="B114" s="41"/>
      <c r="C114" s="41"/>
      <c r="D114" s="41"/>
      <c r="E114" s="41"/>
      <c r="F114" s="41"/>
      <c r="G114" s="41"/>
      <c r="H114" s="41"/>
      <c r="I114" s="42"/>
      <c r="J114" s="41"/>
      <c r="K114" s="41"/>
      <c r="L114" s="41"/>
      <c r="M114" s="41"/>
      <c r="N114" s="41"/>
      <c r="O114" s="121"/>
      <c r="P114" s="121"/>
      <c r="Q114" s="41"/>
    </row>
    <row r="115" spans="2:18" s="38" customFormat="1" ht="9" x14ac:dyDescent="0.15">
      <c r="B115" s="41"/>
      <c r="C115" s="41"/>
      <c r="D115" s="41"/>
      <c r="E115" s="41"/>
      <c r="F115" s="41"/>
      <c r="G115" s="41"/>
      <c r="H115" s="41"/>
      <c r="I115" s="42"/>
      <c r="J115" s="41"/>
      <c r="K115" s="41"/>
      <c r="L115" s="41"/>
      <c r="M115" s="41"/>
      <c r="N115" s="41"/>
      <c r="O115" s="121"/>
      <c r="P115" s="121"/>
      <c r="Q115" s="41"/>
    </row>
    <row r="116" spans="2:18" s="38" customFormat="1" ht="9" x14ac:dyDescent="0.15">
      <c r="B116" s="41"/>
      <c r="C116" s="41"/>
      <c r="D116" s="41"/>
      <c r="E116" s="41"/>
      <c r="F116" s="41"/>
      <c r="G116" s="41"/>
      <c r="H116" s="41"/>
      <c r="I116" s="42"/>
      <c r="J116" s="41"/>
      <c r="K116" s="41"/>
      <c r="L116" s="41"/>
      <c r="M116" s="41"/>
      <c r="N116" s="41"/>
      <c r="O116" s="121"/>
      <c r="P116" s="121"/>
      <c r="Q116" s="41"/>
    </row>
    <row r="117" spans="2:18" s="38" customFormat="1" ht="9" x14ac:dyDescent="0.15">
      <c r="B117" s="41"/>
      <c r="C117" s="41"/>
      <c r="D117" s="41"/>
      <c r="E117" s="41"/>
      <c r="F117" s="41"/>
      <c r="G117" s="41"/>
      <c r="H117" s="41"/>
      <c r="I117" s="42"/>
      <c r="J117" s="41"/>
      <c r="K117" s="41"/>
      <c r="L117" s="41"/>
      <c r="M117" s="41"/>
      <c r="N117" s="41"/>
      <c r="O117" s="121"/>
      <c r="P117" s="121"/>
      <c r="Q117" s="41"/>
    </row>
    <row r="118" spans="2:18" s="38" customFormat="1" ht="9" x14ac:dyDescent="0.15">
      <c r="B118" s="41"/>
      <c r="C118" s="41"/>
      <c r="D118" s="41"/>
      <c r="E118" s="41"/>
      <c r="F118" s="41"/>
      <c r="G118" s="41"/>
      <c r="H118" s="41"/>
      <c r="I118" s="42"/>
      <c r="J118" s="41"/>
      <c r="K118" s="41"/>
      <c r="L118" s="41"/>
      <c r="M118" s="41"/>
      <c r="N118" s="41"/>
      <c r="O118" s="121"/>
      <c r="P118" s="121"/>
      <c r="Q118" s="41"/>
    </row>
    <row r="119" spans="2:18" s="38" customFormat="1" ht="9" x14ac:dyDescent="0.15">
      <c r="B119" s="41"/>
      <c r="C119" s="41"/>
      <c r="D119" s="41"/>
      <c r="E119" s="41"/>
      <c r="F119" s="41"/>
      <c r="G119" s="41"/>
      <c r="H119" s="41"/>
      <c r="I119" s="42"/>
      <c r="J119" s="41"/>
      <c r="K119" s="41"/>
      <c r="L119" s="41"/>
      <c r="M119" s="41"/>
      <c r="N119" s="41"/>
      <c r="O119" s="121"/>
      <c r="P119" s="121"/>
      <c r="Q119" s="41"/>
    </row>
    <row r="120" spans="2:18" s="38" customFormat="1" ht="9" x14ac:dyDescent="0.15">
      <c r="B120" s="41"/>
      <c r="C120" s="41"/>
      <c r="D120" s="41"/>
      <c r="E120" s="41"/>
      <c r="F120" s="41"/>
      <c r="G120" s="41"/>
      <c r="H120" s="41"/>
      <c r="I120" s="42"/>
      <c r="J120" s="41"/>
      <c r="K120" s="41"/>
      <c r="L120" s="41"/>
      <c r="M120" s="41"/>
      <c r="N120" s="41"/>
      <c r="O120" s="121"/>
      <c r="P120" s="121"/>
      <c r="Q120" s="41"/>
    </row>
    <row r="121" spans="2:18" s="38" customFormat="1" ht="9" x14ac:dyDescent="0.15">
      <c r="B121" s="41"/>
      <c r="C121" s="41"/>
      <c r="D121" s="41"/>
      <c r="E121" s="41"/>
      <c r="F121" s="41"/>
      <c r="G121" s="41"/>
      <c r="H121" s="41"/>
      <c r="I121" s="42"/>
      <c r="J121" s="41"/>
      <c r="K121" s="41"/>
      <c r="L121" s="41"/>
      <c r="M121" s="41"/>
      <c r="N121" s="41"/>
      <c r="O121" s="121"/>
      <c r="P121" s="121"/>
      <c r="Q121" s="41"/>
    </row>
    <row r="122" spans="2:18" s="38" customFormat="1" ht="9" x14ac:dyDescent="0.15">
      <c r="B122" s="41"/>
      <c r="C122" s="41"/>
      <c r="D122" s="41"/>
      <c r="E122" s="41"/>
      <c r="F122" s="41"/>
      <c r="G122" s="41"/>
      <c r="H122" s="41"/>
      <c r="I122" s="42"/>
      <c r="J122" s="41"/>
      <c r="K122" s="41"/>
      <c r="L122" s="41"/>
      <c r="M122" s="41"/>
      <c r="N122" s="41"/>
      <c r="O122" s="121"/>
      <c r="P122" s="121"/>
      <c r="Q122" s="41"/>
    </row>
    <row r="123" spans="2:18" s="38" customFormat="1" ht="9" x14ac:dyDescent="0.15">
      <c r="B123" s="41"/>
      <c r="C123" s="41"/>
      <c r="D123" s="41"/>
      <c r="E123" s="41"/>
      <c r="F123" s="41"/>
      <c r="G123" s="41"/>
      <c r="H123" s="41"/>
      <c r="I123" s="42"/>
      <c r="J123" s="41"/>
      <c r="K123" s="41"/>
      <c r="L123" s="41"/>
      <c r="M123" s="41"/>
      <c r="N123" s="41"/>
      <c r="O123" s="121"/>
      <c r="P123" s="121"/>
      <c r="Q123" s="41"/>
    </row>
    <row r="124" spans="2:18" s="38" customFormat="1" ht="9" x14ac:dyDescent="0.15">
      <c r="B124" s="41"/>
      <c r="C124" s="41"/>
      <c r="D124" s="41"/>
      <c r="E124" s="41"/>
      <c r="F124" s="41"/>
      <c r="G124" s="41"/>
      <c r="H124" s="41"/>
      <c r="I124" s="42"/>
      <c r="J124" s="41"/>
      <c r="K124" s="41"/>
      <c r="L124" s="41"/>
      <c r="M124" s="41"/>
      <c r="N124" s="41"/>
      <c r="O124" s="121"/>
      <c r="P124" s="121"/>
      <c r="Q124" s="41"/>
    </row>
    <row r="125" spans="2:18" s="38" customFormat="1" ht="9" x14ac:dyDescent="0.15">
      <c r="B125" s="41"/>
      <c r="C125" s="41"/>
      <c r="D125" s="41"/>
      <c r="E125" s="41"/>
      <c r="F125" s="41"/>
      <c r="G125" s="41"/>
      <c r="H125" s="41"/>
      <c r="I125" s="42"/>
      <c r="J125" s="41"/>
      <c r="K125" s="41"/>
      <c r="L125" s="41"/>
      <c r="M125" s="41"/>
      <c r="N125" s="41"/>
      <c r="O125" s="121"/>
      <c r="P125" s="121"/>
      <c r="Q125" s="41"/>
    </row>
    <row r="126" spans="2:18" s="38" customFormat="1" ht="9" x14ac:dyDescent="0.15">
      <c r="B126" s="41"/>
      <c r="C126" s="41"/>
      <c r="D126" s="41"/>
      <c r="E126" s="41"/>
      <c r="F126" s="41"/>
      <c r="G126" s="41"/>
      <c r="H126" s="41"/>
      <c r="I126" s="42"/>
      <c r="J126" s="41"/>
      <c r="K126" s="41"/>
      <c r="L126" s="41"/>
      <c r="M126" s="41"/>
      <c r="N126" s="41"/>
      <c r="O126" s="121"/>
      <c r="P126" s="121"/>
      <c r="Q126" s="41"/>
    </row>
    <row r="127" spans="2:18" s="38" customFormat="1" ht="9" x14ac:dyDescent="0.15">
      <c r="B127" s="41"/>
      <c r="C127" s="41"/>
      <c r="D127" s="41"/>
      <c r="E127" s="41"/>
      <c r="F127" s="41"/>
      <c r="G127" s="41"/>
      <c r="H127" s="41"/>
      <c r="I127" s="42"/>
      <c r="J127" s="41"/>
      <c r="K127" s="41"/>
      <c r="L127" s="41"/>
      <c r="M127" s="41"/>
      <c r="N127" s="41"/>
      <c r="O127" s="121"/>
      <c r="P127" s="121"/>
      <c r="Q127" s="41"/>
    </row>
    <row r="128" spans="2:18" s="38" customFormat="1" x14ac:dyDescent="0.2">
      <c r="B128" s="41"/>
      <c r="C128" s="41"/>
      <c r="D128" s="41"/>
      <c r="E128" s="41"/>
      <c r="F128" s="41"/>
      <c r="G128" s="41"/>
      <c r="H128" s="41"/>
      <c r="I128" s="42"/>
      <c r="J128" s="41"/>
      <c r="K128" s="41"/>
      <c r="L128" s="41"/>
      <c r="M128" s="41"/>
      <c r="N128" s="41"/>
      <c r="O128" s="121"/>
      <c r="P128" s="121"/>
      <c r="Q128" s="41"/>
      <c r="R128" s="77"/>
    </row>
    <row r="129" spans="2:18" s="38" customFormat="1" x14ac:dyDescent="0.2">
      <c r="B129" s="41"/>
      <c r="C129" s="41"/>
      <c r="D129" s="41"/>
      <c r="E129" s="41"/>
      <c r="F129" s="41"/>
      <c r="G129" s="41"/>
      <c r="H129" s="41"/>
      <c r="I129" s="42"/>
      <c r="J129" s="41"/>
      <c r="K129" s="41"/>
      <c r="L129" s="41"/>
      <c r="M129" s="41"/>
      <c r="N129" s="41"/>
      <c r="O129" s="121"/>
      <c r="P129" s="121"/>
      <c r="Q129" s="41"/>
      <c r="R129" s="77"/>
    </row>
    <row r="130" spans="2:18" x14ac:dyDescent="0.2">
      <c r="P130" s="121"/>
    </row>
    <row r="131" spans="2:18" x14ac:dyDescent="0.2">
      <c r="P131" s="121"/>
    </row>
  </sheetData>
  <mergeCells count="13">
    <mergeCell ref="R80:S80"/>
    <mergeCell ref="R72:S72"/>
    <mergeCell ref="R73:S73"/>
    <mergeCell ref="R74:S74"/>
    <mergeCell ref="A76:M76"/>
    <mergeCell ref="A86:Q88"/>
    <mergeCell ref="A1:Q1"/>
    <mergeCell ref="A2:Q2"/>
    <mergeCell ref="A74:Q74"/>
    <mergeCell ref="A72:O72"/>
    <mergeCell ref="A73:O73"/>
    <mergeCell ref="A80:Q80"/>
    <mergeCell ref="A85:Q85"/>
  </mergeCells>
  <phoneticPr fontId="9" type="noConversion"/>
  <pageMargins left="0.25" right="0.25" top="0.5" bottom="0.5" header="0.5" footer="0.5"/>
  <pageSetup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zoomScale="115" zoomScaleNormal="115" workbookViewId="0">
      <pane xSplit="1" ySplit="3" topLeftCell="G46" activePane="bottomRight" state="frozen"/>
      <selection activeCell="O55" sqref="O55"/>
      <selection pane="topRight" activeCell="O55" sqref="O55"/>
      <selection pane="bottomLeft" activeCell="O55" sqref="O55"/>
      <selection pane="bottomRight" activeCell="A75" sqref="A75:O75"/>
    </sheetView>
  </sheetViews>
  <sheetFormatPr defaultColWidth="9.140625" defaultRowHeight="11.25" x14ac:dyDescent="0.2"/>
  <cols>
    <col min="1" max="1" width="37.42578125" style="1" customWidth="1"/>
    <col min="2" max="2" width="8.85546875" style="5" bestFit="1" customWidth="1"/>
    <col min="3" max="3" width="8" style="5" hidden="1" customWidth="1"/>
    <col min="4" max="4" width="8.42578125" style="5" bestFit="1" customWidth="1"/>
    <col min="5" max="5" width="8.85546875" style="5" bestFit="1" customWidth="1"/>
    <col min="6" max="6" width="7.85546875" style="5" customWidth="1"/>
    <col min="7" max="7" width="9.42578125" style="5" bestFit="1" customWidth="1"/>
    <col min="8" max="8" width="8.140625" style="5" customWidth="1"/>
    <col min="9" max="9" width="9.42578125" style="7" bestFit="1" customWidth="1"/>
    <col min="10" max="11" width="6.85546875" style="5" bestFit="1" customWidth="1"/>
    <col min="12" max="12" width="8.85546875" style="5" customWidth="1"/>
    <col min="13" max="13" width="7.85546875" style="5" hidden="1" customWidth="1"/>
    <col min="14" max="14" width="10.140625" style="5" customWidth="1"/>
    <col min="15" max="15" width="10.140625" style="6" bestFit="1" customWidth="1"/>
    <col min="16" max="16" width="10" style="6" bestFit="1" customWidth="1"/>
    <col min="17" max="17" width="4.42578125" style="5" bestFit="1" customWidth="1"/>
    <col min="18" max="18" width="7.85546875" style="1" hidden="1" customWidth="1"/>
    <col min="19" max="19" width="8.140625" style="1" hidden="1" customWidth="1"/>
    <col min="20" max="20" width="16.140625" style="1" customWidth="1"/>
    <col min="21" max="21" width="0" style="1" hidden="1" customWidth="1"/>
    <col min="22" max="16384" width="9.140625" style="1"/>
  </cols>
  <sheetData>
    <row r="1" spans="1:21" x14ac:dyDescent="0.2">
      <c r="A1" s="684" t="s">
        <v>715</v>
      </c>
      <c r="B1" s="684"/>
      <c r="C1" s="684"/>
      <c r="D1" s="684"/>
      <c r="E1" s="684"/>
      <c r="F1" s="684"/>
      <c r="G1" s="684"/>
      <c r="H1" s="684"/>
      <c r="I1" s="684"/>
      <c r="J1" s="684"/>
      <c r="K1" s="684"/>
      <c r="L1" s="684"/>
      <c r="M1" s="684"/>
      <c r="N1" s="684"/>
      <c r="O1" s="684"/>
      <c r="P1" s="684"/>
      <c r="Q1" s="684"/>
    </row>
    <row r="2" spans="1:21" x14ac:dyDescent="0.2">
      <c r="A2" s="685" t="s">
        <v>590</v>
      </c>
      <c r="B2" s="685"/>
      <c r="C2" s="685"/>
      <c r="D2" s="685"/>
      <c r="E2" s="685"/>
      <c r="F2" s="685"/>
      <c r="G2" s="685"/>
      <c r="H2" s="685"/>
      <c r="I2" s="685"/>
      <c r="J2" s="685"/>
      <c r="K2" s="685"/>
      <c r="L2" s="685"/>
      <c r="M2" s="685"/>
      <c r="N2" s="685"/>
      <c r="O2" s="685"/>
      <c r="P2" s="685"/>
      <c r="Q2" s="685"/>
    </row>
    <row r="3" spans="1:21" s="3" customFormat="1" ht="63"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3" t="s">
        <v>225</v>
      </c>
      <c r="S3" s="3" t="s">
        <v>226</v>
      </c>
      <c r="U3" s="499" t="s">
        <v>665</v>
      </c>
    </row>
    <row r="4" spans="1:21" s="4" customFormat="1" ht="9" x14ac:dyDescent="0.15">
      <c r="A4" s="102" t="s">
        <v>284</v>
      </c>
      <c r="B4" s="103" t="s">
        <v>311</v>
      </c>
      <c r="C4" s="103"/>
      <c r="D4" s="105"/>
      <c r="E4" s="105"/>
      <c r="F4" s="105"/>
      <c r="G4" s="103"/>
      <c r="H4" s="103"/>
      <c r="I4" s="107"/>
      <c r="J4" s="107"/>
      <c r="K4" s="107"/>
      <c r="L4" s="107"/>
      <c r="M4" s="103"/>
      <c r="N4" s="105"/>
      <c r="O4" s="105"/>
      <c r="P4" s="105"/>
      <c r="Q4" s="143"/>
      <c r="U4" s="185"/>
    </row>
    <row r="5" spans="1:21" s="4" customFormat="1" ht="9" x14ac:dyDescent="0.15">
      <c r="A5" s="90" t="s">
        <v>285</v>
      </c>
      <c r="B5" s="31" t="s">
        <v>311</v>
      </c>
      <c r="C5" s="31"/>
      <c r="D5" s="37"/>
      <c r="E5" s="37"/>
      <c r="F5" s="37"/>
      <c r="G5" s="31"/>
      <c r="H5" s="31"/>
      <c r="I5" s="64"/>
      <c r="J5" s="64"/>
      <c r="K5" s="64"/>
      <c r="L5" s="64"/>
      <c r="M5" s="31"/>
      <c r="N5" s="37"/>
      <c r="O5" s="37"/>
      <c r="P5" s="37"/>
      <c r="Q5" s="66"/>
      <c r="U5" s="185"/>
    </row>
    <row r="6" spans="1:21" s="4" customFormat="1" ht="9" x14ac:dyDescent="0.15">
      <c r="A6" s="90" t="s">
        <v>286</v>
      </c>
      <c r="B6" s="31"/>
      <c r="C6" s="31"/>
      <c r="D6" s="37"/>
      <c r="E6" s="37"/>
      <c r="F6" s="37"/>
      <c r="G6" s="31"/>
      <c r="H6" s="31"/>
      <c r="I6" s="64"/>
      <c r="J6" s="64"/>
      <c r="K6" s="64"/>
      <c r="L6" s="64"/>
      <c r="M6" s="31"/>
      <c r="N6" s="37"/>
      <c r="O6" s="37"/>
      <c r="P6" s="37"/>
      <c r="Q6" s="66"/>
      <c r="T6" s="658"/>
      <c r="U6" s="185"/>
    </row>
    <row r="7" spans="1:21" s="4" customFormat="1" ht="9" x14ac:dyDescent="0.15">
      <c r="A7" s="91" t="s">
        <v>626</v>
      </c>
      <c r="B7" s="558">
        <v>10</v>
      </c>
      <c r="C7" s="31"/>
      <c r="D7" s="37">
        <v>0</v>
      </c>
      <c r="E7" s="37">
        <v>0</v>
      </c>
      <c r="F7" s="37">
        <v>0</v>
      </c>
      <c r="G7" s="31">
        <v>1</v>
      </c>
      <c r="H7" s="31">
        <f>B7*G7</f>
        <v>10</v>
      </c>
      <c r="I7" s="63">
        <f>ROUND(SUM('Base Data'!$H$28:$H$30,'Base Data'!$H$33:$H$35,'Base Data'!$H$38:$H$40,(SUM('Base Data'!$H$71:$H$73)/3)),0)</f>
        <v>669</v>
      </c>
      <c r="J7" s="64">
        <f>H7*I7</f>
        <v>6690</v>
      </c>
      <c r="K7" s="64">
        <f>J7*0.1</f>
        <v>669</v>
      </c>
      <c r="L7" s="63">
        <f>J7*0.05</f>
        <v>334.5</v>
      </c>
      <c r="M7" s="459">
        <f>C7*G7*I7</f>
        <v>0</v>
      </c>
      <c r="N7" s="37">
        <f>(J7*'Base Data'!$C$5)+(K7*'Base Data'!$C$6)+(L7*'Base Data'!$C$7)</f>
        <v>842461.66500000004</v>
      </c>
      <c r="O7" s="37">
        <f>(D7+E7+F7)*G7*I7</f>
        <v>0</v>
      </c>
      <c r="P7" s="64">
        <v>0</v>
      </c>
      <c r="Q7" s="66" t="s">
        <v>276</v>
      </c>
      <c r="R7" s="95"/>
      <c r="T7" s="659"/>
      <c r="U7" s="185">
        <v>636</v>
      </c>
    </row>
    <row r="8" spans="1:21" s="4" customFormat="1" ht="9" x14ac:dyDescent="0.15">
      <c r="A8" s="90" t="s">
        <v>288</v>
      </c>
      <c r="B8" s="31"/>
      <c r="C8" s="31"/>
      <c r="D8" s="37"/>
      <c r="E8" s="37"/>
      <c r="F8" s="37"/>
      <c r="G8" s="31"/>
      <c r="H8" s="31"/>
      <c r="I8" s="64"/>
      <c r="J8" s="64"/>
      <c r="K8" s="64"/>
      <c r="L8" s="64"/>
      <c r="M8" s="31"/>
      <c r="N8" s="37"/>
      <c r="O8" s="37"/>
      <c r="P8" s="64"/>
      <c r="Q8" s="66"/>
      <c r="R8" s="95"/>
      <c r="T8" s="659"/>
      <c r="U8" s="185"/>
    </row>
    <row r="9" spans="1:21" s="4" customFormat="1" ht="9" x14ac:dyDescent="0.15">
      <c r="A9" s="91" t="s">
        <v>302</v>
      </c>
      <c r="B9" s="31"/>
      <c r="C9" s="31"/>
      <c r="D9" s="67"/>
      <c r="E9" s="37"/>
      <c r="F9" s="37"/>
      <c r="G9" s="31"/>
      <c r="H9" s="31"/>
      <c r="I9" s="63"/>
      <c r="J9" s="64"/>
      <c r="K9" s="64"/>
      <c r="L9" s="64"/>
      <c r="M9" s="65"/>
      <c r="N9" s="37"/>
      <c r="O9" s="37"/>
      <c r="P9" s="64"/>
      <c r="Q9" s="66"/>
      <c r="R9" s="95"/>
      <c r="T9" s="659"/>
      <c r="U9" s="185"/>
    </row>
    <row r="10" spans="1:21" s="4" customFormat="1" ht="9" x14ac:dyDescent="0.15">
      <c r="A10" s="90" t="s">
        <v>211</v>
      </c>
      <c r="B10" s="31">
        <v>20</v>
      </c>
      <c r="C10" s="31"/>
      <c r="D10" s="37">
        <v>854</v>
      </c>
      <c r="E10" s="37">
        <v>0</v>
      </c>
      <c r="F10" s="37">
        <v>0</v>
      </c>
      <c r="G10" s="31">
        <v>1</v>
      </c>
      <c r="H10" s="31">
        <f>B10*G10</f>
        <v>20</v>
      </c>
      <c r="I10" s="63">
        <v>0</v>
      </c>
      <c r="J10" s="64">
        <f>H10*I10</f>
        <v>0</v>
      </c>
      <c r="K10" s="64">
        <f t="shared" ref="K10:K22" si="0">J10*0.1</f>
        <v>0</v>
      </c>
      <c r="L10" s="64">
        <f>J10*0.05</f>
        <v>0</v>
      </c>
      <c r="M10" s="65">
        <f>C10*G10*I10</f>
        <v>0</v>
      </c>
      <c r="N10" s="37">
        <f>(J10*'Base Data'!$C$5)+(K10*'Base Data'!$C$6)+(L10*'Base Data'!$C$7)</f>
        <v>0</v>
      </c>
      <c r="O10" s="37">
        <f>(D10+E10+F10)*G10*I10</f>
        <v>0</v>
      </c>
      <c r="P10" s="64">
        <v>0</v>
      </c>
      <c r="Q10" s="66" t="s">
        <v>316</v>
      </c>
      <c r="R10" s="95"/>
      <c r="T10" s="659"/>
      <c r="U10" s="185">
        <v>38</v>
      </c>
    </row>
    <row r="11" spans="1:21" s="4" customFormat="1" ht="9" x14ac:dyDescent="0.15">
      <c r="A11" s="90" t="s">
        <v>212</v>
      </c>
      <c r="B11" s="31">
        <v>20</v>
      </c>
      <c r="C11" s="31"/>
      <c r="D11" s="37">
        <v>18292</v>
      </c>
      <c r="E11" s="37">
        <v>0</v>
      </c>
      <c r="F11" s="37">
        <v>0</v>
      </c>
      <c r="G11" s="31">
        <v>1</v>
      </c>
      <c r="H11" s="31">
        <f>B11*G11</f>
        <v>20</v>
      </c>
      <c r="I11" s="63">
        <v>0</v>
      </c>
      <c r="J11" s="64">
        <f>H11*I11</f>
        <v>0</v>
      </c>
      <c r="K11" s="64">
        <f t="shared" si="0"/>
        <v>0</v>
      </c>
      <c r="L11" s="64">
        <f>J11*0.05</f>
        <v>0</v>
      </c>
      <c r="M11" s="65">
        <f>C11*G11*I11</f>
        <v>0</v>
      </c>
      <c r="N11" s="37">
        <f>(J11*'Base Data'!$C$5)+(K11*'Base Data'!$C$6)+(L11*'Base Data'!$C$7)</f>
        <v>0</v>
      </c>
      <c r="O11" s="37">
        <f>(D11+E11+F11)*G11*I11</f>
        <v>0</v>
      </c>
      <c r="P11" s="64">
        <v>0</v>
      </c>
      <c r="Q11" s="66" t="s">
        <v>316</v>
      </c>
      <c r="R11" s="95"/>
      <c r="T11" s="659"/>
      <c r="U11" s="185">
        <v>279</v>
      </c>
    </row>
    <row r="12" spans="1:21" s="4" customFormat="1" ht="9" x14ac:dyDescent="0.15">
      <c r="A12" s="91" t="s">
        <v>257</v>
      </c>
      <c r="B12" s="31">
        <v>12</v>
      </c>
      <c r="C12" s="31"/>
      <c r="D12" s="37">
        <v>0</v>
      </c>
      <c r="E12" s="37">
        <f>'Testing Costs'!$B$13</f>
        <v>5000</v>
      </c>
      <c r="F12" s="37">
        <v>0</v>
      </c>
      <c r="G12" s="31">
        <v>1</v>
      </c>
      <c r="H12" s="31">
        <f t="shared" ref="H12:H22" si="1">B12*G12</f>
        <v>12</v>
      </c>
      <c r="I12" s="63">
        <v>0</v>
      </c>
      <c r="J12" s="64">
        <f t="shared" ref="J12:J22" si="2">H12*I12</f>
        <v>0</v>
      </c>
      <c r="K12" s="457">
        <f t="shared" si="0"/>
        <v>0</v>
      </c>
      <c r="L12" s="457">
        <f t="shared" ref="L12:L22" si="3">J12*0.05</f>
        <v>0</v>
      </c>
      <c r="M12" s="65"/>
      <c r="N12" s="37">
        <f>(J12*'Base Data'!$C$5)+(K12*'Base Data'!$C$6)+(L12*'Base Data'!$C$7)</f>
        <v>0</v>
      </c>
      <c r="O12" s="37">
        <f t="shared" ref="O12:O22" si="4">(D12+E12+F12)*G12*I12</f>
        <v>0</v>
      </c>
      <c r="P12" s="64">
        <v>0</v>
      </c>
      <c r="Q12" s="66" t="s">
        <v>203</v>
      </c>
      <c r="R12" s="95"/>
      <c r="T12" s="659"/>
      <c r="U12" s="185">
        <v>39</v>
      </c>
    </row>
    <row r="13" spans="1:21" s="4" customFormat="1" ht="9" x14ac:dyDescent="0.15">
      <c r="A13" s="91" t="s">
        <v>258</v>
      </c>
      <c r="B13" s="31">
        <v>12</v>
      </c>
      <c r="C13" s="31"/>
      <c r="D13" s="37">
        <v>0</v>
      </c>
      <c r="E13" s="37">
        <f>'Testing Costs'!$B$17</f>
        <v>8000</v>
      </c>
      <c r="F13" s="37">
        <v>0</v>
      </c>
      <c r="G13" s="31">
        <v>1</v>
      </c>
      <c r="H13" s="31">
        <f t="shared" si="1"/>
        <v>12</v>
      </c>
      <c r="I13" s="63">
        <v>0</v>
      </c>
      <c r="J13" s="64">
        <f t="shared" si="2"/>
        <v>0</v>
      </c>
      <c r="K13" s="457">
        <f t="shared" si="0"/>
        <v>0</v>
      </c>
      <c r="L13" s="457">
        <f t="shared" si="3"/>
        <v>0</v>
      </c>
      <c r="M13" s="65"/>
      <c r="N13" s="37">
        <f>(J13*'Base Data'!$C$5)+(K13*'Base Data'!$C$6)+(L13*'Base Data'!$C$7)</f>
        <v>0</v>
      </c>
      <c r="O13" s="37">
        <f t="shared" si="4"/>
        <v>0</v>
      </c>
      <c r="P13" s="64">
        <v>0</v>
      </c>
      <c r="Q13" s="66" t="s">
        <v>203</v>
      </c>
      <c r="R13" s="95"/>
      <c r="T13" s="659"/>
      <c r="U13" s="185">
        <v>39</v>
      </c>
    </row>
    <row r="14" spans="1:21" s="4" customFormat="1" ht="9" x14ac:dyDescent="0.15">
      <c r="A14" s="91" t="s">
        <v>259</v>
      </c>
      <c r="B14" s="31">
        <v>12</v>
      </c>
      <c r="C14" s="31"/>
      <c r="D14" s="37">
        <v>0</v>
      </c>
      <c r="E14" s="37">
        <f>'Testing Costs'!$B$15</f>
        <v>8000</v>
      </c>
      <c r="F14" s="37">
        <v>0</v>
      </c>
      <c r="G14" s="31">
        <v>1</v>
      </c>
      <c r="H14" s="31">
        <f t="shared" si="1"/>
        <v>12</v>
      </c>
      <c r="I14" s="63">
        <v>0</v>
      </c>
      <c r="J14" s="64">
        <f t="shared" si="2"/>
        <v>0</v>
      </c>
      <c r="K14" s="457">
        <f t="shared" si="0"/>
        <v>0</v>
      </c>
      <c r="L14" s="457">
        <f t="shared" si="3"/>
        <v>0</v>
      </c>
      <c r="M14" s="65"/>
      <c r="N14" s="37">
        <f>(J14*'Base Data'!$C$5)+(K14*'Base Data'!$C$6)+(L14*'Base Data'!$C$7)</f>
        <v>0</v>
      </c>
      <c r="O14" s="37">
        <f t="shared" si="4"/>
        <v>0</v>
      </c>
      <c r="P14" s="64">
        <v>0</v>
      </c>
      <c r="Q14" s="66" t="s">
        <v>203</v>
      </c>
      <c r="R14" s="95"/>
      <c r="T14" s="659"/>
      <c r="U14" s="185">
        <v>39</v>
      </c>
    </row>
    <row r="15" spans="1:21" s="4" customFormat="1" ht="9" x14ac:dyDescent="0.15">
      <c r="A15" s="91" t="s">
        <v>158</v>
      </c>
      <c r="B15" s="31">
        <v>12</v>
      </c>
      <c r="C15" s="31"/>
      <c r="D15" s="37">
        <v>0</v>
      </c>
      <c r="E15" s="37">
        <f>'Testing Costs'!$B$14</f>
        <v>7000</v>
      </c>
      <c r="F15" s="37">
        <v>0</v>
      </c>
      <c r="G15" s="31">
        <v>1</v>
      </c>
      <c r="H15" s="31">
        <f t="shared" si="1"/>
        <v>12</v>
      </c>
      <c r="I15" s="63">
        <v>0</v>
      </c>
      <c r="J15" s="64">
        <f t="shared" si="2"/>
        <v>0</v>
      </c>
      <c r="K15" s="457">
        <f t="shared" si="0"/>
        <v>0</v>
      </c>
      <c r="L15" s="457">
        <f t="shared" si="3"/>
        <v>0</v>
      </c>
      <c r="M15" s="65"/>
      <c r="N15" s="37">
        <f>(J15*'Base Data'!$C$5)+(K15*'Base Data'!$C$6)+(L15*'Base Data'!$C$7)</f>
        <v>0</v>
      </c>
      <c r="O15" s="37">
        <f t="shared" si="4"/>
        <v>0</v>
      </c>
      <c r="P15" s="64">
        <v>0</v>
      </c>
      <c r="Q15" s="66" t="s">
        <v>203</v>
      </c>
      <c r="R15" s="95"/>
      <c r="T15" s="659"/>
      <c r="U15" s="185">
        <v>39</v>
      </c>
    </row>
    <row r="16" spans="1:21" s="4" customFormat="1" ht="9" customHeight="1" x14ac:dyDescent="0.15">
      <c r="A16" s="91" t="s">
        <v>122</v>
      </c>
      <c r="B16" s="31">
        <v>12</v>
      </c>
      <c r="C16" s="31"/>
      <c r="D16" s="37">
        <v>0</v>
      </c>
      <c r="E16" s="37">
        <f>'Testing Costs'!$B$13</f>
        <v>5000</v>
      </c>
      <c r="F16" s="37">
        <v>0</v>
      </c>
      <c r="G16" s="31">
        <v>1</v>
      </c>
      <c r="H16" s="31">
        <f t="shared" si="1"/>
        <v>12</v>
      </c>
      <c r="I16" s="63">
        <f>ROUND(SUM('Base Data'!$D$38:$D$40,(SUM('Base Data'!$D$75:$D$77)/3)),0)</f>
        <v>78</v>
      </c>
      <c r="J16" s="64">
        <f t="shared" si="2"/>
        <v>936</v>
      </c>
      <c r="K16" s="457">
        <f t="shared" si="0"/>
        <v>93.600000000000009</v>
      </c>
      <c r="L16" s="457">
        <f t="shared" si="3"/>
        <v>46.800000000000004</v>
      </c>
      <c r="M16" s="65"/>
      <c r="N16" s="37">
        <f>(J16*'Base Data'!$C$5)+(K16*'Base Data'!$C$6)+(L16*'Base Data'!$C$7)</f>
        <v>117869.076</v>
      </c>
      <c r="O16" s="37">
        <f t="shared" si="4"/>
        <v>390000</v>
      </c>
      <c r="P16" s="64">
        <v>0</v>
      </c>
      <c r="Q16" s="66" t="s">
        <v>203</v>
      </c>
      <c r="R16" s="95"/>
      <c r="T16" s="659"/>
      <c r="U16" s="185">
        <v>39</v>
      </c>
    </row>
    <row r="17" spans="1:21" s="4" customFormat="1" ht="9" x14ac:dyDescent="0.15">
      <c r="A17" s="91" t="s">
        <v>123</v>
      </c>
      <c r="B17" s="31">
        <v>12</v>
      </c>
      <c r="C17" s="31"/>
      <c r="D17" s="37">
        <v>0</v>
      </c>
      <c r="E17" s="37">
        <f>'Testing Costs'!$B$17</f>
        <v>8000</v>
      </c>
      <c r="F17" s="37">
        <v>0</v>
      </c>
      <c r="G17" s="31">
        <v>1</v>
      </c>
      <c r="H17" s="31">
        <f t="shared" si="1"/>
        <v>12</v>
      </c>
      <c r="I17" s="63">
        <v>0</v>
      </c>
      <c r="J17" s="64">
        <f t="shared" si="2"/>
        <v>0</v>
      </c>
      <c r="K17" s="457">
        <f t="shared" si="0"/>
        <v>0</v>
      </c>
      <c r="L17" s="457">
        <f t="shared" si="3"/>
        <v>0</v>
      </c>
      <c r="M17" s="65"/>
      <c r="N17" s="37">
        <f>(J17*'Base Data'!$C$5)+(K17*'Base Data'!$C$6)+(L17*'Base Data'!$C$7)</f>
        <v>0</v>
      </c>
      <c r="O17" s="37">
        <f t="shared" si="4"/>
        <v>0</v>
      </c>
      <c r="P17" s="64">
        <v>0</v>
      </c>
      <c r="Q17" s="66" t="s">
        <v>203</v>
      </c>
      <c r="R17" s="95"/>
      <c r="T17" s="659"/>
      <c r="U17" s="185">
        <v>39</v>
      </c>
    </row>
    <row r="18" spans="1:21" s="4" customFormat="1" ht="9" x14ac:dyDescent="0.15">
      <c r="A18" s="91" t="s">
        <v>124</v>
      </c>
      <c r="B18" s="31">
        <v>12</v>
      </c>
      <c r="C18" s="31"/>
      <c r="D18" s="37">
        <v>0</v>
      </c>
      <c r="E18" s="37">
        <f>'Testing Costs'!$B$15</f>
        <v>8000</v>
      </c>
      <c r="F18" s="37">
        <v>0</v>
      </c>
      <c r="G18" s="31">
        <v>1</v>
      </c>
      <c r="H18" s="31">
        <f t="shared" si="1"/>
        <v>12</v>
      </c>
      <c r="I18" s="63">
        <v>0</v>
      </c>
      <c r="J18" s="64">
        <f t="shared" si="2"/>
        <v>0</v>
      </c>
      <c r="K18" s="457">
        <f t="shared" si="0"/>
        <v>0</v>
      </c>
      <c r="L18" s="457">
        <f t="shared" si="3"/>
        <v>0</v>
      </c>
      <c r="M18" s="65"/>
      <c r="N18" s="37">
        <f>(J18*'Base Data'!$C$5)+(K18*'Base Data'!$C$6)+(L18*'Base Data'!$C$7)</f>
        <v>0</v>
      </c>
      <c r="O18" s="37">
        <f t="shared" si="4"/>
        <v>0</v>
      </c>
      <c r="P18" s="64">
        <v>0</v>
      </c>
      <c r="Q18" s="66" t="s">
        <v>203</v>
      </c>
      <c r="R18" s="95"/>
      <c r="T18" s="659"/>
      <c r="U18" s="185">
        <v>39</v>
      </c>
    </row>
    <row r="19" spans="1:21" s="4" customFormat="1" ht="9" x14ac:dyDescent="0.15">
      <c r="A19" s="91" t="s">
        <v>125</v>
      </c>
      <c r="B19" s="31">
        <v>12</v>
      </c>
      <c r="C19" s="31"/>
      <c r="D19" s="37">
        <v>0</v>
      </c>
      <c r="E19" s="37">
        <f>'Testing Costs'!$B$14</f>
        <v>7000</v>
      </c>
      <c r="F19" s="37">
        <v>0</v>
      </c>
      <c r="G19" s="31">
        <v>1</v>
      </c>
      <c r="H19" s="31">
        <f t="shared" si="1"/>
        <v>12</v>
      </c>
      <c r="I19" s="63">
        <f>ROUND(SUM('Base Data'!$D$38:$D$40,(SUM('Base Data'!$D$75:$D$77)/3)),0)</f>
        <v>78</v>
      </c>
      <c r="J19" s="64">
        <f t="shared" si="2"/>
        <v>936</v>
      </c>
      <c r="K19" s="457">
        <f t="shared" si="0"/>
        <v>93.600000000000009</v>
      </c>
      <c r="L19" s="457">
        <f t="shared" si="3"/>
        <v>46.800000000000004</v>
      </c>
      <c r="M19" s="65"/>
      <c r="N19" s="37">
        <f>(J19*'Base Data'!$C$5)+(K19*'Base Data'!$C$6)+(L19*'Base Data'!$C$7)</f>
        <v>117869.076</v>
      </c>
      <c r="O19" s="37">
        <f t="shared" si="4"/>
        <v>546000</v>
      </c>
      <c r="P19" s="64">
        <v>0</v>
      </c>
      <c r="Q19" s="66" t="s">
        <v>203</v>
      </c>
      <c r="R19" s="95"/>
      <c r="T19" s="659"/>
      <c r="U19" s="185">
        <v>39</v>
      </c>
    </row>
    <row r="20" spans="1:21" s="4" customFormat="1" ht="18" x14ac:dyDescent="0.15">
      <c r="A20" s="197" t="s">
        <v>428</v>
      </c>
      <c r="B20" s="31">
        <v>24</v>
      </c>
      <c r="C20" s="196"/>
      <c r="D20" s="37">
        <v>0</v>
      </c>
      <c r="E20" s="37">
        <f>$E$13+$E$14</f>
        <v>16000</v>
      </c>
      <c r="F20" s="37">
        <v>0</v>
      </c>
      <c r="G20" s="31">
        <v>1</v>
      </c>
      <c r="H20" s="31">
        <f t="shared" si="1"/>
        <v>24</v>
      </c>
      <c r="I20" s="63">
        <v>0</v>
      </c>
      <c r="J20" s="64">
        <f t="shared" si="2"/>
        <v>0</v>
      </c>
      <c r="K20" s="64">
        <f t="shared" si="0"/>
        <v>0</v>
      </c>
      <c r="L20" s="64">
        <f t="shared" si="3"/>
        <v>0</v>
      </c>
      <c r="M20" s="65"/>
      <c r="N20" s="37">
        <f>(J20*'Base Data'!$C$5)+(K20*'Base Data'!$C$6)+(L20*'Base Data'!$C$7)</f>
        <v>0</v>
      </c>
      <c r="O20" s="37">
        <f t="shared" si="4"/>
        <v>0</v>
      </c>
      <c r="P20" s="64">
        <v>0</v>
      </c>
      <c r="Q20" s="66" t="s">
        <v>86</v>
      </c>
      <c r="T20" s="659"/>
      <c r="U20" s="185">
        <v>0</v>
      </c>
    </row>
    <row r="21" spans="1:21" s="4" customFormat="1" ht="9" customHeight="1" x14ac:dyDescent="0.15">
      <c r="A21" s="91" t="s">
        <v>429</v>
      </c>
      <c r="B21" s="31">
        <v>5</v>
      </c>
      <c r="C21" s="31"/>
      <c r="D21" s="37">
        <v>0</v>
      </c>
      <c r="E21" s="37">
        <v>400</v>
      </c>
      <c r="F21" s="37">
        <v>0</v>
      </c>
      <c r="G21" s="31">
        <v>1</v>
      </c>
      <c r="H21" s="31">
        <f t="shared" si="1"/>
        <v>5</v>
      </c>
      <c r="I21" s="63">
        <v>0</v>
      </c>
      <c r="J21" s="64">
        <f t="shared" si="2"/>
        <v>0</v>
      </c>
      <c r="K21" s="64">
        <f t="shared" si="0"/>
        <v>0</v>
      </c>
      <c r="L21" s="64">
        <f t="shared" si="3"/>
        <v>0</v>
      </c>
      <c r="M21" s="65"/>
      <c r="N21" s="37">
        <f>(J21*'Base Data'!$C$5)+(K21*'Base Data'!$C$6)+(L21*'Base Data'!$C$7)</f>
        <v>0</v>
      </c>
      <c r="O21" s="37">
        <f t="shared" si="4"/>
        <v>0</v>
      </c>
      <c r="P21" s="64">
        <v>0</v>
      </c>
      <c r="Q21" s="66" t="s">
        <v>84</v>
      </c>
      <c r="R21" s="95"/>
      <c r="T21" s="659"/>
      <c r="U21" s="4">
        <v>0</v>
      </c>
    </row>
    <row r="22" spans="1:21" s="4" customFormat="1" ht="9" customHeight="1" x14ac:dyDescent="0.15">
      <c r="A22" s="91" t="s">
        <v>430</v>
      </c>
      <c r="B22" s="31">
        <v>5</v>
      </c>
      <c r="C22" s="31"/>
      <c r="D22" s="37">
        <v>0</v>
      </c>
      <c r="E22" s="37">
        <v>400</v>
      </c>
      <c r="F22" s="37">
        <v>0</v>
      </c>
      <c r="G22" s="31">
        <v>12</v>
      </c>
      <c r="H22" s="31">
        <f t="shared" si="1"/>
        <v>60</v>
      </c>
      <c r="I22" s="63">
        <f>ROUND(SUM('Base Data'!$D$38:$D$40,(SUM('Base Data'!$D$75:$D$77)/3)),0)</f>
        <v>78</v>
      </c>
      <c r="J22" s="64">
        <f t="shared" si="2"/>
        <v>4680</v>
      </c>
      <c r="K22" s="64">
        <f t="shared" si="0"/>
        <v>468</v>
      </c>
      <c r="L22" s="64">
        <f t="shared" si="3"/>
        <v>234</v>
      </c>
      <c r="M22" s="65"/>
      <c r="N22" s="37">
        <f>(J22*'Base Data'!$C$5)+(K22*'Base Data'!$C$6)+(L22*'Base Data'!$C$7)</f>
        <v>589345.38</v>
      </c>
      <c r="O22" s="37">
        <f t="shared" si="4"/>
        <v>374400</v>
      </c>
      <c r="P22" s="64">
        <v>0</v>
      </c>
      <c r="Q22" s="66" t="s">
        <v>84</v>
      </c>
      <c r="R22" s="95"/>
      <c r="T22" s="659"/>
      <c r="U22" s="4">
        <v>0</v>
      </c>
    </row>
    <row r="23" spans="1:21" s="4" customFormat="1" ht="9" x14ac:dyDescent="0.15">
      <c r="A23" s="91" t="s">
        <v>431</v>
      </c>
      <c r="B23" s="31"/>
      <c r="C23" s="31"/>
      <c r="D23" s="37"/>
      <c r="E23" s="37"/>
      <c r="F23" s="37"/>
      <c r="G23" s="31"/>
      <c r="H23" s="31"/>
      <c r="I23" s="64"/>
      <c r="J23" s="64"/>
      <c r="K23" s="64"/>
      <c r="L23" s="64"/>
      <c r="M23" s="65"/>
      <c r="N23" s="37"/>
      <c r="O23" s="37"/>
      <c r="P23" s="64"/>
      <c r="Q23" s="66" t="s">
        <v>417</v>
      </c>
      <c r="R23" s="95"/>
      <c r="T23" s="659"/>
      <c r="U23" s="185"/>
    </row>
    <row r="24" spans="1:21" s="4" customFormat="1" ht="9" x14ac:dyDescent="0.15">
      <c r="A24" s="91" t="s">
        <v>310</v>
      </c>
      <c r="B24" s="31">
        <v>40</v>
      </c>
      <c r="C24" s="31"/>
      <c r="D24" s="37">
        <v>0</v>
      </c>
      <c r="E24" s="37"/>
      <c r="F24" s="37">
        <v>0</v>
      </c>
      <c r="G24" s="31">
        <v>1</v>
      </c>
      <c r="H24" s="31">
        <f>B24*G24</f>
        <v>40</v>
      </c>
      <c r="I24" s="63">
        <v>0</v>
      </c>
      <c r="J24" s="64">
        <f>H24*I24</f>
        <v>0</v>
      </c>
      <c r="K24" s="64">
        <f>J24*0.1</f>
        <v>0</v>
      </c>
      <c r="L24" s="64">
        <f>J24*0.05</f>
        <v>0</v>
      </c>
      <c r="M24" s="65"/>
      <c r="N24" s="37">
        <f>(J24*'Base Data'!$C$5)+(K24*'Base Data'!$C$6)+(L24*'Base Data'!$C$7)</f>
        <v>0</v>
      </c>
      <c r="O24" s="37">
        <f>(D24+E24+F24)*G24*I24</f>
        <v>0</v>
      </c>
      <c r="P24" s="64">
        <v>0</v>
      </c>
      <c r="Q24" s="66" t="s">
        <v>277</v>
      </c>
      <c r="R24" s="95"/>
      <c r="T24" s="659"/>
      <c r="U24" s="185">
        <v>4</v>
      </c>
    </row>
    <row r="25" spans="1:21" s="4" customFormat="1" ht="9" x14ac:dyDescent="0.15">
      <c r="A25" s="90" t="s">
        <v>289</v>
      </c>
      <c r="B25" s="31"/>
      <c r="C25" s="31"/>
      <c r="D25" s="37"/>
      <c r="E25" s="37"/>
      <c r="F25" s="37"/>
      <c r="G25" s="31"/>
      <c r="H25" s="31"/>
      <c r="I25" s="64"/>
      <c r="J25" s="64"/>
      <c r="K25" s="64"/>
      <c r="L25" s="64"/>
      <c r="M25" s="65"/>
      <c r="N25" s="37"/>
      <c r="O25" s="37"/>
      <c r="P25" s="64"/>
      <c r="Q25" s="66"/>
      <c r="R25" s="95"/>
      <c r="T25" s="659"/>
      <c r="U25" s="185"/>
    </row>
    <row r="26" spans="1:21" s="4" customFormat="1" ht="9" x14ac:dyDescent="0.15">
      <c r="A26" s="90" t="s">
        <v>290</v>
      </c>
      <c r="B26" s="31">
        <v>10</v>
      </c>
      <c r="C26" s="31"/>
      <c r="D26" s="37">
        <v>0</v>
      </c>
      <c r="E26" s="37">
        <v>0</v>
      </c>
      <c r="F26" s="37">
        <v>43100</v>
      </c>
      <c r="G26" s="31">
        <v>1</v>
      </c>
      <c r="H26" s="31">
        <f>B26*G26</f>
        <v>10</v>
      </c>
      <c r="I26" s="63">
        <f>ROUND(Monitors!$C$12/2,0)</f>
        <v>0</v>
      </c>
      <c r="J26" s="64">
        <f>H26*I26</f>
        <v>0</v>
      </c>
      <c r="K26" s="64">
        <f>J26*0.1</f>
        <v>0</v>
      </c>
      <c r="L26" s="64">
        <f>J26*0.05</f>
        <v>0</v>
      </c>
      <c r="M26" s="65"/>
      <c r="N26" s="37">
        <f>(J26*'Base Data'!$C$5)+(K26*'Base Data'!$C$6)+(L26*'Base Data'!$C$7)</f>
        <v>0</v>
      </c>
      <c r="O26" s="37">
        <f>(D26+E26+F26)*G26*I26</f>
        <v>0</v>
      </c>
      <c r="P26" s="64">
        <v>0</v>
      </c>
      <c r="Q26" s="66" t="s">
        <v>85</v>
      </c>
      <c r="R26" s="95"/>
      <c r="T26" s="659"/>
      <c r="U26" s="185">
        <v>0</v>
      </c>
    </row>
    <row r="27" spans="1:21" s="4" customFormat="1" ht="9" x14ac:dyDescent="0.15">
      <c r="A27" s="90" t="s">
        <v>293</v>
      </c>
      <c r="B27" s="31">
        <v>10</v>
      </c>
      <c r="C27" s="31"/>
      <c r="D27" s="37">
        <v>0</v>
      </c>
      <c r="E27" s="37">
        <v>0</v>
      </c>
      <c r="F27" s="37">
        <v>14700</v>
      </c>
      <c r="G27" s="31">
        <v>1</v>
      </c>
      <c r="H27" s="31">
        <f>B27*G27</f>
        <v>10</v>
      </c>
      <c r="I27" s="63">
        <f>ROUND(Monitors!$C$12/2,0)</f>
        <v>0</v>
      </c>
      <c r="J27" s="64">
        <f>H27*I27</f>
        <v>0</v>
      </c>
      <c r="K27" s="64">
        <f>J27*0.1</f>
        <v>0</v>
      </c>
      <c r="L27" s="64">
        <f>J27*0.05</f>
        <v>0</v>
      </c>
      <c r="M27" s="65"/>
      <c r="N27" s="37">
        <f>(J27*'Base Data'!$C$5)+(K27*'Base Data'!$C$6)+(L27*'Base Data'!$C$7)</f>
        <v>0</v>
      </c>
      <c r="O27" s="37">
        <f>(D27+E27+F27)*G27*I27</f>
        <v>0</v>
      </c>
      <c r="P27" s="64">
        <v>0</v>
      </c>
      <c r="Q27" s="66" t="s">
        <v>85</v>
      </c>
      <c r="R27" s="95"/>
      <c r="T27" s="659"/>
      <c r="U27" s="185">
        <v>0</v>
      </c>
    </row>
    <row r="28" spans="1:21" s="4" customFormat="1" ht="9" x14ac:dyDescent="0.15">
      <c r="A28" s="90" t="s">
        <v>256</v>
      </c>
      <c r="B28" s="31"/>
      <c r="C28" s="31"/>
      <c r="D28" s="37"/>
      <c r="E28" s="37"/>
      <c r="F28" s="37"/>
      <c r="G28" s="31"/>
      <c r="H28" s="31"/>
      <c r="I28" s="64"/>
      <c r="J28" s="64"/>
      <c r="K28" s="64"/>
      <c r="L28" s="64"/>
      <c r="M28" s="65"/>
      <c r="N28" s="37"/>
      <c r="O28" s="37"/>
      <c r="P28" s="64"/>
      <c r="Q28" s="66"/>
      <c r="R28" s="95"/>
      <c r="T28" s="659"/>
      <c r="U28" s="185"/>
    </row>
    <row r="29" spans="1:21" s="4" customFormat="1" ht="9" x14ac:dyDescent="0.15">
      <c r="A29" s="90" t="s">
        <v>290</v>
      </c>
      <c r="B29" s="31">
        <v>10</v>
      </c>
      <c r="C29" s="31"/>
      <c r="D29" s="37">
        <v>0</v>
      </c>
      <c r="E29" s="37">
        <v>0</v>
      </c>
      <c r="F29" s="37">
        <v>158000</v>
      </c>
      <c r="G29" s="31">
        <v>1</v>
      </c>
      <c r="H29" s="31">
        <f>B29*G29</f>
        <v>10</v>
      </c>
      <c r="I29" s="63">
        <v>0</v>
      </c>
      <c r="J29" s="64">
        <f>H29*I29</f>
        <v>0</v>
      </c>
      <c r="K29" s="64">
        <f>J29*0.1</f>
        <v>0</v>
      </c>
      <c r="L29" s="64">
        <f>J29*0.05</f>
        <v>0</v>
      </c>
      <c r="M29" s="65"/>
      <c r="N29" s="37">
        <f>(J29*'Base Data'!$C$5)+(K29*'Base Data'!$C$6)+(L29*'Base Data'!$C$7)</f>
        <v>0</v>
      </c>
      <c r="O29" s="37">
        <f>(D29+E29+F29)*G29*I29</f>
        <v>0</v>
      </c>
      <c r="P29" s="64">
        <v>0</v>
      </c>
      <c r="Q29" s="66" t="s">
        <v>85</v>
      </c>
      <c r="R29" s="95"/>
      <c r="T29" s="659"/>
      <c r="U29" s="185">
        <v>0</v>
      </c>
    </row>
    <row r="30" spans="1:21" s="4" customFormat="1" ht="9" x14ac:dyDescent="0.15">
      <c r="A30" s="90" t="s">
        <v>293</v>
      </c>
      <c r="B30" s="31">
        <v>10</v>
      </c>
      <c r="C30" s="31"/>
      <c r="D30" s="37">
        <v>0</v>
      </c>
      <c r="E30" s="37">
        <v>0</v>
      </c>
      <c r="F30" s="37">
        <v>56100</v>
      </c>
      <c r="G30" s="31">
        <v>1</v>
      </c>
      <c r="H30" s="31">
        <f>B30*G30</f>
        <v>10</v>
      </c>
      <c r="I30" s="63">
        <v>0</v>
      </c>
      <c r="J30" s="64">
        <f>H30*I30</f>
        <v>0</v>
      </c>
      <c r="K30" s="64">
        <f>J30*0.1</f>
        <v>0</v>
      </c>
      <c r="L30" s="64">
        <f>J30*0.05</f>
        <v>0</v>
      </c>
      <c r="M30" s="65"/>
      <c r="N30" s="37">
        <f>(J30*'Base Data'!$C$5)+(K30*'Base Data'!$C$6)+(L30*'Base Data'!$C$7)</f>
        <v>0</v>
      </c>
      <c r="O30" s="37">
        <f>(D30+E30+F30)*G30*I30</f>
        <v>0</v>
      </c>
      <c r="P30" s="64">
        <v>0</v>
      </c>
      <c r="Q30" s="66" t="s">
        <v>85</v>
      </c>
      <c r="R30" s="95"/>
      <c r="T30" s="659"/>
      <c r="U30" s="185">
        <v>0</v>
      </c>
    </row>
    <row r="31" spans="1:21" s="4" customFormat="1" ht="9" x14ac:dyDescent="0.15">
      <c r="A31" s="90" t="s">
        <v>381</v>
      </c>
      <c r="B31" s="31"/>
      <c r="C31" s="31"/>
      <c r="D31" s="37"/>
      <c r="E31" s="37"/>
      <c r="F31" s="37"/>
      <c r="G31" s="31"/>
      <c r="H31" s="31"/>
      <c r="I31" s="63"/>
      <c r="J31" s="64"/>
      <c r="K31" s="64"/>
      <c r="L31" s="64"/>
      <c r="M31" s="65"/>
      <c r="N31" s="37"/>
      <c r="O31" s="37"/>
      <c r="P31" s="64"/>
      <c r="Q31" s="66"/>
      <c r="T31" s="659"/>
      <c r="U31" s="185"/>
    </row>
    <row r="32" spans="1:21" s="4" customFormat="1" ht="9" x14ac:dyDescent="0.15">
      <c r="A32" s="90" t="s">
        <v>290</v>
      </c>
      <c r="B32" s="31">
        <v>10</v>
      </c>
      <c r="C32" s="31"/>
      <c r="D32" s="37">
        <v>0</v>
      </c>
      <c r="E32" s="37">
        <v>0</v>
      </c>
      <c r="F32" s="37">
        <f>Monitors!$F$32</f>
        <v>8523</v>
      </c>
      <c r="G32" s="31">
        <v>1</v>
      </c>
      <c r="H32" s="31">
        <f>B32*G32</f>
        <v>10</v>
      </c>
      <c r="I32" s="63">
        <v>0</v>
      </c>
      <c r="J32" s="64">
        <f>H32*I32</f>
        <v>0</v>
      </c>
      <c r="K32" s="64">
        <f>J32*0.1</f>
        <v>0</v>
      </c>
      <c r="L32" s="457">
        <f>J32*0.05</f>
        <v>0</v>
      </c>
      <c r="M32" s="65"/>
      <c r="N32" s="37">
        <f>(J32*'Base Data'!$C$5)+(K32*'Base Data'!$C$6)+(L32*'Base Data'!$C$7)</f>
        <v>0</v>
      </c>
      <c r="O32" s="37">
        <f>(D32+E32+F32)*G32*I32</f>
        <v>0</v>
      </c>
      <c r="P32" s="64">
        <v>0</v>
      </c>
      <c r="Q32" s="66" t="s">
        <v>723</v>
      </c>
      <c r="T32" s="659"/>
      <c r="U32" s="185">
        <v>39</v>
      </c>
    </row>
    <row r="33" spans="1:21" s="4" customFormat="1" ht="9" x14ac:dyDescent="0.15">
      <c r="A33" s="90" t="s">
        <v>293</v>
      </c>
      <c r="B33" s="31">
        <v>10</v>
      </c>
      <c r="C33" s="31"/>
      <c r="D33" s="37">
        <v>0</v>
      </c>
      <c r="E33" s="37">
        <v>0</v>
      </c>
      <c r="F33" s="37">
        <f>Monitors!$G$32</f>
        <v>1436</v>
      </c>
      <c r="G33" s="31">
        <v>1</v>
      </c>
      <c r="H33" s="31">
        <f>B33*G33</f>
        <v>10</v>
      </c>
      <c r="I33" s="63">
        <f>ROUNDDOWN(Monitors!$F$12,0)</f>
        <v>78</v>
      </c>
      <c r="J33" s="64">
        <f>H33*I33</f>
        <v>780</v>
      </c>
      <c r="K33" s="64">
        <f>J33*0.1</f>
        <v>78</v>
      </c>
      <c r="L33" s="457">
        <f>J33*0.05</f>
        <v>39</v>
      </c>
      <c r="M33" s="65"/>
      <c r="N33" s="37">
        <f>(J33*'Base Data'!$C$5)+(K33*'Base Data'!$C$6)+(L33*'Base Data'!$C$7)</f>
        <v>98224.23000000001</v>
      </c>
      <c r="O33" s="37">
        <f>(D33+E33+F33)*G33*I33</f>
        <v>112008</v>
      </c>
      <c r="P33" s="64">
        <v>0</v>
      </c>
      <c r="Q33" s="66" t="s">
        <v>723</v>
      </c>
      <c r="T33" s="659"/>
      <c r="U33" s="185">
        <v>39</v>
      </c>
    </row>
    <row r="34" spans="1:21" s="4" customFormat="1" ht="18" x14ac:dyDescent="0.15">
      <c r="A34" s="91" t="s">
        <v>145</v>
      </c>
      <c r="B34" s="31"/>
      <c r="C34" s="31"/>
      <c r="D34" s="37"/>
      <c r="E34" s="37"/>
      <c r="F34" s="67"/>
      <c r="G34" s="31"/>
      <c r="H34" s="31"/>
      <c r="I34" s="68"/>
      <c r="J34" s="64"/>
      <c r="K34" s="64"/>
      <c r="L34" s="64"/>
      <c r="M34" s="65"/>
      <c r="N34" s="37"/>
      <c r="O34" s="37"/>
      <c r="P34" s="64"/>
      <c r="Q34" s="66"/>
      <c r="R34" s="95"/>
      <c r="T34" s="659"/>
      <c r="U34" s="185"/>
    </row>
    <row r="35" spans="1:21" s="4" customFormat="1" ht="9" x14ac:dyDescent="0.15">
      <c r="A35" s="90" t="s">
        <v>290</v>
      </c>
      <c r="B35" s="31">
        <v>10</v>
      </c>
      <c r="C35" s="31"/>
      <c r="D35" s="37">
        <v>0</v>
      </c>
      <c r="E35" s="37">
        <v>0</v>
      </c>
      <c r="F35" s="37">
        <v>24300</v>
      </c>
      <c r="G35" s="31">
        <v>1</v>
      </c>
      <c r="H35" s="31">
        <f>B35*G35</f>
        <v>10</v>
      </c>
      <c r="I35" s="63">
        <v>0</v>
      </c>
      <c r="J35" s="64">
        <f>H35*I35</f>
        <v>0</v>
      </c>
      <c r="K35" s="64">
        <f>J35*0.1</f>
        <v>0</v>
      </c>
      <c r="L35" s="457">
        <f>J35*0.05</f>
        <v>0</v>
      </c>
      <c r="M35" s="65"/>
      <c r="N35" s="37">
        <f>(J35*'Base Data'!$C$5)+(K35*'Base Data'!$C$6)+(L35*'Base Data'!$C$7)</f>
        <v>0</v>
      </c>
      <c r="O35" s="37">
        <f>(D35+E35+F35)*G35*I35</f>
        <v>0</v>
      </c>
      <c r="P35" s="64">
        <v>0</v>
      </c>
      <c r="Q35" s="66" t="s">
        <v>723</v>
      </c>
      <c r="R35" s="95"/>
      <c r="T35" s="659"/>
      <c r="U35" s="185">
        <v>3</v>
      </c>
    </row>
    <row r="36" spans="1:21" s="4" customFormat="1" ht="9" x14ac:dyDescent="0.15">
      <c r="A36" s="90" t="s">
        <v>293</v>
      </c>
      <c r="B36" s="31">
        <v>10</v>
      </c>
      <c r="C36" s="31"/>
      <c r="D36" s="37">
        <v>0</v>
      </c>
      <c r="E36" s="37">
        <v>0</v>
      </c>
      <c r="F36" s="37">
        <v>5600</v>
      </c>
      <c r="G36" s="31">
        <v>1</v>
      </c>
      <c r="H36" s="31">
        <f>B36*G36</f>
        <v>10</v>
      </c>
      <c r="I36" s="63">
        <f>ROUND(Monitors!$D$12,0)</f>
        <v>6</v>
      </c>
      <c r="J36" s="64">
        <f>H36*I36</f>
        <v>60</v>
      </c>
      <c r="K36" s="64">
        <f>J36*0.1</f>
        <v>6</v>
      </c>
      <c r="L36" s="457">
        <f>J36*0.05</f>
        <v>3</v>
      </c>
      <c r="M36" s="65"/>
      <c r="N36" s="37">
        <f>(J36*'Base Data'!$C$5)+(K36*'Base Data'!$C$6)+(L36*'Base Data'!$C$7)</f>
        <v>7555.71</v>
      </c>
      <c r="O36" s="37">
        <f>(D36+E36+F36)*G36*I36</f>
        <v>33600</v>
      </c>
      <c r="P36" s="64">
        <v>0</v>
      </c>
      <c r="Q36" s="66" t="s">
        <v>723</v>
      </c>
      <c r="R36" s="95"/>
      <c r="T36" s="659"/>
      <c r="U36" s="185">
        <v>3</v>
      </c>
    </row>
    <row r="37" spans="1:21" s="4" customFormat="1" ht="18" customHeight="1" x14ac:dyDescent="0.15">
      <c r="A37" s="91" t="s">
        <v>348</v>
      </c>
      <c r="B37" s="31"/>
      <c r="C37" s="31"/>
      <c r="D37" s="37"/>
      <c r="E37" s="37"/>
      <c r="F37" s="37"/>
      <c r="G37" s="31"/>
      <c r="H37" s="31"/>
      <c r="I37" s="68"/>
      <c r="J37" s="64"/>
      <c r="K37" s="64"/>
      <c r="L37" s="64"/>
      <c r="M37" s="65"/>
      <c r="N37" s="37"/>
      <c r="O37" s="138"/>
      <c r="P37" s="64"/>
      <c r="Q37" s="66"/>
      <c r="R37" s="95"/>
      <c r="T37" s="659"/>
      <c r="U37" s="185"/>
    </row>
    <row r="38" spans="1:21" s="4" customFormat="1" ht="9" x14ac:dyDescent="0.15">
      <c r="A38" s="90" t="s">
        <v>290</v>
      </c>
      <c r="B38" s="31">
        <v>10</v>
      </c>
      <c r="C38" s="31"/>
      <c r="D38" s="37">
        <v>0</v>
      </c>
      <c r="E38" s="37">
        <v>0</v>
      </c>
      <c r="F38" s="37">
        <f>25500</f>
        <v>25500</v>
      </c>
      <c r="G38" s="31">
        <v>1</v>
      </c>
      <c r="H38" s="31">
        <f>B38*G38</f>
        <v>10</v>
      </c>
      <c r="I38" s="63">
        <f>ROUND(Monitors!$B$12/2,0)</f>
        <v>0</v>
      </c>
      <c r="J38" s="64">
        <f>H38*I38</f>
        <v>0</v>
      </c>
      <c r="K38" s="64">
        <f>J38*0.1</f>
        <v>0</v>
      </c>
      <c r="L38" s="64">
        <f>J38*0.05</f>
        <v>0</v>
      </c>
      <c r="M38" s="65"/>
      <c r="N38" s="37">
        <f>(J38*'Base Data'!$C$5)+(K38*'Base Data'!$C$6)+(L38*'Base Data'!$C$7)</f>
        <v>0</v>
      </c>
      <c r="O38" s="37">
        <f>(D38+E38+F38)*G38*I38</f>
        <v>0</v>
      </c>
      <c r="P38" s="64">
        <v>0</v>
      </c>
      <c r="Q38" s="66" t="s">
        <v>723</v>
      </c>
      <c r="R38" s="95"/>
      <c r="T38" s="659"/>
      <c r="U38" s="185">
        <v>0</v>
      </c>
    </row>
    <row r="39" spans="1:21" s="4" customFormat="1" ht="9" x14ac:dyDescent="0.15">
      <c r="A39" s="90" t="s">
        <v>293</v>
      </c>
      <c r="B39" s="31">
        <v>10</v>
      </c>
      <c r="C39" s="31"/>
      <c r="D39" s="37">
        <v>0</v>
      </c>
      <c r="E39" s="37">
        <v>0</v>
      </c>
      <c r="F39" s="37">
        <v>9700</v>
      </c>
      <c r="G39" s="31">
        <v>1</v>
      </c>
      <c r="H39" s="31">
        <f>B39*G39</f>
        <v>10</v>
      </c>
      <c r="I39" s="63">
        <f>ROUND(Monitors!$B$12/2,0)</f>
        <v>0</v>
      </c>
      <c r="J39" s="64">
        <f>H39*I39</f>
        <v>0</v>
      </c>
      <c r="K39" s="64">
        <f>J39*0.1</f>
        <v>0</v>
      </c>
      <c r="L39" s="64">
        <f>J39*0.05</f>
        <v>0</v>
      </c>
      <c r="M39" s="65"/>
      <c r="N39" s="37">
        <f>(J39*'Base Data'!$C$5)+(K39*'Base Data'!$C$6)+(L39*'Base Data'!$C$7)</f>
        <v>0</v>
      </c>
      <c r="O39" s="37">
        <f>(D39+E39+F39)*G39*I39</f>
        <v>0</v>
      </c>
      <c r="P39" s="64">
        <v>0</v>
      </c>
      <c r="Q39" s="66" t="s">
        <v>723</v>
      </c>
      <c r="R39" s="95"/>
      <c r="T39" s="659"/>
      <c r="U39" s="185">
        <v>0</v>
      </c>
    </row>
    <row r="40" spans="1:21" s="4" customFormat="1" ht="9" x14ac:dyDescent="0.15">
      <c r="A40" s="90" t="s">
        <v>437</v>
      </c>
      <c r="B40" s="31">
        <v>12</v>
      </c>
      <c r="C40" s="31"/>
      <c r="D40" s="37">
        <v>0</v>
      </c>
      <c r="E40" s="37">
        <v>2875</v>
      </c>
      <c r="F40" s="37">
        <v>0</v>
      </c>
      <c r="G40" s="31">
        <v>1</v>
      </c>
      <c r="H40" s="31">
        <f>B40*G40</f>
        <v>12</v>
      </c>
      <c r="I40" s="64">
        <f>ROUNDDOWN(SUM('Base Data'!$D$28:$D$30,'Base Data'!$D$33:$D$35,'Base Data'!$D$38:$D$40,(SUM('Base Data'!$D$71:$D$73)/3)),0)</f>
        <v>5733</v>
      </c>
      <c r="J40" s="63">
        <f>H40*I40</f>
        <v>68796</v>
      </c>
      <c r="K40" s="454">
        <f>J40*0.1</f>
        <v>6879.6</v>
      </c>
      <c r="L40" s="454">
        <f>J40*0.05</f>
        <v>3439.8</v>
      </c>
      <c r="M40" s="64"/>
      <c r="N40" s="37">
        <f>(J40*'Base Data'!$C$5)+(K40*'Base Data'!$C$6)+(L40*'Base Data'!$C$7)</f>
        <v>8663377.0860000011</v>
      </c>
      <c r="O40" s="37">
        <f>(D40+E40+F40)*G40*I40</f>
        <v>16482375</v>
      </c>
      <c r="P40" s="64">
        <v>0</v>
      </c>
      <c r="Q40" s="66" t="s">
        <v>151</v>
      </c>
      <c r="R40" s="95"/>
      <c r="T40" s="659"/>
      <c r="U40" s="185">
        <v>8091</v>
      </c>
    </row>
    <row r="41" spans="1:21" s="4" customFormat="1" ht="9" x14ac:dyDescent="0.15">
      <c r="A41" s="90" t="s">
        <v>438</v>
      </c>
      <c r="B41" s="31">
        <v>5</v>
      </c>
      <c r="C41" s="31"/>
      <c r="D41" s="37">
        <v>0</v>
      </c>
      <c r="E41" s="37">
        <v>200</v>
      </c>
      <c r="F41" s="37">
        <v>0</v>
      </c>
      <c r="G41" s="31">
        <v>12</v>
      </c>
      <c r="H41" s="31">
        <f>B41*G41</f>
        <v>60</v>
      </c>
      <c r="I41" s="64">
        <f>ROUNDDOWN('Base Data'!$C$49,0)</f>
        <v>387</v>
      </c>
      <c r="J41" s="63">
        <f>H41*I41</f>
        <v>23220</v>
      </c>
      <c r="K41" s="63">
        <f>J41*0.1</f>
        <v>2322</v>
      </c>
      <c r="L41" s="63">
        <f>J41*0.05</f>
        <v>1161</v>
      </c>
      <c r="M41" s="64"/>
      <c r="N41" s="37">
        <f>(J41*'Base Data'!$C$5)+(K41*'Base Data'!$C$6)+(L41*'Base Data'!$C$7)</f>
        <v>2924059.77</v>
      </c>
      <c r="O41" s="37">
        <f>(D41+E41+F41)*G41*I41</f>
        <v>928800</v>
      </c>
      <c r="P41" s="64">
        <v>0</v>
      </c>
      <c r="Q41" s="66" t="s">
        <v>265</v>
      </c>
      <c r="R41" s="250"/>
      <c r="T41" s="659"/>
      <c r="U41" s="185">
        <v>193</v>
      </c>
    </row>
    <row r="42" spans="1:21" s="4" customFormat="1" ht="9" x14ac:dyDescent="0.15">
      <c r="A42" s="90" t="s">
        <v>294</v>
      </c>
      <c r="B42" s="31" t="s">
        <v>311</v>
      </c>
      <c r="C42" s="31"/>
      <c r="D42" s="37"/>
      <c r="E42" s="37"/>
      <c r="F42" s="37"/>
      <c r="G42" s="31"/>
      <c r="H42" s="31"/>
      <c r="I42" s="64"/>
      <c r="J42" s="64"/>
      <c r="K42" s="64"/>
      <c r="L42" s="64"/>
      <c r="M42" s="31"/>
      <c r="N42" s="37"/>
      <c r="O42" s="37"/>
      <c r="P42" s="64"/>
      <c r="Q42" s="66"/>
      <c r="R42" s="95"/>
      <c r="T42" s="659"/>
      <c r="U42" s="185"/>
    </row>
    <row r="43" spans="1:21" s="4" customFormat="1" ht="9" x14ac:dyDescent="0.15">
      <c r="A43" s="90" t="s">
        <v>295</v>
      </c>
      <c r="B43" s="31" t="s">
        <v>311</v>
      </c>
      <c r="C43" s="31"/>
      <c r="D43" s="37"/>
      <c r="E43" s="37"/>
      <c r="F43" s="37"/>
      <c r="G43" s="31"/>
      <c r="H43" s="31"/>
      <c r="I43" s="64"/>
      <c r="J43" s="64"/>
      <c r="K43" s="64"/>
      <c r="L43" s="64"/>
      <c r="M43" s="31"/>
      <c r="N43" s="37"/>
      <c r="O43" s="37"/>
      <c r="P43" s="64"/>
      <c r="Q43" s="66"/>
      <c r="R43" s="95"/>
      <c r="T43" s="659"/>
      <c r="U43" s="185"/>
    </row>
    <row r="44" spans="1:21" s="4" customFormat="1" ht="9" x14ac:dyDescent="0.15">
      <c r="A44" s="90" t="s">
        <v>296</v>
      </c>
      <c r="B44" s="31"/>
      <c r="C44" s="31"/>
      <c r="D44" s="37"/>
      <c r="E44" s="37"/>
      <c r="F44" s="37"/>
      <c r="G44" s="31"/>
      <c r="H44" s="31"/>
      <c r="I44" s="64"/>
      <c r="J44" s="64"/>
      <c r="K44" s="64"/>
      <c r="L44" s="64"/>
      <c r="M44" s="31"/>
      <c r="N44" s="37"/>
      <c r="O44" s="37"/>
      <c r="P44" s="64"/>
      <c r="Q44" s="66"/>
      <c r="R44" s="95"/>
      <c r="T44" s="659"/>
      <c r="U44" s="185"/>
    </row>
    <row r="45" spans="1:21" s="4" customFormat="1" ht="9" x14ac:dyDescent="0.15">
      <c r="A45" s="101" t="s">
        <v>312</v>
      </c>
      <c r="B45" s="31">
        <v>2</v>
      </c>
      <c r="C45" s="31"/>
      <c r="D45" s="37">
        <v>0</v>
      </c>
      <c r="E45" s="37">
        <v>0</v>
      </c>
      <c r="F45" s="37">
        <v>0</v>
      </c>
      <c r="G45" s="31">
        <v>1</v>
      </c>
      <c r="H45" s="31">
        <f t="shared" ref="H45:H50" si="5">B45*G45</f>
        <v>2</v>
      </c>
      <c r="I45" s="63">
        <v>0</v>
      </c>
      <c r="J45" s="64">
        <f t="shared" ref="J45:J50" si="6">H45*I45</f>
        <v>0</v>
      </c>
      <c r="K45" s="64">
        <f t="shared" ref="K45:K50" si="7">J45*0.1</f>
        <v>0</v>
      </c>
      <c r="L45" s="64">
        <f t="shared" ref="L45:L50" si="8">J45*0.05</f>
        <v>0</v>
      </c>
      <c r="M45" s="31">
        <f t="shared" ref="M45:M50" si="9">C45*G45*I45</f>
        <v>0</v>
      </c>
      <c r="N45" s="37">
        <f>(J45*'Base Data'!$C$5)+(K45*'Base Data'!$C$6)+(L45*'Base Data'!$C$7)</f>
        <v>0</v>
      </c>
      <c r="O45" s="37">
        <f t="shared" ref="O45:O50" si="10">(D45+E45+F45)*G45*I45</f>
        <v>0</v>
      </c>
      <c r="P45" s="64">
        <f t="shared" ref="P45:P50" si="11">G45*I45</f>
        <v>0</v>
      </c>
      <c r="Q45" s="66" t="s">
        <v>276</v>
      </c>
      <c r="R45" s="95"/>
      <c r="T45" s="659"/>
      <c r="U45" s="185">
        <v>0</v>
      </c>
    </row>
    <row r="46" spans="1:21" s="4" customFormat="1" ht="9" customHeight="1" x14ac:dyDescent="0.15">
      <c r="A46" s="101" t="s">
        <v>273</v>
      </c>
      <c r="B46" s="31">
        <v>8</v>
      </c>
      <c r="C46" s="31"/>
      <c r="D46" s="37">
        <v>0</v>
      </c>
      <c r="E46" s="37">
        <v>0</v>
      </c>
      <c r="F46" s="37">
        <v>0</v>
      </c>
      <c r="G46" s="31">
        <v>1</v>
      </c>
      <c r="H46" s="31">
        <f t="shared" si="5"/>
        <v>8</v>
      </c>
      <c r="I46" s="63">
        <v>0</v>
      </c>
      <c r="J46" s="64">
        <f t="shared" si="6"/>
        <v>0</v>
      </c>
      <c r="K46" s="457">
        <f t="shared" si="7"/>
        <v>0</v>
      </c>
      <c r="L46" s="457">
        <f t="shared" si="8"/>
        <v>0</v>
      </c>
      <c r="M46" s="31">
        <f t="shared" si="9"/>
        <v>0</v>
      </c>
      <c r="N46" s="37">
        <f>(J46*'Base Data'!$C$5)+(K46*'Base Data'!$C$6)+(L46*'Base Data'!$C$7)</f>
        <v>0</v>
      </c>
      <c r="O46" s="37">
        <f t="shared" si="10"/>
        <v>0</v>
      </c>
      <c r="P46" s="64">
        <f t="shared" si="11"/>
        <v>0</v>
      </c>
      <c r="Q46" s="66" t="s">
        <v>277</v>
      </c>
      <c r="R46" s="95"/>
      <c r="T46" s="659"/>
      <c r="U46" s="185">
        <v>636</v>
      </c>
    </row>
    <row r="47" spans="1:21" s="4" customFormat="1" ht="9" x14ac:dyDescent="0.15">
      <c r="A47" s="101" t="s">
        <v>274</v>
      </c>
      <c r="B47" s="31">
        <v>5</v>
      </c>
      <c r="C47" s="31"/>
      <c r="D47" s="37">
        <v>0</v>
      </c>
      <c r="E47" s="37">
        <v>0</v>
      </c>
      <c r="F47" s="37">
        <v>0</v>
      </c>
      <c r="G47" s="31">
        <v>1</v>
      </c>
      <c r="H47" s="31">
        <f t="shared" si="5"/>
        <v>5</v>
      </c>
      <c r="I47" s="63">
        <v>0</v>
      </c>
      <c r="J47" s="64">
        <f t="shared" si="6"/>
        <v>0</v>
      </c>
      <c r="K47" s="64">
        <f t="shared" si="7"/>
        <v>0</v>
      </c>
      <c r="L47" s="64">
        <f t="shared" si="8"/>
        <v>0</v>
      </c>
      <c r="M47" s="31">
        <f t="shared" si="9"/>
        <v>0</v>
      </c>
      <c r="N47" s="37">
        <f>(J47*'Base Data'!$C$5)+(K47*'Base Data'!$C$6)+(L47*'Base Data'!$C$7)</f>
        <v>0</v>
      </c>
      <c r="O47" s="37">
        <f t="shared" si="10"/>
        <v>0</v>
      </c>
      <c r="P47" s="64">
        <f t="shared" si="11"/>
        <v>0</v>
      </c>
      <c r="Q47" s="66" t="s">
        <v>277</v>
      </c>
      <c r="R47" s="108"/>
      <c r="T47" s="659"/>
      <c r="U47" s="185">
        <v>636</v>
      </c>
    </row>
    <row r="48" spans="1:21" s="4" customFormat="1" ht="9" x14ac:dyDescent="0.15">
      <c r="A48" s="92" t="s">
        <v>191</v>
      </c>
      <c r="B48" s="31">
        <v>20</v>
      </c>
      <c r="C48" s="31">
        <v>0</v>
      </c>
      <c r="D48" s="37">
        <v>0</v>
      </c>
      <c r="E48" s="37">
        <v>0</v>
      </c>
      <c r="F48" s="37">
        <v>0</v>
      </c>
      <c r="G48" s="31">
        <v>1</v>
      </c>
      <c r="H48" s="31">
        <f t="shared" si="5"/>
        <v>20</v>
      </c>
      <c r="I48" s="63">
        <f>ROUND(SUM('Base Data'!$H$28:$H$30,'Base Data'!$H$33:$H$35,(SUM('Base Data'!$H$71:$H$73)/3)),0)</f>
        <v>660</v>
      </c>
      <c r="J48" s="64">
        <f t="shared" si="6"/>
        <v>13200</v>
      </c>
      <c r="K48" s="64">
        <f t="shared" si="7"/>
        <v>1320</v>
      </c>
      <c r="L48" s="64">
        <f t="shared" si="8"/>
        <v>660</v>
      </c>
      <c r="M48" s="64">
        <f t="shared" si="9"/>
        <v>0</v>
      </c>
      <c r="N48" s="37">
        <f>(J48*'Base Data'!$C$5)+(K48*'Base Data'!$C$6)+(L48*'Base Data'!$C$7)</f>
        <v>1662256.2</v>
      </c>
      <c r="O48" s="37">
        <f t="shared" si="10"/>
        <v>0</v>
      </c>
      <c r="P48" s="64">
        <f t="shared" si="11"/>
        <v>660</v>
      </c>
      <c r="Q48" s="66" t="s">
        <v>202</v>
      </c>
      <c r="R48" s="108"/>
      <c r="T48" s="659"/>
      <c r="U48" s="185">
        <v>627</v>
      </c>
    </row>
    <row r="49" spans="1:21" s="4" customFormat="1" ht="9" x14ac:dyDescent="0.15">
      <c r="A49" s="92" t="s">
        <v>190</v>
      </c>
      <c r="B49" s="31">
        <v>20</v>
      </c>
      <c r="C49" s="31">
        <v>0</v>
      </c>
      <c r="D49" s="37">
        <v>0</v>
      </c>
      <c r="E49" s="37">
        <v>0</v>
      </c>
      <c r="F49" s="37">
        <v>0</v>
      </c>
      <c r="G49" s="31">
        <v>2</v>
      </c>
      <c r="H49" s="31">
        <f t="shared" si="5"/>
        <v>40</v>
      </c>
      <c r="I49" s="63">
        <f>SUM('Base Data'!$H$38:$H$40)</f>
        <v>9</v>
      </c>
      <c r="J49" s="64">
        <f t="shared" si="6"/>
        <v>360</v>
      </c>
      <c r="K49" s="64">
        <f t="shared" si="7"/>
        <v>36</v>
      </c>
      <c r="L49" s="64">
        <f t="shared" si="8"/>
        <v>18</v>
      </c>
      <c r="M49" s="64">
        <f t="shared" si="9"/>
        <v>0</v>
      </c>
      <c r="N49" s="37">
        <f>(J49*'Base Data'!$C$5)+(K49*'Base Data'!$C$6)+(L49*'Base Data'!$C$7)</f>
        <v>45334.260000000009</v>
      </c>
      <c r="O49" s="37">
        <f t="shared" si="10"/>
        <v>0</v>
      </c>
      <c r="P49" s="64">
        <f t="shared" si="11"/>
        <v>18</v>
      </c>
      <c r="Q49" s="66" t="s">
        <v>202</v>
      </c>
      <c r="R49" s="95"/>
      <c r="T49" s="659"/>
      <c r="U49" s="185">
        <v>9</v>
      </c>
    </row>
    <row r="50" spans="1:21" s="4" customFormat="1" ht="9" x14ac:dyDescent="0.15">
      <c r="A50" s="92" t="s">
        <v>345</v>
      </c>
      <c r="B50" s="31">
        <v>5</v>
      </c>
      <c r="C50" s="31"/>
      <c r="D50" s="37">
        <v>0</v>
      </c>
      <c r="E50" s="37">
        <v>0</v>
      </c>
      <c r="F50" s="37">
        <v>0</v>
      </c>
      <c r="G50" s="31">
        <v>1</v>
      </c>
      <c r="H50" s="31">
        <f t="shared" si="5"/>
        <v>5</v>
      </c>
      <c r="I50" s="64">
        <f>ROUNDUP('Base Data'!$B$52,0)</f>
        <v>852</v>
      </c>
      <c r="J50" s="64">
        <f t="shared" si="6"/>
        <v>4260</v>
      </c>
      <c r="K50" s="457">
        <f t="shared" si="7"/>
        <v>426</v>
      </c>
      <c r="L50" s="457">
        <f t="shared" si="8"/>
        <v>213</v>
      </c>
      <c r="M50" s="64">
        <f t="shared" si="9"/>
        <v>0</v>
      </c>
      <c r="N50" s="37">
        <f>(J50*'Base Data'!$C$5)+(K50*'Base Data'!$C$6)+(L50*'Base Data'!$C$7)</f>
        <v>536455.41</v>
      </c>
      <c r="O50" s="37">
        <f t="shared" si="10"/>
        <v>0</v>
      </c>
      <c r="P50" s="64">
        <f t="shared" si="11"/>
        <v>852</v>
      </c>
      <c r="Q50" s="66" t="s">
        <v>402</v>
      </c>
      <c r="T50" s="659"/>
      <c r="U50" s="185">
        <v>852</v>
      </c>
    </row>
    <row r="51" spans="1:21" s="4" customFormat="1" ht="12.95" hidden="1" customHeight="1" x14ac:dyDescent="0.15">
      <c r="A51" s="92"/>
      <c r="B51" s="31"/>
      <c r="C51" s="31"/>
      <c r="D51" s="37"/>
      <c r="E51" s="37"/>
      <c r="F51" s="37"/>
      <c r="G51" s="31"/>
      <c r="H51" s="31"/>
      <c r="I51" s="63"/>
      <c r="J51" s="64">
        <f>SUM(J7:J50)</f>
        <v>123918</v>
      </c>
      <c r="K51" s="64">
        <f>SUM(K7:K50)</f>
        <v>12391.800000000001</v>
      </c>
      <c r="L51" s="64">
        <f>SUM(L7:L50)</f>
        <v>6195.9000000000005</v>
      </c>
      <c r="M51" s="14"/>
      <c r="N51" s="37"/>
      <c r="O51" s="26"/>
      <c r="P51" s="14"/>
      <c r="Q51" s="19"/>
      <c r="R51" s="25"/>
      <c r="T51" s="660"/>
      <c r="U51" s="185"/>
    </row>
    <row r="52" spans="1:21" s="379" customFormat="1" ht="9" x14ac:dyDescent="0.15">
      <c r="A52" s="362" t="s">
        <v>4</v>
      </c>
      <c r="B52" s="364"/>
      <c r="C52" s="364"/>
      <c r="D52" s="365"/>
      <c r="E52" s="365"/>
      <c r="F52" s="365"/>
      <c r="G52" s="364"/>
      <c r="H52" s="364"/>
      <c r="I52" s="366" t="s">
        <v>189</v>
      </c>
      <c r="J52" s="740">
        <f>J51+K51+L51</f>
        <v>142505.69999999998</v>
      </c>
      <c r="K52" s="741"/>
      <c r="L52" s="742"/>
      <c r="M52" s="367">
        <f>SUM(M7:M49)</f>
        <v>0</v>
      </c>
      <c r="N52" s="365">
        <f>SUM(N7:N50)</f>
        <v>15604807.863</v>
      </c>
      <c r="O52" s="365">
        <f>SUM(O7:O50)</f>
        <v>18867183</v>
      </c>
      <c r="P52" s="367">
        <f>SUM(P45:P50)</f>
        <v>1530</v>
      </c>
      <c r="Q52" s="368"/>
      <c r="R52" s="380">
        <f>SUM(O7,O10:O22,O27,O30,O33,O36,O39,O40:O41)</f>
        <v>18867183</v>
      </c>
      <c r="S52" s="381">
        <f>SUM(O26,O29,O32,O35,O38)</f>
        <v>0</v>
      </c>
      <c r="T52" s="661"/>
      <c r="U52" s="500" t="s">
        <v>189</v>
      </c>
    </row>
    <row r="53" spans="1:21" s="4" customFormat="1" ht="9" x14ac:dyDescent="0.15">
      <c r="A53" s="90" t="s">
        <v>309</v>
      </c>
      <c r="B53" s="31"/>
      <c r="C53" s="31"/>
      <c r="D53" s="37"/>
      <c r="E53" s="37"/>
      <c r="F53" s="37"/>
      <c r="G53" s="31"/>
      <c r="H53" s="31"/>
      <c r="I53" s="64"/>
      <c r="J53" s="64"/>
      <c r="K53" s="64"/>
      <c r="L53" s="64"/>
      <c r="M53" s="31"/>
      <c r="N53" s="37"/>
      <c r="O53" s="37"/>
      <c r="P53" s="64"/>
      <c r="Q53" s="66"/>
      <c r="R53" s="95"/>
      <c r="T53" s="659"/>
      <c r="U53" s="185"/>
    </row>
    <row r="54" spans="1:21" s="4" customFormat="1" ht="9" x14ac:dyDescent="0.15">
      <c r="A54" s="91" t="s">
        <v>626</v>
      </c>
      <c r="B54" s="31" t="s">
        <v>301</v>
      </c>
      <c r="C54" s="31"/>
      <c r="D54" s="37"/>
      <c r="E54" s="37"/>
      <c r="F54" s="37"/>
      <c r="G54" s="31"/>
      <c r="H54" s="31"/>
      <c r="I54" s="64"/>
      <c r="J54" s="64"/>
      <c r="K54" s="64"/>
      <c r="L54" s="64"/>
      <c r="M54" s="31"/>
      <c r="N54" s="37"/>
      <c r="O54" s="37"/>
      <c r="P54" s="64"/>
      <c r="Q54" s="66"/>
      <c r="R54" s="95"/>
      <c r="T54" s="659"/>
      <c r="U54" s="185"/>
    </row>
    <row r="55" spans="1:21" s="4" customFormat="1" ht="9" x14ac:dyDescent="0.15">
      <c r="A55" s="90" t="s">
        <v>298</v>
      </c>
      <c r="B55" s="31" t="s">
        <v>311</v>
      </c>
      <c r="C55" s="31"/>
      <c r="D55" s="37"/>
      <c r="E55" s="37"/>
      <c r="F55" s="37"/>
      <c r="G55" s="31"/>
      <c r="H55" s="31"/>
      <c r="I55" s="64"/>
      <c r="J55" s="64"/>
      <c r="K55" s="64"/>
      <c r="L55" s="64"/>
      <c r="M55" s="31"/>
      <c r="N55" s="37"/>
      <c r="O55" s="37"/>
      <c r="P55" s="64"/>
      <c r="Q55" s="66"/>
      <c r="R55" s="95"/>
      <c r="T55" s="659"/>
      <c r="U55" s="185"/>
    </row>
    <row r="56" spans="1:21" s="4" customFormat="1" ht="9" x14ac:dyDescent="0.15">
      <c r="A56" s="90" t="s">
        <v>299</v>
      </c>
      <c r="B56" s="31" t="s">
        <v>311</v>
      </c>
      <c r="C56" s="31"/>
      <c r="D56" s="37"/>
      <c r="E56" s="37"/>
      <c r="F56" s="37"/>
      <c r="G56" s="31"/>
      <c r="H56" s="31"/>
      <c r="I56" s="64"/>
      <c r="J56" s="64"/>
      <c r="K56" s="64"/>
      <c r="L56" s="64"/>
      <c r="M56" s="31"/>
      <c r="N56" s="37"/>
      <c r="O56" s="37"/>
      <c r="P56" s="64"/>
      <c r="Q56" s="66" t="s">
        <v>278</v>
      </c>
      <c r="R56" s="95"/>
      <c r="T56" s="659"/>
      <c r="U56" s="185"/>
    </row>
    <row r="57" spans="1:21" s="4" customFormat="1" ht="9" x14ac:dyDescent="0.15">
      <c r="A57" s="90" t="s">
        <v>300</v>
      </c>
      <c r="B57" s="31"/>
      <c r="C57" s="31"/>
      <c r="D57" s="37"/>
      <c r="E57" s="37"/>
      <c r="F57" s="37"/>
      <c r="G57" s="31"/>
      <c r="H57" s="31"/>
      <c r="I57" s="64"/>
      <c r="J57" s="64"/>
      <c r="K57" s="64"/>
      <c r="L57" s="64"/>
      <c r="M57" s="31"/>
      <c r="N57" s="37"/>
      <c r="O57" s="37"/>
      <c r="P57" s="64"/>
      <c r="Q57" s="66"/>
      <c r="R57" s="95"/>
      <c r="T57" s="659"/>
      <c r="U57" s="185"/>
    </row>
    <row r="58" spans="1:21" s="4" customFormat="1" ht="9.75" customHeight="1" x14ac:dyDescent="0.15">
      <c r="A58" s="90" t="s">
        <v>307</v>
      </c>
      <c r="B58" s="31">
        <v>20</v>
      </c>
      <c r="C58" s="31"/>
      <c r="D58" s="37">
        <v>0</v>
      </c>
      <c r="E58" s="37">
        <v>0</v>
      </c>
      <c r="F58" s="37">
        <v>0</v>
      </c>
      <c r="G58" s="31">
        <v>1</v>
      </c>
      <c r="H58" s="31">
        <f t="shared" ref="H58:H64" si="12">B58*G58</f>
        <v>20</v>
      </c>
      <c r="I58" s="63">
        <f>SUM('Base Data'!$D$38:$D$40)</f>
        <v>78</v>
      </c>
      <c r="J58" s="64">
        <f t="shared" ref="J58:J64" si="13">H58*I58</f>
        <v>1560</v>
      </c>
      <c r="K58" s="64">
        <f t="shared" ref="K58:K64" si="14">J58*0.1</f>
        <v>156</v>
      </c>
      <c r="L58" s="64">
        <f t="shared" ref="L58:L64" si="15">J58*0.05</f>
        <v>78</v>
      </c>
      <c r="M58" s="31"/>
      <c r="N58" s="37">
        <f>(J58*'Base Data'!$C$5)+(K58*'Base Data'!$C$6)+(L58*'Base Data'!$C$7)</f>
        <v>196448.46000000002</v>
      </c>
      <c r="O58" s="37">
        <f t="shared" ref="O58:O64" si="16">(D58+E58+F58)*G58*I58</f>
        <v>0</v>
      </c>
      <c r="P58" s="64">
        <v>0</v>
      </c>
      <c r="Q58" s="66" t="s">
        <v>277</v>
      </c>
      <c r="R58" s="95"/>
      <c r="T58" s="659"/>
      <c r="U58" s="185">
        <v>78</v>
      </c>
    </row>
    <row r="59" spans="1:21" s="4" customFormat="1" ht="9" x14ac:dyDescent="0.15">
      <c r="A59" s="91" t="s">
        <v>303</v>
      </c>
      <c r="B59" s="31">
        <v>15</v>
      </c>
      <c r="C59" s="31">
        <v>0</v>
      </c>
      <c r="D59" s="37">
        <v>0</v>
      </c>
      <c r="E59" s="37">
        <v>0</v>
      </c>
      <c r="F59" s="37">
        <v>0</v>
      </c>
      <c r="G59" s="31">
        <v>1</v>
      </c>
      <c r="H59" s="31">
        <f t="shared" si="12"/>
        <v>15</v>
      </c>
      <c r="I59" s="63">
        <f>SUM('Base Data'!$D$38:$D$40)</f>
        <v>78</v>
      </c>
      <c r="J59" s="64">
        <f t="shared" si="13"/>
        <v>1170</v>
      </c>
      <c r="K59" s="64">
        <f t="shared" si="14"/>
        <v>117</v>
      </c>
      <c r="L59" s="64">
        <f t="shared" si="15"/>
        <v>58.5</v>
      </c>
      <c r="M59" s="31">
        <f>C59*G59*I59</f>
        <v>0</v>
      </c>
      <c r="N59" s="37">
        <f>(J59*'Base Data'!$C$5)+(K59*'Base Data'!$C$6)+(L59*'Base Data'!$C$7)</f>
        <v>147336.345</v>
      </c>
      <c r="O59" s="37">
        <f t="shared" si="16"/>
        <v>0</v>
      </c>
      <c r="P59" s="64">
        <v>0</v>
      </c>
      <c r="Q59" s="66" t="s">
        <v>727</v>
      </c>
      <c r="R59" s="95"/>
      <c r="T59" s="659"/>
      <c r="U59" s="185">
        <v>78</v>
      </c>
    </row>
    <row r="60" spans="1:21" s="4" customFormat="1" ht="9.75" customHeight="1" x14ac:dyDescent="0.15">
      <c r="A60" s="90" t="s">
        <v>304</v>
      </c>
      <c r="B60" s="31">
        <v>2</v>
      </c>
      <c r="C60" s="31"/>
      <c r="D60" s="37">
        <v>0</v>
      </c>
      <c r="E60" s="37">
        <v>0</v>
      </c>
      <c r="F60" s="37">
        <v>0</v>
      </c>
      <c r="G60" s="31">
        <v>1</v>
      </c>
      <c r="H60" s="31">
        <f t="shared" si="12"/>
        <v>2</v>
      </c>
      <c r="I60" s="63">
        <f>SUM('Base Data'!$D$38:$D$40)</f>
        <v>78</v>
      </c>
      <c r="J60" s="64">
        <f t="shared" si="13"/>
        <v>156</v>
      </c>
      <c r="K60" s="457">
        <f t="shared" si="14"/>
        <v>15.600000000000001</v>
      </c>
      <c r="L60" s="457">
        <f t="shared" si="15"/>
        <v>7.8000000000000007</v>
      </c>
      <c r="M60" s="31"/>
      <c r="N60" s="37">
        <f>(J60*'Base Data'!$C$5)+(K60*'Base Data'!$C$6)+(L60*'Base Data'!$C$7)</f>
        <v>19644.846000000001</v>
      </c>
      <c r="O60" s="37">
        <f t="shared" si="16"/>
        <v>0</v>
      </c>
      <c r="P60" s="64">
        <v>0</v>
      </c>
      <c r="Q60" s="66" t="s">
        <v>277</v>
      </c>
      <c r="R60" s="95"/>
      <c r="T60" s="659"/>
      <c r="U60" s="185">
        <v>78</v>
      </c>
    </row>
    <row r="61" spans="1:21" s="4" customFormat="1" ht="9" x14ac:dyDescent="0.15">
      <c r="A61" s="91" t="s">
        <v>313</v>
      </c>
      <c r="B61" s="31">
        <v>2</v>
      </c>
      <c r="C61" s="31"/>
      <c r="D61" s="37">
        <v>0</v>
      </c>
      <c r="E61" s="37">
        <v>0</v>
      </c>
      <c r="F61" s="37">
        <v>0</v>
      </c>
      <c r="G61" s="31">
        <v>1</v>
      </c>
      <c r="H61" s="31">
        <f t="shared" si="12"/>
        <v>2</v>
      </c>
      <c r="I61" s="63">
        <f>SUM('Base Data'!$D$38:$D$40)</f>
        <v>78</v>
      </c>
      <c r="J61" s="64">
        <f t="shared" si="13"/>
        <v>156</v>
      </c>
      <c r="K61" s="457">
        <f t="shared" si="14"/>
        <v>15.600000000000001</v>
      </c>
      <c r="L61" s="457">
        <f t="shared" si="15"/>
        <v>7.8000000000000007</v>
      </c>
      <c r="M61" s="31"/>
      <c r="N61" s="37">
        <f>(J61*'Base Data'!$C$5)+(K61*'Base Data'!$C$6)+(L61*'Base Data'!$C$7)</f>
        <v>19644.846000000001</v>
      </c>
      <c r="O61" s="37">
        <f t="shared" si="16"/>
        <v>0</v>
      </c>
      <c r="P61" s="64">
        <v>0</v>
      </c>
      <c r="Q61" s="66" t="s">
        <v>277</v>
      </c>
      <c r="R61" s="95"/>
      <c r="T61" s="659"/>
      <c r="U61" s="185">
        <v>78</v>
      </c>
    </row>
    <row r="62" spans="1:21" s="4" customFormat="1" ht="9" customHeight="1" x14ac:dyDescent="0.15">
      <c r="A62" s="91" t="s">
        <v>192</v>
      </c>
      <c r="B62" s="31">
        <v>2</v>
      </c>
      <c r="C62" s="31">
        <v>0</v>
      </c>
      <c r="D62" s="37">
        <v>0</v>
      </c>
      <c r="E62" s="37">
        <v>0</v>
      </c>
      <c r="F62" s="37">
        <v>0</v>
      </c>
      <c r="G62" s="31">
        <v>1</v>
      </c>
      <c r="H62" s="31">
        <f>B62*G62</f>
        <v>2</v>
      </c>
      <c r="I62" s="63">
        <f>I48</f>
        <v>660</v>
      </c>
      <c r="J62" s="64">
        <f>H62*I62</f>
        <v>1320</v>
      </c>
      <c r="K62" s="457">
        <f t="shared" si="14"/>
        <v>132</v>
      </c>
      <c r="L62" s="457">
        <f>J62*0.05</f>
        <v>66</v>
      </c>
      <c r="M62" s="31">
        <f>C62*G62*I62</f>
        <v>0</v>
      </c>
      <c r="N62" s="37">
        <f>(J62*'Base Data'!$C$5)+(K62*'Base Data'!$C$6)+(L62*'Base Data'!$C$7)</f>
        <v>166225.62000000002</v>
      </c>
      <c r="O62" s="37">
        <f>(D62+E62+F62)*G62*I62</f>
        <v>0</v>
      </c>
      <c r="P62" s="64">
        <v>0</v>
      </c>
      <c r="Q62" s="66" t="s">
        <v>202</v>
      </c>
      <c r="R62" s="95"/>
      <c r="T62" s="659"/>
      <c r="U62" s="185">
        <v>627</v>
      </c>
    </row>
    <row r="63" spans="1:21" s="4" customFormat="1" ht="18" x14ac:dyDescent="0.15">
      <c r="A63" s="91" t="s">
        <v>354</v>
      </c>
      <c r="B63" s="31">
        <v>2</v>
      </c>
      <c r="C63" s="31">
        <v>0</v>
      </c>
      <c r="D63" s="37">
        <v>0</v>
      </c>
      <c r="E63" s="37">
        <v>0</v>
      </c>
      <c r="F63" s="37">
        <v>0</v>
      </c>
      <c r="G63" s="31">
        <v>2</v>
      </c>
      <c r="H63" s="31">
        <f t="shared" si="12"/>
        <v>4</v>
      </c>
      <c r="I63" s="63">
        <f>I49</f>
        <v>9</v>
      </c>
      <c r="J63" s="64">
        <f t="shared" si="13"/>
        <v>36</v>
      </c>
      <c r="K63" s="457">
        <f t="shared" si="14"/>
        <v>3.6</v>
      </c>
      <c r="L63" s="457">
        <f t="shared" si="15"/>
        <v>1.8</v>
      </c>
      <c r="M63" s="31">
        <f>C63*G63*I63</f>
        <v>0</v>
      </c>
      <c r="N63" s="37">
        <f>(J63*'Base Data'!$C$5)+(K63*'Base Data'!$C$6)+(L63*'Base Data'!$C$7)</f>
        <v>4533.4260000000004</v>
      </c>
      <c r="O63" s="37">
        <f t="shared" si="16"/>
        <v>0</v>
      </c>
      <c r="P63" s="64">
        <v>0</v>
      </c>
      <c r="Q63" s="66" t="s">
        <v>202</v>
      </c>
      <c r="R63" s="95"/>
      <c r="T63" s="659"/>
      <c r="U63" s="185">
        <v>9</v>
      </c>
    </row>
    <row r="64" spans="1:21" s="4" customFormat="1" ht="9" x14ac:dyDescent="0.15">
      <c r="A64" s="91" t="s">
        <v>196</v>
      </c>
      <c r="B64" s="31">
        <v>0.5</v>
      </c>
      <c r="C64" s="31"/>
      <c r="D64" s="37">
        <v>0</v>
      </c>
      <c r="E64" s="37">
        <v>0</v>
      </c>
      <c r="F64" s="37">
        <v>0</v>
      </c>
      <c r="G64" s="31">
        <v>12</v>
      </c>
      <c r="H64" s="31">
        <f t="shared" si="12"/>
        <v>6</v>
      </c>
      <c r="I64" s="63">
        <f>SUM('Base Data'!$D$38:$D$40)</f>
        <v>78</v>
      </c>
      <c r="J64" s="64">
        <f t="shared" si="13"/>
        <v>468</v>
      </c>
      <c r="K64" s="457">
        <f t="shared" si="14"/>
        <v>46.800000000000004</v>
      </c>
      <c r="L64" s="457">
        <f t="shared" si="15"/>
        <v>23.400000000000002</v>
      </c>
      <c r="M64" s="31"/>
      <c r="N64" s="37">
        <f>(J64*'Base Data'!$C$5)+(K64*'Base Data'!$C$6)+(L64*'Base Data'!$C$7)</f>
        <v>58934.538</v>
      </c>
      <c r="O64" s="37">
        <f t="shared" si="16"/>
        <v>0</v>
      </c>
      <c r="P64" s="64">
        <v>0</v>
      </c>
      <c r="Q64" s="66" t="s">
        <v>277</v>
      </c>
      <c r="R64" s="95"/>
      <c r="T64" s="659"/>
      <c r="U64" s="185">
        <v>5472</v>
      </c>
    </row>
    <row r="65" spans="1:21" s="4" customFormat="1" ht="9" x14ac:dyDescent="0.15">
      <c r="A65" s="198" t="s">
        <v>355</v>
      </c>
      <c r="B65" s="31">
        <v>0.25</v>
      </c>
      <c r="C65" s="31"/>
      <c r="D65" s="37">
        <v>0</v>
      </c>
      <c r="E65" s="37">
        <v>0</v>
      </c>
      <c r="F65" s="37">
        <v>0</v>
      </c>
      <c r="G65" s="31">
        <v>1</v>
      </c>
      <c r="H65" s="31">
        <f>B65*G65</f>
        <v>0.25</v>
      </c>
      <c r="I65" s="63">
        <f>I40</f>
        <v>5733</v>
      </c>
      <c r="J65" s="63">
        <f>H65*I65</f>
        <v>1433.25</v>
      </c>
      <c r="K65" s="454">
        <f>J65*0.1</f>
        <v>143.32500000000002</v>
      </c>
      <c r="L65" s="454">
        <f>J65*0.05</f>
        <v>71.662500000000009</v>
      </c>
      <c r="M65" s="31">
        <f>C65*G65*I65</f>
        <v>0</v>
      </c>
      <c r="N65" s="37">
        <f>(J65*'Base Data'!$C$5)+(K65*'Base Data'!$C$6)+(L65*'Base Data'!$C$7)</f>
        <v>180487.02262499998</v>
      </c>
      <c r="O65" s="37">
        <f>(D65+E65+F65)*G65*I65</f>
        <v>0</v>
      </c>
      <c r="P65" s="64">
        <v>0</v>
      </c>
      <c r="Q65" s="66" t="s">
        <v>277</v>
      </c>
      <c r="R65" s="95"/>
      <c r="T65" s="659"/>
      <c r="U65" s="185">
        <v>5394</v>
      </c>
    </row>
    <row r="66" spans="1:21" s="4" customFormat="1" ht="9" x14ac:dyDescent="0.15">
      <c r="A66" s="90" t="s">
        <v>305</v>
      </c>
      <c r="B66" s="31">
        <v>40</v>
      </c>
      <c r="C66" s="31"/>
      <c r="D66" s="37">
        <v>0</v>
      </c>
      <c r="E66" s="37">
        <v>0</v>
      </c>
      <c r="F66" s="37">
        <v>0</v>
      </c>
      <c r="G66" s="31">
        <v>1</v>
      </c>
      <c r="H66" s="31">
        <f>B66*G66</f>
        <v>40</v>
      </c>
      <c r="I66" s="63">
        <f>ROUND((SUM('Base Data'!$H$28:$H$30,'Base Data'!$H$33:$H$35,'Base Data'!$H$38:$H$40,(SUM('Base Data'!$H$71:$H$73)/3)))/2,0)</f>
        <v>335</v>
      </c>
      <c r="J66" s="64">
        <f>H66*I66</f>
        <v>13400</v>
      </c>
      <c r="K66" s="64">
        <f>J66*0.1</f>
        <v>1340</v>
      </c>
      <c r="L66" s="64">
        <f>J66*0.05</f>
        <v>670</v>
      </c>
      <c r="M66" s="31"/>
      <c r="N66" s="37">
        <f>(J66*'Base Data'!$C$5)+(K66*'Base Data'!$C$6)+(L66*'Base Data'!$C$7)</f>
        <v>1687441.9</v>
      </c>
      <c r="O66" s="37">
        <f>(D66+E66+F66)*G66*I66</f>
        <v>0</v>
      </c>
      <c r="P66" s="64">
        <v>0</v>
      </c>
      <c r="Q66" s="66" t="s">
        <v>405</v>
      </c>
      <c r="T66" s="659"/>
      <c r="U66" s="185">
        <v>318</v>
      </c>
    </row>
    <row r="67" spans="1:21" s="4" customFormat="1" x14ac:dyDescent="0.2">
      <c r="A67" s="90" t="s">
        <v>306</v>
      </c>
      <c r="B67" s="31" t="s">
        <v>311</v>
      </c>
      <c r="C67" s="31"/>
      <c r="D67" s="37"/>
      <c r="E67" s="37"/>
      <c r="F67" s="37"/>
      <c r="G67" s="31"/>
      <c r="H67" s="31"/>
      <c r="I67" s="64"/>
      <c r="J67" s="64"/>
      <c r="K67" s="64"/>
      <c r="L67" s="64"/>
      <c r="M67" s="31"/>
      <c r="N67" s="37"/>
      <c r="O67" s="37"/>
      <c r="P67" s="64"/>
      <c r="Q67" s="66"/>
      <c r="R67" s="109"/>
      <c r="T67" s="658"/>
      <c r="U67" s="185"/>
    </row>
    <row r="68" spans="1:21" s="4" customFormat="1" hidden="1" x14ac:dyDescent="0.2">
      <c r="A68" s="94"/>
      <c r="B68" s="437"/>
      <c r="C68" s="437"/>
      <c r="D68" s="438"/>
      <c r="E68" s="438"/>
      <c r="F68" s="438"/>
      <c r="G68" s="437"/>
      <c r="H68" s="437"/>
      <c r="I68" s="439"/>
      <c r="J68" s="141">
        <f>SUM(J54:J67)</f>
        <v>19699.25</v>
      </c>
      <c r="K68" s="141">
        <f>SUM(K54:K67)</f>
        <v>1969.9250000000002</v>
      </c>
      <c r="L68" s="141">
        <f>SUM(L54:L67)</f>
        <v>984.96250000000009</v>
      </c>
      <c r="M68" s="437"/>
      <c r="N68" s="438"/>
      <c r="O68" s="438"/>
      <c r="P68" s="439"/>
      <c r="Q68" s="440"/>
      <c r="R68" s="109"/>
      <c r="U68" s="185"/>
    </row>
    <row r="69" spans="1:21" s="379" customFormat="1" x14ac:dyDescent="0.2">
      <c r="A69" s="363" t="s">
        <v>23</v>
      </c>
      <c r="B69" s="372"/>
      <c r="C69" s="372"/>
      <c r="D69" s="373"/>
      <c r="E69" s="373"/>
      <c r="F69" s="373"/>
      <c r="G69" s="372"/>
      <c r="H69" s="372"/>
      <c r="I69" s="374"/>
      <c r="J69" s="744">
        <f>J68+K68+L68</f>
        <v>22654.137500000001</v>
      </c>
      <c r="K69" s="745"/>
      <c r="L69" s="746"/>
      <c r="M69" s="373">
        <f>SUM(M54:M67)</f>
        <v>0</v>
      </c>
      <c r="N69" s="373">
        <f>SUM(N54:N67)</f>
        <v>2480697.0036249999</v>
      </c>
      <c r="O69" s="373">
        <f>SUM(O54:O67)</f>
        <v>0</v>
      </c>
      <c r="P69" s="374"/>
      <c r="Q69" s="375"/>
      <c r="R69" s="109"/>
      <c r="U69" s="500"/>
    </row>
    <row r="70" spans="1:21" s="4" customFormat="1" hidden="1" x14ac:dyDescent="0.2">
      <c r="A70" s="443"/>
      <c r="B70" s="444"/>
      <c r="C70" s="444"/>
      <c r="D70" s="445"/>
      <c r="E70" s="445"/>
      <c r="F70" s="445"/>
      <c r="G70" s="444"/>
      <c r="H70" s="444"/>
      <c r="I70" s="446"/>
      <c r="J70" s="18">
        <f>J51+J68</f>
        <v>143617.25</v>
      </c>
      <c r="K70" s="18">
        <f>K51+K68</f>
        <v>14361.725000000002</v>
      </c>
      <c r="L70" s="18">
        <f>L51+L68</f>
        <v>7180.8625000000011</v>
      </c>
      <c r="M70" s="445"/>
      <c r="N70" s="445"/>
      <c r="O70" s="445"/>
      <c r="P70" s="446"/>
      <c r="Q70" s="447"/>
      <c r="R70" s="77"/>
    </row>
    <row r="71" spans="1:21" s="2" customFormat="1" x14ac:dyDescent="0.2">
      <c r="A71" s="110" t="s">
        <v>283</v>
      </c>
      <c r="B71" s="111"/>
      <c r="C71" s="111"/>
      <c r="D71" s="111"/>
      <c r="E71" s="111"/>
      <c r="F71" s="112"/>
      <c r="G71" s="111"/>
      <c r="H71" s="111"/>
      <c r="I71" s="441"/>
      <c r="J71" s="739">
        <f>J70+K70+L70</f>
        <v>165159.83749999999</v>
      </c>
      <c r="K71" s="733"/>
      <c r="L71" s="743"/>
      <c r="M71" s="442">
        <f>M52+M69</f>
        <v>0</v>
      </c>
      <c r="N71" s="115">
        <f>N52+N69</f>
        <v>18085504.866625</v>
      </c>
      <c r="O71" s="115">
        <f>O52+O69</f>
        <v>18867183</v>
      </c>
      <c r="P71" s="114">
        <f>P52+P69</f>
        <v>1530</v>
      </c>
      <c r="Q71" s="555"/>
      <c r="R71" s="38"/>
    </row>
    <row r="72" spans="1:21" ht="6" customHeight="1" x14ac:dyDescent="0.2">
      <c r="A72" s="77"/>
      <c r="B72" s="39"/>
      <c r="C72" s="39"/>
      <c r="D72" s="39"/>
      <c r="E72" s="39"/>
      <c r="F72" s="39"/>
      <c r="G72" s="39"/>
      <c r="H72" s="39"/>
      <c r="I72" s="40"/>
      <c r="J72" s="39"/>
      <c r="K72" s="39"/>
      <c r="L72" s="39"/>
      <c r="M72" s="39"/>
      <c r="N72" s="39"/>
      <c r="O72" s="120"/>
      <c r="P72" s="120"/>
      <c r="Q72" s="39"/>
      <c r="R72" s="38"/>
    </row>
    <row r="73" spans="1:21" s="38" customFormat="1" ht="9" x14ac:dyDescent="0.15">
      <c r="A73" s="38" t="s">
        <v>718</v>
      </c>
      <c r="B73" s="41"/>
      <c r="C73" s="41"/>
      <c r="D73" s="41"/>
      <c r="E73" s="41"/>
      <c r="F73" s="41"/>
      <c r="G73" s="41"/>
      <c r="H73" s="41"/>
      <c r="I73" s="42"/>
      <c r="J73" s="41"/>
      <c r="K73" s="41"/>
      <c r="L73" s="41"/>
      <c r="M73" s="41"/>
      <c r="N73" s="41"/>
      <c r="O73" s="121"/>
      <c r="P73" s="121"/>
      <c r="Q73" s="41"/>
    </row>
    <row r="74" spans="1:21" s="9" customFormat="1" ht="22.5" customHeight="1" x14ac:dyDescent="0.15">
      <c r="A74" s="682" t="s">
        <v>137</v>
      </c>
      <c r="B74" s="682"/>
      <c r="C74" s="682"/>
      <c r="D74" s="682"/>
      <c r="E74" s="682"/>
      <c r="F74" s="682"/>
      <c r="G74" s="682"/>
      <c r="H74" s="682"/>
      <c r="I74" s="682"/>
      <c r="J74" s="682"/>
      <c r="K74" s="682"/>
      <c r="L74" s="682"/>
      <c r="M74" s="682"/>
      <c r="N74" s="682"/>
      <c r="O74" s="682"/>
      <c r="P74" s="552"/>
      <c r="Q74" s="41"/>
      <c r="R74" s="38"/>
    </row>
    <row r="75" spans="1:21" s="9" customFormat="1" ht="27" customHeight="1" x14ac:dyDescent="0.15">
      <c r="A75" s="682" t="s">
        <v>726</v>
      </c>
      <c r="B75" s="726"/>
      <c r="C75" s="726"/>
      <c r="D75" s="726"/>
      <c r="E75" s="726"/>
      <c r="F75" s="726"/>
      <c r="G75" s="726"/>
      <c r="H75" s="726"/>
      <c r="I75" s="726"/>
      <c r="J75" s="726"/>
      <c r="K75" s="726"/>
      <c r="L75" s="726"/>
      <c r="M75" s="726"/>
      <c r="N75" s="726"/>
      <c r="O75" s="726"/>
      <c r="P75" s="552"/>
      <c r="Q75" s="41"/>
      <c r="R75" s="38"/>
    </row>
    <row r="76" spans="1:21" s="9" customFormat="1" ht="18" customHeight="1" x14ac:dyDescent="0.15">
      <c r="A76" s="682" t="s">
        <v>88</v>
      </c>
      <c r="B76" s="682"/>
      <c r="C76" s="682"/>
      <c r="D76" s="682"/>
      <c r="E76" s="682"/>
      <c r="F76" s="682"/>
      <c r="G76" s="682"/>
      <c r="H76" s="682"/>
      <c r="I76" s="682"/>
      <c r="J76" s="682"/>
      <c r="K76" s="682"/>
      <c r="L76" s="682"/>
      <c r="M76" s="682"/>
      <c r="N76" s="682"/>
      <c r="O76" s="682"/>
      <c r="P76" s="682"/>
      <c r="Q76" s="682"/>
      <c r="R76" s="38"/>
    </row>
    <row r="77" spans="1:21" s="9" customFormat="1" ht="10.5" customHeight="1" x14ac:dyDescent="0.15">
      <c r="A77" s="38" t="s">
        <v>317</v>
      </c>
      <c r="B77" s="41"/>
      <c r="C77" s="41"/>
      <c r="D77" s="41"/>
      <c r="E77" s="41"/>
      <c r="F77" s="41"/>
      <c r="G77" s="41"/>
      <c r="H77" s="41"/>
      <c r="I77" s="42"/>
      <c r="J77" s="41"/>
      <c r="K77" s="41"/>
      <c r="L77" s="41"/>
      <c r="M77" s="41"/>
      <c r="N77" s="41"/>
      <c r="O77" s="121"/>
      <c r="P77" s="121"/>
      <c r="Q77" s="41"/>
      <c r="R77" s="38"/>
    </row>
    <row r="78" spans="1:21" s="9" customFormat="1" ht="10.5" customHeight="1" x14ac:dyDescent="0.15">
      <c r="A78" s="682" t="s">
        <v>396</v>
      </c>
      <c r="B78" s="682"/>
      <c r="C78" s="682"/>
      <c r="D78" s="682"/>
      <c r="E78" s="682"/>
      <c r="F78" s="682"/>
      <c r="G78" s="682"/>
      <c r="H78" s="682"/>
      <c r="I78" s="682"/>
      <c r="J78" s="682"/>
      <c r="K78" s="682"/>
      <c r="L78" s="682"/>
      <c r="M78" s="682"/>
      <c r="N78" s="41"/>
      <c r="O78" s="121"/>
      <c r="P78" s="121"/>
      <c r="Q78" s="41"/>
      <c r="R78" s="38"/>
    </row>
    <row r="79" spans="1:21" s="657" customFormat="1" ht="9.75" customHeight="1" x14ac:dyDescent="0.15">
      <c r="A79" s="38" t="s">
        <v>194</v>
      </c>
      <c r="B79" s="654"/>
      <c r="C79" s="654"/>
      <c r="D79" s="654"/>
      <c r="E79" s="654"/>
      <c r="F79" s="654"/>
      <c r="G79" s="654"/>
      <c r="H79" s="654"/>
      <c r="I79" s="655"/>
      <c r="J79" s="654"/>
      <c r="K79" s="654"/>
      <c r="L79" s="654"/>
      <c r="M79" s="654"/>
      <c r="N79" s="654"/>
      <c r="O79" s="656"/>
      <c r="P79" s="656"/>
      <c r="Q79" s="654"/>
      <c r="R79" s="653"/>
    </row>
    <row r="80" spans="1:21" s="9" customFormat="1" ht="9.75" customHeight="1" x14ac:dyDescent="0.15">
      <c r="A80" s="38" t="s">
        <v>509</v>
      </c>
      <c r="B80" s="41"/>
      <c r="C80" s="41"/>
      <c r="D80" s="41"/>
      <c r="E80" s="41"/>
      <c r="F80" s="41"/>
      <c r="G80" s="41"/>
      <c r="H80" s="41"/>
      <c r="I80" s="42"/>
      <c r="J80" s="41"/>
      <c r="K80" s="41"/>
      <c r="L80" s="41"/>
      <c r="M80" s="41"/>
      <c r="N80" s="41"/>
      <c r="O80" s="121"/>
      <c r="P80" s="121"/>
      <c r="Q80" s="41"/>
      <c r="R80" s="38"/>
    </row>
    <row r="81" spans="1:18" s="9" customFormat="1" ht="9" x14ac:dyDescent="0.15">
      <c r="A81" s="38" t="s">
        <v>400</v>
      </c>
      <c r="B81" s="41"/>
      <c r="C81" s="41"/>
      <c r="D81" s="41"/>
      <c r="E81" s="41"/>
      <c r="F81" s="41"/>
      <c r="G81" s="41"/>
      <c r="H81" s="41"/>
      <c r="I81" s="42"/>
      <c r="J81" s="41"/>
      <c r="K81" s="41"/>
      <c r="L81" s="41"/>
      <c r="M81" s="41"/>
      <c r="N81" s="41"/>
      <c r="O81" s="121"/>
      <c r="P81" s="121"/>
      <c r="Q81" s="41"/>
      <c r="R81" s="38"/>
    </row>
    <row r="82" spans="1:18" s="9" customFormat="1" ht="9" customHeight="1" x14ac:dyDescent="0.15">
      <c r="A82" s="682" t="s">
        <v>454</v>
      </c>
      <c r="B82" s="682"/>
      <c r="C82" s="682"/>
      <c r="D82" s="682"/>
      <c r="E82" s="682"/>
      <c r="F82" s="682"/>
      <c r="G82" s="682"/>
      <c r="H82" s="682"/>
      <c r="I82" s="682"/>
      <c r="J82" s="682"/>
      <c r="K82" s="682"/>
      <c r="L82" s="682"/>
      <c r="M82" s="682"/>
      <c r="N82" s="682"/>
      <c r="O82" s="682"/>
      <c r="P82" s="682"/>
      <c r="Q82" s="682"/>
      <c r="R82" s="38"/>
    </row>
    <row r="83" spans="1:18" s="9" customFormat="1" ht="28.5" customHeight="1" x14ac:dyDescent="0.15">
      <c r="A83" s="747" t="s">
        <v>768</v>
      </c>
      <c r="B83" s="747"/>
      <c r="C83" s="747"/>
      <c r="D83" s="747"/>
      <c r="E83" s="747"/>
      <c r="F83" s="747"/>
      <c r="G83" s="747"/>
      <c r="H83" s="747"/>
      <c r="I83" s="747"/>
      <c r="J83" s="747"/>
      <c r="K83" s="747"/>
      <c r="L83" s="747"/>
      <c r="M83" s="747"/>
      <c r="N83" s="747"/>
      <c r="O83" s="747"/>
      <c r="P83" s="747"/>
      <c r="Q83" s="747"/>
      <c r="R83" s="38"/>
    </row>
    <row r="84" spans="1:18" s="9" customFormat="1" ht="9" x14ac:dyDescent="0.15">
      <c r="A84" s="553" t="s">
        <v>195</v>
      </c>
      <c r="B84" s="553"/>
      <c r="C84" s="553"/>
      <c r="D84" s="553"/>
      <c r="E84" s="553"/>
      <c r="F84" s="553"/>
      <c r="G84" s="553"/>
      <c r="H84" s="553"/>
      <c r="I84" s="553"/>
      <c r="J84" s="553"/>
      <c r="K84" s="553"/>
      <c r="L84" s="553"/>
      <c r="M84" s="553"/>
      <c r="N84" s="553"/>
      <c r="O84" s="121"/>
      <c r="P84" s="121"/>
      <c r="Q84" s="41"/>
      <c r="R84" s="38"/>
    </row>
    <row r="85" spans="1:18" s="9" customFormat="1" ht="9" customHeight="1" x14ac:dyDescent="0.2">
      <c r="A85" s="87" t="s">
        <v>403</v>
      </c>
      <c r="B85" s="41"/>
      <c r="C85" s="41"/>
      <c r="D85" s="41"/>
      <c r="E85" s="41"/>
      <c r="F85" s="41"/>
      <c r="G85" s="41"/>
      <c r="H85" s="41"/>
      <c r="I85" s="42"/>
      <c r="J85" s="41"/>
      <c r="K85" s="41"/>
      <c r="L85" s="41"/>
      <c r="M85" s="41"/>
      <c r="N85" s="41"/>
      <c r="O85" s="121"/>
      <c r="P85" s="121"/>
      <c r="Q85" s="41"/>
      <c r="R85" s="77"/>
    </row>
    <row r="86" spans="1:18" s="9" customFormat="1" ht="9" customHeight="1" x14ac:dyDescent="0.2">
      <c r="A86" s="38" t="s">
        <v>769</v>
      </c>
      <c r="B86" s="41"/>
      <c r="C86" s="41"/>
      <c r="D86" s="41"/>
      <c r="E86" s="41"/>
      <c r="F86" s="41"/>
      <c r="G86" s="41"/>
      <c r="H86" s="41"/>
      <c r="I86" s="42"/>
      <c r="J86" s="41"/>
      <c r="K86" s="41"/>
      <c r="L86" s="41"/>
      <c r="M86" s="41"/>
      <c r="N86" s="41"/>
      <c r="O86" s="121"/>
      <c r="P86" s="121"/>
      <c r="Q86" s="41"/>
      <c r="R86" s="77"/>
    </row>
    <row r="87" spans="1:18" s="38" customFormat="1" ht="9" customHeight="1" x14ac:dyDescent="0.15">
      <c r="A87" s="682" t="s">
        <v>728</v>
      </c>
      <c r="B87" s="682"/>
      <c r="C87" s="682"/>
      <c r="D87" s="682"/>
      <c r="E87" s="682"/>
      <c r="F87" s="682"/>
      <c r="G87" s="682"/>
      <c r="H87" s="682"/>
      <c r="I87" s="682"/>
      <c r="J87" s="682"/>
      <c r="K87" s="682"/>
      <c r="L87" s="682"/>
      <c r="M87" s="682"/>
      <c r="N87" s="682"/>
      <c r="O87" s="682"/>
      <c r="P87" s="682"/>
      <c r="Q87" s="682"/>
    </row>
    <row r="88" spans="1:18" s="38" customFormat="1" ht="9" x14ac:dyDescent="0.15">
      <c r="A88" s="682"/>
      <c r="B88" s="682"/>
      <c r="C88" s="682"/>
      <c r="D88" s="682"/>
      <c r="E88" s="682"/>
      <c r="F88" s="682"/>
      <c r="G88" s="682"/>
      <c r="H88" s="682"/>
      <c r="I88" s="682"/>
      <c r="J88" s="682"/>
      <c r="K88" s="682"/>
      <c r="L88" s="682"/>
      <c r="M88" s="682"/>
      <c r="N88" s="682"/>
      <c r="O88" s="682"/>
      <c r="P88" s="682"/>
      <c r="Q88" s="682"/>
    </row>
    <row r="89" spans="1:18" s="38" customFormat="1" ht="9" x14ac:dyDescent="0.15">
      <c r="A89" s="682"/>
      <c r="B89" s="682"/>
      <c r="C89" s="682"/>
      <c r="D89" s="682"/>
      <c r="E89" s="682"/>
      <c r="F89" s="682"/>
      <c r="G89" s="682"/>
      <c r="H89" s="682"/>
      <c r="I89" s="682"/>
      <c r="J89" s="682"/>
      <c r="K89" s="682"/>
      <c r="L89" s="682"/>
      <c r="M89" s="682"/>
      <c r="N89" s="682"/>
      <c r="O89" s="682"/>
      <c r="P89" s="682"/>
      <c r="Q89" s="682"/>
    </row>
    <row r="90" spans="1:18" x14ac:dyDescent="0.2">
      <c r="A90" s="38" t="s">
        <v>663</v>
      </c>
      <c r="B90" s="39"/>
      <c r="C90" s="39"/>
      <c r="D90" s="39"/>
      <c r="E90" s="39"/>
      <c r="F90" s="39"/>
      <c r="G90" s="39"/>
      <c r="H90" s="39"/>
      <c r="I90" s="40"/>
      <c r="J90" s="39"/>
      <c r="K90" s="39"/>
      <c r="L90" s="39"/>
      <c r="M90" s="39"/>
      <c r="N90" s="39"/>
      <c r="O90" s="120"/>
      <c r="P90" s="120"/>
      <c r="Q90" s="39"/>
      <c r="R90" s="77"/>
    </row>
    <row r="91" spans="1:18" x14ac:dyDescent="0.2">
      <c r="A91" s="38" t="s">
        <v>661</v>
      </c>
      <c r="B91" s="39"/>
      <c r="C91" s="39"/>
      <c r="D91" s="39"/>
      <c r="E91" s="39"/>
      <c r="F91" s="39"/>
      <c r="G91" s="39"/>
      <c r="H91" s="39"/>
      <c r="I91" s="40"/>
      <c r="J91" s="39"/>
      <c r="K91" s="39"/>
      <c r="L91" s="39"/>
      <c r="M91" s="39"/>
      <c r="N91" s="39"/>
      <c r="O91" s="120"/>
      <c r="P91" s="120"/>
      <c r="Q91" s="39"/>
      <c r="R91" s="77"/>
    </row>
  </sheetData>
  <mergeCells count="12">
    <mergeCell ref="A87:Q89"/>
    <mergeCell ref="A78:M78"/>
    <mergeCell ref="A82:Q82"/>
    <mergeCell ref="A1:Q1"/>
    <mergeCell ref="A2:Q2"/>
    <mergeCell ref="A76:Q76"/>
    <mergeCell ref="A74:O74"/>
    <mergeCell ref="A75:O75"/>
    <mergeCell ref="J52:L52"/>
    <mergeCell ref="J71:L71"/>
    <mergeCell ref="J69:L69"/>
    <mergeCell ref="A83:Q83"/>
  </mergeCells>
  <phoneticPr fontId="9" type="noConversion"/>
  <pageMargins left="0.25" right="0.25" top="0.5" bottom="0.5" header="0.5" footer="0.5"/>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election activeCell="G20" sqref="G20"/>
    </sheetView>
  </sheetViews>
  <sheetFormatPr defaultRowHeight="12.75" x14ac:dyDescent="0.2"/>
  <cols>
    <col min="1" max="1" width="15.5703125" customWidth="1"/>
    <col min="2" max="2" width="13" customWidth="1"/>
    <col min="3" max="3" width="16.5703125" customWidth="1"/>
    <col min="7" max="7" width="16.85546875" customWidth="1"/>
    <col min="8" max="8" width="12.42578125" customWidth="1"/>
  </cols>
  <sheetData>
    <row r="2" spans="1:10" x14ac:dyDescent="0.2">
      <c r="A2" s="57" t="s">
        <v>94</v>
      </c>
    </row>
    <row r="3" spans="1:10" x14ac:dyDescent="0.2">
      <c r="A3" s="57"/>
    </row>
    <row r="4" spans="1:10" x14ac:dyDescent="0.2">
      <c r="A4" t="s">
        <v>128</v>
      </c>
      <c r="B4" s="58" t="s">
        <v>129</v>
      </c>
      <c r="C4" s="274" t="s">
        <v>126</v>
      </c>
      <c r="J4" s="238" t="s">
        <v>434</v>
      </c>
    </row>
    <row r="5" spans="1:10" x14ac:dyDescent="0.2">
      <c r="A5" t="s">
        <v>90</v>
      </c>
      <c r="B5">
        <v>5000</v>
      </c>
      <c r="C5" t="s">
        <v>127</v>
      </c>
      <c r="J5" t="s">
        <v>423</v>
      </c>
    </row>
    <row r="6" spans="1:10" x14ac:dyDescent="0.2">
      <c r="A6" t="s">
        <v>156</v>
      </c>
      <c r="B6">
        <v>6000</v>
      </c>
      <c r="C6" s="275" t="s">
        <v>157</v>
      </c>
    </row>
    <row r="7" spans="1:10" x14ac:dyDescent="0.2">
      <c r="A7" t="s">
        <v>92</v>
      </c>
      <c r="B7">
        <v>0</v>
      </c>
      <c r="C7" t="s">
        <v>127</v>
      </c>
      <c r="D7" t="s">
        <v>131</v>
      </c>
    </row>
    <row r="8" spans="1:10" x14ac:dyDescent="0.2">
      <c r="A8" t="s">
        <v>93</v>
      </c>
      <c r="C8" s="238" t="s">
        <v>433</v>
      </c>
    </row>
    <row r="9" spans="1:10" x14ac:dyDescent="0.2">
      <c r="A9" t="s">
        <v>91</v>
      </c>
      <c r="B9">
        <v>0</v>
      </c>
      <c r="C9" t="s">
        <v>127</v>
      </c>
      <c r="D9" t="s">
        <v>131</v>
      </c>
    </row>
    <row r="11" spans="1:10" x14ac:dyDescent="0.2">
      <c r="A11" s="57" t="s">
        <v>130</v>
      </c>
    </row>
    <row r="12" spans="1:10" x14ac:dyDescent="0.2">
      <c r="A12" t="s">
        <v>128</v>
      </c>
      <c r="B12" s="58" t="s">
        <v>129</v>
      </c>
      <c r="C12" s="274" t="s">
        <v>126</v>
      </c>
    </row>
    <row r="13" spans="1:10" x14ac:dyDescent="0.2">
      <c r="A13" t="s">
        <v>90</v>
      </c>
      <c r="B13">
        <v>5000</v>
      </c>
      <c r="C13" t="s">
        <v>127</v>
      </c>
    </row>
    <row r="14" spans="1:10" x14ac:dyDescent="0.2">
      <c r="A14" t="s">
        <v>156</v>
      </c>
      <c r="B14">
        <v>7000</v>
      </c>
      <c r="C14" s="275" t="s">
        <v>157</v>
      </c>
    </row>
    <row r="15" spans="1:10" x14ac:dyDescent="0.2">
      <c r="A15" t="s">
        <v>92</v>
      </c>
      <c r="B15">
        <v>8000</v>
      </c>
      <c r="C15" t="s">
        <v>127</v>
      </c>
    </row>
    <row r="16" spans="1:10" x14ac:dyDescent="0.2">
      <c r="A16" t="s">
        <v>93</v>
      </c>
      <c r="C16" s="238" t="s">
        <v>433</v>
      </c>
    </row>
    <row r="17" spans="1:9" x14ac:dyDescent="0.2">
      <c r="A17" t="s">
        <v>91</v>
      </c>
      <c r="B17">
        <v>8000</v>
      </c>
      <c r="C17" t="s">
        <v>127</v>
      </c>
    </row>
    <row r="18" spans="1:9" x14ac:dyDescent="0.2">
      <c r="B18">
        <f>SUM(B13:B17)</f>
        <v>28000</v>
      </c>
    </row>
    <row r="20" spans="1:9" x14ac:dyDescent="0.2">
      <c r="A20" s="59" t="s">
        <v>153</v>
      </c>
      <c r="B20" s="59"/>
      <c r="C20" s="59"/>
    </row>
    <row r="21" spans="1:9" s="61" customFormat="1" ht="22.5" x14ac:dyDescent="0.2">
      <c r="A21" s="60" t="s">
        <v>132</v>
      </c>
      <c r="B21" s="60" t="s">
        <v>135</v>
      </c>
      <c r="C21" s="60" t="s">
        <v>136</v>
      </c>
      <c r="G21"/>
      <c r="H21"/>
      <c r="I21"/>
    </row>
    <row r="22" spans="1:9" x14ac:dyDescent="0.2">
      <c r="A22" s="59" t="s">
        <v>133</v>
      </c>
      <c r="B22" s="276">
        <v>204</v>
      </c>
      <c r="C22" s="209">
        <f>ROUND(B22/B24,3)</f>
        <v>0.12</v>
      </c>
    </row>
    <row r="23" spans="1:9" x14ac:dyDescent="0.2">
      <c r="A23" s="59" t="s">
        <v>134</v>
      </c>
      <c r="B23" s="85">
        <v>1497</v>
      </c>
      <c r="C23" s="209">
        <f>ROUND(B23/B24,3)</f>
        <v>0.88</v>
      </c>
    </row>
    <row r="24" spans="1:9" x14ac:dyDescent="0.2">
      <c r="A24" s="59" t="s">
        <v>329</v>
      </c>
      <c r="B24" s="85">
        <f>SUM(B22:B23)</f>
        <v>1701</v>
      </c>
      <c r="C24" s="85"/>
    </row>
    <row r="33" spans="1:10" ht="13.5" thickBot="1" x14ac:dyDescent="0.25"/>
    <row r="34" spans="1:10" x14ac:dyDescent="0.2">
      <c r="A34" s="239" t="s">
        <v>435</v>
      </c>
      <c r="B34" s="214"/>
      <c r="C34" s="214"/>
      <c r="D34" s="214"/>
      <c r="E34" s="214"/>
      <c r="F34" s="214"/>
      <c r="G34" s="214"/>
      <c r="H34" s="214"/>
      <c r="I34" s="214"/>
      <c r="J34" s="215"/>
    </row>
    <row r="35" spans="1:10" ht="13.5" thickBot="1" x14ac:dyDescent="0.25">
      <c r="A35" s="240">
        <v>2875</v>
      </c>
      <c r="B35" s="218"/>
      <c r="C35" s="218"/>
      <c r="D35" s="218"/>
      <c r="E35" s="218"/>
      <c r="F35" s="218"/>
      <c r="G35" s="218"/>
      <c r="H35" s="218"/>
      <c r="I35" s="218"/>
      <c r="J35" s="219"/>
    </row>
  </sheetData>
  <phoneticPr fontId="9"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9"/>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37" sqref="I37"/>
    </sheetView>
  </sheetViews>
  <sheetFormatPr defaultColWidth="9.140625" defaultRowHeight="11.25" x14ac:dyDescent="0.2"/>
  <cols>
    <col min="1" max="1" width="36.5703125" style="77" customWidth="1"/>
    <col min="2" max="2" width="9" style="39" bestFit="1" customWidth="1"/>
    <col min="3" max="3" width="8" style="39" hidden="1" customWidth="1"/>
    <col min="4" max="4" width="8.5703125" style="39" bestFit="1" customWidth="1"/>
    <col min="5" max="5" width="9" style="39" bestFit="1" customWidth="1"/>
    <col min="6" max="6" width="7.42578125" style="39" customWidth="1"/>
    <col min="7" max="7" width="9.42578125" style="39" bestFit="1" customWidth="1"/>
    <col min="8" max="8" width="8" style="39" bestFit="1" customWidth="1"/>
    <col min="9" max="9" width="8.42578125" style="40" bestFit="1" customWidth="1"/>
    <col min="10" max="11" width="7" style="39" bestFit="1" customWidth="1"/>
    <col min="12" max="12" width="8.42578125" style="39" customWidth="1"/>
    <col min="13" max="13" width="7.85546875" style="39" hidden="1" customWidth="1"/>
    <col min="14" max="14" width="10.140625" style="39" customWidth="1"/>
    <col min="15" max="15" width="10.85546875" style="120" bestFit="1" customWidth="1"/>
    <col min="16" max="16" width="7.42578125" style="120" customWidth="1"/>
    <col min="17" max="17" width="3.5703125" style="39" customWidth="1"/>
    <col min="18" max="18" width="7.85546875" style="77" hidden="1" customWidth="1"/>
    <col min="19" max="19" width="9.140625" style="77" hidden="1" customWidth="1"/>
    <col min="20" max="20" width="11.140625" style="77" customWidth="1"/>
    <col min="21" max="21" width="8.5703125" style="77" customWidth="1"/>
    <col min="22" max="16384" width="9.140625" style="77"/>
  </cols>
  <sheetData>
    <row r="1" spans="1:21" x14ac:dyDescent="0.2">
      <c r="A1" s="684" t="s">
        <v>154</v>
      </c>
      <c r="B1" s="684"/>
      <c r="C1" s="684"/>
      <c r="D1" s="684"/>
      <c r="E1" s="684"/>
      <c r="F1" s="684"/>
      <c r="G1" s="684"/>
      <c r="H1" s="684"/>
      <c r="I1" s="684"/>
      <c r="J1" s="684"/>
      <c r="K1" s="684"/>
      <c r="L1" s="684"/>
      <c r="M1" s="684"/>
      <c r="N1" s="684"/>
      <c r="O1" s="684"/>
      <c r="P1" s="684"/>
      <c r="Q1" s="684"/>
    </row>
    <row r="2" spans="1:21" x14ac:dyDescent="0.2">
      <c r="A2" s="685" t="s">
        <v>612</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338</v>
      </c>
      <c r="K3" s="70" t="s">
        <v>339</v>
      </c>
      <c r="L3" s="70" t="s">
        <v>337</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ROUNDUP(SUM('Base Data'!$H$63:$H$65)/3,0)</f>
        <v>4</v>
      </c>
      <c r="J7" s="64">
        <f>H7*I7</f>
        <v>160</v>
      </c>
      <c r="K7" s="64">
        <f>J7*0.1</f>
        <v>16</v>
      </c>
      <c r="L7" s="63">
        <f>J7*0.05</f>
        <v>8</v>
      </c>
      <c r="M7" s="31">
        <f>C7*G7*I7</f>
        <v>0</v>
      </c>
      <c r="N7" s="37">
        <f>(J7*'Base Data'!$C$5)+(K7*'Base Data'!$C$6)+(L7*'Base Data'!$C$7)</f>
        <v>20148.559999999998</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f>ROUNDUP(SUM('Base Data'!$D$63:$D$65)/3,0)</f>
        <v>26</v>
      </c>
      <c r="J9" s="64">
        <f t="shared" ref="J9:J19" si="1">H9*I9</f>
        <v>312</v>
      </c>
      <c r="K9" s="64">
        <f t="shared" ref="K9:K19" si="2">J9*0.1</f>
        <v>31.200000000000003</v>
      </c>
      <c r="L9" s="64">
        <f t="shared" ref="L9:L19" si="3">J9*0.05</f>
        <v>15.600000000000001</v>
      </c>
      <c r="M9" s="65"/>
      <c r="N9" s="37">
        <f>(J9*'Base Data'!$C$5)+(K9*'Base Data'!$C$6)+(L9*'Base Data'!$C$7)</f>
        <v>39289.692000000003</v>
      </c>
      <c r="O9" s="37">
        <f t="shared" ref="O9:O19" si="4">(D9+E9+F9)*G9*I9</f>
        <v>130000</v>
      </c>
      <c r="P9" s="64">
        <v>0</v>
      </c>
      <c r="Q9" s="66" t="s">
        <v>276</v>
      </c>
      <c r="U9" s="119"/>
    </row>
    <row r="10" spans="1:21" s="95" customFormat="1" ht="9" x14ac:dyDescent="0.15">
      <c r="A10" s="91" t="s">
        <v>109</v>
      </c>
      <c r="B10" s="31">
        <v>12</v>
      </c>
      <c r="C10" s="31"/>
      <c r="D10" s="37">
        <v>0</v>
      </c>
      <c r="E10" s="37">
        <f>'Testing Costs'!$B$17</f>
        <v>8000</v>
      </c>
      <c r="F10" s="37">
        <v>0</v>
      </c>
      <c r="G10" s="31">
        <v>1</v>
      </c>
      <c r="H10" s="31">
        <f t="shared" si="0"/>
        <v>12</v>
      </c>
      <c r="I10" s="63">
        <f>ROUNDUP(SUM('Base Data'!$D$63:$D$65)/3,0)</f>
        <v>26</v>
      </c>
      <c r="J10" s="64">
        <f t="shared" si="1"/>
        <v>312</v>
      </c>
      <c r="K10" s="64">
        <f t="shared" si="2"/>
        <v>31.200000000000003</v>
      </c>
      <c r="L10" s="64">
        <f t="shared" si="3"/>
        <v>15.600000000000001</v>
      </c>
      <c r="M10" s="65"/>
      <c r="N10" s="37">
        <f>(J10*'Base Data'!$C$5)+(K10*'Base Data'!$C$6)+(L10*'Base Data'!$C$7)</f>
        <v>39289.692000000003</v>
      </c>
      <c r="O10" s="37">
        <f t="shared" si="4"/>
        <v>208000</v>
      </c>
      <c r="P10" s="64">
        <v>0</v>
      </c>
      <c r="Q10" s="66" t="s">
        <v>276</v>
      </c>
      <c r="U10" s="119"/>
    </row>
    <row r="11" spans="1:21" s="95" customFormat="1" ht="9" x14ac:dyDescent="0.15">
      <c r="A11" s="91" t="s">
        <v>110</v>
      </c>
      <c r="B11" s="31">
        <v>12</v>
      </c>
      <c r="C11" s="31"/>
      <c r="D11" s="37">
        <v>0</v>
      </c>
      <c r="E11" s="37">
        <f>'Testing Costs'!$B$15</f>
        <v>8000</v>
      </c>
      <c r="F11" s="37">
        <v>0</v>
      </c>
      <c r="G11" s="31">
        <v>1</v>
      </c>
      <c r="H11" s="31">
        <f t="shared" si="0"/>
        <v>12</v>
      </c>
      <c r="I11" s="63">
        <f>ROUNDUP(SUM('Base Data'!$D$63:$D$65)/3,0)</f>
        <v>26</v>
      </c>
      <c r="J11" s="64">
        <f t="shared" si="1"/>
        <v>312</v>
      </c>
      <c r="K11" s="64">
        <f t="shared" si="2"/>
        <v>31.200000000000003</v>
      </c>
      <c r="L11" s="64">
        <f t="shared" si="3"/>
        <v>15.600000000000001</v>
      </c>
      <c r="M11" s="65"/>
      <c r="N11" s="37">
        <f>(J11*'Base Data'!$C$5)+(K11*'Base Data'!$C$6)+(L11*'Base Data'!$C$7)</f>
        <v>39289.692000000003</v>
      </c>
      <c r="O11" s="37">
        <f t="shared" si="4"/>
        <v>208000</v>
      </c>
      <c r="P11" s="64">
        <v>0</v>
      </c>
      <c r="Q11" s="66" t="s">
        <v>276</v>
      </c>
      <c r="U11" s="119"/>
    </row>
    <row r="12" spans="1:21" s="95" customFormat="1" ht="9" x14ac:dyDescent="0.15">
      <c r="A12" s="91" t="s">
        <v>111</v>
      </c>
      <c r="B12" s="31">
        <v>12</v>
      </c>
      <c r="C12" s="31"/>
      <c r="D12" s="37">
        <v>0</v>
      </c>
      <c r="E12" s="37">
        <f>'Testing Costs'!$B$14</f>
        <v>7000</v>
      </c>
      <c r="F12" s="37">
        <v>0</v>
      </c>
      <c r="G12" s="31">
        <v>1</v>
      </c>
      <c r="H12" s="31">
        <f t="shared" si="0"/>
        <v>12</v>
      </c>
      <c r="I12" s="63">
        <f>ROUNDUP(SUM('Base Data'!$D$63:$D$65)/3,0)</f>
        <v>26</v>
      </c>
      <c r="J12" s="64">
        <f t="shared" si="1"/>
        <v>312</v>
      </c>
      <c r="K12" s="64">
        <f t="shared" si="2"/>
        <v>31.200000000000003</v>
      </c>
      <c r="L12" s="64">
        <f t="shared" si="3"/>
        <v>15.600000000000001</v>
      </c>
      <c r="M12" s="65"/>
      <c r="N12" s="37">
        <f>(J12*'Base Data'!$C$5)+(K12*'Base Data'!$C$6)+(L12*'Base Data'!$C$7)</f>
        <v>39289.692000000003</v>
      </c>
      <c r="O12" s="37">
        <f t="shared" si="4"/>
        <v>182000</v>
      </c>
      <c r="P12" s="64">
        <v>0</v>
      </c>
      <c r="Q12" s="66" t="s">
        <v>276</v>
      </c>
      <c r="U12" s="119"/>
    </row>
    <row r="13" spans="1:21" s="95" customFormat="1" ht="9" customHeight="1" x14ac:dyDescent="0.15">
      <c r="A13" s="91" t="s">
        <v>439</v>
      </c>
      <c r="B13" s="31">
        <v>12</v>
      </c>
      <c r="C13" s="31"/>
      <c r="D13" s="37">
        <v>0</v>
      </c>
      <c r="E13" s="37">
        <f>'Testing Costs'!$B$13</f>
        <v>5000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t="s">
        <v>276</v>
      </c>
      <c r="U13" s="119"/>
    </row>
    <row r="14" spans="1:21" s="95" customFormat="1" ht="9" x14ac:dyDescent="0.15">
      <c r="A14" s="91" t="s">
        <v>440</v>
      </c>
      <c r="B14" s="31">
        <v>12</v>
      </c>
      <c r="C14" s="31"/>
      <c r="D14" s="37">
        <v>0</v>
      </c>
      <c r="E14" s="37">
        <f>'Testing Costs'!$B$17</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t="s">
        <v>276</v>
      </c>
      <c r="U14" s="119"/>
    </row>
    <row r="15" spans="1:21" s="95" customFormat="1" ht="9" x14ac:dyDescent="0.15">
      <c r="A15" s="91" t="s">
        <v>441</v>
      </c>
      <c r="B15" s="31">
        <v>12</v>
      </c>
      <c r="C15" s="31"/>
      <c r="D15" s="37">
        <v>0</v>
      </c>
      <c r="E15" s="37">
        <f>'Testing Costs'!$B$15</f>
        <v>8000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t="s">
        <v>276</v>
      </c>
      <c r="U15" s="119"/>
    </row>
    <row r="16" spans="1:21" s="95" customFormat="1" ht="9" x14ac:dyDescent="0.15">
      <c r="A16" s="91" t="s">
        <v>442</v>
      </c>
      <c r="B16" s="31">
        <v>12</v>
      </c>
      <c r="C16" s="31"/>
      <c r="D16" s="37">
        <v>0</v>
      </c>
      <c r="E16" s="37">
        <f>'Testing Costs'!$B$14</f>
        <v>7000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t="s">
        <v>276</v>
      </c>
      <c r="U16" s="119"/>
    </row>
    <row r="17" spans="1:21" s="95" customFormat="1" ht="18" x14ac:dyDescent="0.15">
      <c r="A17" s="197" t="s">
        <v>443</v>
      </c>
      <c r="B17" s="31">
        <v>24</v>
      </c>
      <c r="C17" s="196"/>
      <c r="D17" s="37">
        <v>0</v>
      </c>
      <c r="E17" s="37">
        <f>$E$10+$E$11</f>
        <v>16000</v>
      </c>
      <c r="F17" s="37">
        <v>0</v>
      </c>
      <c r="G17" s="31">
        <v>1</v>
      </c>
      <c r="H17" s="31">
        <f t="shared" si="0"/>
        <v>24</v>
      </c>
      <c r="I17" s="63">
        <f>ROUNDUP(SUM('Base Data'!$D$63:$D$65)/3,0)</f>
        <v>26</v>
      </c>
      <c r="J17" s="64">
        <f t="shared" si="1"/>
        <v>624</v>
      </c>
      <c r="K17" s="64">
        <f t="shared" si="2"/>
        <v>62.400000000000006</v>
      </c>
      <c r="L17" s="64">
        <f t="shared" si="3"/>
        <v>31.200000000000003</v>
      </c>
      <c r="M17" s="65"/>
      <c r="N17" s="37">
        <f>(J17*'Base Data'!$C$5)+(K17*'Base Data'!$C$6)+(L17*'Base Data'!$C$7)</f>
        <v>78579.384000000005</v>
      </c>
      <c r="O17" s="37">
        <f t="shared" si="4"/>
        <v>416000</v>
      </c>
      <c r="P17" s="64">
        <v>0</v>
      </c>
      <c r="Q17" s="66" t="s">
        <v>459</v>
      </c>
    </row>
    <row r="18" spans="1:21" s="95" customFormat="1" ht="9" customHeight="1" x14ac:dyDescent="0.15">
      <c r="A18" s="91" t="s">
        <v>444</v>
      </c>
      <c r="B18" s="31">
        <v>5</v>
      </c>
      <c r="C18" s="31"/>
      <c r="D18" s="37">
        <v>0</v>
      </c>
      <c r="E18" s="37">
        <v>400</v>
      </c>
      <c r="F18" s="37">
        <v>0</v>
      </c>
      <c r="G18" s="31">
        <v>1</v>
      </c>
      <c r="H18" s="31">
        <f t="shared" si="0"/>
        <v>5</v>
      </c>
      <c r="I18" s="63">
        <v>0</v>
      </c>
      <c r="J18" s="64">
        <f t="shared" si="1"/>
        <v>0</v>
      </c>
      <c r="K18" s="64">
        <f t="shared" si="2"/>
        <v>0</v>
      </c>
      <c r="L18" s="64">
        <f t="shared" si="3"/>
        <v>0</v>
      </c>
      <c r="M18" s="65"/>
      <c r="N18" s="37">
        <f>(J18*'Base Data'!$C$5)+(K18*'Base Data'!$C$6)+(L18*'Base Data'!$C$7)</f>
        <v>0</v>
      </c>
      <c r="O18" s="37">
        <f t="shared" si="4"/>
        <v>0</v>
      </c>
      <c r="P18" s="64">
        <v>0</v>
      </c>
      <c r="Q18" s="66" t="s">
        <v>408</v>
      </c>
      <c r="U18" s="119"/>
    </row>
    <row r="19" spans="1:21" s="95" customFormat="1" ht="9" customHeight="1" x14ac:dyDescent="0.15">
      <c r="A19" s="91" t="s">
        <v>445</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v>0</v>
      </c>
      <c r="Q19" s="66" t="s">
        <v>408</v>
      </c>
      <c r="U19" s="119"/>
    </row>
    <row r="20" spans="1:21" s="95" customFormat="1" ht="9" x14ac:dyDescent="0.15">
      <c r="A20" s="90" t="s">
        <v>446</v>
      </c>
      <c r="B20" s="31">
        <v>12</v>
      </c>
      <c r="C20" s="31"/>
      <c r="D20" s="37">
        <v>0</v>
      </c>
      <c r="E20" s="37">
        <v>2875</v>
      </c>
      <c r="F20" s="37">
        <v>0</v>
      </c>
      <c r="G20" s="31">
        <v>1</v>
      </c>
      <c r="H20" s="31">
        <f>B20*G20</f>
        <v>12</v>
      </c>
      <c r="I20" s="63">
        <f>ROUNDUP(SUM('Base Data'!$D$63:$D$65)/3,0)</f>
        <v>26</v>
      </c>
      <c r="J20" s="63">
        <f>H20*I20</f>
        <v>312</v>
      </c>
      <c r="K20" s="63">
        <f>J20*0.1</f>
        <v>31.200000000000003</v>
      </c>
      <c r="L20" s="63">
        <f>J20*0.05</f>
        <v>15.600000000000001</v>
      </c>
      <c r="M20" s="64"/>
      <c r="N20" s="37">
        <f>(J20*'Base Data'!$C$5)+(K20*'Base Data'!$C$6)+(L20*'Base Data'!$C$7)</f>
        <v>39289.692000000003</v>
      </c>
      <c r="O20" s="37">
        <f>(D20+E20+F20)*G20*I20</f>
        <v>74750</v>
      </c>
      <c r="P20" s="64">
        <v>0</v>
      </c>
      <c r="Q20" s="66" t="s">
        <v>204</v>
      </c>
      <c r="R20" s="250"/>
    </row>
    <row r="21" spans="1:21" s="95" customFormat="1" ht="9" x14ac:dyDescent="0.15">
      <c r="A21" s="91" t="s">
        <v>431</v>
      </c>
      <c r="B21" s="31"/>
      <c r="C21" s="31"/>
      <c r="D21" s="37"/>
      <c r="E21" s="37"/>
      <c r="F21" s="37"/>
      <c r="G21" s="31"/>
      <c r="H21" s="31"/>
      <c r="I21" s="64"/>
      <c r="J21" s="64"/>
      <c r="K21" s="64"/>
      <c r="L21" s="64"/>
      <c r="M21" s="65"/>
      <c r="N21" s="37"/>
      <c r="O21" s="37"/>
      <c r="P21" s="64"/>
      <c r="Q21" s="66" t="s">
        <v>13</v>
      </c>
      <c r="U21" s="119"/>
    </row>
    <row r="22" spans="1:21" s="95" customFormat="1" ht="9" x14ac:dyDescent="0.15">
      <c r="A22" s="91" t="s">
        <v>310</v>
      </c>
      <c r="B22" s="31">
        <v>40</v>
      </c>
      <c r="C22" s="31"/>
      <c r="D22" s="37">
        <v>0</v>
      </c>
      <c r="E22" s="37"/>
      <c r="F22" s="37">
        <v>0</v>
      </c>
      <c r="G22" s="31">
        <v>1</v>
      </c>
      <c r="H22" s="31">
        <f>B22*G22</f>
        <v>40</v>
      </c>
      <c r="I22" s="63">
        <f>ROUNDUP(SUM('Base Data'!$H$63:$H$65)/3,0)</f>
        <v>4</v>
      </c>
      <c r="J22" s="64">
        <f>H22*I22</f>
        <v>160</v>
      </c>
      <c r="K22" s="64">
        <f>J22*0.1</f>
        <v>16</v>
      </c>
      <c r="L22" s="64">
        <f>J22*0.05</f>
        <v>8</v>
      </c>
      <c r="M22" s="65"/>
      <c r="N22" s="37">
        <f>(J22*'Base Data'!$C$5)+(K22*'Base Data'!$C$6)+(L22*'Base Data'!$C$7)</f>
        <v>20148.559999999998</v>
      </c>
      <c r="O22" s="37">
        <f>(D22+E22+F22)*G22*I22</f>
        <v>0</v>
      </c>
      <c r="P22" s="64">
        <v>0</v>
      </c>
      <c r="Q22" s="66" t="s">
        <v>276</v>
      </c>
      <c r="U22" s="119"/>
    </row>
    <row r="23" spans="1:21" s="95" customFormat="1" ht="9" x14ac:dyDescent="0.15">
      <c r="A23" s="90" t="s">
        <v>289</v>
      </c>
      <c r="B23" s="31"/>
      <c r="C23" s="31"/>
      <c r="D23" s="37"/>
      <c r="E23" s="37"/>
      <c r="F23" s="37"/>
      <c r="G23" s="31"/>
      <c r="H23" s="31"/>
      <c r="I23" s="64"/>
      <c r="J23" s="64"/>
      <c r="K23" s="64"/>
      <c r="L23" s="64"/>
      <c r="M23" s="65"/>
      <c r="N23" s="37"/>
      <c r="O23" s="37"/>
      <c r="P23" s="64"/>
      <c r="Q23" s="66"/>
      <c r="U23" s="119"/>
    </row>
    <row r="24" spans="1:21" s="95" customFormat="1" ht="9" x14ac:dyDescent="0.15">
      <c r="A24" s="90" t="s">
        <v>290</v>
      </c>
      <c r="B24" s="31">
        <v>10</v>
      </c>
      <c r="C24" s="31"/>
      <c r="D24" s="37">
        <v>0</v>
      </c>
      <c r="E24" s="37">
        <v>0</v>
      </c>
      <c r="F24" s="37">
        <v>43100</v>
      </c>
      <c r="G24" s="31">
        <v>1</v>
      </c>
      <c r="H24" s="31">
        <f>B24*G24</f>
        <v>10</v>
      </c>
      <c r="I24" s="63">
        <f>ROUNDUP(Monitors!$C$21/3,0)</f>
        <v>26</v>
      </c>
      <c r="J24" s="64">
        <f>H24*I24</f>
        <v>260</v>
      </c>
      <c r="K24" s="64">
        <f>J24*0.1</f>
        <v>26</v>
      </c>
      <c r="L24" s="64">
        <f>J24*0.05</f>
        <v>13</v>
      </c>
      <c r="M24" s="65"/>
      <c r="N24" s="37">
        <f>(J24*'Base Data'!$C$5)+(K24*'Base Data'!$C$6)+(L24*'Base Data'!$C$7)</f>
        <v>32741.41</v>
      </c>
      <c r="O24" s="37">
        <f>(D24+E24+F24)*G24*I24</f>
        <v>1120600</v>
      </c>
      <c r="P24" s="64">
        <v>0</v>
      </c>
      <c r="Q24" s="66" t="s">
        <v>276</v>
      </c>
      <c r="U24" s="119"/>
    </row>
    <row r="25" spans="1:21" s="95" customFormat="1" ht="9" x14ac:dyDescent="0.15">
      <c r="A25" s="90" t="s">
        <v>293</v>
      </c>
      <c r="B25" s="31">
        <v>10</v>
      </c>
      <c r="C25" s="31"/>
      <c r="D25" s="37">
        <v>0</v>
      </c>
      <c r="E25" s="37">
        <v>0</v>
      </c>
      <c r="F25" s="37">
        <v>14700</v>
      </c>
      <c r="G25" s="31">
        <v>1</v>
      </c>
      <c r="H25" s="31">
        <f>B25*G25</f>
        <v>10</v>
      </c>
      <c r="I25" s="63">
        <f>ROUNDUP(Monitors!$C$21/3,0)</f>
        <v>26</v>
      </c>
      <c r="J25" s="64">
        <f>H25*I25</f>
        <v>260</v>
      </c>
      <c r="K25" s="64">
        <f>J25*0.1</f>
        <v>26</v>
      </c>
      <c r="L25" s="64">
        <f>J25*0.05</f>
        <v>13</v>
      </c>
      <c r="M25" s="65"/>
      <c r="N25" s="37">
        <f>(J25*'Base Data'!$C$5)+(K25*'Base Data'!$C$6)+(L25*'Base Data'!$C$7)</f>
        <v>32741.41</v>
      </c>
      <c r="O25" s="37">
        <f>(D25+E25+F25)*G25*I25</f>
        <v>382200</v>
      </c>
      <c r="P25" s="64">
        <v>0</v>
      </c>
      <c r="Q25" s="66" t="s">
        <v>276</v>
      </c>
      <c r="U25" s="119"/>
    </row>
    <row r="26" spans="1:21" s="95" customFormat="1" ht="9" x14ac:dyDescent="0.15">
      <c r="A26" s="90" t="s">
        <v>256</v>
      </c>
      <c r="B26" s="31"/>
      <c r="C26" s="31"/>
      <c r="D26" s="37"/>
      <c r="E26" s="37"/>
      <c r="F26" s="37"/>
      <c r="G26" s="31"/>
      <c r="H26" s="31"/>
      <c r="I26" s="64"/>
      <c r="J26" s="64"/>
      <c r="K26" s="64"/>
      <c r="L26" s="64"/>
      <c r="M26" s="65"/>
      <c r="N26" s="37"/>
      <c r="O26" s="37"/>
      <c r="P26" s="64"/>
      <c r="Q26" s="66"/>
      <c r="U26" s="119"/>
    </row>
    <row r="27" spans="1:21" s="95" customFormat="1" ht="9" x14ac:dyDescent="0.15">
      <c r="A27" s="90" t="s">
        <v>290</v>
      </c>
      <c r="B27" s="31">
        <v>10</v>
      </c>
      <c r="C27" s="31"/>
      <c r="D27" s="37">
        <v>0</v>
      </c>
      <c r="E27" s="37">
        <v>0</v>
      </c>
      <c r="F27" s="37">
        <v>158000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t="s">
        <v>516</v>
      </c>
      <c r="U27" s="119"/>
    </row>
    <row r="28" spans="1:21" s="95" customFormat="1" ht="9" x14ac:dyDescent="0.15">
      <c r="A28" s="90" t="s">
        <v>293</v>
      </c>
      <c r="B28" s="31">
        <v>10</v>
      </c>
      <c r="C28" s="31"/>
      <c r="D28" s="37">
        <v>0</v>
      </c>
      <c r="E28" s="37">
        <v>0</v>
      </c>
      <c r="F28" s="37">
        <v>56100</v>
      </c>
      <c r="G28" s="31">
        <v>1</v>
      </c>
      <c r="H28" s="31">
        <f>B28*G28</f>
        <v>10</v>
      </c>
      <c r="I28" s="63">
        <v>0</v>
      </c>
      <c r="J28" s="64">
        <f>H28*I28</f>
        <v>0</v>
      </c>
      <c r="K28" s="64">
        <f>J28*0.1</f>
        <v>0</v>
      </c>
      <c r="L28" s="64">
        <f>J28*0.05</f>
        <v>0</v>
      </c>
      <c r="M28" s="65"/>
      <c r="N28" s="37">
        <f>(J28*'Base Data'!$C$5)+(K28*'Base Data'!$C$6)+(L28*'Base Data'!$C$7)</f>
        <v>0</v>
      </c>
      <c r="O28" s="37">
        <f>(D28+E28+F28)*G28*I28</f>
        <v>0</v>
      </c>
      <c r="P28" s="64">
        <v>0</v>
      </c>
      <c r="Q28" s="66" t="s">
        <v>516</v>
      </c>
      <c r="U28" s="119"/>
    </row>
    <row r="29" spans="1:21" s="95" customFormat="1" ht="9" x14ac:dyDescent="0.15">
      <c r="A29" s="90" t="s">
        <v>381</v>
      </c>
      <c r="B29" s="31"/>
      <c r="C29" s="31"/>
      <c r="D29" s="37"/>
      <c r="E29" s="37"/>
      <c r="F29" s="37"/>
      <c r="G29" s="31"/>
      <c r="H29" s="31"/>
      <c r="I29" s="63"/>
      <c r="J29" s="64"/>
      <c r="K29" s="64"/>
      <c r="L29" s="64"/>
      <c r="M29" s="65"/>
      <c r="N29" s="37"/>
      <c r="O29" s="37"/>
      <c r="P29" s="64"/>
      <c r="Q29" s="66"/>
    </row>
    <row r="30" spans="1:21" s="95" customFormat="1" ht="9" x14ac:dyDescent="0.15">
      <c r="A30" s="90" t="s">
        <v>290</v>
      </c>
      <c r="B30" s="31">
        <v>10</v>
      </c>
      <c r="C30" s="31"/>
      <c r="D30" s="37">
        <v>0</v>
      </c>
      <c r="E30" s="37">
        <v>0</v>
      </c>
      <c r="F30" s="37">
        <f>Monitors!$F$32</f>
        <v>8523</v>
      </c>
      <c r="G30" s="31">
        <v>1</v>
      </c>
      <c r="H30" s="31">
        <f>B30*G30</f>
        <v>10</v>
      </c>
      <c r="I30" s="63">
        <f>ROUNDUP(Monitors!$F$21/3,0)</f>
        <v>26</v>
      </c>
      <c r="J30" s="64">
        <f>H30*I30</f>
        <v>260</v>
      </c>
      <c r="K30" s="64">
        <f>J30*0.1</f>
        <v>26</v>
      </c>
      <c r="L30" s="64">
        <f>J30*0.05</f>
        <v>13</v>
      </c>
      <c r="M30" s="65"/>
      <c r="N30" s="37">
        <f>(J30*'Base Data'!$C$5)+(K30*'Base Data'!$C$6)+(L30*'Base Data'!$C$7)</f>
        <v>32741.41</v>
      </c>
      <c r="O30" s="37">
        <f>(D30+E30+F30)*G30*I30</f>
        <v>221598</v>
      </c>
      <c r="P30" s="64">
        <v>0</v>
      </c>
      <c r="Q30" s="66" t="s">
        <v>276</v>
      </c>
    </row>
    <row r="31" spans="1:21" s="95" customFormat="1" ht="9" x14ac:dyDescent="0.15">
      <c r="A31" s="90" t="s">
        <v>293</v>
      </c>
      <c r="B31" s="31">
        <v>10</v>
      </c>
      <c r="C31" s="31"/>
      <c r="D31" s="37">
        <v>0</v>
      </c>
      <c r="E31" s="37">
        <v>0</v>
      </c>
      <c r="F31" s="37">
        <f>Monitors!$G$32</f>
        <v>1436</v>
      </c>
      <c r="G31" s="31">
        <v>1</v>
      </c>
      <c r="H31" s="31">
        <f>B31*G31</f>
        <v>10</v>
      </c>
      <c r="I31" s="63">
        <f>ROUNDUP(Monitors!$F$21/3,0)</f>
        <v>26</v>
      </c>
      <c r="J31" s="64">
        <f>H31*I31</f>
        <v>260</v>
      </c>
      <c r="K31" s="64">
        <f>J31*0.1</f>
        <v>26</v>
      </c>
      <c r="L31" s="64">
        <f>J31*0.05</f>
        <v>13</v>
      </c>
      <c r="M31" s="65"/>
      <c r="N31" s="37">
        <f>(J31*'Base Data'!$C$5)+(K31*'Base Data'!$C$6)+(L31*'Base Data'!$C$7)</f>
        <v>32741.41</v>
      </c>
      <c r="O31" s="37">
        <f>(D31+E31+F31)*G31*I31</f>
        <v>37336</v>
      </c>
      <c r="P31" s="64">
        <v>0</v>
      </c>
      <c r="Q31" s="66" t="s">
        <v>276</v>
      </c>
    </row>
    <row r="32" spans="1:21" s="95" customFormat="1" ht="18" x14ac:dyDescent="0.15">
      <c r="A32" s="91" t="s">
        <v>145</v>
      </c>
      <c r="B32" s="31"/>
      <c r="C32" s="31"/>
      <c r="D32" s="37"/>
      <c r="E32" s="37"/>
      <c r="F32" s="67"/>
      <c r="G32" s="31"/>
      <c r="H32" s="31"/>
      <c r="I32" s="63"/>
      <c r="J32" s="64"/>
      <c r="K32" s="64"/>
      <c r="L32" s="64"/>
      <c r="M32" s="65"/>
      <c r="N32" s="37"/>
      <c r="O32" s="37"/>
      <c r="P32" s="64"/>
      <c r="Q32" s="66"/>
      <c r="U32" s="119"/>
    </row>
    <row r="33" spans="1:21" s="95" customFormat="1" ht="9" x14ac:dyDescent="0.15">
      <c r="A33" s="90" t="s">
        <v>290</v>
      </c>
      <c r="B33" s="31">
        <v>10</v>
      </c>
      <c r="C33" s="31"/>
      <c r="D33" s="37">
        <v>0</v>
      </c>
      <c r="E33" s="37">
        <v>0</v>
      </c>
      <c r="F33" s="37">
        <v>24300</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276</v>
      </c>
      <c r="U33" s="119"/>
    </row>
    <row r="34" spans="1:21" s="95" customFormat="1" ht="9" x14ac:dyDescent="0.15">
      <c r="A34" s="90" t="s">
        <v>293</v>
      </c>
      <c r="B34" s="31">
        <v>10</v>
      </c>
      <c r="C34" s="31"/>
      <c r="D34" s="37">
        <v>0</v>
      </c>
      <c r="E34" s="37">
        <v>0</v>
      </c>
      <c r="F34" s="37">
        <v>5600</v>
      </c>
      <c r="G34" s="31">
        <v>1</v>
      </c>
      <c r="H34" s="31">
        <f>B34*G34</f>
        <v>10</v>
      </c>
      <c r="I34" s="63">
        <v>0</v>
      </c>
      <c r="J34" s="64">
        <f>H34*I34</f>
        <v>0</v>
      </c>
      <c r="K34" s="64">
        <f>J34*0.1</f>
        <v>0</v>
      </c>
      <c r="L34" s="64">
        <f>J34*0.05</f>
        <v>0</v>
      </c>
      <c r="M34" s="65"/>
      <c r="N34" s="37">
        <f>(J34*'Base Data'!$C$5)+(K34*'Base Data'!$C$6)+(L34*'Base Data'!$C$7)</f>
        <v>0</v>
      </c>
      <c r="O34" s="37">
        <f>(D34+E34+F34)*G34*I34</f>
        <v>0</v>
      </c>
      <c r="P34" s="64">
        <v>0</v>
      </c>
      <c r="Q34" s="66" t="s">
        <v>276</v>
      </c>
      <c r="U34" s="119"/>
    </row>
    <row r="35" spans="1:21" s="95" customFormat="1" ht="18" x14ac:dyDescent="0.15">
      <c r="A35" s="91" t="s">
        <v>348</v>
      </c>
      <c r="B35" s="31"/>
      <c r="C35" s="31"/>
      <c r="D35" s="37"/>
      <c r="E35" s="37"/>
      <c r="F35" s="37"/>
      <c r="G35" s="31"/>
      <c r="H35" s="31"/>
      <c r="I35" s="63"/>
      <c r="J35" s="64"/>
      <c r="K35" s="64"/>
      <c r="L35" s="64"/>
      <c r="M35" s="65"/>
      <c r="N35" s="37"/>
      <c r="O35" s="138"/>
      <c r="P35" s="64"/>
      <c r="Q35" s="66"/>
      <c r="U35" s="119"/>
    </row>
    <row r="36" spans="1:21" s="95" customFormat="1" ht="9" x14ac:dyDescent="0.15">
      <c r="A36" s="90" t="s">
        <v>290</v>
      </c>
      <c r="B36" s="31">
        <v>10</v>
      </c>
      <c r="C36" s="31"/>
      <c r="D36" s="37">
        <v>0</v>
      </c>
      <c r="E36" s="37">
        <v>0</v>
      </c>
      <c r="F36" s="37">
        <f>25500</f>
        <v>25500</v>
      </c>
      <c r="G36" s="31">
        <v>1</v>
      </c>
      <c r="H36" s="31">
        <f>B36*G36</f>
        <v>10</v>
      </c>
      <c r="I36" s="63">
        <f>ROUNDUP(Monitors!$B$21/3,0)</f>
        <v>26</v>
      </c>
      <c r="J36" s="64">
        <f>H36*I36</f>
        <v>260</v>
      </c>
      <c r="K36" s="64">
        <f>J36*0.1</f>
        <v>26</v>
      </c>
      <c r="L36" s="64">
        <f>J36*0.05</f>
        <v>13</v>
      </c>
      <c r="M36" s="65"/>
      <c r="N36" s="37">
        <f>(J36*'Base Data'!$C$5)+(K36*'Base Data'!$C$6)+(L36*'Base Data'!$C$7)</f>
        <v>32741.41</v>
      </c>
      <c r="O36" s="37">
        <f>(D36+E36+F36)*G36*I36</f>
        <v>663000</v>
      </c>
      <c r="P36" s="64">
        <v>0</v>
      </c>
      <c r="Q36" s="66" t="s">
        <v>276</v>
      </c>
      <c r="U36" s="119"/>
    </row>
    <row r="37" spans="1:21" s="95" customFormat="1" ht="9" x14ac:dyDescent="0.15">
      <c r="A37" s="90" t="s">
        <v>293</v>
      </c>
      <c r="B37" s="31">
        <v>10</v>
      </c>
      <c r="C37" s="31"/>
      <c r="D37" s="37">
        <v>0</v>
      </c>
      <c r="E37" s="37">
        <v>0</v>
      </c>
      <c r="F37" s="37">
        <v>9700</v>
      </c>
      <c r="G37" s="31">
        <v>1</v>
      </c>
      <c r="H37" s="31">
        <f>B37*G37</f>
        <v>10</v>
      </c>
      <c r="I37" s="63">
        <f>ROUNDUP(Monitors!$B$21/3,0)</f>
        <v>26</v>
      </c>
      <c r="J37" s="64">
        <f>H37*I37</f>
        <v>260</v>
      </c>
      <c r="K37" s="64">
        <f>J37*0.1</f>
        <v>26</v>
      </c>
      <c r="L37" s="64">
        <f>J37*0.05</f>
        <v>13</v>
      </c>
      <c r="M37" s="65"/>
      <c r="N37" s="37">
        <f>(J37*'Base Data'!$C$5)+(K37*'Base Data'!$C$6)+(L37*'Base Data'!$C$7)</f>
        <v>32741.41</v>
      </c>
      <c r="O37" s="37">
        <f>(D37+E37+F37)*G37*I37</f>
        <v>252200</v>
      </c>
      <c r="P37" s="64">
        <v>0</v>
      </c>
      <c r="Q37" s="66" t="s">
        <v>276</v>
      </c>
      <c r="U37" s="119"/>
    </row>
    <row r="38" spans="1:21" s="95" customFormat="1" ht="18" x14ac:dyDescent="0.15">
      <c r="A38" s="91" t="s">
        <v>146</v>
      </c>
      <c r="B38" s="31"/>
      <c r="C38" s="31"/>
      <c r="D38" s="37"/>
      <c r="E38" s="37"/>
      <c r="F38" s="37"/>
      <c r="G38" s="31"/>
      <c r="H38" s="31"/>
      <c r="I38" s="63"/>
      <c r="J38" s="64"/>
      <c r="K38" s="64"/>
      <c r="L38" s="64"/>
      <c r="M38" s="65"/>
      <c r="N38" s="37"/>
      <c r="O38" s="37"/>
      <c r="P38" s="64"/>
      <c r="Q38" s="66"/>
      <c r="U38" s="119"/>
    </row>
    <row r="39" spans="1:21" s="95" customFormat="1" ht="9" x14ac:dyDescent="0.15">
      <c r="A39" s="90" t="s">
        <v>290</v>
      </c>
      <c r="B39" s="31">
        <v>10</v>
      </c>
      <c r="C39" s="31"/>
      <c r="D39" s="37">
        <v>0</v>
      </c>
      <c r="E39" s="37">
        <v>0</v>
      </c>
      <c r="F39" s="37">
        <v>115000</v>
      </c>
      <c r="G39" s="31">
        <v>1</v>
      </c>
      <c r="H39" s="31">
        <f>B39*G39</f>
        <v>10</v>
      </c>
      <c r="I39" s="63">
        <v>0</v>
      </c>
      <c r="J39" s="64">
        <f>H39*I39</f>
        <v>0</v>
      </c>
      <c r="K39" s="64">
        <f>J39*0.1</f>
        <v>0</v>
      </c>
      <c r="L39" s="64">
        <f>J39*0.05</f>
        <v>0</v>
      </c>
      <c r="M39" s="65"/>
      <c r="N39" s="37">
        <f>(J39*'Base Data'!$C$5)+(K39*'Base Data'!$C$6)+(L39*'Base Data'!$C$7)</f>
        <v>0</v>
      </c>
      <c r="O39" s="37">
        <f>(D39+E39+F39)*G39*I39</f>
        <v>0</v>
      </c>
      <c r="P39" s="64">
        <v>0</v>
      </c>
      <c r="Q39" s="66" t="s">
        <v>276</v>
      </c>
      <c r="U39" s="119"/>
    </row>
    <row r="40" spans="1:21" s="95" customFormat="1" ht="9" x14ac:dyDescent="0.15">
      <c r="A40" s="90" t="s">
        <v>293</v>
      </c>
      <c r="B40" s="31">
        <v>10</v>
      </c>
      <c r="C40" s="31"/>
      <c r="D40" s="37">
        <v>0</v>
      </c>
      <c r="E40" s="37">
        <v>0</v>
      </c>
      <c r="F40" s="37">
        <v>9700</v>
      </c>
      <c r="G40" s="31">
        <v>1</v>
      </c>
      <c r="H40" s="31">
        <f>B40*G40</f>
        <v>10</v>
      </c>
      <c r="I40" s="63">
        <v>0</v>
      </c>
      <c r="J40" s="64">
        <f>H40*I40</f>
        <v>0</v>
      </c>
      <c r="K40" s="64">
        <f>J40*0.1</f>
        <v>0</v>
      </c>
      <c r="L40" s="64">
        <f>J40*0.05</f>
        <v>0</v>
      </c>
      <c r="M40" s="65"/>
      <c r="N40" s="37">
        <f>(J40*'Base Data'!$C$5)+(K40*'Base Data'!$C$6)+(L40*'Base Data'!$C$7)</f>
        <v>0</v>
      </c>
      <c r="O40" s="37">
        <f>(D40+E40+F40)*G40*I40</f>
        <v>0</v>
      </c>
      <c r="P40" s="64">
        <v>0</v>
      </c>
      <c r="Q40" s="66" t="s">
        <v>276</v>
      </c>
      <c r="U40" s="119"/>
    </row>
    <row r="41" spans="1:21" s="95" customFormat="1" ht="9" x14ac:dyDescent="0.15">
      <c r="A41" s="90" t="s">
        <v>294</v>
      </c>
      <c r="B41" s="31" t="s">
        <v>311</v>
      </c>
      <c r="C41" s="31"/>
      <c r="D41" s="37"/>
      <c r="E41" s="37"/>
      <c r="F41" s="37"/>
      <c r="G41" s="31"/>
      <c r="H41" s="31"/>
      <c r="I41" s="64"/>
      <c r="J41" s="64"/>
      <c r="K41" s="64"/>
      <c r="L41" s="64"/>
      <c r="M41" s="31"/>
      <c r="N41" s="37"/>
      <c r="O41" s="37"/>
      <c r="P41" s="64"/>
      <c r="Q41" s="66"/>
      <c r="U41" s="119"/>
    </row>
    <row r="42" spans="1:21" s="95" customFormat="1" ht="9" x14ac:dyDescent="0.15">
      <c r="A42" s="90" t="s">
        <v>295</v>
      </c>
      <c r="B42" s="31" t="s">
        <v>311</v>
      </c>
      <c r="C42" s="31"/>
      <c r="D42" s="37"/>
      <c r="E42" s="37"/>
      <c r="F42" s="37"/>
      <c r="G42" s="31"/>
      <c r="H42" s="31"/>
      <c r="I42" s="64"/>
      <c r="J42" s="64"/>
      <c r="K42" s="64"/>
      <c r="L42" s="64"/>
      <c r="M42" s="31"/>
      <c r="N42" s="37"/>
      <c r="O42" s="37"/>
      <c r="P42" s="64"/>
      <c r="Q42" s="66"/>
    </row>
    <row r="43" spans="1:21" s="95" customFormat="1" ht="9" x14ac:dyDescent="0.15">
      <c r="A43" s="90" t="s">
        <v>296</v>
      </c>
      <c r="B43" s="31"/>
      <c r="C43" s="31"/>
      <c r="D43" s="37"/>
      <c r="E43" s="37"/>
      <c r="F43" s="37"/>
      <c r="G43" s="31"/>
      <c r="H43" s="31"/>
      <c r="I43" s="64"/>
      <c r="J43" s="64"/>
      <c r="K43" s="64"/>
      <c r="L43" s="64"/>
      <c r="M43" s="31"/>
      <c r="N43" s="37"/>
      <c r="O43" s="37"/>
      <c r="P43" s="64"/>
      <c r="Q43" s="66"/>
    </row>
    <row r="44" spans="1:21" s="95" customFormat="1" ht="9" x14ac:dyDescent="0.15">
      <c r="A44" s="101" t="s">
        <v>312</v>
      </c>
      <c r="B44" s="31">
        <v>2</v>
      </c>
      <c r="C44" s="31"/>
      <c r="D44" s="37">
        <v>0</v>
      </c>
      <c r="E44" s="37">
        <v>0</v>
      </c>
      <c r="F44" s="37">
        <v>0</v>
      </c>
      <c r="G44" s="31">
        <v>1</v>
      </c>
      <c r="H44" s="31">
        <f>B44*G44</f>
        <v>2</v>
      </c>
      <c r="I44" s="63">
        <f>$I$7</f>
        <v>4</v>
      </c>
      <c r="J44" s="64">
        <f>H44*I44</f>
        <v>8</v>
      </c>
      <c r="K44" s="64">
        <f>J44*0.1</f>
        <v>0.8</v>
      </c>
      <c r="L44" s="64">
        <f>J44*0.05</f>
        <v>0.4</v>
      </c>
      <c r="M44" s="31">
        <f>C44*G44*I44</f>
        <v>0</v>
      </c>
      <c r="N44" s="37">
        <f>(J44*'Base Data'!$C$5)+(K44*'Base Data'!$C$6)+(L44*'Base Data'!$C$7)</f>
        <v>1007.428</v>
      </c>
      <c r="O44" s="37">
        <f>(D44+E44+F44)*G44*I44</f>
        <v>0</v>
      </c>
      <c r="P44" s="64">
        <f>G44*I44</f>
        <v>4</v>
      </c>
      <c r="Q44" s="66" t="s">
        <v>108</v>
      </c>
    </row>
    <row r="45" spans="1:21" s="95" customFormat="1" ht="9" customHeight="1" x14ac:dyDescent="0.15">
      <c r="A45" s="101" t="s">
        <v>273</v>
      </c>
      <c r="B45" s="31">
        <v>8</v>
      </c>
      <c r="C45" s="31"/>
      <c r="D45" s="37">
        <v>0</v>
      </c>
      <c r="E45" s="37">
        <v>0</v>
      </c>
      <c r="F45" s="37">
        <v>0</v>
      </c>
      <c r="G45" s="31">
        <v>1</v>
      </c>
      <c r="H45" s="31">
        <f>B45*G45</f>
        <v>8</v>
      </c>
      <c r="I45" s="63">
        <f>$I$7</f>
        <v>4</v>
      </c>
      <c r="J45" s="64">
        <f>H45*I45</f>
        <v>32</v>
      </c>
      <c r="K45" s="64">
        <f>J45*0.1</f>
        <v>3.2</v>
      </c>
      <c r="L45" s="64">
        <f>J45*0.05</f>
        <v>1.6</v>
      </c>
      <c r="M45" s="31">
        <f>C45*G45*I45</f>
        <v>0</v>
      </c>
      <c r="N45" s="37">
        <f>(J45*'Base Data'!$C$5)+(K45*'Base Data'!$C$6)+(L45*'Base Data'!$C$7)</f>
        <v>4029.712</v>
      </c>
      <c r="O45" s="37">
        <f>(D45+E45+F45)*G45*I45</f>
        <v>0</v>
      </c>
      <c r="P45" s="64">
        <f>G45*I45</f>
        <v>4</v>
      </c>
      <c r="Q45" s="66" t="s">
        <v>108</v>
      </c>
    </row>
    <row r="46" spans="1:21" s="95" customFormat="1" ht="9" x14ac:dyDescent="0.15">
      <c r="A46" s="92" t="s">
        <v>357</v>
      </c>
      <c r="B46" s="31">
        <v>20</v>
      </c>
      <c r="C46" s="31">
        <v>0</v>
      </c>
      <c r="D46" s="37">
        <v>0</v>
      </c>
      <c r="E46" s="37">
        <v>0</v>
      </c>
      <c r="F46" s="37">
        <v>0</v>
      </c>
      <c r="G46" s="31">
        <v>2</v>
      </c>
      <c r="H46" s="31">
        <f>B46*G46</f>
        <v>40</v>
      </c>
      <c r="I46" s="63">
        <f>$I$7</f>
        <v>4</v>
      </c>
      <c r="J46" s="64">
        <f>H46*I46</f>
        <v>160</v>
      </c>
      <c r="K46" s="64">
        <f>J46*0.1</f>
        <v>16</v>
      </c>
      <c r="L46" s="64">
        <f>J46*0.05</f>
        <v>8</v>
      </c>
      <c r="M46" s="64">
        <f>C46*G46*I46</f>
        <v>0</v>
      </c>
      <c r="N46" s="37">
        <f>(J46*'Base Data'!$C$5)+(K46*'Base Data'!$C$6)+(L46*'Base Data'!$C$7)</f>
        <v>20148.559999999998</v>
      </c>
      <c r="O46" s="37">
        <f>(D46+E46+F46)*G46*I46</f>
        <v>0</v>
      </c>
      <c r="P46" s="64">
        <f>G46*I46</f>
        <v>8</v>
      </c>
      <c r="Q46" s="66" t="s">
        <v>108</v>
      </c>
      <c r="R46" s="108"/>
    </row>
    <row r="47" spans="1:21" s="95" customFormat="1" ht="9" x14ac:dyDescent="0.15">
      <c r="A47" s="92" t="s">
        <v>419</v>
      </c>
      <c r="B47" s="31">
        <v>30</v>
      </c>
      <c r="C47" s="31"/>
      <c r="D47" s="37">
        <v>0</v>
      </c>
      <c r="E47" s="37">
        <v>0</v>
      </c>
      <c r="F47" s="37">
        <v>0</v>
      </c>
      <c r="G47" s="31">
        <v>1</v>
      </c>
      <c r="H47" s="31">
        <f>B47*G47</f>
        <v>30</v>
      </c>
      <c r="I47" s="63">
        <v>0</v>
      </c>
      <c r="J47" s="64">
        <f>H47*I47</f>
        <v>0</v>
      </c>
      <c r="K47" s="64">
        <f>J47*0.1</f>
        <v>0</v>
      </c>
      <c r="L47" s="64">
        <f>J47*0.05</f>
        <v>0</v>
      </c>
      <c r="M47" s="64">
        <f>C47*G47*I47</f>
        <v>0</v>
      </c>
      <c r="N47" s="37">
        <f>(J47*'Base Data'!$C$5)+(K47*'Base Data'!$C$6)+(L47*'Base Data'!$C$7)</f>
        <v>0</v>
      </c>
      <c r="O47" s="37">
        <f>(D47+E47+F47)*G47*I47</f>
        <v>0</v>
      </c>
      <c r="P47" s="64">
        <f>G47*I47</f>
        <v>0</v>
      </c>
      <c r="Q47" s="66" t="s">
        <v>74</v>
      </c>
      <c r="R47" s="108"/>
    </row>
    <row r="48" spans="1:21" s="95" customFormat="1" ht="9" x14ac:dyDescent="0.15">
      <c r="A48" s="93" t="s">
        <v>4</v>
      </c>
      <c r="B48" s="31"/>
      <c r="C48" s="31"/>
      <c r="D48" s="37"/>
      <c r="E48" s="37"/>
      <c r="F48" s="37"/>
      <c r="G48" s="31"/>
      <c r="H48" s="31"/>
      <c r="I48" s="63"/>
      <c r="J48" s="64">
        <f>SUM(J7:J47)</f>
        <v>4264</v>
      </c>
      <c r="K48" s="64">
        <f>SUM(K7:K47)</f>
        <v>426.40000000000003</v>
      </c>
      <c r="L48" s="64">
        <f>SUM(L7:L47)</f>
        <v>213.20000000000002</v>
      </c>
      <c r="M48" s="64">
        <f>SUM(M7:M46)</f>
        <v>0</v>
      </c>
      <c r="N48" s="37">
        <f>SUM(N7:N47)</f>
        <v>536959.12399999984</v>
      </c>
      <c r="O48" s="37">
        <f>SUM(O7:O47)</f>
        <v>3895684</v>
      </c>
      <c r="P48" s="64">
        <f>SUM(P7:P47)</f>
        <v>16</v>
      </c>
      <c r="Q48" s="66"/>
      <c r="R48" s="98">
        <f>SUM(O7,O9:O20,O25,O28,O31,O34,O37,O40)</f>
        <v>1890486</v>
      </c>
      <c r="S48" s="97">
        <f>SUM(O24,O27,O30,O33,O36,O39)</f>
        <v>2005198</v>
      </c>
    </row>
    <row r="49" spans="1:18" s="95" customFormat="1" ht="9" x14ac:dyDescent="0.15">
      <c r="A49" s="90" t="s">
        <v>309</v>
      </c>
      <c r="B49" s="31"/>
      <c r="C49" s="31"/>
      <c r="D49" s="37"/>
      <c r="E49" s="37"/>
      <c r="F49" s="37"/>
      <c r="G49" s="31"/>
      <c r="H49" s="31"/>
      <c r="I49" s="64"/>
      <c r="J49" s="64"/>
      <c r="K49" s="64"/>
      <c r="L49" s="64"/>
      <c r="M49" s="31"/>
      <c r="N49" s="37"/>
      <c r="O49" s="37"/>
      <c r="P49" s="64"/>
      <c r="Q49" s="66"/>
    </row>
    <row r="50" spans="1:18" s="95" customFormat="1" ht="9" x14ac:dyDescent="0.15">
      <c r="A50" s="90" t="s">
        <v>297</v>
      </c>
      <c r="B50" s="31" t="s">
        <v>301</v>
      </c>
      <c r="C50" s="31"/>
      <c r="D50" s="37"/>
      <c r="E50" s="37"/>
      <c r="F50" s="37"/>
      <c r="G50" s="31"/>
      <c r="H50" s="31"/>
      <c r="I50" s="64"/>
      <c r="J50" s="64"/>
      <c r="K50" s="64"/>
      <c r="L50" s="64"/>
      <c r="M50" s="31"/>
      <c r="N50" s="37"/>
      <c r="O50" s="37"/>
      <c r="P50" s="64"/>
      <c r="Q50" s="66"/>
    </row>
    <row r="51" spans="1:18" s="95" customFormat="1" ht="9" x14ac:dyDescent="0.15">
      <c r="A51" s="90" t="s">
        <v>298</v>
      </c>
      <c r="B51" s="31" t="s">
        <v>311</v>
      </c>
      <c r="C51" s="31"/>
      <c r="D51" s="37"/>
      <c r="E51" s="37"/>
      <c r="F51" s="37"/>
      <c r="G51" s="31"/>
      <c r="H51" s="31"/>
      <c r="I51" s="64"/>
      <c r="J51" s="64"/>
      <c r="K51" s="64"/>
      <c r="L51" s="64"/>
      <c r="M51" s="31"/>
      <c r="N51" s="37"/>
      <c r="O51" s="37"/>
      <c r="P51" s="64"/>
      <c r="Q51" s="66"/>
    </row>
    <row r="52" spans="1:18" s="95" customFormat="1" ht="9" x14ac:dyDescent="0.15">
      <c r="A52" s="90" t="s">
        <v>299</v>
      </c>
      <c r="B52" s="31" t="s">
        <v>311</v>
      </c>
      <c r="C52" s="31"/>
      <c r="D52" s="37"/>
      <c r="E52" s="37"/>
      <c r="F52" s="37"/>
      <c r="G52" s="31"/>
      <c r="H52" s="31"/>
      <c r="I52" s="64"/>
      <c r="J52" s="64"/>
      <c r="K52" s="64"/>
      <c r="L52" s="64"/>
      <c r="M52" s="31"/>
      <c r="N52" s="37"/>
      <c r="O52" s="37"/>
      <c r="P52" s="64"/>
      <c r="Q52" s="66" t="s">
        <v>277</v>
      </c>
    </row>
    <row r="53" spans="1:18" s="95" customFormat="1" ht="9" x14ac:dyDescent="0.15">
      <c r="A53" s="90" t="s">
        <v>300</v>
      </c>
      <c r="B53" s="31"/>
      <c r="C53" s="31"/>
      <c r="D53" s="37"/>
      <c r="E53" s="37"/>
      <c r="F53" s="37"/>
      <c r="G53" s="31"/>
      <c r="H53" s="31"/>
      <c r="I53" s="64"/>
      <c r="J53" s="64"/>
      <c r="K53" s="64"/>
      <c r="L53" s="64"/>
      <c r="M53" s="31"/>
      <c r="N53" s="37"/>
      <c r="O53" s="37"/>
      <c r="P53" s="64"/>
      <c r="Q53" s="66"/>
    </row>
    <row r="54" spans="1:18" s="95" customFormat="1" ht="9.75" customHeight="1" x14ac:dyDescent="0.15">
      <c r="A54" s="90" t="s">
        <v>307</v>
      </c>
      <c r="B54" s="31">
        <v>20</v>
      </c>
      <c r="C54" s="31"/>
      <c r="D54" s="37">
        <v>0</v>
      </c>
      <c r="E54" s="37">
        <v>0</v>
      </c>
      <c r="F54" s="37">
        <v>0</v>
      </c>
      <c r="G54" s="31">
        <v>1</v>
      </c>
      <c r="H54" s="31">
        <f t="shared" ref="H54:H60" si="5">B54*G54</f>
        <v>20</v>
      </c>
      <c r="I54" s="63">
        <f t="shared" ref="I54:I59" si="6">$I$9</f>
        <v>26</v>
      </c>
      <c r="J54" s="64">
        <f t="shared" ref="J54:J60" si="7">H54*I54</f>
        <v>520</v>
      </c>
      <c r="K54" s="64">
        <f t="shared" ref="K54:K60" si="8">J54*0.1</f>
        <v>52</v>
      </c>
      <c r="L54" s="64">
        <f t="shared" ref="L54:L60" si="9">J54*0.05</f>
        <v>26</v>
      </c>
      <c r="M54" s="31"/>
      <c r="N54" s="37">
        <f>(J54*'Base Data'!$C$5)+(K54*'Base Data'!$C$6)+(L54*'Base Data'!$C$7)</f>
        <v>65482.82</v>
      </c>
      <c r="O54" s="37">
        <f t="shared" ref="O54:O60" si="10">(D54+E54+F54)*G54*I54</f>
        <v>0</v>
      </c>
      <c r="P54" s="64">
        <v>0</v>
      </c>
      <c r="Q54" s="66" t="s">
        <v>276</v>
      </c>
    </row>
    <row r="55" spans="1:18" s="95" customFormat="1" ht="9" x14ac:dyDescent="0.15">
      <c r="A55" s="91" t="s">
        <v>303</v>
      </c>
      <c r="B55" s="31">
        <v>15</v>
      </c>
      <c r="C55" s="31">
        <v>0</v>
      </c>
      <c r="D55" s="37">
        <v>0</v>
      </c>
      <c r="E55" s="37">
        <v>0</v>
      </c>
      <c r="F55" s="37">
        <v>0</v>
      </c>
      <c r="G55" s="31">
        <v>1</v>
      </c>
      <c r="H55" s="31">
        <f t="shared" si="5"/>
        <v>15</v>
      </c>
      <c r="I55" s="63">
        <f t="shared" si="6"/>
        <v>26</v>
      </c>
      <c r="J55" s="64">
        <f t="shared" si="7"/>
        <v>390</v>
      </c>
      <c r="K55" s="64">
        <f t="shared" si="8"/>
        <v>39</v>
      </c>
      <c r="L55" s="64">
        <f t="shared" si="9"/>
        <v>19.5</v>
      </c>
      <c r="M55" s="31">
        <f>C55*G55*I55</f>
        <v>0</v>
      </c>
      <c r="N55" s="37">
        <f>(J55*'Base Data'!$C$5)+(K55*'Base Data'!$C$6)+(L55*'Base Data'!$C$7)</f>
        <v>49112.115000000005</v>
      </c>
      <c r="O55" s="37">
        <f t="shared" si="10"/>
        <v>0</v>
      </c>
      <c r="P55" s="64">
        <v>0</v>
      </c>
      <c r="Q55" s="66" t="s">
        <v>276</v>
      </c>
    </row>
    <row r="56" spans="1:18" s="95" customFormat="1" ht="9.75" customHeight="1" x14ac:dyDescent="0.15">
      <c r="A56" s="90" t="s">
        <v>304</v>
      </c>
      <c r="B56" s="31">
        <v>2</v>
      </c>
      <c r="C56" s="31"/>
      <c r="D56" s="37">
        <v>0</v>
      </c>
      <c r="E56" s="37">
        <v>0</v>
      </c>
      <c r="F56" s="37">
        <v>0</v>
      </c>
      <c r="G56" s="31">
        <v>1</v>
      </c>
      <c r="H56" s="31">
        <f t="shared" si="5"/>
        <v>2</v>
      </c>
      <c r="I56" s="63">
        <f t="shared" si="6"/>
        <v>26</v>
      </c>
      <c r="J56" s="64">
        <f t="shared" si="7"/>
        <v>52</v>
      </c>
      <c r="K56" s="64">
        <f t="shared" si="8"/>
        <v>5.2</v>
      </c>
      <c r="L56" s="64">
        <f t="shared" si="9"/>
        <v>2.6</v>
      </c>
      <c r="M56" s="31"/>
      <c r="N56" s="37">
        <f>(J56*'Base Data'!$C$5)+(K56*'Base Data'!$C$6)+(L56*'Base Data'!$C$7)</f>
        <v>6548.2820000000002</v>
      </c>
      <c r="O56" s="37">
        <f t="shared" si="10"/>
        <v>0</v>
      </c>
      <c r="P56" s="64">
        <v>0</v>
      </c>
      <c r="Q56" s="66" t="s">
        <v>276</v>
      </c>
    </row>
    <row r="57" spans="1:18" s="95" customFormat="1" ht="9" x14ac:dyDescent="0.15">
      <c r="A57" s="91" t="s">
        <v>313</v>
      </c>
      <c r="B57" s="31">
        <v>2</v>
      </c>
      <c r="C57" s="31"/>
      <c r="D57" s="37">
        <v>0</v>
      </c>
      <c r="E57" s="37">
        <v>0</v>
      </c>
      <c r="F57" s="37">
        <v>0</v>
      </c>
      <c r="G57" s="31">
        <v>1</v>
      </c>
      <c r="H57" s="31">
        <f t="shared" si="5"/>
        <v>2</v>
      </c>
      <c r="I57" s="63">
        <f t="shared" si="6"/>
        <v>26</v>
      </c>
      <c r="J57" s="64">
        <f t="shared" si="7"/>
        <v>52</v>
      </c>
      <c r="K57" s="64">
        <f t="shared" si="8"/>
        <v>5.2</v>
      </c>
      <c r="L57" s="64">
        <f t="shared" si="9"/>
        <v>2.6</v>
      </c>
      <c r="M57" s="31"/>
      <c r="N57" s="37">
        <f>(J57*'Base Data'!$C$5)+(K57*'Base Data'!$C$6)+(L57*'Base Data'!$C$7)</f>
        <v>6548.2820000000002</v>
      </c>
      <c r="O57" s="37">
        <f t="shared" si="10"/>
        <v>0</v>
      </c>
      <c r="P57" s="64">
        <v>0</v>
      </c>
      <c r="Q57" s="66" t="s">
        <v>276</v>
      </c>
    </row>
    <row r="58" spans="1:18" s="95" customFormat="1" ht="9" x14ac:dyDescent="0.15">
      <c r="A58" s="91" t="s">
        <v>314</v>
      </c>
      <c r="B58" s="31">
        <v>2</v>
      </c>
      <c r="C58" s="31">
        <v>0</v>
      </c>
      <c r="D58" s="37">
        <v>0</v>
      </c>
      <c r="E58" s="37">
        <v>0</v>
      </c>
      <c r="F58" s="37">
        <v>0</v>
      </c>
      <c r="G58" s="31">
        <v>2</v>
      </c>
      <c r="H58" s="31">
        <f t="shared" si="5"/>
        <v>4</v>
      </c>
      <c r="I58" s="63">
        <f t="shared" si="6"/>
        <v>26</v>
      </c>
      <c r="J58" s="64">
        <f t="shared" si="7"/>
        <v>104</v>
      </c>
      <c r="K58" s="64">
        <f t="shared" si="8"/>
        <v>10.4</v>
      </c>
      <c r="L58" s="64">
        <f t="shared" si="9"/>
        <v>5.2</v>
      </c>
      <c r="M58" s="31">
        <f>C58*G58*I58</f>
        <v>0</v>
      </c>
      <c r="N58" s="37">
        <f>(J58*'Base Data'!$C$5)+(K58*'Base Data'!$C$6)+(L58*'Base Data'!$C$7)</f>
        <v>13096.564</v>
      </c>
      <c r="O58" s="37">
        <f t="shared" si="10"/>
        <v>0</v>
      </c>
      <c r="P58" s="64">
        <v>0</v>
      </c>
      <c r="Q58" s="66" t="s">
        <v>276</v>
      </c>
    </row>
    <row r="59" spans="1:18" s="95" customFormat="1" ht="9" x14ac:dyDescent="0.15">
      <c r="A59" s="91" t="s">
        <v>315</v>
      </c>
      <c r="B59" s="31">
        <v>0.5</v>
      </c>
      <c r="C59" s="31"/>
      <c r="D59" s="37">
        <v>0</v>
      </c>
      <c r="E59" s="37">
        <v>0</v>
      </c>
      <c r="F59" s="37">
        <v>0</v>
      </c>
      <c r="G59" s="31">
        <v>12</v>
      </c>
      <c r="H59" s="31">
        <f t="shared" si="5"/>
        <v>6</v>
      </c>
      <c r="I59" s="63">
        <f t="shared" si="6"/>
        <v>26</v>
      </c>
      <c r="J59" s="64">
        <f t="shared" si="7"/>
        <v>156</v>
      </c>
      <c r="K59" s="64">
        <f t="shared" si="8"/>
        <v>15.600000000000001</v>
      </c>
      <c r="L59" s="64">
        <f t="shared" si="9"/>
        <v>7.8000000000000007</v>
      </c>
      <c r="M59" s="31"/>
      <c r="N59" s="37">
        <f>(J59*'Base Data'!$C$5)+(K59*'Base Data'!$C$6)+(L59*'Base Data'!$C$7)</f>
        <v>19644.846000000001</v>
      </c>
      <c r="O59" s="37">
        <f t="shared" si="10"/>
        <v>0</v>
      </c>
      <c r="P59" s="64">
        <v>0</v>
      </c>
      <c r="Q59" s="66" t="s">
        <v>204</v>
      </c>
    </row>
    <row r="60" spans="1:18" s="95" customFormat="1" ht="9" x14ac:dyDescent="0.15">
      <c r="A60" s="90" t="s">
        <v>305</v>
      </c>
      <c r="B60" s="31">
        <v>40</v>
      </c>
      <c r="C60" s="31"/>
      <c r="D60" s="37">
        <v>0</v>
      </c>
      <c r="E60" s="37">
        <v>0</v>
      </c>
      <c r="F60" s="37">
        <v>0</v>
      </c>
      <c r="G60" s="31">
        <v>1</v>
      </c>
      <c r="H60" s="31">
        <f t="shared" si="5"/>
        <v>40</v>
      </c>
      <c r="I60" s="63">
        <f>$I$7</f>
        <v>4</v>
      </c>
      <c r="J60" s="64">
        <f t="shared" si="7"/>
        <v>160</v>
      </c>
      <c r="K60" s="64">
        <f t="shared" si="8"/>
        <v>16</v>
      </c>
      <c r="L60" s="64">
        <f t="shared" si="9"/>
        <v>8</v>
      </c>
      <c r="M60" s="31"/>
      <c r="N60" s="37">
        <f>(J60*'Base Data'!$C$5)+(K60*'Base Data'!$C$6)+(L60*'Base Data'!$C$7)</f>
        <v>20148.559999999998</v>
      </c>
      <c r="O60" s="37">
        <f t="shared" si="10"/>
        <v>0</v>
      </c>
      <c r="P60" s="64">
        <v>0</v>
      </c>
      <c r="Q60" s="66" t="s">
        <v>210</v>
      </c>
    </row>
    <row r="61" spans="1:18" s="95" customFormat="1" ht="9" x14ac:dyDescent="0.15">
      <c r="A61" s="90" t="s">
        <v>306</v>
      </c>
      <c r="B61" s="31" t="s">
        <v>311</v>
      </c>
      <c r="C61" s="31"/>
      <c r="D61" s="37"/>
      <c r="E61" s="37"/>
      <c r="F61" s="37"/>
      <c r="G61" s="31"/>
      <c r="H61" s="31"/>
      <c r="I61" s="64"/>
      <c r="J61" s="64"/>
      <c r="K61" s="64"/>
      <c r="L61" s="64"/>
      <c r="M61" s="31"/>
      <c r="N61" s="37"/>
      <c r="O61" s="37"/>
      <c r="P61" s="64"/>
      <c r="Q61" s="66"/>
    </row>
    <row r="62" spans="1:18" s="95" customFormat="1" ht="9" x14ac:dyDescent="0.15">
      <c r="A62" s="144" t="s">
        <v>23</v>
      </c>
      <c r="B62" s="139"/>
      <c r="C62" s="139"/>
      <c r="D62" s="140"/>
      <c r="E62" s="140"/>
      <c r="F62" s="140"/>
      <c r="G62" s="139"/>
      <c r="H62" s="139"/>
      <c r="I62" s="141"/>
      <c r="J62" s="141">
        <f t="shared" ref="J62:O62" si="11">SUM(J50:J61)</f>
        <v>1434</v>
      </c>
      <c r="K62" s="141">
        <f t="shared" si="11"/>
        <v>143.4</v>
      </c>
      <c r="L62" s="141">
        <f t="shared" si="11"/>
        <v>71.7</v>
      </c>
      <c r="M62" s="140">
        <f t="shared" si="11"/>
        <v>0</v>
      </c>
      <c r="N62" s="140">
        <f t="shared" si="11"/>
        <v>180581.46900000001</v>
      </c>
      <c r="O62" s="140">
        <f t="shared" si="11"/>
        <v>0</v>
      </c>
      <c r="P62" s="141"/>
      <c r="Q62" s="142"/>
      <c r="R62" s="37">
        <f>SUM(R50:R61)</f>
        <v>0</v>
      </c>
    </row>
    <row r="63" spans="1:18" s="109" customFormat="1" x14ac:dyDescent="0.2">
      <c r="A63" s="110" t="s">
        <v>283</v>
      </c>
      <c r="B63" s="111"/>
      <c r="C63" s="111"/>
      <c r="D63" s="111"/>
      <c r="E63" s="111"/>
      <c r="F63" s="112"/>
      <c r="G63" s="111"/>
      <c r="H63" s="111"/>
      <c r="I63" s="113"/>
      <c r="J63" s="114">
        <f t="shared" ref="J63:P63" si="12">J48+J62</f>
        <v>5698</v>
      </c>
      <c r="K63" s="114">
        <f t="shared" si="12"/>
        <v>569.80000000000007</v>
      </c>
      <c r="L63" s="114">
        <f t="shared" si="12"/>
        <v>284.90000000000003</v>
      </c>
      <c r="M63" s="115">
        <f t="shared" si="12"/>
        <v>0</v>
      </c>
      <c r="N63" s="115">
        <f t="shared" si="12"/>
        <v>717540.59299999988</v>
      </c>
      <c r="O63" s="115">
        <f t="shared" si="12"/>
        <v>3895684</v>
      </c>
      <c r="P63" s="114">
        <f t="shared" si="12"/>
        <v>16</v>
      </c>
      <c r="Q63" s="116"/>
    </row>
    <row r="64" spans="1:18" ht="6" customHeight="1" x14ac:dyDescent="0.2"/>
    <row r="65" spans="1:17" s="38" customFormat="1" ht="9" x14ac:dyDescent="0.15">
      <c r="A65" s="748" t="s">
        <v>519</v>
      </c>
      <c r="B65" s="748"/>
      <c r="C65" s="748"/>
      <c r="D65" s="748"/>
      <c r="E65" s="748"/>
      <c r="F65" s="748"/>
      <c r="G65" s="748"/>
      <c r="H65" s="748"/>
      <c r="I65" s="748"/>
      <c r="J65" s="748"/>
      <c r="K65" s="748"/>
      <c r="L65" s="748"/>
      <c r="M65" s="748"/>
      <c r="N65" s="748"/>
      <c r="O65" s="748"/>
      <c r="P65" s="316"/>
      <c r="Q65" s="41"/>
    </row>
    <row r="66" spans="1:17" s="38" customFormat="1" ht="9" customHeight="1" x14ac:dyDescent="0.15">
      <c r="A66" s="682" t="s">
        <v>456</v>
      </c>
      <c r="B66" s="682"/>
      <c r="C66" s="682"/>
      <c r="D66" s="682"/>
      <c r="E66" s="682"/>
      <c r="F66" s="682"/>
      <c r="G66" s="682"/>
      <c r="H66" s="682"/>
      <c r="I66" s="682"/>
      <c r="J66" s="682"/>
      <c r="K66" s="682"/>
      <c r="L66" s="682"/>
      <c r="M66" s="682"/>
      <c r="N66" s="682"/>
      <c r="O66" s="682"/>
      <c r="P66" s="315"/>
      <c r="Q66" s="41"/>
    </row>
    <row r="67" spans="1:17" s="38" customFormat="1" ht="9" customHeight="1" x14ac:dyDescent="0.15">
      <c r="A67" s="682" t="s">
        <v>457</v>
      </c>
      <c r="B67" s="682"/>
      <c r="C67" s="682"/>
      <c r="D67" s="682"/>
      <c r="E67" s="682"/>
      <c r="F67" s="682"/>
      <c r="G67" s="682"/>
      <c r="H67" s="682"/>
      <c r="I67" s="682"/>
      <c r="J67" s="682"/>
      <c r="K67" s="682"/>
      <c r="L67" s="682"/>
      <c r="M67" s="682"/>
      <c r="N67" s="682"/>
      <c r="O67" s="682"/>
      <c r="P67" s="315"/>
      <c r="Q67" s="41"/>
    </row>
    <row r="68" spans="1:17" s="38" customFormat="1" ht="9" customHeight="1" x14ac:dyDescent="0.15">
      <c r="A68" s="682" t="s">
        <v>458</v>
      </c>
      <c r="B68" s="682"/>
      <c r="C68" s="682"/>
      <c r="D68" s="682"/>
      <c r="E68" s="682"/>
      <c r="F68" s="682"/>
      <c r="G68" s="682"/>
      <c r="H68" s="682"/>
      <c r="I68" s="682"/>
      <c r="J68" s="682"/>
      <c r="K68" s="682"/>
      <c r="L68" s="682"/>
      <c r="M68" s="682"/>
      <c r="N68" s="682"/>
      <c r="O68" s="682"/>
      <c r="P68" s="682"/>
      <c r="Q68" s="682"/>
    </row>
    <row r="69" spans="1:17" s="38" customFormat="1" ht="9" customHeight="1" x14ac:dyDescent="0.15">
      <c r="A69" s="38" t="s">
        <v>460</v>
      </c>
      <c r="B69" s="41"/>
      <c r="C69" s="41"/>
      <c r="D69" s="41"/>
      <c r="E69" s="41"/>
      <c r="F69" s="41"/>
      <c r="G69" s="41"/>
      <c r="H69" s="41"/>
      <c r="I69" s="42"/>
      <c r="J69" s="41"/>
      <c r="K69" s="41"/>
      <c r="L69" s="41"/>
      <c r="M69" s="41"/>
      <c r="N69" s="41"/>
      <c r="O69" s="121"/>
      <c r="P69" s="121"/>
      <c r="Q69" s="41"/>
    </row>
    <row r="70" spans="1:17" s="38" customFormat="1" ht="9" x14ac:dyDescent="0.15">
      <c r="A70" s="38" t="s">
        <v>397</v>
      </c>
      <c r="B70" s="41"/>
      <c r="C70" s="41"/>
      <c r="D70" s="41"/>
      <c r="E70" s="41"/>
      <c r="F70" s="41"/>
      <c r="G70" s="41"/>
      <c r="H70" s="41"/>
      <c r="I70" s="42"/>
      <c r="J70" s="41"/>
      <c r="K70" s="41"/>
      <c r="L70" s="41"/>
      <c r="M70" s="41"/>
      <c r="N70" s="41"/>
      <c r="O70" s="121"/>
      <c r="P70" s="121"/>
      <c r="Q70" s="41"/>
    </row>
    <row r="71" spans="1:17" s="38" customFormat="1" ht="9" x14ac:dyDescent="0.15">
      <c r="A71" s="38" t="s">
        <v>461</v>
      </c>
      <c r="B71" s="41"/>
      <c r="C71" s="41"/>
      <c r="D71" s="41"/>
      <c r="E71" s="41"/>
      <c r="F71" s="41"/>
      <c r="G71" s="41"/>
      <c r="H71" s="41"/>
      <c r="I71" s="42"/>
      <c r="J71" s="41"/>
      <c r="K71" s="41"/>
      <c r="L71" s="41"/>
      <c r="M71" s="41"/>
      <c r="N71" s="41"/>
      <c r="O71" s="121"/>
      <c r="P71" s="121"/>
      <c r="Q71" s="41"/>
    </row>
    <row r="72" spans="1:17" s="38" customFormat="1" ht="20.25" customHeight="1" x14ac:dyDescent="0.15">
      <c r="A72" s="682" t="s">
        <v>566</v>
      </c>
      <c r="B72" s="682"/>
      <c r="C72" s="682"/>
      <c r="D72" s="682"/>
      <c r="E72" s="682"/>
      <c r="F72" s="682"/>
      <c r="G72" s="682"/>
      <c r="H72" s="682"/>
      <c r="I72" s="682"/>
      <c r="J72" s="682"/>
      <c r="K72" s="682"/>
      <c r="L72" s="682"/>
      <c r="M72" s="682"/>
      <c r="N72" s="682"/>
      <c r="O72" s="682"/>
      <c r="P72" s="682"/>
      <c r="Q72" s="41"/>
    </row>
    <row r="73" spans="1:17" s="38" customFormat="1" ht="9" x14ac:dyDescent="0.15">
      <c r="A73" s="683" t="s">
        <v>517</v>
      </c>
      <c r="B73" s="683"/>
      <c r="C73" s="683"/>
      <c r="D73" s="683"/>
      <c r="E73" s="683"/>
      <c r="F73" s="683"/>
      <c r="G73" s="683"/>
      <c r="H73" s="683"/>
      <c r="I73" s="683"/>
      <c r="J73" s="683"/>
      <c r="K73" s="683"/>
      <c r="L73" s="683"/>
      <c r="M73" s="683"/>
      <c r="N73" s="683"/>
      <c r="O73" s="121"/>
      <c r="P73" s="121"/>
      <c r="Q73" s="41"/>
    </row>
    <row r="74" spans="1:17" s="38" customFormat="1" ht="9" x14ac:dyDescent="0.15">
      <c r="A74" s="682" t="s">
        <v>554</v>
      </c>
      <c r="B74" s="682"/>
      <c r="C74" s="682"/>
      <c r="D74" s="682"/>
      <c r="E74" s="682"/>
      <c r="F74" s="682"/>
      <c r="G74" s="682"/>
      <c r="H74" s="682"/>
      <c r="I74" s="682"/>
      <c r="J74" s="682"/>
      <c r="K74" s="682"/>
      <c r="L74" s="682"/>
      <c r="M74" s="682"/>
      <c r="N74" s="682"/>
      <c r="O74" s="682"/>
      <c r="P74" s="682"/>
      <c r="Q74" s="682"/>
    </row>
    <row r="75" spans="1:17" s="38" customFormat="1" ht="9" x14ac:dyDescent="0.15">
      <c r="A75" s="682"/>
      <c r="B75" s="682"/>
      <c r="C75" s="682"/>
      <c r="D75" s="682"/>
      <c r="E75" s="682"/>
      <c r="F75" s="682"/>
      <c r="G75" s="682"/>
      <c r="H75" s="682"/>
      <c r="I75" s="682"/>
      <c r="J75" s="682"/>
      <c r="K75" s="682"/>
      <c r="L75" s="682"/>
      <c r="M75" s="682"/>
      <c r="N75" s="682"/>
      <c r="O75" s="682"/>
      <c r="P75" s="682"/>
      <c r="Q75" s="682"/>
    </row>
    <row r="76" spans="1:17" s="38" customFormat="1" ht="9" x14ac:dyDescent="0.15">
      <c r="A76" s="682"/>
      <c r="B76" s="682"/>
      <c r="C76" s="682"/>
      <c r="D76" s="682"/>
      <c r="E76" s="682"/>
      <c r="F76" s="682"/>
      <c r="G76" s="682"/>
      <c r="H76" s="682"/>
      <c r="I76" s="682"/>
      <c r="J76" s="682"/>
      <c r="K76" s="682"/>
      <c r="L76" s="682"/>
      <c r="M76" s="682"/>
      <c r="N76" s="682"/>
      <c r="O76" s="682"/>
      <c r="P76" s="682"/>
      <c r="Q76" s="682"/>
    </row>
    <row r="77" spans="1:17" s="38" customFormat="1" ht="9" x14ac:dyDescent="0.15">
      <c r="B77" s="41"/>
      <c r="C77" s="41"/>
      <c r="D77" s="41"/>
      <c r="E77" s="41"/>
      <c r="F77" s="41"/>
      <c r="G77" s="41"/>
      <c r="H77" s="41"/>
      <c r="I77" s="42"/>
      <c r="J77" s="41"/>
      <c r="K77" s="41"/>
      <c r="L77" s="41"/>
      <c r="M77" s="41"/>
      <c r="N77" s="41"/>
      <c r="O77" s="121"/>
      <c r="P77" s="121"/>
      <c r="Q77" s="41"/>
    </row>
    <row r="78" spans="1:17" s="38" customFormat="1" ht="9" x14ac:dyDescent="0.15">
      <c r="B78" s="41"/>
      <c r="C78" s="41"/>
      <c r="D78" s="41"/>
      <c r="E78" s="41"/>
      <c r="F78" s="41"/>
      <c r="G78" s="41"/>
      <c r="H78" s="41"/>
      <c r="I78" s="42"/>
      <c r="J78" s="41"/>
      <c r="K78" s="41"/>
      <c r="L78" s="41"/>
      <c r="M78" s="41"/>
      <c r="N78" s="41"/>
      <c r="O78" s="121"/>
      <c r="P78" s="121"/>
      <c r="Q78" s="41"/>
    </row>
    <row r="79" spans="1:17" s="38" customFormat="1" ht="9" x14ac:dyDescent="0.15">
      <c r="B79" s="41"/>
      <c r="C79" s="41"/>
      <c r="D79" s="41"/>
      <c r="E79" s="41"/>
      <c r="F79" s="41"/>
      <c r="G79" s="41"/>
      <c r="H79" s="41"/>
      <c r="I79" s="42"/>
      <c r="J79" s="41"/>
      <c r="K79" s="41"/>
      <c r="L79" s="41"/>
      <c r="M79" s="41"/>
      <c r="N79" s="41"/>
      <c r="O79" s="121"/>
      <c r="P79" s="121"/>
      <c r="Q79" s="41"/>
    </row>
    <row r="80" spans="1:17" s="38" customFormat="1" ht="9" x14ac:dyDescent="0.15">
      <c r="B80" s="41"/>
      <c r="C80" s="41"/>
      <c r="D80" s="41"/>
      <c r="E80" s="41"/>
      <c r="F80" s="41"/>
      <c r="G80" s="41"/>
      <c r="H80" s="41"/>
      <c r="I80" s="42"/>
      <c r="J80" s="41"/>
      <c r="K80" s="41"/>
      <c r="L80" s="41"/>
      <c r="M80" s="41"/>
      <c r="N80" s="41"/>
      <c r="O80" s="121"/>
      <c r="P80" s="121"/>
      <c r="Q80" s="41"/>
    </row>
    <row r="81" spans="2:17" s="38" customFormat="1" ht="9" x14ac:dyDescent="0.15">
      <c r="B81" s="41"/>
      <c r="C81" s="41"/>
      <c r="D81" s="41"/>
      <c r="E81" s="41"/>
      <c r="F81" s="41"/>
      <c r="G81" s="41"/>
      <c r="H81" s="41"/>
      <c r="I81" s="42"/>
      <c r="J81" s="41"/>
      <c r="K81" s="41"/>
      <c r="L81" s="41"/>
      <c r="M81" s="41"/>
      <c r="N81" s="41"/>
      <c r="O81" s="121"/>
      <c r="P81" s="121"/>
      <c r="Q81" s="41"/>
    </row>
    <row r="82" spans="2:17" s="38" customFormat="1" ht="9" x14ac:dyDescent="0.15">
      <c r="B82" s="41"/>
      <c r="C82" s="41"/>
      <c r="D82" s="41"/>
      <c r="E82" s="41"/>
      <c r="F82" s="41"/>
      <c r="G82" s="41"/>
      <c r="H82" s="41"/>
      <c r="I82" s="42"/>
      <c r="J82" s="41"/>
      <c r="K82" s="41"/>
      <c r="L82" s="41"/>
      <c r="M82" s="41"/>
      <c r="N82" s="41"/>
      <c r="O82" s="121"/>
      <c r="P82" s="121"/>
      <c r="Q82" s="41"/>
    </row>
    <row r="83" spans="2:17" s="38" customFormat="1" ht="9" x14ac:dyDescent="0.15">
      <c r="B83" s="41"/>
      <c r="C83" s="41"/>
      <c r="D83" s="41"/>
      <c r="E83" s="41"/>
      <c r="F83" s="41"/>
      <c r="G83" s="41"/>
      <c r="H83" s="41"/>
      <c r="I83" s="42"/>
      <c r="J83" s="41"/>
      <c r="K83" s="41"/>
      <c r="L83" s="41"/>
      <c r="M83" s="41"/>
      <c r="N83" s="41"/>
      <c r="O83" s="121"/>
      <c r="P83" s="121"/>
      <c r="Q83" s="41"/>
    </row>
    <row r="84" spans="2:17" s="38" customFormat="1" ht="9" x14ac:dyDescent="0.15">
      <c r="B84" s="41"/>
      <c r="C84" s="41"/>
      <c r="D84" s="41"/>
      <c r="E84" s="41"/>
      <c r="F84" s="41"/>
      <c r="G84" s="41"/>
      <c r="H84" s="41"/>
      <c r="I84" s="42"/>
      <c r="J84" s="41"/>
      <c r="K84" s="41"/>
      <c r="L84" s="41"/>
      <c r="M84" s="41"/>
      <c r="N84" s="41"/>
      <c r="O84" s="121"/>
      <c r="P84" s="121"/>
      <c r="Q84" s="41"/>
    </row>
    <row r="85" spans="2:17" s="38" customFormat="1" ht="9" x14ac:dyDescent="0.15">
      <c r="B85" s="41"/>
      <c r="C85" s="41"/>
      <c r="D85" s="41"/>
      <c r="E85" s="41"/>
      <c r="F85" s="41"/>
      <c r="G85" s="41"/>
      <c r="H85" s="41"/>
      <c r="I85" s="42"/>
      <c r="J85" s="41"/>
      <c r="K85" s="41"/>
      <c r="L85" s="41"/>
      <c r="M85" s="41"/>
      <c r="N85" s="41"/>
      <c r="O85" s="121"/>
      <c r="P85" s="121"/>
      <c r="Q85" s="41"/>
    </row>
    <row r="86" spans="2:17" s="38" customFormat="1" ht="9" x14ac:dyDescent="0.15">
      <c r="B86" s="41"/>
      <c r="C86" s="41"/>
      <c r="D86" s="41"/>
      <c r="E86" s="41"/>
      <c r="F86" s="41"/>
      <c r="G86" s="41"/>
      <c r="H86" s="41"/>
      <c r="I86" s="42"/>
      <c r="J86" s="41"/>
      <c r="K86" s="41"/>
      <c r="L86" s="41"/>
      <c r="M86" s="41"/>
      <c r="N86" s="41"/>
      <c r="O86" s="121"/>
      <c r="P86" s="121"/>
      <c r="Q86" s="41"/>
    </row>
    <row r="87" spans="2:17" s="38" customFormat="1" ht="9" x14ac:dyDescent="0.15">
      <c r="B87" s="41"/>
      <c r="C87" s="41"/>
      <c r="D87" s="41"/>
      <c r="E87" s="41"/>
      <c r="F87" s="41"/>
      <c r="G87" s="41"/>
      <c r="H87" s="41"/>
      <c r="I87" s="42"/>
      <c r="J87" s="41"/>
      <c r="K87" s="41"/>
      <c r="L87" s="41"/>
      <c r="M87" s="41"/>
      <c r="N87" s="41"/>
      <c r="O87" s="121"/>
      <c r="P87" s="121"/>
      <c r="Q87" s="41"/>
    </row>
    <row r="88" spans="2:17" s="38" customFormat="1" ht="9" x14ac:dyDescent="0.15">
      <c r="B88" s="41"/>
      <c r="C88" s="41"/>
      <c r="D88" s="41"/>
      <c r="E88" s="41"/>
      <c r="F88" s="41"/>
      <c r="G88" s="41"/>
      <c r="H88" s="41"/>
      <c r="I88" s="42"/>
      <c r="J88" s="41"/>
      <c r="K88" s="41"/>
      <c r="L88" s="41"/>
      <c r="M88" s="41"/>
      <c r="N88" s="41"/>
      <c r="O88" s="121"/>
      <c r="P88" s="121"/>
      <c r="Q88" s="41"/>
    </row>
    <row r="89" spans="2:17" s="38" customFormat="1" ht="9" x14ac:dyDescent="0.15">
      <c r="B89" s="41"/>
      <c r="C89" s="41"/>
      <c r="D89" s="41"/>
      <c r="E89" s="41"/>
      <c r="F89" s="41"/>
      <c r="G89" s="41"/>
      <c r="H89" s="41"/>
      <c r="I89" s="42"/>
      <c r="J89" s="41"/>
      <c r="K89" s="41"/>
      <c r="L89" s="41"/>
      <c r="M89" s="41"/>
      <c r="N89" s="41"/>
      <c r="O89" s="121"/>
      <c r="P89" s="121"/>
      <c r="Q89" s="41"/>
    </row>
    <row r="90" spans="2:17" s="38" customFormat="1" ht="9" x14ac:dyDescent="0.15">
      <c r="B90" s="41"/>
      <c r="C90" s="41"/>
      <c r="D90" s="41"/>
      <c r="E90" s="41"/>
      <c r="F90" s="41"/>
      <c r="G90" s="41"/>
      <c r="H90" s="41"/>
      <c r="I90" s="42"/>
      <c r="J90" s="41"/>
      <c r="K90" s="41"/>
      <c r="L90" s="41"/>
      <c r="M90" s="41"/>
      <c r="N90" s="41"/>
      <c r="O90" s="121"/>
      <c r="P90" s="121"/>
      <c r="Q90" s="41"/>
    </row>
    <row r="91" spans="2:17" s="38" customFormat="1" ht="9" x14ac:dyDescent="0.15">
      <c r="B91" s="41"/>
      <c r="C91" s="41"/>
      <c r="D91" s="41"/>
      <c r="E91" s="41"/>
      <c r="F91" s="41"/>
      <c r="G91" s="41"/>
      <c r="H91" s="41"/>
      <c r="I91" s="42"/>
      <c r="J91" s="41"/>
      <c r="K91" s="41"/>
      <c r="L91" s="41"/>
      <c r="M91" s="41"/>
      <c r="N91" s="41"/>
      <c r="O91" s="121"/>
      <c r="P91" s="121"/>
      <c r="Q91" s="41"/>
    </row>
    <row r="92" spans="2:17" s="38" customFormat="1" ht="9" x14ac:dyDescent="0.15">
      <c r="B92" s="41"/>
      <c r="C92" s="41"/>
      <c r="D92" s="41"/>
      <c r="E92" s="41"/>
      <c r="F92" s="41"/>
      <c r="G92" s="41"/>
      <c r="H92" s="41"/>
      <c r="I92" s="42"/>
      <c r="J92" s="41"/>
      <c r="K92" s="41"/>
      <c r="L92" s="41"/>
      <c r="M92" s="41"/>
      <c r="N92" s="41"/>
      <c r="O92" s="121"/>
      <c r="P92" s="121"/>
      <c r="Q92" s="41"/>
    </row>
    <row r="93" spans="2:17" s="38" customFormat="1" ht="9" x14ac:dyDescent="0.15">
      <c r="B93" s="41"/>
      <c r="C93" s="41"/>
      <c r="D93" s="41"/>
      <c r="E93" s="41"/>
      <c r="F93" s="41"/>
      <c r="G93" s="41"/>
      <c r="H93" s="41"/>
      <c r="I93" s="42"/>
      <c r="J93" s="41"/>
      <c r="K93" s="41"/>
      <c r="L93" s="41"/>
      <c r="M93" s="41"/>
      <c r="N93" s="41"/>
      <c r="O93" s="121"/>
      <c r="P93" s="121"/>
      <c r="Q93" s="41"/>
    </row>
    <row r="94" spans="2:17" s="38" customFormat="1" ht="9" x14ac:dyDescent="0.15">
      <c r="B94" s="41"/>
      <c r="C94" s="41"/>
      <c r="D94" s="41"/>
      <c r="E94" s="41"/>
      <c r="F94" s="41"/>
      <c r="G94" s="41"/>
      <c r="H94" s="41"/>
      <c r="I94" s="42"/>
      <c r="J94" s="41"/>
      <c r="K94" s="41"/>
      <c r="L94" s="41"/>
      <c r="M94" s="41"/>
      <c r="N94" s="41"/>
      <c r="O94" s="121"/>
      <c r="P94" s="121"/>
      <c r="Q94" s="41"/>
    </row>
    <row r="95" spans="2:17" s="38" customFormat="1" ht="9" x14ac:dyDescent="0.15">
      <c r="B95" s="41"/>
      <c r="C95" s="41"/>
      <c r="D95" s="41"/>
      <c r="E95" s="41"/>
      <c r="F95" s="41"/>
      <c r="G95" s="41"/>
      <c r="H95" s="41"/>
      <c r="I95" s="42"/>
      <c r="J95" s="41"/>
      <c r="K95" s="41"/>
      <c r="L95" s="41"/>
      <c r="M95" s="41"/>
      <c r="N95" s="41"/>
      <c r="O95" s="121"/>
      <c r="P95" s="121"/>
      <c r="Q95" s="41"/>
    </row>
    <row r="96" spans="2: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7" s="38" customFormat="1" ht="9" x14ac:dyDescent="0.15">
      <c r="B113" s="41"/>
      <c r="C113" s="41"/>
      <c r="D113" s="41"/>
      <c r="E113" s="41"/>
      <c r="F113" s="41"/>
      <c r="G113" s="41"/>
      <c r="H113" s="41"/>
      <c r="I113" s="42"/>
      <c r="J113" s="41"/>
      <c r="K113" s="41"/>
      <c r="L113" s="41"/>
      <c r="M113" s="41"/>
      <c r="N113" s="41"/>
      <c r="O113" s="121"/>
      <c r="P113" s="121"/>
      <c r="Q113" s="41"/>
    </row>
    <row r="114" spans="2:17" s="38" customFormat="1" ht="9" x14ac:dyDescent="0.15">
      <c r="B114" s="41"/>
      <c r="C114" s="41"/>
      <c r="D114" s="41"/>
      <c r="E114" s="41"/>
      <c r="F114" s="41"/>
      <c r="G114" s="41"/>
      <c r="H114" s="41"/>
      <c r="I114" s="42"/>
      <c r="J114" s="41"/>
      <c r="K114" s="41"/>
      <c r="L114" s="41"/>
      <c r="M114" s="41"/>
      <c r="N114" s="41"/>
      <c r="O114" s="121"/>
      <c r="P114" s="121"/>
      <c r="Q114" s="41"/>
    </row>
    <row r="115" spans="2:17" s="38" customFormat="1" ht="9" x14ac:dyDescent="0.15">
      <c r="B115" s="41"/>
      <c r="C115" s="41"/>
      <c r="D115" s="41"/>
      <c r="E115" s="41"/>
      <c r="F115" s="41"/>
      <c r="G115" s="41"/>
      <c r="H115" s="41"/>
      <c r="I115" s="42"/>
      <c r="J115" s="41"/>
      <c r="K115" s="41"/>
      <c r="L115" s="41"/>
      <c r="M115" s="41"/>
      <c r="N115" s="41"/>
      <c r="O115" s="121"/>
      <c r="P115" s="121"/>
      <c r="Q115" s="41"/>
    </row>
    <row r="116" spans="2:17" s="38" customFormat="1" x14ac:dyDescent="0.2">
      <c r="B116" s="41"/>
      <c r="C116" s="41"/>
      <c r="D116" s="41"/>
      <c r="E116" s="41"/>
      <c r="F116" s="41"/>
      <c r="G116" s="41"/>
      <c r="H116" s="41"/>
      <c r="I116" s="42"/>
      <c r="J116" s="41"/>
      <c r="K116" s="41"/>
      <c r="L116" s="41"/>
      <c r="M116" s="41"/>
      <c r="N116" s="41"/>
      <c r="O116" s="121"/>
      <c r="P116" s="121"/>
      <c r="Q116" s="39"/>
    </row>
    <row r="117" spans="2:17" s="38" customFormat="1" x14ac:dyDescent="0.2">
      <c r="B117" s="41"/>
      <c r="C117" s="41"/>
      <c r="D117" s="41"/>
      <c r="E117" s="41"/>
      <c r="F117" s="41"/>
      <c r="G117" s="41"/>
      <c r="H117" s="41"/>
      <c r="I117" s="42"/>
      <c r="J117" s="41"/>
      <c r="K117" s="41"/>
      <c r="L117" s="41"/>
      <c r="M117" s="41"/>
      <c r="N117" s="41"/>
      <c r="O117" s="121"/>
      <c r="P117" s="121"/>
      <c r="Q117" s="39"/>
    </row>
    <row r="118" spans="2:17" x14ac:dyDescent="0.2">
      <c r="P118" s="121"/>
    </row>
    <row r="119" spans="2:17" x14ac:dyDescent="0.2">
      <c r="P119" s="121"/>
    </row>
  </sheetData>
  <mergeCells count="9">
    <mergeCell ref="A74:Q76"/>
    <mergeCell ref="A72:P72"/>
    <mergeCell ref="A68:Q68"/>
    <mergeCell ref="A73:N73"/>
    <mergeCell ref="A1:Q1"/>
    <mergeCell ref="A2:Q2"/>
    <mergeCell ref="A65:O65"/>
    <mergeCell ref="A66:O66"/>
    <mergeCell ref="A67:O67"/>
  </mergeCells>
  <phoneticPr fontId="9" type="noConversion"/>
  <printOptions horizontalCentered="1"/>
  <pageMargins left="0.25" right="0.25" top="0.25" bottom="0.25" header="0" footer="0"/>
  <pageSetup scale="67" orientation="portrait"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9"/>
  <sheetViews>
    <sheetView zoomScale="115" zoomScaleNormal="115" workbookViewId="0">
      <pane xSplit="1" ySplit="3" topLeftCell="B43" activePane="bottomRight" state="frozen"/>
      <selection activeCell="O55" sqref="O55"/>
      <selection pane="topRight" activeCell="O55" sqref="O55"/>
      <selection pane="bottomLeft" activeCell="O55" sqref="O55"/>
      <selection pane="bottomRight" activeCell="A74" sqref="A74:Q74"/>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8" style="39" customWidth="1"/>
    <col min="7" max="7" width="9.42578125" style="39" bestFit="1" customWidth="1"/>
    <col min="8" max="8" width="8.42578125" style="39" customWidth="1"/>
    <col min="9" max="9" width="9.42578125" style="40" bestFit="1" customWidth="1"/>
    <col min="10" max="11" width="6.85546875" style="39" bestFit="1" customWidth="1"/>
    <col min="12" max="12" width="8.85546875" style="39" customWidth="1"/>
    <col min="13" max="13" width="7.85546875" style="39" hidden="1" customWidth="1"/>
    <col min="14" max="14" width="9" style="39" customWidth="1"/>
    <col min="15" max="15" width="10.140625" style="120" bestFit="1" customWidth="1"/>
    <col min="16" max="16" width="10" style="120" bestFit="1" customWidth="1"/>
    <col min="17" max="17" width="3.28515625" style="39" customWidth="1"/>
    <col min="18" max="18" width="9.85546875" style="77" hidden="1" customWidth="1"/>
    <col min="19" max="19" width="11.7109375" style="77" hidden="1" customWidth="1"/>
    <col min="20" max="20" width="11.140625" style="77" customWidth="1"/>
    <col min="21" max="21" width="8.5703125" style="77" customWidth="1"/>
    <col min="22" max="16384" width="9.140625" style="77"/>
  </cols>
  <sheetData>
    <row r="1" spans="1:21" x14ac:dyDescent="0.2">
      <c r="A1" s="684" t="s">
        <v>714</v>
      </c>
      <c r="B1" s="684"/>
      <c r="C1" s="684"/>
      <c r="D1" s="684"/>
      <c r="E1" s="684"/>
      <c r="F1" s="684"/>
      <c r="G1" s="684"/>
      <c r="H1" s="684"/>
      <c r="I1" s="684"/>
      <c r="J1" s="684"/>
      <c r="K1" s="684"/>
      <c r="L1" s="684"/>
      <c r="M1" s="684"/>
      <c r="N1" s="684"/>
      <c r="O1" s="684"/>
      <c r="P1" s="684"/>
      <c r="Q1" s="684"/>
    </row>
    <row r="2" spans="1:21" x14ac:dyDescent="0.2">
      <c r="A2" s="685" t="s">
        <v>591</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64"/>
      <c r="Q6" s="66"/>
    </row>
    <row r="7" spans="1:21" s="95" customFormat="1" ht="9" x14ac:dyDescent="0.15">
      <c r="A7" s="91" t="s">
        <v>287</v>
      </c>
      <c r="B7" s="31">
        <v>40</v>
      </c>
      <c r="C7" s="31"/>
      <c r="D7" s="37">
        <v>0</v>
      </c>
      <c r="E7" s="37">
        <v>0</v>
      </c>
      <c r="F7" s="37">
        <v>0</v>
      </c>
      <c r="G7" s="31">
        <v>1</v>
      </c>
      <c r="H7" s="31">
        <f>B7*G7</f>
        <v>40</v>
      </c>
      <c r="I7" s="63">
        <f>ROUND(SUM('Base Data'!$H$63:$H$65)/3,0)</f>
        <v>3</v>
      </c>
      <c r="J7" s="64">
        <f>H7*I7</f>
        <v>120</v>
      </c>
      <c r="K7" s="64">
        <f>J7*0.1</f>
        <v>12</v>
      </c>
      <c r="L7" s="63">
        <f>J7*0.05</f>
        <v>6</v>
      </c>
      <c r="M7" s="31">
        <f>C7*G7*I7</f>
        <v>0</v>
      </c>
      <c r="N7" s="37">
        <f>(J7*'Base Data'!$C$5)+(K7*'Base Data'!$C$6)+(L7*'Base Data'!$C$7)</f>
        <v>15111.42</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f>ROUNDDOWN(SUM('Base Data'!$D$63:$D$65)/3,0)</f>
        <v>26</v>
      </c>
      <c r="J9" s="64">
        <f t="shared" ref="J9:J19" si="1">H9*I9</f>
        <v>312</v>
      </c>
      <c r="K9" s="457">
        <f t="shared" ref="K9:K19" si="2">J9*0.1</f>
        <v>31.200000000000003</v>
      </c>
      <c r="L9" s="457">
        <f t="shared" ref="L9:L19" si="3">J9*0.05</f>
        <v>15.600000000000001</v>
      </c>
      <c r="M9" s="65"/>
      <c r="N9" s="37">
        <f>(J9*'Base Data'!$C$5)+(K9*'Base Data'!$C$6)+(L9*'Base Data'!$C$7)</f>
        <v>39289.692000000003</v>
      </c>
      <c r="O9" s="37">
        <f t="shared" ref="O9:O19" si="4">(D9+E9+F9)*G9*I9</f>
        <v>130000</v>
      </c>
      <c r="P9" s="64">
        <v>0</v>
      </c>
      <c r="Q9" s="66" t="s">
        <v>276</v>
      </c>
      <c r="U9" s="119"/>
    </row>
    <row r="10" spans="1:21" s="95" customFormat="1" ht="9" x14ac:dyDescent="0.15">
      <c r="A10" s="91" t="s">
        <v>109</v>
      </c>
      <c r="B10" s="31">
        <v>12</v>
      </c>
      <c r="C10" s="31"/>
      <c r="D10" s="37">
        <v>0</v>
      </c>
      <c r="E10" s="37">
        <f>'Testing Costs'!$B$17</f>
        <v>8000</v>
      </c>
      <c r="F10" s="37">
        <v>0</v>
      </c>
      <c r="G10" s="31">
        <v>1</v>
      </c>
      <c r="H10" s="31">
        <f t="shared" si="0"/>
        <v>12</v>
      </c>
      <c r="I10" s="63">
        <f>ROUNDDOWN(SUM('Base Data'!$D$63:$D$65)/3,0)</f>
        <v>26</v>
      </c>
      <c r="J10" s="64">
        <f t="shared" si="1"/>
        <v>312</v>
      </c>
      <c r="K10" s="457">
        <f t="shared" si="2"/>
        <v>31.200000000000003</v>
      </c>
      <c r="L10" s="457">
        <f t="shared" si="3"/>
        <v>15.600000000000001</v>
      </c>
      <c r="M10" s="65"/>
      <c r="N10" s="37">
        <f>(J10*'Base Data'!$C$5)+(K10*'Base Data'!$C$6)+(L10*'Base Data'!$C$7)</f>
        <v>39289.692000000003</v>
      </c>
      <c r="O10" s="37">
        <f t="shared" si="4"/>
        <v>208000</v>
      </c>
      <c r="P10" s="64">
        <v>0</v>
      </c>
      <c r="Q10" s="66" t="s">
        <v>276</v>
      </c>
      <c r="U10" s="119"/>
    </row>
    <row r="11" spans="1:21" s="95" customFormat="1" ht="9" x14ac:dyDescent="0.15">
      <c r="A11" s="91" t="s">
        <v>110</v>
      </c>
      <c r="B11" s="31">
        <v>12</v>
      </c>
      <c r="C11" s="31"/>
      <c r="D11" s="37">
        <v>0</v>
      </c>
      <c r="E11" s="37">
        <f>'Testing Costs'!$B$15</f>
        <v>8000</v>
      </c>
      <c r="F11" s="37">
        <v>0</v>
      </c>
      <c r="G11" s="31">
        <v>1</v>
      </c>
      <c r="H11" s="31">
        <f t="shared" si="0"/>
        <v>12</v>
      </c>
      <c r="I11" s="63">
        <f>ROUNDDOWN(SUM('Base Data'!$D$63:$D$65)/3,0)</f>
        <v>26</v>
      </c>
      <c r="J11" s="64">
        <f t="shared" si="1"/>
        <v>312</v>
      </c>
      <c r="K11" s="457">
        <f t="shared" si="2"/>
        <v>31.200000000000003</v>
      </c>
      <c r="L11" s="457">
        <f t="shared" si="3"/>
        <v>15.600000000000001</v>
      </c>
      <c r="M11" s="65"/>
      <c r="N11" s="37">
        <f>(J11*'Base Data'!$C$5)+(K11*'Base Data'!$C$6)+(L11*'Base Data'!$C$7)</f>
        <v>39289.692000000003</v>
      </c>
      <c r="O11" s="37">
        <f t="shared" si="4"/>
        <v>208000</v>
      </c>
      <c r="P11" s="64">
        <v>0</v>
      </c>
      <c r="Q11" s="66" t="s">
        <v>276</v>
      </c>
      <c r="U11" s="119"/>
    </row>
    <row r="12" spans="1:21" s="95" customFormat="1" ht="9" x14ac:dyDescent="0.15">
      <c r="A12" s="91" t="s">
        <v>111</v>
      </c>
      <c r="B12" s="31">
        <v>12</v>
      </c>
      <c r="C12" s="31"/>
      <c r="D12" s="37">
        <v>0</v>
      </c>
      <c r="E12" s="37">
        <f>'Testing Costs'!$B$14</f>
        <v>7000</v>
      </c>
      <c r="F12" s="37">
        <v>0</v>
      </c>
      <c r="G12" s="31">
        <v>1</v>
      </c>
      <c r="H12" s="31">
        <f t="shared" si="0"/>
        <v>12</v>
      </c>
      <c r="I12" s="63">
        <f>ROUNDDOWN(SUM('Base Data'!$D$63:$D$65)/3,0)</f>
        <v>26</v>
      </c>
      <c r="J12" s="64">
        <f t="shared" si="1"/>
        <v>312</v>
      </c>
      <c r="K12" s="457">
        <f t="shared" si="2"/>
        <v>31.200000000000003</v>
      </c>
      <c r="L12" s="457">
        <f t="shared" si="3"/>
        <v>15.600000000000001</v>
      </c>
      <c r="M12" s="65"/>
      <c r="N12" s="37">
        <f>(J12*'Base Data'!$C$5)+(K12*'Base Data'!$C$6)+(L12*'Base Data'!$C$7)</f>
        <v>39289.692000000003</v>
      </c>
      <c r="O12" s="37">
        <f t="shared" si="4"/>
        <v>182000</v>
      </c>
      <c r="P12" s="64">
        <v>0</v>
      </c>
      <c r="Q12" s="66" t="s">
        <v>276</v>
      </c>
      <c r="U12" s="119"/>
    </row>
    <row r="13" spans="1:21" s="95" customFormat="1" ht="9" customHeight="1" x14ac:dyDescent="0.15">
      <c r="A13" s="91" t="s">
        <v>439</v>
      </c>
      <c r="B13" s="31">
        <v>12</v>
      </c>
      <c r="C13" s="31"/>
      <c r="D13" s="37">
        <v>0</v>
      </c>
      <c r="E13" s="37">
        <f>'Testing Costs'!$B$13</f>
        <v>5000</v>
      </c>
      <c r="F13" s="37">
        <v>0</v>
      </c>
      <c r="G13" s="31">
        <v>1</v>
      </c>
      <c r="H13" s="31">
        <f t="shared" si="0"/>
        <v>12</v>
      </c>
      <c r="I13" s="63">
        <v>0</v>
      </c>
      <c r="J13" s="64">
        <f t="shared" si="1"/>
        <v>0</v>
      </c>
      <c r="K13" s="457">
        <f t="shared" si="2"/>
        <v>0</v>
      </c>
      <c r="L13" s="457">
        <f t="shared" si="3"/>
        <v>0</v>
      </c>
      <c r="M13" s="65"/>
      <c r="N13" s="37">
        <f>(J13*'Base Data'!$C$5)+(K13*'Base Data'!$C$6)+(L13*'Base Data'!$C$7)</f>
        <v>0</v>
      </c>
      <c r="O13" s="37">
        <f t="shared" si="4"/>
        <v>0</v>
      </c>
      <c r="P13" s="64">
        <v>0</v>
      </c>
      <c r="Q13" s="66" t="s">
        <v>276</v>
      </c>
      <c r="U13" s="119"/>
    </row>
    <row r="14" spans="1:21" s="95" customFormat="1" ht="9" x14ac:dyDescent="0.15">
      <c r="A14" s="91" t="s">
        <v>440</v>
      </c>
      <c r="B14" s="31">
        <v>12</v>
      </c>
      <c r="C14" s="31"/>
      <c r="D14" s="37">
        <v>0</v>
      </c>
      <c r="E14" s="37">
        <f>'Testing Costs'!$B$17</f>
        <v>8000</v>
      </c>
      <c r="F14" s="37">
        <v>0</v>
      </c>
      <c r="G14" s="31">
        <v>1</v>
      </c>
      <c r="H14" s="31">
        <f t="shared" si="0"/>
        <v>12</v>
      </c>
      <c r="I14" s="63">
        <v>0</v>
      </c>
      <c r="J14" s="64">
        <f t="shared" si="1"/>
        <v>0</v>
      </c>
      <c r="K14" s="457">
        <f t="shared" si="2"/>
        <v>0</v>
      </c>
      <c r="L14" s="457">
        <f t="shared" si="3"/>
        <v>0</v>
      </c>
      <c r="M14" s="65"/>
      <c r="N14" s="37">
        <f>(J14*'Base Data'!$C$5)+(K14*'Base Data'!$C$6)+(L14*'Base Data'!$C$7)</f>
        <v>0</v>
      </c>
      <c r="O14" s="37">
        <f t="shared" si="4"/>
        <v>0</v>
      </c>
      <c r="P14" s="64">
        <v>0</v>
      </c>
      <c r="Q14" s="66" t="s">
        <v>276</v>
      </c>
      <c r="U14" s="119"/>
    </row>
    <row r="15" spans="1:21" s="95" customFormat="1" ht="9" x14ac:dyDescent="0.15">
      <c r="A15" s="91" t="s">
        <v>441</v>
      </c>
      <c r="B15" s="31">
        <v>12</v>
      </c>
      <c r="C15" s="31"/>
      <c r="D15" s="37">
        <v>0</v>
      </c>
      <c r="E15" s="37">
        <f>'Testing Costs'!$B$15</f>
        <v>8000</v>
      </c>
      <c r="F15" s="37">
        <v>0</v>
      </c>
      <c r="G15" s="31">
        <v>1</v>
      </c>
      <c r="H15" s="31">
        <f t="shared" si="0"/>
        <v>12</v>
      </c>
      <c r="I15" s="63">
        <v>0</v>
      </c>
      <c r="J15" s="64">
        <f t="shared" si="1"/>
        <v>0</v>
      </c>
      <c r="K15" s="457">
        <f t="shared" si="2"/>
        <v>0</v>
      </c>
      <c r="L15" s="457">
        <f t="shared" si="3"/>
        <v>0</v>
      </c>
      <c r="M15" s="65"/>
      <c r="N15" s="37">
        <f>(J15*'Base Data'!$C$5)+(K15*'Base Data'!$C$6)+(L15*'Base Data'!$C$7)</f>
        <v>0</v>
      </c>
      <c r="O15" s="37">
        <f t="shared" si="4"/>
        <v>0</v>
      </c>
      <c r="P15" s="64">
        <v>0</v>
      </c>
      <c r="Q15" s="66" t="s">
        <v>276</v>
      </c>
      <c r="U15" s="119"/>
    </row>
    <row r="16" spans="1:21" s="95" customFormat="1" ht="9" x14ac:dyDescent="0.15">
      <c r="A16" s="91" t="s">
        <v>442</v>
      </c>
      <c r="B16" s="31">
        <v>12</v>
      </c>
      <c r="C16" s="31"/>
      <c r="D16" s="37">
        <v>0</v>
      </c>
      <c r="E16" s="37">
        <f>'Testing Costs'!$B$14</f>
        <v>7000</v>
      </c>
      <c r="F16" s="37">
        <v>0</v>
      </c>
      <c r="G16" s="31">
        <v>1</v>
      </c>
      <c r="H16" s="31">
        <f t="shared" si="0"/>
        <v>12</v>
      </c>
      <c r="I16" s="63">
        <v>0</v>
      </c>
      <c r="J16" s="64">
        <f t="shared" si="1"/>
        <v>0</v>
      </c>
      <c r="K16" s="457">
        <f t="shared" si="2"/>
        <v>0</v>
      </c>
      <c r="L16" s="457">
        <f t="shared" si="3"/>
        <v>0</v>
      </c>
      <c r="M16" s="65"/>
      <c r="N16" s="37">
        <f>(J16*'Base Data'!$C$5)+(K16*'Base Data'!$C$6)+(L16*'Base Data'!$C$7)</f>
        <v>0</v>
      </c>
      <c r="O16" s="37">
        <f t="shared" si="4"/>
        <v>0</v>
      </c>
      <c r="P16" s="64">
        <v>0</v>
      </c>
      <c r="Q16" s="66" t="s">
        <v>276</v>
      </c>
      <c r="U16" s="119"/>
    </row>
    <row r="17" spans="1:21" s="95" customFormat="1" ht="18.75" customHeight="1" x14ac:dyDescent="0.15">
      <c r="A17" s="197" t="s">
        <v>443</v>
      </c>
      <c r="B17" s="31">
        <v>24</v>
      </c>
      <c r="C17" s="559"/>
      <c r="D17" s="37">
        <v>0</v>
      </c>
      <c r="E17" s="37">
        <f>$E$10+$E$11</f>
        <v>16000</v>
      </c>
      <c r="F17" s="37">
        <v>0</v>
      </c>
      <c r="G17" s="31">
        <v>1</v>
      </c>
      <c r="H17" s="31">
        <f t="shared" si="0"/>
        <v>24</v>
      </c>
      <c r="I17" s="63">
        <f>ROUNDDOWN(SUM('Base Data'!$D$63:$D$65)/3,0)</f>
        <v>26</v>
      </c>
      <c r="J17" s="64">
        <f t="shared" si="1"/>
        <v>624</v>
      </c>
      <c r="K17" s="457">
        <f t="shared" si="2"/>
        <v>62.400000000000006</v>
      </c>
      <c r="L17" s="457">
        <f t="shared" si="3"/>
        <v>31.200000000000003</v>
      </c>
      <c r="M17" s="65"/>
      <c r="N17" s="37">
        <f>(J17*'Base Data'!$C$5)+(K17*'Base Data'!$C$6)+(L17*'Base Data'!$C$7)</f>
        <v>78579.384000000005</v>
      </c>
      <c r="O17" s="37">
        <f t="shared" si="4"/>
        <v>416000</v>
      </c>
      <c r="P17" s="64">
        <v>0</v>
      </c>
      <c r="Q17" s="66" t="s">
        <v>459</v>
      </c>
    </row>
    <row r="18" spans="1:21" s="95" customFormat="1" ht="9" customHeight="1" x14ac:dyDescent="0.15">
      <c r="A18" s="91" t="s">
        <v>444</v>
      </c>
      <c r="B18" s="31">
        <v>5</v>
      </c>
      <c r="C18" s="31"/>
      <c r="D18" s="37">
        <v>0</v>
      </c>
      <c r="E18" s="37">
        <v>400</v>
      </c>
      <c r="F18" s="37">
        <v>0</v>
      </c>
      <c r="G18" s="31">
        <v>1</v>
      </c>
      <c r="H18" s="31">
        <f t="shared" si="0"/>
        <v>5</v>
      </c>
      <c r="I18" s="63">
        <v>0</v>
      </c>
      <c r="J18" s="64">
        <f t="shared" si="1"/>
        <v>0</v>
      </c>
      <c r="K18" s="64">
        <f t="shared" si="2"/>
        <v>0</v>
      </c>
      <c r="L18" s="64">
        <f t="shared" si="3"/>
        <v>0</v>
      </c>
      <c r="M18" s="65"/>
      <c r="N18" s="37">
        <f>(J18*'Base Data'!$C$5)+(K18*'Base Data'!$C$6)+(L18*'Base Data'!$C$7)</f>
        <v>0</v>
      </c>
      <c r="O18" s="37">
        <f t="shared" si="4"/>
        <v>0</v>
      </c>
      <c r="P18" s="64">
        <f>G18*I18</f>
        <v>0</v>
      </c>
      <c r="Q18" s="66" t="s">
        <v>408</v>
      </c>
      <c r="U18" s="119"/>
    </row>
    <row r="19" spans="1:21" s="95" customFormat="1" ht="9" customHeight="1" x14ac:dyDescent="0.15">
      <c r="A19" s="91" t="s">
        <v>445</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f>G19*I19</f>
        <v>0</v>
      </c>
      <c r="Q19" s="66" t="s">
        <v>408</v>
      </c>
      <c r="U19" s="119"/>
    </row>
    <row r="20" spans="1:21" s="95" customFormat="1" ht="9" x14ac:dyDescent="0.15">
      <c r="A20" s="90" t="s">
        <v>446</v>
      </c>
      <c r="B20" s="31">
        <v>12</v>
      </c>
      <c r="C20" s="31"/>
      <c r="D20" s="37">
        <v>0</v>
      </c>
      <c r="E20" s="37">
        <v>2875</v>
      </c>
      <c r="F20" s="37">
        <v>0</v>
      </c>
      <c r="G20" s="31">
        <v>1</v>
      </c>
      <c r="H20" s="31">
        <f>B20*G20</f>
        <v>12</v>
      </c>
      <c r="I20" s="63">
        <f>ROUND(SUM('Base Data'!$D$63:$D$65)/3,0)</f>
        <v>26</v>
      </c>
      <c r="J20" s="63">
        <f>H20*I20</f>
        <v>312</v>
      </c>
      <c r="K20" s="454">
        <f>J20*0.1</f>
        <v>31.200000000000003</v>
      </c>
      <c r="L20" s="454">
        <f>J20*0.05</f>
        <v>15.600000000000001</v>
      </c>
      <c r="M20" s="64"/>
      <c r="N20" s="37">
        <f>(J20*'Base Data'!$C$5)+(K20*'Base Data'!$C$6)+(L20*'Base Data'!$C$7)</f>
        <v>39289.692000000003</v>
      </c>
      <c r="O20" s="37">
        <f>(D20+E20+F20)*G20*I20</f>
        <v>74750</v>
      </c>
      <c r="P20" s="64">
        <v>0</v>
      </c>
      <c r="Q20" s="66" t="s">
        <v>204</v>
      </c>
      <c r="R20" s="250"/>
    </row>
    <row r="21" spans="1:21" s="95" customFormat="1" ht="9" x14ac:dyDescent="0.15">
      <c r="A21" s="91" t="s">
        <v>431</v>
      </c>
      <c r="B21" s="31"/>
      <c r="C21" s="31"/>
      <c r="D21" s="37"/>
      <c r="E21" s="37"/>
      <c r="F21" s="37"/>
      <c r="G21" s="31"/>
      <c r="H21" s="31"/>
      <c r="I21" s="64"/>
      <c r="J21" s="64"/>
      <c r="K21" s="457"/>
      <c r="L21" s="457"/>
      <c r="M21" s="65"/>
      <c r="N21" s="37"/>
      <c r="O21" s="37"/>
      <c r="P21" s="64"/>
      <c r="Q21" s="66" t="s">
        <v>80</v>
      </c>
      <c r="U21" s="119"/>
    </row>
    <row r="22" spans="1:21" s="95" customFormat="1" ht="9" x14ac:dyDescent="0.15">
      <c r="A22" s="91" t="s">
        <v>310</v>
      </c>
      <c r="B22" s="31">
        <v>40</v>
      </c>
      <c r="C22" s="31"/>
      <c r="D22" s="37">
        <v>0</v>
      </c>
      <c r="E22" s="37"/>
      <c r="F22" s="37">
        <v>0</v>
      </c>
      <c r="G22" s="31">
        <v>1</v>
      </c>
      <c r="H22" s="31">
        <f>B22*G22</f>
        <v>40</v>
      </c>
      <c r="I22" s="63">
        <f>ROUNDDOWN(SUM('Base Data'!$H$63:$H$65)/3,0)</f>
        <v>3</v>
      </c>
      <c r="J22" s="64">
        <f>H22*I22</f>
        <v>120</v>
      </c>
      <c r="K22" s="64">
        <f>J22*0.1</f>
        <v>12</v>
      </c>
      <c r="L22" s="64">
        <f>J22*0.05</f>
        <v>6</v>
      </c>
      <c r="M22" s="65"/>
      <c r="N22" s="37">
        <f>(J22*'Base Data'!$C$5)+(K22*'Base Data'!$C$6)+(L22*'Base Data'!$C$7)</f>
        <v>15111.42</v>
      </c>
      <c r="O22" s="37">
        <f>(D22+E22+F22)*G22*I22</f>
        <v>0</v>
      </c>
      <c r="P22" s="64">
        <v>0</v>
      </c>
      <c r="Q22" s="66" t="s">
        <v>276</v>
      </c>
      <c r="U22" s="119"/>
    </row>
    <row r="23" spans="1:21" s="95" customFormat="1" ht="9" x14ac:dyDescent="0.15">
      <c r="A23" s="90" t="s">
        <v>289</v>
      </c>
      <c r="B23" s="31"/>
      <c r="C23" s="31"/>
      <c r="D23" s="37"/>
      <c r="E23" s="37"/>
      <c r="F23" s="37"/>
      <c r="G23" s="31"/>
      <c r="H23" s="31"/>
      <c r="I23" s="64"/>
      <c r="J23" s="64"/>
      <c r="K23" s="64"/>
      <c r="L23" s="64"/>
      <c r="M23" s="65"/>
      <c r="N23" s="37"/>
      <c r="O23" s="37"/>
      <c r="P23" s="64"/>
      <c r="Q23" s="66"/>
      <c r="U23" s="119"/>
    </row>
    <row r="24" spans="1:21" s="95" customFormat="1" ht="9" x14ac:dyDescent="0.15">
      <c r="A24" s="90" t="s">
        <v>290</v>
      </c>
      <c r="B24" s="31">
        <v>10</v>
      </c>
      <c r="C24" s="31"/>
      <c r="D24" s="37">
        <v>0</v>
      </c>
      <c r="E24" s="37">
        <v>0</v>
      </c>
      <c r="F24" s="37">
        <v>43100</v>
      </c>
      <c r="G24" s="31">
        <v>1</v>
      </c>
      <c r="H24" s="31">
        <f>B24*G24</f>
        <v>10</v>
      </c>
      <c r="I24" s="63">
        <f>ROUNDDOWN(Monitors!$C$21/3,0)</f>
        <v>26</v>
      </c>
      <c r="J24" s="64">
        <f>H24*I24</f>
        <v>260</v>
      </c>
      <c r="K24" s="64">
        <f>J24*0.1</f>
        <v>26</v>
      </c>
      <c r="L24" s="64">
        <f>J24*0.05</f>
        <v>13</v>
      </c>
      <c r="M24" s="65"/>
      <c r="N24" s="37">
        <f>(J24*'Base Data'!$C$5)+(K24*'Base Data'!$C$6)+(L24*'Base Data'!$C$7)</f>
        <v>32741.41</v>
      </c>
      <c r="O24" s="37">
        <f>(D24+E24+F24)*G24*I24</f>
        <v>1120600</v>
      </c>
      <c r="P24" s="64">
        <v>0</v>
      </c>
      <c r="Q24" s="66" t="s">
        <v>276</v>
      </c>
      <c r="U24" s="119"/>
    </row>
    <row r="25" spans="1:21" s="95" customFormat="1" ht="9" x14ac:dyDescent="0.15">
      <c r="A25" s="90" t="s">
        <v>293</v>
      </c>
      <c r="B25" s="31">
        <v>10</v>
      </c>
      <c r="C25" s="31"/>
      <c r="D25" s="37">
        <v>0</v>
      </c>
      <c r="E25" s="37">
        <v>0</v>
      </c>
      <c r="F25" s="37">
        <v>14700</v>
      </c>
      <c r="G25" s="31">
        <v>1</v>
      </c>
      <c r="H25" s="31">
        <f>B25*G25</f>
        <v>10</v>
      </c>
      <c r="I25" s="63">
        <v>0</v>
      </c>
      <c r="J25" s="64">
        <f>H25*I25</f>
        <v>0</v>
      </c>
      <c r="K25" s="64">
        <f>J25*0.1</f>
        <v>0</v>
      </c>
      <c r="L25" s="64">
        <f>J25*0.05</f>
        <v>0</v>
      </c>
      <c r="M25" s="65"/>
      <c r="N25" s="37">
        <f>(J25*'Base Data'!$C$5)+(K25*'Base Data'!$C$6)+(L25*'Base Data'!$C$7)</f>
        <v>0</v>
      </c>
      <c r="O25" s="37">
        <f>(D25+E25+F25)*G25*I25</f>
        <v>0</v>
      </c>
      <c r="P25" s="64">
        <v>0</v>
      </c>
      <c r="Q25" s="66" t="s">
        <v>276</v>
      </c>
      <c r="U25" s="119"/>
    </row>
    <row r="26" spans="1:21" s="95" customFormat="1" ht="9" x14ac:dyDescent="0.15">
      <c r="A26" s="90" t="s">
        <v>256</v>
      </c>
      <c r="B26" s="31"/>
      <c r="C26" s="31"/>
      <c r="D26" s="37"/>
      <c r="E26" s="37"/>
      <c r="F26" s="37"/>
      <c r="G26" s="31"/>
      <c r="H26" s="31"/>
      <c r="I26" s="64"/>
      <c r="J26" s="64"/>
      <c r="K26" s="64"/>
      <c r="L26" s="64"/>
      <c r="M26" s="65"/>
      <c r="N26" s="37"/>
      <c r="O26" s="37"/>
      <c r="P26" s="64"/>
      <c r="Q26" s="66"/>
      <c r="U26" s="119"/>
    </row>
    <row r="27" spans="1:21" s="95" customFormat="1" ht="9" x14ac:dyDescent="0.15">
      <c r="A27" s="90" t="s">
        <v>290</v>
      </c>
      <c r="B27" s="31">
        <v>10</v>
      </c>
      <c r="C27" s="31"/>
      <c r="D27" s="37">
        <v>0</v>
      </c>
      <c r="E27" s="37">
        <v>0</v>
      </c>
      <c r="F27" s="37">
        <v>158000</v>
      </c>
      <c r="G27" s="31">
        <v>1</v>
      </c>
      <c r="H27" s="31">
        <f>B27*G27</f>
        <v>10</v>
      </c>
      <c r="I27" s="63">
        <v>0</v>
      </c>
      <c r="J27" s="64">
        <f>H27*I27</f>
        <v>0</v>
      </c>
      <c r="K27" s="64">
        <f>J27*0.1</f>
        <v>0</v>
      </c>
      <c r="L27" s="64">
        <f>J27*0.05</f>
        <v>0</v>
      </c>
      <c r="M27" s="65"/>
      <c r="N27" s="37">
        <f>(J27*'Base Data'!$C$5)+(K27*'Base Data'!$C$6)+(L27*'Base Data'!$C$7)</f>
        <v>0</v>
      </c>
      <c r="O27" s="37">
        <f>(D27+E27+F27)*G27*I27</f>
        <v>0</v>
      </c>
      <c r="P27" s="64">
        <f>G27*I27</f>
        <v>0</v>
      </c>
      <c r="Q27" s="66" t="s">
        <v>729</v>
      </c>
      <c r="U27" s="119"/>
    </row>
    <row r="28" spans="1:21" s="95" customFormat="1" ht="9" x14ac:dyDescent="0.15">
      <c r="A28" s="90" t="s">
        <v>293</v>
      </c>
      <c r="B28" s="31">
        <v>10</v>
      </c>
      <c r="C28" s="31"/>
      <c r="D28" s="37">
        <v>0</v>
      </c>
      <c r="E28" s="37">
        <v>0</v>
      </c>
      <c r="F28" s="37">
        <v>56100</v>
      </c>
      <c r="G28" s="31">
        <v>1</v>
      </c>
      <c r="H28" s="31">
        <f>B28*G28</f>
        <v>10</v>
      </c>
      <c r="I28" s="63">
        <v>0</v>
      </c>
      <c r="J28" s="64">
        <f>H28*I28</f>
        <v>0</v>
      </c>
      <c r="K28" s="64">
        <f>J28*0.1</f>
        <v>0</v>
      </c>
      <c r="L28" s="64">
        <f>J28*0.05</f>
        <v>0</v>
      </c>
      <c r="M28" s="65"/>
      <c r="N28" s="37">
        <f>(J28*'Base Data'!$C$5)+(K28*'Base Data'!$C$6)+(L28*'Base Data'!$C$7)</f>
        <v>0</v>
      </c>
      <c r="O28" s="37">
        <f>(D28+E28+F28)*G28*I28</f>
        <v>0</v>
      </c>
      <c r="P28" s="64">
        <f>G28*I28</f>
        <v>0</v>
      </c>
      <c r="Q28" s="66" t="s">
        <v>729</v>
      </c>
      <c r="U28" s="119"/>
    </row>
    <row r="29" spans="1:21" s="95" customFormat="1" ht="9" x14ac:dyDescent="0.15">
      <c r="A29" s="90" t="s">
        <v>381</v>
      </c>
      <c r="B29" s="31"/>
      <c r="C29" s="31"/>
      <c r="D29" s="37"/>
      <c r="E29" s="37"/>
      <c r="F29" s="37"/>
      <c r="G29" s="31"/>
      <c r="H29" s="31"/>
      <c r="I29" s="63"/>
      <c r="J29" s="64"/>
      <c r="K29" s="64"/>
      <c r="L29" s="64"/>
      <c r="M29" s="65"/>
      <c r="N29" s="37"/>
      <c r="O29" s="37"/>
      <c r="P29" s="64"/>
      <c r="Q29" s="66"/>
    </row>
    <row r="30" spans="1:21" s="95" customFormat="1" ht="9" x14ac:dyDescent="0.15">
      <c r="A30" s="90" t="s">
        <v>290</v>
      </c>
      <c r="B30" s="31">
        <v>10</v>
      </c>
      <c r="C30" s="31"/>
      <c r="D30" s="37">
        <v>0</v>
      </c>
      <c r="E30" s="37">
        <v>0</v>
      </c>
      <c r="F30" s="37">
        <f>Monitors!$F$32</f>
        <v>8523</v>
      </c>
      <c r="G30" s="31">
        <v>1</v>
      </c>
      <c r="H30" s="31">
        <f>B30*G30</f>
        <v>10</v>
      </c>
      <c r="I30" s="63">
        <f>ROUNDDOWN(Monitors!$F$21/3,0)</f>
        <v>26</v>
      </c>
      <c r="J30" s="64">
        <f>H30*I30</f>
        <v>260</v>
      </c>
      <c r="K30" s="64">
        <f>J30*0.1</f>
        <v>26</v>
      </c>
      <c r="L30" s="64">
        <f>J30*0.05</f>
        <v>13</v>
      </c>
      <c r="M30" s="65"/>
      <c r="N30" s="37">
        <f>(J30*'Base Data'!$C$5)+(K30*'Base Data'!$C$6)+(L30*'Base Data'!$C$7)</f>
        <v>32741.41</v>
      </c>
      <c r="O30" s="37">
        <f>(D30+E30+F30)*G30*I30</f>
        <v>221598</v>
      </c>
      <c r="P30" s="64">
        <v>0</v>
      </c>
      <c r="Q30" s="66" t="s">
        <v>276</v>
      </c>
    </row>
    <row r="31" spans="1:21" s="95" customFormat="1" ht="9" x14ac:dyDescent="0.15">
      <c r="A31" s="90" t="s">
        <v>293</v>
      </c>
      <c r="B31" s="31">
        <v>10</v>
      </c>
      <c r="C31" s="31"/>
      <c r="D31" s="37">
        <v>0</v>
      </c>
      <c r="E31" s="37">
        <v>0</v>
      </c>
      <c r="F31" s="37">
        <f>Monitors!$G$32</f>
        <v>1436</v>
      </c>
      <c r="G31" s="31">
        <v>1</v>
      </c>
      <c r="H31" s="31">
        <f>B31*G31</f>
        <v>10</v>
      </c>
      <c r="I31" s="63">
        <v>0</v>
      </c>
      <c r="J31" s="64">
        <f>H31*I31</f>
        <v>0</v>
      </c>
      <c r="K31" s="64">
        <f>J31*0.1</f>
        <v>0</v>
      </c>
      <c r="L31" s="64">
        <f>J31*0.05</f>
        <v>0</v>
      </c>
      <c r="M31" s="65"/>
      <c r="N31" s="37">
        <f>(J31*'Base Data'!$C$5)+(K31*'Base Data'!$C$6)+(L31*'Base Data'!$C$7)</f>
        <v>0</v>
      </c>
      <c r="O31" s="37">
        <f>(D31+E31+F31)*G31*I31</f>
        <v>0</v>
      </c>
      <c r="P31" s="64">
        <v>0</v>
      </c>
      <c r="Q31" s="66" t="s">
        <v>276</v>
      </c>
    </row>
    <row r="32" spans="1:21" s="95" customFormat="1" ht="18" x14ac:dyDescent="0.15">
      <c r="A32" s="91" t="s">
        <v>145</v>
      </c>
      <c r="B32" s="31"/>
      <c r="C32" s="31"/>
      <c r="D32" s="37"/>
      <c r="E32" s="37"/>
      <c r="F32" s="365"/>
      <c r="G32" s="31"/>
      <c r="H32" s="31"/>
      <c r="I32" s="63"/>
      <c r="J32" s="64"/>
      <c r="K32" s="64"/>
      <c r="L32" s="64"/>
      <c r="M32" s="65"/>
      <c r="N32" s="37"/>
      <c r="O32" s="37"/>
      <c r="P32" s="64"/>
      <c r="Q32" s="66"/>
      <c r="U32" s="119"/>
    </row>
    <row r="33" spans="1:21" s="95" customFormat="1" ht="9" x14ac:dyDescent="0.15">
      <c r="A33" s="90" t="s">
        <v>290</v>
      </c>
      <c r="B33" s="31">
        <v>10</v>
      </c>
      <c r="C33" s="31"/>
      <c r="D33" s="37">
        <v>0</v>
      </c>
      <c r="E33" s="37">
        <v>0</v>
      </c>
      <c r="F33" s="37">
        <v>24300</v>
      </c>
      <c r="G33" s="31">
        <v>1</v>
      </c>
      <c r="H33" s="31">
        <f>B33*G33</f>
        <v>10</v>
      </c>
      <c r="I33" s="63">
        <v>0</v>
      </c>
      <c r="J33" s="64">
        <f>H33*I33</f>
        <v>0</v>
      </c>
      <c r="K33" s="64">
        <f>J33*0.1</f>
        <v>0</v>
      </c>
      <c r="L33" s="64">
        <f>J33*0.05</f>
        <v>0</v>
      </c>
      <c r="M33" s="65"/>
      <c r="N33" s="37">
        <f>(J33*'Base Data'!$C$5)+(K33*'Base Data'!$C$6)+(L33*'Base Data'!$C$7)</f>
        <v>0</v>
      </c>
      <c r="O33" s="37">
        <f>(D33+E33+F33)*G33*I33</f>
        <v>0</v>
      </c>
      <c r="P33" s="64">
        <f>G33*I33</f>
        <v>0</v>
      </c>
      <c r="Q33" s="66" t="s">
        <v>276</v>
      </c>
      <c r="U33" s="119"/>
    </row>
    <row r="34" spans="1:21" s="95" customFormat="1" ht="9" x14ac:dyDescent="0.15">
      <c r="A34" s="90" t="s">
        <v>293</v>
      </c>
      <c r="B34" s="31">
        <v>10</v>
      </c>
      <c r="C34" s="31"/>
      <c r="D34" s="37">
        <v>0</v>
      </c>
      <c r="E34" s="37">
        <v>0</v>
      </c>
      <c r="F34" s="37">
        <v>5600</v>
      </c>
      <c r="G34" s="31">
        <v>1</v>
      </c>
      <c r="H34" s="31">
        <f>B34*G34</f>
        <v>10</v>
      </c>
      <c r="I34" s="63">
        <v>0</v>
      </c>
      <c r="J34" s="64">
        <f>H34*I34</f>
        <v>0</v>
      </c>
      <c r="K34" s="64">
        <f>J34*0.1</f>
        <v>0</v>
      </c>
      <c r="L34" s="64">
        <f>J34*0.05</f>
        <v>0</v>
      </c>
      <c r="M34" s="65"/>
      <c r="N34" s="37">
        <f>(J34*'Base Data'!$C$5)+(K34*'Base Data'!$C$6)+(L34*'Base Data'!$C$7)</f>
        <v>0</v>
      </c>
      <c r="O34" s="37">
        <f>(D34+E34+F34)*G34*I34</f>
        <v>0</v>
      </c>
      <c r="P34" s="64">
        <f>G34*I34</f>
        <v>0</v>
      </c>
      <c r="Q34" s="66" t="s">
        <v>276</v>
      </c>
      <c r="U34" s="119"/>
    </row>
    <row r="35" spans="1:21" s="95" customFormat="1" ht="18" x14ac:dyDescent="0.15">
      <c r="A35" s="91" t="s">
        <v>348</v>
      </c>
      <c r="B35" s="31"/>
      <c r="C35" s="31"/>
      <c r="D35" s="37"/>
      <c r="E35" s="37"/>
      <c r="F35" s="37"/>
      <c r="G35" s="31"/>
      <c r="H35" s="31"/>
      <c r="I35" s="63"/>
      <c r="J35" s="64"/>
      <c r="K35" s="64"/>
      <c r="L35" s="64"/>
      <c r="M35" s="65"/>
      <c r="N35" s="37"/>
      <c r="O35" s="138"/>
      <c r="P35" s="64"/>
      <c r="Q35" s="66"/>
      <c r="U35" s="119"/>
    </row>
    <row r="36" spans="1:21" s="95" customFormat="1" ht="9" x14ac:dyDescent="0.15">
      <c r="A36" s="90" t="s">
        <v>290</v>
      </c>
      <c r="B36" s="31">
        <v>10</v>
      </c>
      <c r="C36" s="31"/>
      <c r="D36" s="37">
        <v>0</v>
      </c>
      <c r="E36" s="37">
        <v>0</v>
      </c>
      <c r="F36" s="37">
        <f>25500</f>
        <v>25500</v>
      </c>
      <c r="G36" s="31">
        <v>1</v>
      </c>
      <c r="H36" s="31">
        <f>B36*G36</f>
        <v>10</v>
      </c>
      <c r="I36" s="63">
        <f>ROUNDDOWN(Monitors!$B$21/3,0)</f>
        <v>26</v>
      </c>
      <c r="J36" s="64">
        <f>H36*I36</f>
        <v>260</v>
      </c>
      <c r="K36" s="64">
        <f>J36*0.1</f>
        <v>26</v>
      </c>
      <c r="L36" s="64">
        <f>J36*0.05</f>
        <v>13</v>
      </c>
      <c r="M36" s="65"/>
      <c r="N36" s="37">
        <f>(J36*'Base Data'!$C$5)+(K36*'Base Data'!$C$6)+(L36*'Base Data'!$C$7)</f>
        <v>32741.41</v>
      </c>
      <c r="O36" s="37">
        <f>(D36+E36+F36)*G36*I36</f>
        <v>663000</v>
      </c>
      <c r="P36" s="64">
        <v>0</v>
      </c>
      <c r="Q36" s="66" t="s">
        <v>276</v>
      </c>
      <c r="U36" s="119"/>
    </row>
    <row r="37" spans="1:21" s="95" customFormat="1" ht="9" x14ac:dyDescent="0.15">
      <c r="A37" s="90" t="s">
        <v>293</v>
      </c>
      <c r="B37" s="31">
        <v>10</v>
      </c>
      <c r="C37" s="31"/>
      <c r="D37" s="37">
        <v>0</v>
      </c>
      <c r="E37" s="37">
        <v>0</v>
      </c>
      <c r="F37" s="37">
        <v>9700</v>
      </c>
      <c r="G37" s="31">
        <v>1</v>
      </c>
      <c r="H37" s="31">
        <f>B37*G37</f>
        <v>10</v>
      </c>
      <c r="I37" s="63">
        <v>0</v>
      </c>
      <c r="J37" s="64">
        <f>H37*I37</f>
        <v>0</v>
      </c>
      <c r="K37" s="64">
        <f>J37*0.1</f>
        <v>0</v>
      </c>
      <c r="L37" s="64">
        <f>J37*0.05</f>
        <v>0</v>
      </c>
      <c r="M37" s="65"/>
      <c r="N37" s="37">
        <f>(J37*'Base Data'!$C$5)+(K37*'Base Data'!$C$6)+(L37*'Base Data'!$C$7)</f>
        <v>0</v>
      </c>
      <c r="O37" s="37">
        <f>(D37+E37+F37)*G37*I37</f>
        <v>0</v>
      </c>
      <c r="P37" s="64">
        <v>0</v>
      </c>
      <c r="Q37" s="66" t="s">
        <v>276</v>
      </c>
      <c r="U37" s="119"/>
    </row>
    <row r="38" spans="1:21" s="95" customFormat="1" ht="18" x14ac:dyDescent="0.15">
      <c r="A38" s="91" t="s">
        <v>146</v>
      </c>
      <c r="B38" s="31"/>
      <c r="C38" s="31"/>
      <c r="D38" s="37"/>
      <c r="E38" s="37"/>
      <c r="F38" s="37"/>
      <c r="G38" s="31"/>
      <c r="H38" s="31"/>
      <c r="I38" s="63"/>
      <c r="J38" s="64"/>
      <c r="K38" s="64"/>
      <c r="L38" s="64"/>
      <c r="M38" s="65"/>
      <c r="N38" s="37"/>
      <c r="O38" s="37"/>
      <c r="P38" s="64"/>
      <c r="Q38" s="66"/>
      <c r="U38" s="119"/>
    </row>
    <row r="39" spans="1:21" s="95" customFormat="1" ht="9" x14ac:dyDescent="0.15">
      <c r="A39" s="90" t="s">
        <v>290</v>
      </c>
      <c r="B39" s="31">
        <v>10</v>
      </c>
      <c r="C39" s="31"/>
      <c r="D39" s="37">
        <v>0</v>
      </c>
      <c r="E39" s="37">
        <v>0</v>
      </c>
      <c r="F39" s="37">
        <v>115000</v>
      </c>
      <c r="G39" s="31">
        <v>1</v>
      </c>
      <c r="H39" s="31">
        <f>B39*G39</f>
        <v>10</v>
      </c>
      <c r="I39" s="63">
        <v>0</v>
      </c>
      <c r="J39" s="64">
        <f>H39*I39</f>
        <v>0</v>
      </c>
      <c r="K39" s="64">
        <f>J39*0.1</f>
        <v>0</v>
      </c>
      <c r="L39" s="64">
        <f>J39*0.05</f>
        <v>0</v>
      </c>
      <c r="M39" s="65"/>
      <c r="N39" s="37">
        <f>(J39*'Base Data'!$C$5)+(K39*'Base Data'!$C$6)+(L39*'Base Data'!$C$7)</f>
        <v>0</v>
      </c>
      <c r="O39" s="37">
        <f>(D39+E39+F39)*G39*I39</f>
        <v>0</v>
      </c>
      <c r="P39" s="64">
        <f>G39*I39</f>
        <v>0</v>
      </c>
      <c r="Q39" s="66" t="s">
        <v>276</v>
      </c>
      <c r="U39" s="119"/>
    </row>
    <row r="40" spans="1:21" s="95" customFormat="1" ht="9" x14ac:dyDescent="0.15">
      <c r="A40" s="90" t="s">
        <v>293</v>
      </c>
      <c r="B40" s="31">
        <v>10</v>
      </c>
      <c r="C40" s="31"/>
      <c r="D40" s="37">
        <v>0</v>
      </c>
      <c r="E40" s="37">
        <v>0</v>
      </c>
      <c r="F40" s="37">
        <v>9700</v>
      </c>
      <c r="G40" s="31">
        <v>1</v>
      </c>
      <c r="H40" s="31">
        <f>B40*G40</f>
        <v>10</v>
      </c>
      <c r="I40" s="63">
        <v>0</v>
      </c>
      <c r="J40" s="64">
        <f>H40*I40</f>
        <v>0</v>
      </c>
      <c r="K40" s="64">
        <f>J40*0.1</f>
        <v>0</v>
      </c>
      <c r="L40" s="64">
        <f>J40*0.05</f>
        <v>0</v>
      </c>
      <c r="M40" s="65"/>
      <c r="N40" s="37">
        <f>(J40*'Base Data'!$C$5)+(K40*'Base Data'!$C$6)+(L40*'Base Data'!$C$7)</f>
        <v>0</v>
      </c>
      <c r="O40" s="37">
        <f>(D40+E40+F40)*G40*I40</f>
        <v>0</v>
      </c>
      <c r="P40" s="64">
        <f>G40*I40</f>
        <v>0</v>
      </c>
      <c r="Q40" s="66" t="s">
        <v>276</v>
      </c>
      <c r="U40" s="119"/>
    </row>
    <row r="41" spans="1:21" s="95" customFormat="1" ht="9" x14ac:dyDescent="0.15">
      <c r="A41" s="90" t="s">
        <v>294</v>
      </c>
      <c r="B41" s="31" t="s">
        <v>311</v>
      </c>
      <c r="C41" s="31"/>
      <c r="D41" s="37"/>
      <c r="E41" s="37"/>
      <c r="F41" s="37"/>
      <c r="G41" s="31"/>
      <c r="H41" s="31"/>
      <c r="I41" s="64"/>
      <c r="J41" s="64"/>
      <c r="K41" s="64"/>
      <c r="L41" s="64"/>
      <c r="M41" s="31"/>
      <c r="N41" s="37"/>
      <c r="O41" s="37"/>
      <c r="P41" s="64"/>
      <c r="Q41" s="66"/>
      <c r="U41" s="119"/>
    </row>
    <row r="42" spans="1:21" s="95" customFormat="1" ht="9" x14ac:dyDescent="0.15">
      <c r="A42" s="90" t="s">
        <v>295</v>
      </c>
      <c r="B42" s="31" t="s">
        <v>311</v>
      </c>
      <c r="C42" s="31"/>
      <c r="D42" s="37"/>
      <c r="E42" s="37"/>
      <c r="F42" s="37"/>
      <c r="G42" s="31"/>
      <c r="H42" s="31"/>
      <c r="I42" s="64"/>
      <c r="J42" s="64"/>
      <c r="K42" s="64"/>
      <c r="L42" s="64"/>
      <c r="M42" s="31"/>
      <c r="N42" s="37"/>
      <c r="O42" s="37"/>
      <c r="P42" s="64"/>
      <c r="Q42" s="66"/>
    </row>
    <row r="43" spans="1:21" s="95" customFormat="1" ht="9" x14ac:dyDescent="0.15">
      <c r="A43" s="90" t="s">
        <v>296</v>
      </c>
      <c r="B43" s="31"/>
      <c r="C43" s="31"/>
      <c r="D43" s="37"/>
      <c r="E43" s="37"/>
      <c r="F43" s="37"/>
      <c r="G43" s="31"/>
      <c r="H43" s="31"/>
      <c r="I43" s="64"/>
      <c r="J43" s="64"/>
      <c r="K43" s="64"/>
      <c r="L43" s="64"/>
      <c r="M43" s="31"/>
      <c r="N43" s="37"/>
      <c r="O43" s="37"/>
      <c r="P43" s="64"/>
      <c r="Q43" s="66"/>
    </row>
    <row r="44" spans="1:21" s="95" customFormat="1" ht="9" x14ac:dyDescent="0.15">
      <c r="A44" s="101" t="s">
        <v>312</v>
      </c>
      <c r="B44" s="31">
        <v>2</v>
      </c>
      <c r="C44" s="31"/>
      <c r="D44" s="37">
        <v>0</v>
      </c>
      <c r="E44" s="37">
        <v>0</v>
      </c>
      <c r="F44" s="37">
        <v>0</v>
      </c>
      <c r="G44" s="31">
        <v>1</v>
      </c>
      <c r="H44" s="31">
        <f>B44*G44</f>
        <v>2</v>
      </c>
      <c r="I44" s="63">
        <f>$I$7</f>
        <v>3</v>
      </c>
      <c r="J44" s="64">
        <f>H44*I44</f>
        <v>6</v>
      </c>
      <c r="K44" s="457">
        <f>J44*0.1</f>
        <v>0.60000000000000009</v>
      </c>
      <c r="L44" s="457">
        <f>J44*0.05</f>
        <v>0.30000000000000004</v>
      </c>
      <c r="M44" s="31">
        <f>C44*G44*I44</f>
        <v>0</v>
      </c>
      <c r="N44" s="37">
        <f>(J44*'Base Data'!$C$5)+(K44*'Base Data'!$C$6)+(L44*'Base Data'!$C$7)</f>
        <v>755.57099999999991</v>
      </c>
      <c r="O44" s="37">
        <f>(D44+E44+F44)*G44*I44</f>
        <v>0</v>
      </c>
      <c r="P44" s="64">
        <f>G44*I44</f>
        <v>3</v>
      </c>
      <c r="Q44" s="66" t="s">
        <v>108</v>
      </c>
    </row>
    <row r="45" spans="1:21" s="95" customFormat="1" ht="9" customHeight="1" x14ac:dyDescent="0.15">
      <c r="A45" s="101" t="s">
        <v>273</v>
      </c>
      <c r="B45" s="31">
        <v>8</v>
      </c>
      <c r="C45" s="31"/>
      <c r="D45" s="37">
        <v>0</v>
      </c>
      <c r="E45" s="37">
        <v>0</v>
      </c>
      <c r="F45" s="37">
        <v>0</v>
      </c>
      <c r="G45" s="31">
        <v>1</v>
      </c>
      <c r="H45" s="31">
        <f>B45*G45</f>
        <v>8</v>
      </c>
      <c r="I45" s="63">
        <f>$I$7</f>
        <v>3</v>
      </c>
      <c r="J45" s="64">
        <f>H45*I45</f>
        <v>24</v>
      </c>
      <c r="K45" s="457">
        <f>J45*0.1</f>
        <v>2.4000000000000004</v>
      </c>
      <c r="L45" s="457">
        <f>J45*0.05</f>
        <v>1.2000000000000002</v>
      </c>
      <c r="M45" s="31">
        <f>C45*G45*I45</f>
        <v>0</v>
      </c>
      <c r="N45" s="37">
        <f>(J45*'Base Data'!$C$5)+(K45*'Base Data'!$C$6)+(L45*'Base Data'!$C$7)</f>
        <v>3022.2839999999997</v>
      </c>
      <c r="O45" s="37">
        <f>(D45+E45+F45)*G45*I45</f>
        <v>0</v>
      </c>
      <c r="P45" s="64">
        <f>G45*I45</f>
        <v>3</v>
      </c>
      <c r="Q45" s="66" t="s">
        <v>108</v>
      </c>
    </row>
    <row r="46" spans="1:21" s="95" customFormat="1" ht="9.75" customHeight="1" x14ac:dyDescent="0.15">
      <c r="A46" s="92" t="s">
        <v>357</v>
      </c>
      <c r="B46" s="31">
        <v>20</v>
      </c>
      <c r="C46" s="31">
        <v>0</v>
      </c>
      <c r="D46" s="37">
        <v>0</v>
      </c>
      <c r="E46" s="37">
        <v>0</v>
      </c>
      <c r="F46" s="37">
        <v>0</v>
      </c>
      <c r="G46" s="31">
        <v>2</v>
      </c>
      <c r="H46" s="31">
        <f>B46*G46</f>
        <v>40</v>
      </c>
      <c r="I46" s="63">
        <f>$I$7</f>
        <v>3</v>
      </c>
      <c r="J46" s="64">
        <f>H46*I46</f>
        <v>120</v>
      </c>
      <c r="K46" s="64">
        <f>J46*0.1</f>
        <v>12</v>
      </c>
      <c r="L46" s="64">
        <f>J46*0.05</f>
        <v>6</v>
      </c>
      <c r="M46" s="64">
        <f>C46*G46*I46</f>
        <v>0</v>
      </c>
      <c r="N46" s="37">
        <f>(J46*'Base Data'!$C$5)+(K46*'Base Data'!$C$6)+(L46*'Base Data'!$C$7)</f>
        <v>15111.42</v>
      </c>
      <c r="O46" s="37">
        <f>(D46+E46+F46)*G46*I46</f>
        <v>0</v>
      </c>
      <c r="P46" s="64">
        <f>G46*I46</f>
        <v>6</v>
      </c>
      <c r="Q46" s="66" t="s">
        <v>108</v>
      </c>
      <c r="R46" s="108"/>
    </row>
    <row r="47" spans="1:21" s="95" customFormat="1" ht="9" hidden="1" x14ac:dyDescent="0.15">
      <c r="A47" s="560" t="s">
        <v>419</v>
      </c>
      <c r="B47" s="561">
        <v>30</v>
      </c>
      <c r="C47" s="561"/>
      <c r="D47" s="562">
        <v>0</v>
      </c>
      <c r="E47" s="562">
        <v>0</v>
      </c>
      <c r="F47" s="562">
        <v>0</v>
      </c>
      <c r="G47" s="561">
        <v>1</v>
      </c>
      <c r="H47" s="561">
        <f>B47*G47</f>
        <v>30</v>
      </c>
      <c r="I47" s="563">
        <v>0</v>
      </c>
      <c r="J47" s="564">
        <f>H47*I47</f>
        <v>0</v>
      </c>
      <c r="K47" s="564">
        <f>J47*0.1</f>
        <v>0</v>
      </c>
      <c r="L47" s="564">
        <f>J47*0.05</f>
        <v>0</v>
      </c>
      <c r="M47" s="564">
        <f>C47*G47*I47</f>
        <v>0</v>
      </c>
      <c r="N47" s="562">
        <f>(J47*'Base Data'!$C$5)+(K47*'Base Data'!$C$6)+(L47*'Base Data'!$C$7)</f>
        <v>0</v>
      </c>
      <c r="O47" s="562">
        <f>(D47+E47+F47)*G47*I47</f>
        <v>0</v>
      </c>
      <c r="P47" s="564">
        <f>G47*I47</f>
        <v>0</v>
      </c>
      <c r="Q47" s="565" t="s">
        <v>74</v>
      </c>
      <c r="R47" s="108"/>
      <c r="T47" s="250" t="s">
        <v>631</v>
      </c>
    </row>
    <row r="48" spans="1:21" s="95" customFormat="1" ht="8.1" hidden="1" customHeight="1" x14ac:dyDescent="0.15">
      <c r="A48" s="92"/>
      <c r="B48" s="31"/>
      <c r="C48" s="31"/>
      <c r="D48" s="37"/>
      <c r="E48" s="37"/>
      <c r="F48" s="37"/>
      <c r="G48" s="31"/>
      <c r="H48" s="31"/>
      <c r="I48" s="63"/>
      <c r="J48" s="367">
        <f>SUM(J7:J47)</f>
        <v>3354</v>
      </c>
      <c r="K48" s="367">
        <f>SUM(K7:K47)</f>
        <v>335.40000000000003</v>
      </c>
      <c r="L48" s="367">
        <f>SUM(L7:L47)</f>
        <v>167.70000000000002</v>
      </c>
      <c r="M48" s="64"/>
      <c r="N48" s="37"/>
      <c r="O48" s="37"/>
      <c r="P48" s="64"/>
      <c r="Q48" s="66"/>
      <c r="R48" s="108"/>
    </row>
    <row r="49" spans="1:19" s="371" customFormat="1" ht="9" x14ac:dyDescent="0.15">
      <c r="A49" s="362" t="s">
        <v>4</v>
      </c>
      <c r="B49" s="364"/>
      <c r="C49" s="364"/>
      <c r="D49" s="365"/>
      <c r="E49" s="365"/>
      <c r="F49" s="365"/>
      <c r="G49" s="364"/>
      <c r="H49" s="364"/>
      <c r="I49" s="366"/>
      <c r="J49" s="727">
        <f>J48+K48+L48</f>
        <v>3857.1</v>
      </c>
      <c r="K49" s="750"/>
      <c r="L49" s="751"/>
      <c r="M49" s="367">
        <f>SUM(M7:M46)</f>
        <v>0</v>
      </c>
      <c r="N49" s="365">
        <f>SUM(N7:N46)</f>
        <v>422364.1889999999</v>
      </c>
      <c r="O49" s="365">
        <f>SUM(O7:O46)</f>
        <v>3223948</v>
      </c>
      <c r="P49" s="367">
        <f>SUM(P7:P47)</f>
        <v>12</v>
      </c>
      <c r="Q49" s="368"/>
      <c r="R49" s="369">
        <f>SUM(O7,O9:O20,O25,O28,O31,O34,O37,O40)</f>
        <v>1218750</v>
      </c>
      <c r="S49" s="370">
        <f>SUM(O24,O27,O30,O33,O36,O39)</f>
        <v>2005198</v>
      </c>
    </row>
    <row r="50" spans="1:19" s="95" customFormat="1" ht="9" x14ac:dyDescent="0.15">
      <c r="A50" s="90" t="s">
        <v>309</v>
      </c>
      <c r="B50" s="31"/>
      <c r="C50" s="31"/>
      <c r="D50" s="37"/>
      <c r="E50" s="37"/>
      <c r="F50" s="37"/>
      <c r="G50" s="31"/>
      <c r="H50" s="31"/>
      <c r="I50" s="64"/>
      <c r="J50" s="64"/>
      <c r="K50" s="64"/>
      <c r="L50" s="64"/>
      <c r="M50" s="31"/>
      <c r="N50" s="37"/>
      <c r="O50" s="37"/>
      <c r="P50" s="64"/>
      <c r="Q50" s="66"/>
    </row>
    <row r="51" spans="1:19" s="95" customFormat="1" ht="9" x14ac:dyDescent="0.15">
      <c r="A51" s="91" t="s">
        <v>287</v>
      </c>
      <c r="B51" s="31" t="s">
        <v>301</v>
      </c>
      <c r="C51" s="31"/>
      <c r="D51" s="37"/>
      <c r="E51" s="37"/>
      <c r="F51" s="37"/>
      <c r="G51" s="31"/>
      <c r="H51" s="31"/>
      <c r="I51" s="64"/>
      <c r="J51" s="64"/>
      <c r="K51" s="64"/>
      <c r="L51" s="64"/>
      <c r="M51" s="31"/>
      <c r="N51" s="37"/>
      <c r="O51" s="37"/>
      <c r="P51" s="64"/>
      <c r="Q51" s="66"/>
    </row>
    <row r="52" spans="1:19" s="95" customFormat="1" ht="9" x14ac:dyDescent="0.15">
      <c r="A52" s="90" t="s">
        <v>298</v>
      </c>
      <c r="B52" s="31" t="s">
        <v>311</v>
      </c>
      <c r="C52" s="31"/>
      <c r="D52" s="37"/>
      <c r="E52" s="37"/>
      <c r="F52" s="37"/>
      <c r="G52" s="31"/>
      <c r="H52" s="31"/>
      <c r="I52" s="64"/>
      <c r="J52" s="64"/>
      <c r="K52" s="64"/>
      <c r="L52" s="64"/>
      <c r="M52" s="31"/>
      <c r="N52" s="37"/>
      <c r="O52" s="37"/>
      <c r="P52" s="64"/>
      <c r="Q52" s="66"/>
    </row>
    <row r="53" spans="1:19" s="95" customFormat="1" ht="9" x14ac:dyDescent="0.15">
      <c r="A53" s="90" t="s">
        <v>299</v>
      </c>
      <c r="B53" s="31" t="s">
        <v>311</v>
      </c>
      <c r="C53" s="31"/>
      <c r="D53" s="37"/>
      <c r="E53" s="37"/>
      <c r="F53" s="37"/>
      <c r="G53" s="31"/>
      <c r="H53" s="31"/>
      <c r="I53" s="64"/>
      <c r="J53" s="64"/>
      <c r="K53" s="64"/>
      <c r="L53" s="64"/>
      <c r="M53" s="31"/>
      <c r="N53" s="37"/>
      <c r="O53" s="37"/>
      <c r="P53" s="64"/>
      <c r="Q53" s="66" t="s">
        <v>277</v>
      </c>
    </row>
    <row r="54" spans="1:19" s="95" customFormat="1" ht="9" x14ac:dyDescent="0.15">
      <c r="A54" s="90" t="s">
        <v>300</v>
      </c>
      <c r="B54" s="31"/>
      <c r="C54" s="31"/>
      <c r="D54" s="37"/>
      <c r="E54" s="37"/>
      <c r="F54" s="37"/>
      <c r="G54" s="31"/>
      <c r="H54" s="31"/>
      <c r="I54" s="64"/>
      <c r="J54" s="64"/>
      <c r="K54" s="64"/>
      <c r="L54" s="64"/>
      <c r="M54" s="31"/>
      <c r="N54" s="37"/>
      <c r="O54" s="37"/>
      <c r="P54" s="64"/>
      <c r="Q54" s="66"/>
    </row>
    <row r="55" spans="1:19" s="95" customFormat="1" ht="9.75" customHeight="1" x14ac:dyDescent="0.15">
      <c r="A55" s="90" t="s">
        <v>307</v>
      </c>
      <c r="B55" s="31">
        <v>20</v>
      </c>
      <c r="C55" s="31"/>
      <c r="D55" s="37">
        <v>0</v>
      </c>
      <c r="E55" s="37">
        <v>0</v>
      </c>
      <c r="F55" s="37">
        <v>0</v>
      </c>
      <c r="G55" s="31">
        <v>1</v>
      </c>
      <c r="H55" s="31">
        <f t="shared" ref="H55:H61" si="5">B55*G55</f>
        <v>20</v>
      </c>
      <c r="I55" s="63">
        <f t="shared" ref="I55:I60" si="6">$I$9</f>
        <v>26</v>
      </c>
      <c r="J55" s="64">
        <f t="shared" ref="J55:J61" si="7">H55*I55</f>
        <v>520</v>
      </c>
      <c r="K55" s="64">
        <f t="shared" ref="K55:K61" si="8">J55*0.1</f>
        <v>52</v>
      </c>
      <c r="L55" s="64">
        <f t="shared" ref="L55:L61" si="9">J55*0.05</f>
        <v>26</v>
      </c>
      <c r="M55" s="31"/>
      <c r="N55" s="37">
        <f>(J55*'Base Data'!$C$5)+(K55*'Base Data'!$C$6)+(L55*'Base Data'!$C$7)</f>
        <v>65482.82</v>
      </c>
      <c r="O55" s="37">
        <f t="shared" ref="O55:O61" si="10">(D55+E55+F55)*G55*I55</f>
        <v>0</v>
      </c>
      <c r="P55" s="64">
        <v>0</v>
      </c>
      <c r="Q55" s="66" t="s">
        <v>276</v>
      </c>
    </row>
    <row r="56" spans="1:19" s="95" customFormat="1" ht="9" x14ac:dyDescent="0.15">
      <c r="A56" s="91" t="s">
        <v>303</v>
      </c>
      <c r="B56" s="31">
        <v>15</v>
      </c>
      <c r="C56" s="31">
        <v>0</v>
      </c>
      <c r="D56" s="37">
        <v>0</v>
      </c>
      <c r="E56" s="37">
        <v>0</v>
      </c>
      <c r="F56" s="37">
        <v>0</v>
      </c>
      <c r="G56" s="31">
        <v>1</v>
      </c>
      <c r="H56" s="31">
        <f t="shared" si="5"/>
        <v>15</v>
      </c>
      <c r="I56" s="63">
        <f t="shared" si="6"/>
        <v>26</v>
      </c>
      <c r="J56" s="64">
        <f t="shared" si="7"/>
        <v>390</v>
      </c>
      <c r="K56" s="64">
        <f t="shared" si="8"/>
        <v>39</v>
      </c>
      <c r="L56" s="64">
        <f t="shared" si="9"/>
        <v>19.5</v>
      </c>
      <c r="M56" s="31">
        <f>C56*G56*I56</f>
        <v>0</v>
      </c>
      <c r="N56" s="37">
        <f>(J56*'Base Data'!$C$5)+(K56*'Base Data'!$C$6)+(L56*'Base Data'!$C$7)</f>
        <v>49112.115000000005</v>
      </c>
      <c r="O56" s="37">
        <f t="shared" si="10"/>
        <v>0</v>
      </c>
      <c r="P56" s="64">
        <v>0</v>
      </c>
      <c r="Q56" s="66" t="s">
        <v>730</v>
      </c>
    </row>
    <row r="57" spans="1:19" s="95" customFormat="1" ht="9.75" customHeight="1" x14ac:dyDescent="0.15">
      <c r="A57" s="90" t="s">
        <v>304</v>
      </c>
      <c r="B57" s="31">
        <v>2</v>
      </c>
      <c r="C57" s="31"/>
      <c r="D57" s="37">
        <v>0</v>
      </c>
      <c r="E57" s="37">
        <v>0</v>
      </c>
      <c r="F57" s="37">
        <v>0</v>
      </c>
      <c r="G57" s="31">
        <v>1</v>
      </c>
      <c r="H57" s="31">
        <f t="shared" si="5"/>
        <v>2</v>
      </c>
      <c r="I57" s="63">
        <f t="shared" si="6"/>
        <v>26</v>
      </c>
      <c r="J57" s="64">
        <f t="shared" si="7"/>
        <v>52</v>
      </c>
      <c r="K57" s="457">
        <f t="shared" si="8"/>
        <v>5.2</v>
      </c>
      <c r="L57" s="457">
        <f t="shared" si="9"/>
        <v>2.6</v>
      </c>
      <c r="M57" s="31"/>
      <c r="N57" s="37">
        <f>(J57*'Base Data'!$C$5)+(K57*'Base Data'!$C$6)+(L57*'Base Data'!$C$7)</f>
        <v>6548.2820000000002</v>
      </c>
      <c r="O57" s="37">
        <f t="shared" si="10"/>
        <v>0</v>
      </c>
      <c r="P57" s="64">
        <v>0</v>
      </c>
      <c r="Q57" s="66" t="s">
        <v>276</v>
      </c>
    </row>
    <row r="58" spans="1:19" s="95" customFormat="1" ht="9" x14ac:dyDescent="0.15">
      <c r="A58" s="91" t="s">
        <v>313</v>
      </c>
      <c r="B58" s="31">
        <v>2</v>
      </c>
      <c r="C58" s="31"/>
      <c r="D58" s="37">
        <v>0</v>
      </c>
      <c r="E58" s="37">
        <v>0</v>
      </c>
      <c r="F58" s="37">
        <v>0</v>
      </c>
      <c r="G58" s="31">
        <v>1</v>
      </c>
      <c r="H58" s="31">
        <f t="shared" si="5"/>
        <v>2</v>
      </c>
      <c r="I58" s="63">
        <f t="shared" si="6"/>
        <v>26</v>
      </c>
      <c r="J58" s="64">
        <f t="shared" si="7"/>
        <v>52</v>
      </c>
      <c r="K58" s="457">
        <f t="shared" si="8"/>
        <v>5.2</v>
      </c>
      <c r="L58" s="457">
        <f t="shared" si="9"/>
        <v>2.6</v>
      </c>
      <c r="M58" s="31"/>
      <c r="N58" s="37">
        <f>(J58*'Base Data'!$C$5)+(K58*'Base Data'!$C$6)+(L58*'Base Data'!$C$7)</f>
        <v>6548.2820000000002</v>
      </c>
      <c r="O58" s="37">
        <f t="shared" si="10"/>
        <v>0</v>
      </c>
      <c r="P58" s="64">
        <v>0</v>
      </c>
      <c r="Q58" s="66" t="s">
        <v>276</v>
      </c>
    </row>
    <row r="59" spans="1:19" s="95" customFormat="1" ht="9" x14ac:dyDescent="0.15">
      <c r="A59" s="91" t="s">
        <v>314</v>
      </c>
      <c r="B59" s="31">
        <v>2</v>
      </c>
      <c r="C59" s="31">
        <v>0</v>
      </c>
      <c r="D59" s="37">
        <v>0</v>
      </c>
      <c r="E59" s="37">
        <v>0</v>
      </c>
      <c r="F59" s="37">
        <v>0</v>
      </c>
      <c r="G59" s="31">
        <v>2</v>
      </c>
      <c r="H59" s="31">
        <f t="shared" si="5"/>
        <v>4</v>
      </c>
      <c r="I59" s="63">
        <f t="shared" si="6"/>
        <v>26</v>
      </c>
      <c r="J59" s="64">
        <f t="shared" si="7"/>
        <v>104</v>
      </c>
      <c r="K59" s="457">
        <f t="shared" si="8"/>
        <v>10.4</v>
      </c>
      <c r="L59" s="457">
        <f t="shared" si="9"/>
        <v>5.2</v>
      </c>
      <c r="M59" s="31">
        <f>C59*G59*I59</f>
        <v>0</v>
      </c>
      <c r="N59" s="37">
        <f>(J59*'Base Data'!$C$5)+(K59*'Base Data'!$C$6)+(L59*'Base Data'!$C$7)</f>
        <v>13096.564</v>
      </c>
      <c r="O59" s="37">
        <f t="shared" si="10"/>
        <v>0</v>
      </c>
      <c r="P59" s="64">
        <v>0</v>
      </c>
      <c r="Q59" s="66" t="s">
        <v>276</v>
      </c>
    </row>
    <row r="60" spans="1:19" s="95" customFormat="1" ht="9" x14ac:dyDescent="0.15">
      <c r="A60" s="91" t="s">
        <v>315</v>
      </c>
      <c r="B60" s="31">
        <v>0.5</v>
      </c>
      <c r="C60" s="31"/>
      <c r="D60" s="37">
        <v>0</v>
      </c>
      <c r="E60" s="37">
        <v>0</v>
      </c>
      <c r="F60" s="37">
        <v>0</v>
      </c>
      <c r="G60" s="31">
        <v>12</v>
      </c>
      <c r="H60" s="31">
        <f t="shared" si="5"/>
        <v>6</v>
      </c>
      <c r="I60" s="63">
        <f t="shared" si="6"/>
        <v>26</v>
      </c>
      <c r="J60" s="64">
        <f t="shared" si="7"/>
        <v>156</v>
      </c>
      <c r="K60" s="457">
        <f t="shared" si="8"/>
        <v>15.600000000000001</v>
      </c>
      <c r="L60" s="457">
        <f t="shared" si="9"/>
        <v>7.8000000000000007</v>
      </c>
      <c r="M60" s="31"/>
      <c r="N60" s="37">
        <f>(J60*'Base Data'!$C$5)+(K60*'Base Data'!$C$6)+(L60*'Base Data'!$C$7)</f>
        <v>19644.846000000001</v>
      </c>
      <c r="O60" s="37">
        <f t="shared" si="10"/>
        <v>0</v>
      </c>
      <c r="P60" s="64">
        <v>0</v>
      </c>
      <c r="Q60" s="66" t="s">
        <v>204</v>
      </c>
    </row>
    <row r="61" spans="1:19" s="95" customFormat="1" ht="9" x14ac:dyDescent="0.15">
      <c r="A61" s="90" t="s">
        <v>305</v>
      </c>
      <c r="B61" s="31">
        <v>40</v>
      </c>
      <c r="C61" s="31"/>
      <c r="D61" s="37">
        <v>0</v>
      </c>
      <c r="E61" s="37">
        <v>0</v>
      </c>
      <c r="F61" s="37">
        <v>0</v>
      </c>
      <c r="G61" s="31">
        <v>1</v>
      </c>
      <c r="H61" s="31">
        <f t="shared" si="5"/>
        <v>40</v>
      </c>
      <c r="I61" s="63">
        <f>$I$7</f>
        <v>3</v>
      </c>
      <c r="J61" s="64">
        <f t="shared" si="7"/>
        <v>120</v>
      </c>
      <c r="K61" s="64">
        <f t="shared" si="8"/>
        <v>12</v>
      </c>
      <c r="L61" s="64">
        <f t="shared" si="9"/>
        <v>6</v>
      </c>
      <c r="M61" s="31"/>
      <c r="N61" s="37">
        <f>(J61*'Base Data'!$C$5)+(K61*'Base Data'!$C$6)+(L61*'Base Data'!$C$7)</f>
        <v>15111.42</v>
      </c>
      <c r="O61" s="37">
        <f t="shared" si="10"/>
        <v>0</v>
      </c>
      <c r="P61" s="64">
        <v>0</v>
      </c>
      <c r="Q61" s="66" t="s">
        <v>210</v>
      </c>
    </row>
    <row r="62" spans="1:19" s="95" customFormat="1" ht="9" x14ac:dyDescent="0.15">
      <c r="A62" s="90" t="s">
        <v>306</v>
      </c>
      <c r="B62" s="31" t="s">
        <v>311</v>
      </c>
      <c r="C62" s="31"/>
      <c r="D62" s="37"/>
      <c r="E62" s="37"/>
      <c r="F62" s="37"/>
      <c r="G62" s="31"/>
      <c r="H62" s="31"/>
      <c r="I62" s="64"/>
      <c r="J62" s="64"/>
      <c r="K62" s="64"/>
      <c r="L62" s="64"/>
      <c r="M62" s="31"/>
      <c r="N62" s="37"/>
      <c r="O62" s="37"/>
      <c r="P62" s="64"/>
      <c r="Q62" s="66"/>
    </row>
    <row r="63" spans="1:19" s="95" customFormat="1" ht="9" hidden="1" x14ac:dyDescent="0.15">
      <c r="A63" s="94"/>
      <c r="B63" s="437"/>
      <c r="C63" s="437"/>
      <c r="D63" s="438"/>
      <c r="E63" s="438"/>
      <c r="F63" s="438"/>
      <c r="G63" s="437"/>
      <c r="H63" s="437"/>
      <c r="I63" s="439"/>
      <c r="J63" s="374">
        <f>SUM(J51:J62)</f>
        <v>1394</v>
      </c>
      <c r="K63" s="374">
        <f>SUM(K51:K62)</f>
        <v>139.4</v>
      </c>
      <c r="L63" s="374">
        <f>SUM(L51:L62)</f>
        <v>69.7</v>
      </c>
      <c r="M63" s="437"/>
      <c r="N63" s="438"/>
      <c r="O63" s="438"/>
      <c r="P63" s="439"/>
      <c r="Q63" s="440"/>
    </row>
    <row r="64" spans="1:19" s="371" customFormat="1" ht="9" x14ac:dyDescent="0.15">
      <c r="A64" s="363" t="s">
        <v>23</v>
      </c>
      <c r="B64" s="372"/>
      <c r="C64" s="372"/>
      <c r="D64" s="373"/>
      <c r="E64" s="373"/>
      <c r="F64" s="373"/>
      <c r="G64" s="372"/>
      <c r="H64" s="372"/>
      <c r="I64" s="374"/>
      <c r="J64" s="730">
        <f>J63+K63+L63</f>
        <v>1603.1000000000001</v>
      </c>
      <c r="K64" s="752"/>
      <c r="L64" s="753"/>
      <c r="M64" s="373">
        <f>SUM(M51:M62)</f>
        <v>0</v>
      </c>
      <c r="N64" s="373">
        <f>SUM(N51:N62)</f>
        <v>175544.32900000003</v>
      </c>
      <c r="O64" s="373">
        <f>SUM(O51:O62)</f>
        <v>0</v>
      </c>
      <c r="P64" s="374">
        <f>SUM(P51:P62)</f>
        <v>0</v>
      </c>
      <c r="Q64" s="375"/>
      <c r="R64" s="365">
        <f>SUM(R51:R62)</f>
        <v>0</v>
      </c>
    </row>
    <row r="65" spans="1:18" s="371" customFormat="1" ht="9" hidden="1" x14ac:dyDescent="0.15">
      <c r="A65" s="448"/>
      <c r="B65" s="429"/>
      <c r="C65" s="429"/>
      <c r="D65" s="430"/>
      <c r="E65" s="430"/>
      <c r="F65" s="430"/>
      <c r="G65" s="429"/>
      <c r="H65" s="429"/>
      <c r="I65" s="431"/>
      <c r="J65" s="114">
        <f>J48+J63</f>
        <v>4748</v>
      </c>
      <c r="K65" s="114">
        <f>K48+K63</f>
        <v>474.80000000000007</v>
      </c>
      <c r="L65" s="114">
        <f>L48+L63</f>
        <v>237.40000000000003</v>
      </c>
      <c r="M65" s="430"/>
      <c r="N65" s="430"/>
      <c r="O65" s="430"/>
      <c r="P65" s="431"/>
      <c r="Q65" s="432"/>
      <c r="R65" s="433"/>
    </row>
    <row r="66" spans="1:18" s="109" customFormat="1" x14ac:dyDescent="0.2">
      <c r="A66" s="110" t="s">
        <v>283</v>
      </c>
      <c r="B66" s="111"/>
      <c r="C66" s="111"/>
      <c r="D66" s="111"/>
      <c r="E66" s="111"/>
      <c r="F66" s="112"/>
      <c r="G66" s="111"/>
      <c r="H66" s="111"/>
      <c r="I66" s="441"/>
      <c r="J66" s="739">
        <f>J65+K65+L65</f>
        <v>5460.2</v>
      </c>
      <c r="K66" s="734"/>
      <c r="L66" s="735"/>
      <c r="M66" s="442">
        <f>M49+M64</f>
        <v>0</v>
      </c>
      <c r="N66" s="115">
        <f>N49+N64</f>
        <v>597908.51799999992</v>
      </c>
      <c r="O66" s="115">
        <f>O49+O64</f>
        <v>3223948</v>
      </c>
      <c r="P66" s="114">
        <f>P49+P64</f>
        <v>12</v>
      </c>
      <c r="Q66" s="555"/>
    </row>
    <row r="67" spans="1:18" ht="6" customHeight="1" x14ac:dyDescent="0.2"/>
    <row r="68" spans="1:18" s="271" customFormat="1" ht="9" x14ac:dyDescent="0.15">
      <c r="A68" s="748" t="s">
        <v>519</v>
      </c>
      <c r="B68" s="748"/>
      <c r="C68" s="748"/>
      <c r="D68" s="748"/>
      <c r="E68" s="748"/>
      <c r="F68" s="748"/>
      <c r="G68" s="748"/>
      <c r="H68" s="748"/>
      <c r="I68" s="748"/>
      <c r="J68" s="748"/>
      <c r="K68" s="748"/>
      <c r="L68" s="748"/>
      <c r="M68" s="748"/>
      <c r="N68" s="748"/>
      <c r="O68" s="748"/>
      <c r="P68" s="318"/>
      <c r="Q68" s="264"/>
    </row>
    <row r="69" spans="1:18" s="271" customFormat="1" ht="9" customHeight="1" x14ac:dyDescent="0.2">
      <c r="A69" s="749" t="s">
        <v>456</v>
      </c>
      <c r="B69" s="749"/>
      <c r="C69" s="749"/>
      <c r="D69" s="749"/>
      <c r="E69" s="749"/>
      <c r="F69" s="749"/>
      <c r="G69" s="749"/>
      <c r="H69" s="749"/>
      <c r="I69" s="749"/>
      <c r="J69" s="749"/>
      <c r="K69" s="749"/>
      <c r="L69" s="749"/>
      <c r="M69" s="749"/>
      <c r="N69" s="749"/>
      <c r="O69" s="749"/>
      <c r="P69" s="317"/>
      <c r="Q69" s="264"/>
    </row>
    <row r="70" spans="1:18" s="271" customFormat="1" ht="9" customHeight="1" x14ac:dyDescent="0.2">
      <c r="A70" s="749" t="s">
        <v>457</v>
      </c>
      <c r="B70" s="749"/>
      <c r="C70" s="749"/>
      <c r="D70" s="749"/>
      <c r="E70" s="749"/>
      <c r="F70" s="749"/>
      <c r="G70" s="749"/>
      <c r="H70" s="749"/>
      <c r="I70" s="749"/>
      <c r="J70" s="749"/>
      <c r="K70" s="749"/>
      <c r="L70" s="749"/>
      <c r="M70" s="749"/>
      <c r="N70" s="749"/>
      <c r="O70" s="749"/>
      <c r="P70" s="317"/>
      <c r="Q70" s="264"/>
    </row>
    <row r="71" spans="1:18" s="267" customFormat="1" x14ac:dyDescent="0.2">
      <c r="A71" s="749" t="s">
        <v>458</v>
      </c>
      <c r="B71" s="749"/>
      <c r="C71" s="749"/>
      <c r="D71" s="749"/>
      <c r="E71" s="749"/>
      <c r="F71" s="749"/>
      <c r="G71" s="749"/>
      <c r="H71" s="749"/>
      <c r="I71" s="749"/>
      <c r="J71" s="749"/>
      <c r="K71" s="749"/>
      <c r="L71" s="749"/>
      <c r="M71" s="749"/>
      <c r="N71" s="749"/>
      <c r="O71" s="749"/>
      <c r="P71" s="749"/>
      <c r="Q71" s="749"/>
      <c r="R71" s="271"/>
    </row>
    <row r="72" spans="1:18" s="271" customFormat="1" ht="9" customHeight="1" x14ac:dyDescent="0.2">
      <c r="A72" s="271" t="s">
        <v>460</v>
      </c>
      <c r="B72" s="264"/>
      <c r="C72" s="264"/>
      <c r="D72" s="264"/>
      <c r="E72" s="264"/>
      <c r="F72" s="264"/>
      <c r="G72" s="264"/>
      <c r="H72" s="264"/>
      <c r="I72" s="319"/>
      <c r="J72" s="264"/>
      <c r="K72" s="264"/>
      <c r="L72" s="264"/>
      <c r="M72" s="264"/>
      <c r="N72" s="264"/>
      <c r="O72" s="320"/>
      <c r="P72" s="320"/>
      <c r="Q72" s="264"/>
    </row>
    <row r="73" spans="1:18" s="271" customFormat="1" ht="9" customHeight="1" x14ac:dyDescent="0.2">
      <c r="A73" s="271" t="s">
        <v>778</v>
      </c>
      <c r="B73" s="264"/>
      <c r="C73" s="264"/>
      <c r="D73" s="264"/>
      <c r="E73" s="264"/>
      <c r="F73" s="264"/>
      <c r="G73" s="264"/>
      <c r="H73" s="264"/>
      <c r="I73" s="319"/>
      <c r="J73" s="264"/>
      <c r="K73" s="264"/>
      <c r="L73" s="264"/>
      <c r="M73" s="264"/>
      <c r="N73" s="264"/>
      <c r="O73" s="320"/>
      <c r="P73" s="320"/>
      <c r="Q73" s="264"/>
    </row>
    <row r="74" spans="1:18" s="271" customFormat="1" ht="21.75" customHeight="1" x14ac:dyDescent="0.2">
      <c r="A74" s="749" t="s">
        <v>776</v>
      </c>
      <c r="B74" s="749"/>
      <c r="C74" s="749"/>
      <c r="D74" s="749"/>
      <c r="E74" s="749"/>
      <c r="F74" s="749"/>
      <c r="G74" s="749"/>
      <c r="H74" s="749"/>
      <c r="I74" s="749"/>
      <c r="J74" s="749"/>
      <c r="K74" s="749"/>
      <c r="L74" s="749"/>
      <c r="M74" s="749"/>
      <c r="N74" s="749"/>
      <c r="O74" s="749"/>
      <c r="P74" s="749"/>
      <c r="Q74" s="749"/>
    </row>
    <row r="75" spans="1:18" s="38" customFormat="1" ht="9" x14ac:dyDescent="0.15">
      <c r="A75" s="683" t="s">
        <v>731</v>
      </c>
      <c r="B75" s="683"/>
      <c r="C75" s="683"/>
      <c r="D75" s="683"/>
      <c r="E75" s="683"/>
      <c r="F75" s="683"/>
      <c r="G75" s="683"/>
      <c r="H75" s="683"/>
      <c r="I75" s="683"/>
      <c r="J75" s="683"/>
      <c r="K75" s="683"/>
      <c r="L75" s="683"/>
      <c r="M75" s="683"/>
      <c r="N75" s="683"/>
      <c r="O75" s="121"/>
      <c r="P75" s="121"/>
      <c r="Q75" s="41"/>
    </row>
    <row r="76" spans="1:18" s="38" customFormat="1" ht="9" customHeight="1" x14ac:dyDescent="0.15">
      <c r="A76" s="682" t="s">
        <v>732</v>
      </c>
      <c r="B76" s="682"/>
      <c r="C76" s="682"/>
      <c r="D76" s="682"/>
      <c r="E76" s="682"/>
      <c r="F76" s="682"/>
      <c r="G76" s="682"/>
      <c r="H76" s="682"/>
      <c r="I76" s="682"/>
      <c r="J76" s="682"/>
      <c r="K76" s="682"/>
      <c r="L76" s="682"/>
      <c r="M76" s="682"/>
      <c r="N76" s="682"/>
      <c r="O76" s="682"/>
      <c r="P76" s="682"/>
      <c r="Q76" s="682"/>
    </row>
    <row r="77" spans="1:18" s="38" customFormat="1" ht="9" x14ac:dyDescent="0.15">
      <c r="A77" s="682"/>
      <c r="B77" s="682"/>
      <c r="C77" s="682"/>
      <c r="D77" s="682"/>
      <c r="E77" s="682"/>
      <c r="F77" s="682"/>
      <c r="G77" s="682"/>
      <c r="H77" s="682"/>
      <c r="I77" s="682"/>
      <c r="J77" s="682"/>
      <c r="K77" s="682"/>
      <c r="L77" s="682"/>
      <c r="M77" s="682"/>
      <c r="N77" s="682"/>
      <c r="O77" s="682"/>
      <c r="P77" s="682"/>
      <c r="Q77" s="682"/>
    </row>
    <row r="78" spans="1:18" s="38" customFormat="1" ht="9" x14ac:dyDescent="0.15">
      <c r="A78" s="682"/>
      <c r="B78" s="682"/>
      <c r="C78" s="682"/>
      <c r="D78" s="682"/>
      <c r="E78" s="682"/>
      <c r="F78" s="682"/>
      <c r="G78" s="682"/>
      <c r="H78" s="682"/>
      <c r="I78" s="682"/>
      <c r="J78" s="682"/>
      <c r="K78" s="682"/>
      <c r="L78" s="682"/>
      <c r="M78" s="682"/>
      <c r="N78" s="682"/>
      <c r="O78" s="682"/>
      <c r="P78" s="682"/>
      <c r="Q78" s="682"/>
    </row>
    <row r="79" spans="1:18" s="38" customFormat="1" x14ac:dyDescent="0.2">
      <c r="A79" s="38" t="s">
        <v>664</v>
      </c>
      <c r="B79" s="39"/>
      <c r="C79" s="39"/>
      <c r="D79" s="39"/>
      <c r="E79" s="39"/>
      <c r="F79" s="39"/>
      <c r="G79" s="39"/>
      <c r="H79" s="39"/>
      <c r="I79" s="40"/>
      <c r="J79" s="39"/>
      <c r="K79" s="39"/>
      <c r="L79" s="39"/>
      <c r="M79" s="39"/>
      <c r="N79" s="39"/>
      <c r="O79" s="120"/>
      <c r="P79" s="120"/>
      <c r="Q79" s="39"/>
    </row>
    <row r="80" spans="1:18" s="38" customFormat="1" x14ac:dyDescent="0.2">
      <c r="A80" s="38" t="s">
        <v>661</v>
      </c>
      <c r="B80" s="39"/>
      <c r="C80" s="39"/>
      <c r="D80" s="39"/>
      <c r="E80" s="39"/>
      <c r="F80" s="39"/>
      <c r="G80" s="39"/>
      <c r="H80" s="39"/>
      <c r="I80" s="40"/>
      <c r="J80" s="39"/>
      <c r="K80" s="39"/>
      <c r="L80" s="39"/>
      <c r="M80" s="39"/>
      <c r="N80" s="39"/>
      <c r="O80" s="120"/>
      <c r="P80" s="120"/>
      <c r="Q80" s="39"/>
    </row>
    <row r="81" spans="2:17" s="38" customFormat="1" ht="9" x14ac:dyDescent="0.15">
      <c r="B81" s="41"/>
      <c r="C81" s="41"/>
      <c r="D81" s="41"/>
      <c r="E81" s="41"/>
      <c r="F81" s="41"/>
      <c r="G81" s="41"/>
      <c r="H81" s="41"/>
      <c r="I81" s="42"/>
      <c r="J81" s="41"/>
      <c r="K81" s="41"/>
      <c r="L81" s="41"/>
      <c r="M81" s="41"/>
      <c r="N81" s="41"/>
      <c r="O81" s="121"/>
      <c r="P81" s="121"/>
      <c r="Q81" s="41"/>
    </row>
    <row r="82" spans="2:17" s="38" customFormat="1" ht="9" x14ac:dyDescent="0.15">
      <c r="B82" s="41"/>
      <c r="C82" s="41"/>
      <c r="D82" s="41"/>
      <c r="E82" s="41"/>
      <c r="F82" s="41"/>
      <c r="G82" s="41"/>
      <c r="H82" s="41"/>
      <c r="I82" s="42"/>
      <c r="J82" s="41"/>
      <c r="K82" s="41"/>
      <c r="L82" s="41"/>
      <c r="M82" s="41"/>
      <c r="N82" s="41"/>
      <c r="O82" s="121"/>
      <c r="P82" s="121"/>
      <c r="Q82" s="41"/>
    </row>
    <row r="83" spans="2:17" s="38" customFormat="1" ht="9" x14ac:dyDescent="0.15">
      <c r="B83" s="41"/>
      <c r="C83" s="41"/>
      <c r="D83" s="41"/>
      <c r="E83" s="41"/>
      <c r="F83" s="41"/>
      <c r="G83" s="41"/>
      <c r="H83" s="41"/>
      <c r="I83" s="42"/>
      <c r="J83" s="41"/>
      <c r="K83" s="41"/>
      <c r="L83" s="41"/>
      <c r="M83" s="41"/>
      <c r="N83" s="41"/>
      <c r="O83" s="121"/>
      <c r="P83" s="121"/>
      <c r="Q83" s="41"/>
    </row>
    <row r="84" spans="2:17" s="38" customFormat="1" ht="9" x14ac:dyDescent="0.15">
      <c r="B84" s="41"/>
      <c r="C84" s="41"/>
      <c r="D84" s="41"/>
      <c r="E84" s="41"/>
      <c r="F84" s="41"/>
      <c r="G84" s="41"/>
      <c r="H84" s="41"/>
      <c r="I84" s="42"/>
      <c r="J84" s="41"/>
      <c r="K84" s="41"/>
      <c r="L84" s="41"/>
      <c r="M84" s="41"/>
      <c r="N84" s="41"/>
      <c r="O84" s="121"/>
      <c r="P84" s="121"/>
      <c r="Q84" s="41"/>
    </row>
    <row r="85" spans="2:17" s="38" customFormat="1" ht="9" x14ac:dyDescent="0.15">
      <c r="B85" s="41"/>
      <c r="C85" s="41"/>
      <c r="D85" s="41"/>
      <c r="E85" s="41"/>
      <c r="F85" s="41"/>
      <c r="G85" s="41"/>
      <c r="H85" s="41"/>
      <c r="I85" s="42"/>
      <c r="J85" s="41"/>
      <c r="K85" s="41"/>
      <c r="L85" s="41"/>
      <c r="M85" s="41"/>
      <c r="N85" s="41"/>
      <c r="O85" s="121"/>
      <c r="P85" s="121"/>
      <c r="Q85" s="41"/>
    </row>
    <row r="86" spans="2:17" s="38" customFormat="1" ht="9" x14ac:dyDescent="0.15">
      <c r="B86" s="41"/>
      <c r="C86" s="41"/>
      <c r="D86" s="41"/>
      <c r="E86" s="41"/>
      <c r="F86" s="41"/>
      <c r="G86" s="41"/>
      <c r="H86" s="41"/>
      <c r="I86" s="42"/>
      <c r="J86" s="41"/>
      <c r="K86" s="41"/>
      <c r="L86" s="41"/>
      <c r="M86" s="41"/>
      <c r="N86" s="41"/>
      <c r="O86" s="121"/>
      <c r="P86" s="121"/>
      <c r="Q86" s="41"/>
    </row>
    <row r="87" spans="2:17" s="38" customFormat="1" ht="9" x14ac:dyDescent="0.15">
      <c r="B87" s="41"/>
      <c r="C87" s="41"/>
      <c r="D87" s="41"/>
      <c r="E87" s="41"/>
      <c r="F87" s="41"/>
      <c r="G87" s="41"/>
      <c r="H87" s="41"/>
      <c r="I87" s="42"/>
      <c r="J87" s="41"/>
      <c r="K87" s="41"/>
      <c r="L87" s="41"/>
      <c r="M87" s="41"/>
      <c r="N87" s="41"/>
      <c r="O87" s="121"/>
      <c r="P87" s="121"/>
      <c r="Q87" s="41"/>
    </row>
    <row r="88" spans="2:17" s="38" customFormat="1" ht="9" x14ac:dyDescent="0.15">
      <c r="B88" s="41"/>
      <c r="C88" s="41"/>
      <c r="D88" s="41"/>
      <c r="E88" s="41"/>
      <c r="F88" s="41"/>
      <c r="G88" s="41"/>
      <c r="H88" s="41"/>
      <c r="I88" s="42"/>
      <c r="J88" s="41"/>
      <c r="K88" s="41"/>
      <c r="L88" s="41"/>
      <c r="M88" s="41"/>
      <c r="N88" s="41"/>
      <c r="O88" s="121"/>
      <c r="P88" s="121"/>
      <c r="Q88" s="41"/>
    </row>
    <row r="89" spans="2:17" s="38" customFormat="1" ht="9" x14ac:dyDescent="0.15">
      <c r="B89" s="41"/>
      <c r="C89" s="41"/>
      <c r="D89" s="41"/>
      <c r="E89" s="41"/>
      <c r="F89" s="41"/>
      <c r="G89" s="41"/>
      <c r="H89" s="41"/>
      <c r="I89" s="42"/>
      <c r="J89" s="41"/>
      <c r="K89" s="41"/>
      <c r="L89" s="41"/>
      <c r="M89" s="41"/>
      <c r="N89" s="41"/>
      <c r="O89" s="121"/>
      <c r="P89" s="121"/>
      <c r="Q89" s="41"/>
    </row>
    <row r="90" spans="2:17" s="38" customFormat="1" ht="9" x14ac:dyDescent="0.15">
      <c r="B90" s="41"/>
      <c r="C90" s="41"/>
      <c r="D90" s="41"/>
      <c r="E90" s="41"/>
      <c r="F90" s="41"/>
      <c r="G90" s="41"/>
      <c r="H90" s="41"/>
      <c r="I90" s="42"/>
      <c r="J90" s="41"/>
      <c r="K90" s="41"/>
      <c r="L90" s="41"/>
      <c r="M90" s="41"/>
      <c r="N90" s="41"/>
      <c r="O90" s="121"/>
      <c r="P90" s="121"/>
      <c r="Q90" s="41"/>
    </row>
    <row r="91" spans="2:17" s="38" customFormat="1" ht="9" x14ac:dyDescent="0.15">
      <c r="B91" s="41"/>
      <c r="C91" s="41"/>
      <c r="D91" s="41"/>
      <c r="E91" s="41"/>
      <c r="F91" s="41"/>
      <c r="G91" s="41"/>
      <c r="H91" s="41"/>
      <c r="I91" s="42"/>
      <c r="J91" s="41"/>
      <c r="K91" s="41"/>
      <c r="L91" s="41"/>
      <c r="M91" s="41"/>
      <c r="N91" s="41"/>
      <c r="O91" s="121"/>
      <c r="P91" s="121"/>
      <c r="Q91" s="41"/>
    </row>
    <row r="92" spans="2:17" s="38" customFormat="1" ht="9" x14ac:dyDescent="0.15">
      <c r="B92" s="41"/>
      <c r="C92" s="41"/>
      <c r="D92" s="41"/>
      <c r="E92" s="41"/>
      <c r="F92" s="41"/>
      <c r="G92" s="41"/>
      <c r="H92" s="41"/>
      <c r="I92" s="42"/>
      <c r="J92" s="41"/>
      <c r="K92" s="41"/>
      <c r="L92" s="41"/>
      <c r="M92" s="41"/>
      <c r="N92" s="41"/>
      <c r="O92" s="121"/>
      <c r="P92" s="121"/>
      <c r="Q92" s="41"/>
    </row>
    <row r="93" spans="2:17" s="38" customFormat="1" ht="9" x14ac:dyDescent="0.15">
      <c r="B93" s="41"/>
      <c r="C93" s="41"/>
      <c r="D93" s="41"/>
      <c r="E93" s="41"/>
      <c r="F93" s="41"/>
      <c r="G93" s="41"/>
      <c r="H93" s="41"/>
      <c r="I93" s="42"/>
      <c r="J93" s="41"/>
      <c r="K93" s="41"/>
      <c r="L93" s="41"/>
      <c r="M93" s="41"/>
      <c r="N93" s="41"/>
      <c r="O93" s="121"/>
      <c r="P93" s="121"/>
      <c r="Q93" s="41"/>
    </row>
    <row r="94" spans="2:17" s="38" customFormat="1" ht="9" x14ac:dyDescent="0.15">
      <c r="B94" s="41"/>
      <c r="C94" s="41"/>
      <c r="D94" s="41"/>
      <c r="E94" s="41"/>
      <c r="F94" s="41"/>
      <c r="G94" s="41"/>
      <c r="H94" s="41"/>
      <c r="I94" s="42"/>
      <c r="J94" s="41"/>
      <c r="K94" s="41"/>
      <c r="L94" s="41"/>
      <c r="M94" s="41"/>
      <c r="N94" s="41"/>
      <c r="O94" s="121"/>
      <c r="P94" s="121"/>
      <c r="Q94" s="41"/>
    </row>
    <row r="95" spans="2:17" s="38" customFormat="1" ht="9" x14ac:dyDescent="0.15">
      <c r="B95" s="41"/>
      <c r="C95" s="41"/>
      <c r="D95" s="41"/>
      <c r="E95" s="41"/>
      <c r="F95" s="41"/>
      <c r="G95" s="41"/>
      <c r="H95" s="41"/>
      <c r="I95" s="42"/>
      <c r="J95" s="41"/>
      <c r="K95" s="41"/>
      <c r="L95" s="41"/>
      <c r="M95" s="41"/>
      <c r="N95" s="41"/>
      <c r="O95" s="121"/>
      <c r="P95" s="121"/>
      <c r="Q95" s="41"/>
    </row>
    <row r="96" spans="2: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x14ac:dyDescent="0.2">
      <c r="P103" s="121"/>
      <c r="Q103" s="41"/>
    </row>
    <row r="104" spans="2:17" x14ac:dyDescent="0.2">
      <c r="P104" s="121"/>
      <c r="Q104" s="41"/>
    </row>
    <row r="105" spans="2:17" x14ac:dyDescent="0.2">
      <c r="Q105" s="41"/>
    </row>
    <row r="106" spans="2:17" x14ac:dyDescent="0.2">
      <c r="Q106" s="41"/>
    </row>
    <row r="107" spans="2:17" x14ac:dyDescent="0.2">
      <c r="Q107" s="41"/>
    </row>
    <row r="108" spans="2:17" x14ac:dyDescent="0.2">
      <c r="Q108" s="41"/>
    </row>
    <row r="109" spans="2:17" x14ac:dyDescent="0.2">
      <c r="Q109" s="41"/>
    </row>
  </sheetData>
  <mergeCells count="12">
    <mergeCell ref="A1:Q1"/>
    <mergeCell ref="A2:Q2"/>
    <mergeCell ref="A68:O68"/>
    <mergeCell ref="A69:O69"/>
    <mergeCell ref="A76:Q78"/>
    <mergeCell ref="A75:N75"/>
    <mergeCell ref="A70:O70"/>
    <mergeCell ref="A71:Q71"/>
    <mergeCell ref="J49:L49"/>
    <mergeCell ref="J66:L66"/>
    <mergeCell ref="J64:L64"/>
    <mergeCell ref="A74:Q74"/>
  </mergeCells>
  <phoneticPr fontId="9" type="noConversion"/>
  <pageMargins left="0.25" right="0.25" top="0.5" bottom="0.25"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5"/>
  <sheetViews>
    <sheetView zoomScale="110" zoomScaleNormal="110" workbookViewId="0">
      <pane xSplit="1" ySplit="3" topLeftCell="B40"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7.85546875" style="39" bestFit="1" customWidth="1"/>
    <col min="9" max="9" width="9.42578125" style="40" bestFit="1" customWidth="1"/>
    <col min="10" max="11" width="6.85546875" style="39" bestFit="1" customWidth="1"/>
    <col min="12" max="12" width="8.5703125" style="39" customWidth="1"/>
    <col min="13" max="13" width="7.85546875" style="39" hidden="1" customWidth="1"/>
    <col min="14" max="14" width="9.140625" style="39" customWidth="1"/>
    <col min="15" max="15" width="10.140625" style="120" bestFit="1" customWidth="1"/>
    <col min="16" max="16" width="10" style="120" bestFit="1" customWidth="1"/>
    <col min="17" max="17" width="3.5703125" style="39" customWidth="1"/>
    <col min="18" max="19" width="9.140625" style="77" hidden="1" customWidth="1"/>
    <col min="20" max="20" width="11.140625" style="77" customWidth="1"/>
    <col min="21" max="21" width="8.5703125" style="77" customWidth="1"/>
    <col min="22" max="16384" width="9.140625" style="77"/>
  </cols>
  <sheetData>
    <row r="1" spans="1:21" x14ac:dyDescent="0.2">
      <c r="A1" s="684" t="s">
        <v>155</v>
      </c>
      <c r="B1" s="684"/>
      <c r="C1" s="684"/>
      <c r="D1" s="684"/>
      <c r="E1" s="684"/>
      <c r="F1" s="684"/>
      <c r="G1" s="684"/>
      <c r="H1" s="684"/>
      <c r="I1" s="684"/>
      <c r="J1" s="684"/>
      <c r="K1" s="684"/>
      <c r="L1" s="684"/>
      <c r="M1" s="684"/>
      <c r="N1" s="684"/>
      <c r="O1" s="684"/>
      <c r="P1" s="684"/>
      <c r="Q1" s="684"/>
    </row>
    <row r="2" spans="1:21" x14ac:dyDescent="0.2">
      <c r="A2" s="685" t="s">
        <v>611</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338</v>
      </c>
      <c r="K3" s="70" t="s">
        <v>339</v>
      </c>
      <c r="L3" s="70" t="s">
        <v>337</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ROUNDUP(SUM('Base Data'!$H$79:$H$81)/3,0)</f>
        <v>0</v>
      </c>
      <c r="J7" s="64">
        <f>H7*I7</f>
        <v>0</v>
      </c>
      <c r="K7" s="64">
        <f>J7*0.1</f>
        <v>0</v>
      </c>
      <c r="L7" s="63">
        <f>J7*0.05</f>
        <v>0</v>
      </c>
      <c r="M7" s="31">
        <f>C7*G7*I7</f>
        <v>0</v>
      </c>
      <c r="N7" s="37">
        <f>(J7*'Base Data'!$C$5)+(K7*'Base Data'!$C$6)+(L7*'Base Data'!$C$7)</f>
        <v>0</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f>ROUNDUP(SUM('Base Data'!$D$79:$D$80)/3,0)</f>
        <v>0</v>
      </c>
      <c r="J9" s="64">
        <f t="shared" ref="J9:J19" si="1">H9*I9</f>
        <v>0</v>
      </c>
      <c r="K9" s="64">
        <f t="shared" ref="K9:K19" si="2">J9*0.1</f>
        <v>0</v>
      </c>
      <c r="L9" s="64">
        <f t="shared" ref="L9:L19" si="3">J9*0.05</f>
        <v>0</v>
      </c>
      <c r="M9" s="65"/>
      <c r="N9" s="37">
        <f>(J9*'Base Data'!$C$5)+(K9*'Base Data'!$C$6)+(L9*'Base Data'!$C$7)</f>
        <v>0</v>
      </c>
      <c r="O9" s="37">
        <f t="shared" ref="O9:O19" si="4">(D9+E9+F9)*G9*I9</f>
        <v>0</v>
      </c>
      <c r="P9" s="64">
        <v>0</v>
      </c>
      <c r="Q9" s="66"/>
      <c r="U9" s="119"/>
    </row>
    <row r="10" spans="1:21" s="95" customFormat="1" ht="9" x14ac:dyDescent="0.15">
      <c r="A10" s="91" t="s">
        <v>109</v>
      </c>
      <c r="B10" s="31">
        <v>12</v>
      </c>
      <c r="C10" s="31"/>
      <c r="D10" s="37">
        <v>0</v>
      </c>
      <c r="E10" s="37">
        <f>'Testing Costs'!$B$17</f>
        <v>8000</v>
      </c>
      <c r="F10" s="37">
        <v>0</v>
      </c>
      <c r="G10" s="31">
        <v>1</v>
      </c>
      <c r="H10" s="31">
        <f t="shared" si="0"/>
        <v>12</v>
      </c>
      <c r="I10" s="63">
        <v>0</v>
      </c>
      <c r="J10" s="64">
        <f t="shared" si="1"/>
        <v>0</v>
      </c>
      <c r="K10" s="64">
        <f t="shared" si="2"/>
        <v>0</v>
      </c>
      <c r="L10" s="64">
        <f t="shared" si="3"/>
        <v>0</v>
      </c>
      <c r="M10" s="65"/>
      <c r="N10" s="37">
        <f>(J10*'Base Data'!$C$5)+(K10*'Base Data'!$C$6)+(L10*'Base Data'!$C$7)</f>
        <v>0</v>
      </c>
      <c r="O10" s="37">
        <f t="shared" si="4"/>
        <v>0</v>
      </c>
      <c r="P10" s="64">
        <v>0</v>
      </c>
      <c r="Q10" s="66"/>
      <c r="U10" s="119"/>
    </row>
    <row r="11" spans="1:21" s="95" customFormat="1" ht="9" x14ac:dyDescent="0.15">
      <c r="A11" s="91" t="s">
        <v>110</v>
      </c>
      <c r="B11" s="31">
        <v>12</v>
      </c>
      <c r="C11" s="31"/>
      <c r="D11" s="37">
        <v>0</v>
      </c>
      <c r="E11" s="37">
        <f>'Testing Costs'!$B$15</f>
        <v>8000</v>
      </c>
      <c r="F11" s="37">
        <v>0</v>
      </c>
      <c r="G11" s="31">
        <v>1</v>
      </c>
      <c r="H11" s="31">
        <f t="shared" si="0"/>
        <v>12</v>
      </c>
      <c r="I11" s="63">
        <v>0</v>
      </c>
      <c r="J11" s="64">
        <f t="shared" si="1"/>
        <v>0</v>
      </c>
      <c r="K11" s="64">
        <f t="shared" si="2"/>
        <v>0</v>
      </c>
      <c r="L11" s="64">
        <f t="shared" si="3"/>
        <v>0</v>
      </c>
      <c r="M11" s="65"/>
      <c r="N11" s="37">
        <f>(J11*'Base Data'!$C$5)+(K11*'Base Data'!$C$6)+(L11*'Base Data'!$C$7)</f>
        <v>0</v>
      </c>
      <c r="O11" s="37">
        <f t="shared" si="4"/>
        <v>0</v>
      </c>
      <c r="P11" s="64">
        <v>0</v>
      </c>
      <c r="Q11" s="66"/>
      <c r="U11" s="119"/>
    </row>
    <row r="12" spans="1:21" s="95" customFormat="1" ht="9" x14ac:dyDescent="0.15">
      <c r="A12" s="91" t="s">
        <v>111</v>
      </c>
      <c r="B12" s="31">
        <v>12</v>
      </c>
      <c r="C12" s="31"/>
      <c r="D12" s="37">
        <v>0</v>
      </c>
      <c r="E12" s="37">
        <f>'Testing Costs'!$B$14</f>
        <v>7000</v>
      </c>
      <c r="F12" s="37">
        <v>0</v>
      </c>
      <c r="G12" s="31">
        <v>1</v>
      </c>
      <c r="H12" s="31">
        <f t="shared" si="0"/>
        <v>12</v>
      </c>
      <c r="I12" s="63">
        <f>ROUNDUP(SUM('Base Data'!$D$79:$D$81)/3,0)</f>
        <v>0</v>
      </c>
      <c r="J12" s="64">
        <f t="shared" si="1"/>
        <v>0</v>
      </c>
      <c r="K12" s="64">
        <f t="shared" si="2"/>
        <v>0</v>
      </c>
      <c r="L12" s="64">
        <f t="shared" si="3"/>
        <v>0</v>
      </c>
      <c r="M12" s="65"/>
      <c r="N12" s="37">
        <f>(J12*'Base Data'!$C$5)+(K12*'Base Data'!$C$6)+(L12*'Base Data'!$C$7)</f>
        <v>0</v>
      </c>
      <c r="O12" s="37">
        <f t="shared" si="4"/>
        <v>0</v>
      </c>
      <c r="P12" s="64">
        <v>0</v>
      </c>
      <c r="Q12" s="66"/>
      <c r="U12" s="119"/>
    </row>
    <row r="13" spans="1:21" s="95" customFormat="1" ht="9" customHeight="1" x14ac:dyDescent="0.15">
      <c r="A13" s="91" t="s">
        <v>439</v>
      </c>
      <c r="B13" s="31">
        <v>12</v>
      </c>
      <c r="C13" s="31"/>
      <c r="D13" s="37">
        <v>0</v>
      </c>
      <c r="E13" s="37">
        <f>'Testing Costs'!$B$13</f>
        <v>5000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c r="U13" s="119"/>
    </row>
    <row r="14" spans="1:21" s="95" customFormat="1" ht="9" x14ac:dyDescent="0.15">
      <c r="A14" s="91" t="s">
        <v>440</v>
      </c>
      <c r="B14" s="31">
        <v>12</v>
      </c>
      <c r="C14" s="31"/>
      <c r="D14" s="37">
        <v>0</v>
      </c>
      <c r="E14" s="37">
        <f>'Testing Costs'!$B$17</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c r="U14" s="119"/>
    </row>
    <row r="15" spans="1:21" s="95" customFormat="1" ht="9" x14ac:dyDescent="0.15">
      <c r="A15" s="91" t="s">
        <v>441</v>
      </c>
      <c r="B15" s="31">
        <v>12</v>
      </c>
      <c r="C15" s="31"/>
      <c r="D15" s="37">
        <v>0</v>
      </c>
      <c r="E15" s="37">
        <f>'Testing Costs'!$B$15</f>
        <v>8000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c r="U15" s="119"/>
    </row>
    <row r="16" spans="1:21" s="95" customFormat="1" ht="9" x14ac:dyDescent="0.15">
      <c r="A16" s="91" t="s">
        <v>442</v>
      </c>
      <c r="B16" s="31">
        <v>12</v>
      </c>
      <c r="C16" s="31"/>
      <c r="D16" s="37">
        <v>0</v>
      </c>
      <c r="E16" s="37">
        <f>'Testing Costs'!$B$14</f>
        <v>7000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c r="U16" s="119"/>
    </row>
    <row r="17" spans="1:21" s="95" customFormat="1" ht="18" x14ac:dyDescent="0.15">
      <c r="A17" s="197" t="s">
        <v>443</v>
      </c>
      <c r="B17" s="31">
        <v>24</v>
      </c>
      <c r="C17" s="196"/>
      <c r="D17" s="37">
        <v>0</v>
      </c>
      <c r="E17" s="37">
        <f>$E$10+$E$11</f>
        <v>16000</v>
      </c>
      <c r="F17" s="37">
        <v>0</v>
      </c>
      <c r="G17" s="31">
        <v>1</v>
      </c>
      <c r="H17" s="31">
        <f t="shared" si="0"/>
        <v>24</v>
      </c>
      <c r="I17" s="63">
        <v>0</v>
      </c>
      <c r="J17" s="64">
        <f t="shared" si="1"/>
        <v>0</v>
      </c>
      <c r="K17" s="64">
        <f t="shared" si="2"/>
        <v>0</v>
      </c>
      <c r="L17" s="64">
        <f t="shared" si="3"/>
        <v>0</v>
      </c>
      <c r="M17" s="65"/>
      <c r="N17" s="37">
        <f>(J17*'Base Data'!$C$5)+(K17*'Base Data'!$C$6)+(L17*'Base Data'!$C$7)</f>
        <v>0</v>
      </c>
      <c r="O17" s="37">
        <f t="shared" si="4"/>
        <v>0</v>
      </c>
      <c r="P17" s="64">
        <v>0</v>
      </c>
      <c r="Q17" s="66"/>
    </row>
    <row r="18" spans="1:21" s="95" customFormat="1" ht="9" customHeight="1" x14ac:dyDescent="0.15">
      <c r="A18" s="91" t="s">
        <v>444</v>
      </c>
      <c r="B18" s="31">
        <v>5</v>
      </c>
      <c r="C18" s="31"/>
      <c r="D18" s="37">
        <v>0</v>
      </c>
      <c r="E18" s="37">
        <v>400</v>
      </c>
      <c r="F18" s="37">
        <v>0</v>
      </c>
      <c r="G18" s="31">
        <v>1</v>
      </c>
      <c r="H18" s="31">
        <f t="shared" si="0"/>
        <v>5</v>
      </c>
      <c r="I18" s="63">
        <f>ROUNDUP(SUM('Base Data'!$D$79:$D$81)/3,0)</f>
        <v>0</v>
      </c>
      <c r="J18" s="64">
        <f t="shared" si="1"/>
        <v>0</v>
      </c>
      <c r="K18" s="64">
        <f t="shared" si="2"/>
        <v>0</v>
      </c>
      <c r="L18" s="64">
        <f t="shared" si="3"/>
        <v>0</v>
      </c>
      <c r="M18" s="65"/>
      <c r="N18" s="37">
        <f>(J18*'Base Data'!$C$5)+(K18*'Base Data'!$C$6)+(L18*'Base Data'!$C$7)</f>
        <v>0</v>
      </c>
      <c r="O18" s="37">
        <f t="shared" si="4"/>
        <v>0</v>
      </c>
      <c r="P18" s="64">
        <v>0</v>
      </c>
      <c r="Q18" s="66"/>
      <c r="U18" s="119"/>
    </row>
    <row r="19" spans="1:21" s="95" customFormat="1" ht="9" customHeight="1" x14ac:dyDescent="0.15">
      <c r="A19" s="91" t="s">
        <v>445</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v>0</v>
      </c>
      <c r="Q19" s="66"/>
      <c r="U19" s="119"/>
    </row>
    <row r="20" spans="1:21" s="95" customFormat="1" ht="9" x14ac:dyDescent="0.15">
      <c r="A20" s="90" t="s">
        <v>446</v>
      </c>
      <c r="B20" s="31">
        <v>12</v>
      </c>
      <c r="C20" s="31"/>
      <c r="D20" s="37">
        <v>0</v>
      </c>
      <c r="E20" s="37">
        <v>2875</v>
      </c>
      <c r="F20" s="37">
        <v>0</v>
      </c>
      <c r="G20" s="31">
        <v>1</v>
      </c>
      <c r="H20" s="31">
        <f>B20*G20</f>
        <v>12</v>
      </c>
      <c r="I20" s="63">
        <v>0</v>
      </c>
      <c r="J20" s="63">
        <f>H20*I20</f>
        <v>0</v>
      </c>
      <c r="K20" s="63">
        <f>J20*0.1</f>
        <v>0</v>
      </c>
      <c r="L20" s="63">
        <f>J20*0.05</f>
        <v>0</v>
      </c>
      <c r="M20" s="64"/>
      <c r="N20" s="37">
        <f>(J20*'Base Data'!$C$5)+(K20*'Base Data'!$C$6)+(L20*'Base Data'!$C$7)</f>
        <v>0</v>
      </c>
      <c r="O20" s="37">
        <f>(D20+E20+F20)*G20*I20</f>
        <v>0</v>
      </c>
      <c r="P20" s="64">
        <v>0</v>
      </c>
      <c r="Q20" s="66"/>
      <c r="R20" s="250"/>
    </row>
    <row r="21" spans="1:21" s="95" customFormat="1" ht="9" x14ac:dyDescent="0.15">
      <c r="A21" s="91" t="s">
        <v>431</v>
      </c>
      <c r="B21" s="31"/>
      <c r="C21" s="31"/>
      <c r="D21" s="37"/>
      <c r="E21" s="37"/>
      <c r="F21" s="37"/>
      <c r="G21" s="31"/>
      <c r="H21" s="31"/>
      <c r="I21" s="64"/>
      <c r="J21" s="64"/>
      <c r="K21" s="64"/>
      <c r="L21" s="64"/>
      <c r="M21" s="65"/>
      <c r="N21" s="37"/>
      <c r="O21" s="37"/>
      <c r="P21" s="64"/>
      <c r="Q21" s="66"/>
      <c r="U21" s="119"/>
    </row>
    <row r="22" spans="1:21" s="95" customFormat="1" ht="9" x14ac:dyDescent="0.15">
      <c r="A22" s="91" t="s">
        <v>310</v>
      </c>
      <c r="B22" s="31">
        <v>40</v>
      </c>
      <c r="C22" s="31"/>
      <c r="D22" s="37">
        <v>0</v>
      </c>
      <c r="E22" s="37"/>
      <c r="F22" s="37">
        <v>0</v>
      </c>
      <c r="G22" s="31">
        <v>1</v>
      </c>
      <c r="H22" s="31">
        <f>B22*G22</f>
        <v>40</v>
      </c>
      <c r="I22" s="63">
        <f>ROUNDUP(SUM('Base Data'!$H$79:$H$81)/3,0)</f>
        <v>0</v>
      </c>
      <c r="J22" s="64">
        <f>H22*I22</f>
        <v>0</v>
      </c>
      <c r="K22" s="64">
        <f>J22*0.1</f>
        <v>0</v>
      </c>
      <c r="L22" s="64">
        <f>J22*0.05</f>
        <v>0</v>
      </c>
      <c r="M22" s="65"/>
      <c r="N22" s="37">
        <f>(J22*'Base Data'!$C$5)+(K22*'Base Data'!$C$6)+(L22*'Base Data'!$C$7)</f>
        <v>0</v>
      </c>
      <c r="O22" s="37">
        <f>(D22+E22+F22)*G22*I22</f>
        <v>0</v>
      </c>
      <c r="P22" s="64">
        <v>0</v>
      </c>
      <c r="Q22" s="66"/>
      <c r="U22" s="119"/>
    </row>
    <row r="23" spans="1:21" s="95" customFormat="1" ht="9" x14ac:dyDescent="0.15">
      <c r="A23" s="90" t="s">
        <v>289</v>
      </c>
      <c r="B23" s="31"/>
      <c r="C23" s="31"/>
      <c r="D23" s="37"/>
      <c r="E23" s="37"/>
      <c r="F23" s="37"/>
      <c r="G23" s="31"/>
      <c r="H23" s="31"/>
      <c r="I23" s="64"/>
      <c r="J23" s="64"/>
      <c r="K23" s="64"/>
      <c r="L23" s="64"/>
      <c r="M23" s="65"/>
      <c r="N23" s="37"/>
      <c r="O23" s="37"/>
      <c r="P23" s="64">
        <v>0</v>
      </c>
      <c r="Q23" s="66"/>
      <c r="U23" s="119"/>
    </row>
    <row r="24" spans="1:21" s="95" customFormat="1" ht="9" x14ac:dyDescent="0.15">
      <c r="A24" s="90" t="s">
        <v>290</v>
      </c>
      <c r="B24" s="31">
        <v>10</v>
      </c>
      <c r="C24" s="31"/>
      <c r="D24" s="37">
        <v>0</v>
      </c>
      <c r="E24" s="37">
        <v>0</v>
      </c>
      <c r="F24" s="37">
        <v>43100</v>
      </c>
      <c r="G24" s="31">
        <v>1</v>
      </c>
      <c r="H24" s="31">
        <f>B24*G24</f>
        <v>10</v>
      </c>
      <c r="I24" s="63">
        <f>SUM(Monitors!$C$23/3,0)</f>
        <v>0</v>
      </c>
      <c r="J24" s="64">
        <f>H24*I24</f>
        <v>0</v>
      </c>
      <c r="K24" s="64">
        <f>J24*0.1</f>
        <v>0</v>
      </c>
      <c r="L24" s="64">
        <f>J24*0.05</f>
        <v>0</v>
      </c>
      <c r="M24" s="65"/>
      <c r="N24" s="37">
        <f>(J24*'Base Data'!$C$5)+(K24*'Base Data'!$C$6)+(L24*'Base Data'!$C$7)</f>
        <v>0</v>
      </c>
      <c r="O24" s="37">
        <f>(D24+E24+F24)*G24*I24</f>
        <v>0</v>
      </c>
      <c r="P24" s="64">
        <v>0</v>
      </c>
      <c r="Q24" s="66"/>
      <c r="U24" s="119"/>
    </row>
    <row r="25" spans="1:21" s="95" customFormat="1" ht="9" x14ac:dyDescent="0.15">
      <c r="A25" s="90" t="s">
        <v>293</v>
      </c>
      <c r="B25" s="31">
        <v>10</v>
      </c>
      <c r="C25" s="31"/>
      <c r="D25" s="37">
        <v>0</v>
      </c>
      <c r="E25" s="37">
        <v>0</v>
      </c>
      <c r="F25" s="37">
        <v>14700</v>
      </c>
      <c r="G25" s="31">
        <v>1</v>
      </c>
      <c r="H25" s="31">
        <f>B25*G25</f>
        <v>10</v>
      </c>
      <c r="I25" s="63">
        <f>SUM(Monitors!$C$23/3,0)</f>
        <v>0</v>
      </c>
      <c r="J25" s="64">
        <f>H25*I25</f>
        <v>0</v>
      </c>
      <c r="K25" s="64">
        <f>J25*0.1</f>
        <v>0</v>
      </c>
      <c r="L25" s="64">
        <f>J25*0.05</f>
        <v>0</v>
      </c>
      <c r="M25" s="65"/>
      <c r="N25" s="37">
        <f>(J25*'Base Data'!$C$5)+(K25*'Base Data'!$C$6)+(L25*'Base Data'!$C$7)</f>
        <v>0</v>
      </c>
      <c r="O25" s="37">
        <f>(D25+E25+F25)*G25*I25</f>
        <v>0</v>
      </c>
      <c r="P25" s="64">
        <v>0</v>
      </c>
      <c r="Q25" s="66"/>
      <c r="U25" s="119"/>
    </row>
    <row r="26" spans="1:21" s="95" customFormat="1" ht="9" x14ac:dyDescent="0.15">
      <c r="A26" s="90" t="s">
        <v>256</v>
      </c>
      <c r="B26" s="31"/>
      <c r="C26" s="31"/>
      <c r="D26" s="37"/>
      <c r="E26" s="37"/>
      <c r="F26" s="37"/>
      <c r="G26" s="31"/>
      <c r="H26" s="31"/>
      <c r="I26" s="64"/>
      <c r="J26" s="64"/>
      <c r="K26" s="64"/>
      <c r="L26" s="64"/>
      <c r="M26" s="65"/>
      <c r="N26" s="37"/>
      <c r="O26" s="37"/>
      <c r="P26" s="64"/>
      <c r="Q26" s="66"/>
      <c r="U26" s="119"/>
    </row>
    <row r="27" spans="1:21" s="95" customFormat="1" ht="9" x14ac:dyDescent="0.15">
      <c r="A27" s="90" t="s">
        <v>290</v>
      </c>
      <c r="B27" s="31">
        <v>10</v>
      </c>
      <c r="C27" s="31"/>
      <c r="D27" s="37">
        <v>0</v>
      </c>
      <c r="E27" s="37">
        <v>0</v>
      </c>
      <c r="F27" s="37">
        <v>158000</v>
      </c>
      <c r="G27" s="31">
        <v>1</v>
      </c>
      <c r="H27" s="31">
        <f>B27*G27</f>
        <v>10</v>
      </c>
      <c r="I27" s="63">
        <f>SUM(Monitors!$H$23/3,0)</f>
        <v>0</v>
      </c>
      <c r="J27" s="64">
        <f>H27*I27</f>
        <v>0</v>
      </c>
      <c r="K27" s="64">
        <f>J27*0.1</f>
        <v>0</v>
      </c>
      <c r="L27" s="64">
        <f>J27*0.05</f>
        <v>0</v>
      </c>
      <c r="M27" s="65"/>
      <c r="N27" s="37">
        <f>(J27*'Base Data'!$C$5)+(K27*'Base Data'!$C$6)+(L27*'Base Data'!$C$7)</f>
        <v>0</v>
      </c>
      <c r="O27" s="37">
        <f>(D27+E27+F27)*G27*I27</f>
        <v>0</v>
      </c>
      <c r="P27" s="64">
        <v>0</v>
      </c>
      <c r="Q27" s="66"/>
      <c r="U27" s="119"/>
    </row>
    <row r="28" spans="1:21" s="95" customFormat="1" ht="9" x14ac:dyDescent="0.15">
      <c r="A28" s="90" t="s">
        <v>293</v>
      </c>
      <c r="B28" s="31">
        <v>10</v>
      </c>
      <c r="C28" s="31"/>
      <c r="D28" s="37">
        <v>0</v>
      </c>
      <c r="E28" s="37">
        <v>0</v>
      </c>
      <c r="F28" s="37">
        <v>56100</v>
      </c>
      <c r="G28" s="31">
        <v>1</v>
      </c>
      <c r="H28" s="31">
        <f>B28*G28</f>
        <v>10</v>
      </c>
      <c r="I28" s="63">
        <f>SUM(Monitors!$H$23/3,0)</f>
        <v>0</v>
      </c>
      <c r="J28" s="64">
        <f>H28*I28</f>
        <v>0</v>
      </c>
      <c r="K28" s="64">
        <f>J28*0.1</f>
        <v>0</v>
      </c>
      <c r="L28" s="64">
        <f>J28*0.05</f>
        <v>0</v>
      </c>
      <c r="M28" s="65"/>
      <c r="N28" s="37">
        <f>(J28*'Base Data'!$C$5)+(K28*'Base Data'!$C$6)+(L28*'Base Data'!$C$7)</f>
        <v>0</v>
      </c>
      <c r="O28" s="37">
        <f>(D28+E28+F28)*G28*I28</f>
        <v>0</v>
      </c>
      <c r="P28" s="64">
        <v>0</v>
      </c>
      <c r="Q28" s="66"/>
      <c r="U28" s="119"/>
    </row>
    <row r="29" spans="1:21" s="95" customFormat="1" ht="9" x14ac:dyDescent="0.15">
      <c r="A29" s="90" t="s">
        <v>381</v>
      </c>
      <c r="B29" s="31"/>
      <c r="C29" s="31"/>
      <c r="D29" s="37"/>
      <c r="E29" s="37"/>
      <c r="F29" s="37"/>
      <c r="G29" s="31"/>
      <c r="H29" s="31"/>
      <c r="I29" s="63"/>
      <c r="J29" s="64"/>
      <c r="K29" s="64"/>
      <c r="L29" s="64"/>
      <c r="M29" s="65"/>
      <c r="N29" s="37"/>
      <c r="O29" s="37"/>
      <c r="P29" s="64"/>
      <c r="Q29" s="66"/>
    </row>
    <row r="30" spans="1:21" s="95" customFormat="1" ht="9" x14ac:dyDescent="0.15">
      <c r="A30" s="90" t="s">
        <v>290</v>
      </c>
      <c r="B30" s="31">
        <v>10</v>
      </c>
      <c r="C30" s="31"/>
      <c r="D30" s="37">
        <v>0</v>
      </c>
      <c r="E30" s="37">
        <v>0</v>
      </c>
      <c r="F30" s="37">
        <f>Monitors!$F$32</f>
        <v>8523</v>
      </c>
      <c r="G30" s="31">
        <v>1</v>
      </c>
      <c r="H30" s="31">
        <f>B30*G30</f>
        <v>10</v>
      </c>
      <c r="I30" s="63">
        <f>ROUNDUP(Monitors!$F$23/3,0)</f>
        <v>0</v>
      </c>
      <c r="J30" s="64">
        <f>H30*I30</f>
        <v>0</v>
      </c>
      <c r="K30" s="64">
        <f>J30*0.1</f>
        <v>0</v>
      </c>
      <c r="L30" s="64">
        <f>J30*0.05</f>
        <v>0</v>
      </c>
      <c r="M30" s="65"/>
      <c r="N30" s="37">
        <f>(J30*'Base Data'!$C$5)+(K30*'Base Data'!$C$6)+(L30*'Base Data'!$C$7)</f>
        <v>0</v>
      </c>
      <c r="O30" s="37">
        <f>(D30+E30+F30)*G30*I30</f>
        <v>0</v>
      </c>
      <c r="P30" s="64">
        <v>0</v>
      </c>
      <c r="Q30" s="66"/>
    </row>
    <row r="31" spans="1:21" s="95" customFormat="1" ht="9" x14ac:dyDescent="0.15">
      <c r="A31" s="90" t="s">
        <v>293</v>
      </c>
      <c r="B31" s="31">
        <v>10</v>
      </c>
      <c r="C31" s="31"/>
      <c r="D31" s="37">
        <v>0</v>
      </c>
      <c r="E31" s="37">
        <v>0</v>
      </c>
      <c r="F31" s="37">
        <f>Monitors!$G$32</f>
        <v>1436</v>
      </c>
      <c r="G31" s="31">
        <v>1</v>
      </c>
      <c r="H31" s="31">
        <f>B31*G31</f>
        <v>10</v>
      </c>
      <c r="I31" s="63">
        <f>ROUNDUP(Monitors!$F$23/3,0)</f>
        <v>0</v>
      </c>
      <c r="J31" s="64">
        <f>H31*I31</f>
        <v>0</v>
      </c>
      <c r="K31" s="64">
        <f>J31*0.1</f>
        <v>0</v>
      </c>
      <c r="L31" s="64">
        <f>J31*0.05</f>
        <v>0</v>
      </c>
      <c r="M31" s="65"/>
      <c r="N31" s="37">
        <f>(J31*'Base Data'!$C$5)+(K31*'Base Data'!$C$6)+(L31*'Base Data'!$C$7)</f>
        <v>0</v>
      </c>
      <c r="O31" s="37">
        <f>(D31+E31+F31)*G31*I31</f>
        <v>0</v>
      </c>
      <c r="P31" s="64">
        <v>0</v>
      </c>
      <c r="Q31" s="66"/>
    </row>
    <row r="32" spans="1:21" s="95" customFormat="1" ht="18" x14ac:dyDescent="0.15">
      <c r="A32" s="91" t="s">
        <v>145</v>
      </c>
      <c r="B32" s="31"/>
      <c r="C32" s="31"/>
      <c r="D32" s="37"/>
      <c r="E32" s="37"/>
      <c r="F32" s="67"/>
      <c r="G32" s="31"/>
      <c r="H32" s="31"/>
      <c r="I32" s="68"/>
      <c r="J32" s="64"/>
      <c r="K32" s="64"/>
      <c r="L32" s="64"/>
      <c r="M32" s="65"/>
      <c r="N32" s="37"/>
      <c r="O32" s="37"/>
      <c r="P32" s="64"/>
      <c r="Q32" s="66"/>
      <c r="U32" s="119"/>
    </row>
    <row r="33" spans="1:21" s="95" customFormat="1" ht="9" x14ac:dyDescent="0.15">
      <c r="A33" s="90" t="s">
        <v>290</v>
      </c>
      <c r="B33" s="31">
        <v>10</v>
      </c>
      <c r="C33" s="31"/>
      <c r="D33" s="37">
        <v>0</v>
      </c>
      <c r="E33" s="37">
        <v>0</v>
      </c>
      <c r="F33" s="37">
        <v>24300</v>
      </c>
      <c r="G33" s="31">
        <v>1</v>
      </c>
      <c r="H33" s="31">
        <f>B33*G33</f>
        <v>10</v>
      </c>
      <c r="I33" s="63">
        <f>ROUNDUP(Monitors!$D$23/3,0)</f>
        <v>0</v>
      </c>
      <c r="J33" s="64">
        <f>H33*I33</f>
        <v>0</v>
      </c>
      <c r="K33" s="64">
        <f>J33*0.1</f>
        <v>0</v>
      </c>
      <c r="L33" s="64">
        <f>J33*0.05</f>
        <v>0</v>
      </c>
      <c r="M33" s="65"/>
      <c r="N33" s="37">
        <f>(J33*'Base Data'!$C$5)+(K33*'Base Data'!$C$6)+(L33*'Base Data'!$C$7)</f>
        <v>0</v>
      </c>
      <c r="O33" s="37">
        <f>(D33+E33+F33)*G33*I33</f>
        <v>0</v>
      </c>
      <c r="P33" s="64">
        <v>0</v>
      </c>
      <c r="Q33" s="66"/>
      <c r="U33" s="119"/>
    </row>
    <row r="34" spans="1:21" s="95" customFormat="1" ht="9" x14ac:dyDescent="0.15">
      <c r="A34" s="90" t="s">
        <v>293</v>
      </c>
      <c r="B34" s="31">
        <v>10</v>
      </c>
      <c r="C34" s="31"/>
      <c r="D34" s="37">
        <v>0</v>
      </c>
      <c r="E34" s="37">
        <v>0</v>
      </c>
      <c r="F34" s="37">
        <v>5600</v>
      </c>
      <c r="G34" s="31">
        <v>1</v>
      </c>
      <c r="H34" s="31">
        <f>B34*G34</f>
        <v>10</v>
      </c>
      <c r="I34" s="63">
        <f>ROUNDUP(Monitors!$D$23/3,0)</f>
        <v>0</v>
      </c>
      <c r="J34" s="64">
        <f>H34*I34</f>
        <v>0</v>
      </c>
      <c r="K34" s="64">
        <f>J34*0.1</f>
        <v>0</v>
      </c>
      <c r="L34" s="64">
        <f>J34*0.05</f>
        <v>0</v>
      </c>
      <c r="M34" s="65"/>
      <c r="N34" s="37">
        <f>(J34*'Base Data'!$C$5)+(K34*'Base Data'!$C$6)+(L34*'Base Data'!$C$7)</f>
        <v>0</v>
      </c>
      <c r="O34" s="37">
        <f>(D34+E34+F34)*G34*I34</f>
        <v>0</v>
      </c>
      <c r="P34" s="64">
        <v>0</v>
      </c>
      <c r="Q34" s="66"/>
      <c r="U34" s="119"/>
    </row>
    <row r="35" spans="1:21" s="95" customFormat="1" ht="18" x14ac:dyDescent="0.15">
      <c r="A35" s="91" t="s">
        <v>348</v>
      </c>
      <c r="B35" s="31"/>
      <c r="C35" s="31"/>
      <c r="D35" s="37"/>
      <c r="E35" s="37"/>
      <c r="F35" s="37"/>
      <c r="G35" s="31"/>
      <c r="H35" s="31"/>
      <c r="I35" s="68"/>
      <c r="J35" s="64"/>
      <c r="K35" s="64"/>
      <c r="L35" s="64"/>
      <c r="M35" s="65"/>
      <c r="N35" s="37"/>
      <c r="O35" s="138"/>
      <c r="P35" s="64"/>
      <c r="Q35" s="66"/>
      <c r="U35" s="119"/>
    </row>
    <row r="36" spans="1:21" s="95" customFormat="1" ht="9" x14ac:dyDescent="0.15">
      <c r="A36" s="90" t="s">
        <v>290</v>
      </c>
      <c r="B36" s="31">
        <v>10</v>
      </c>
      <c r="C36" s="31"/>
      <c r="D36" s="37">
        <v>0</v>
      </c>
      <c r="E36" s="37">
        <v>0</v>
      </c>
      <c r="F36" s="37">
        <f>25500</f>
        <v>25500</v>
      </c>
      <c r="G36" s="31">
        <v>1</v>
      </c>
      <c r="H36" s="31">
        <f>B36*G36</f>
        <v>10</v>
      </c>
      <c r="I36" s="63">
        <f>ROUNDUP(Monitors!$B$23/3,0)</f>
        <v>0</v>
      </c>
      <c r="J36" s="64">
        <f>H36*I36</f>
        <v>0</v>
      </c>
      <c r="K36" s="64">
        <f>J36*0.1</f>
        <v>0</v>
      </c>
      <c r="L36" s="64">
        <f>J36*0.05</f>
        <v>0</v>
      </c>
      <c r="M36" s="65"/>
      <c r="N36" s="37">
        <f>(J36*'Base Data'!$C$5)+(K36*'Base Data'!$C$6)+(L36*'Base Data'!$C$7)</f>
        <v>0</v>
      </c>
      <c r="O36" s="37">
        <f>(D36+E36+F36)*G36*I36</f>
        <v>0</v>
      </c>
      <c r="P36" s="64">
        <v>0</v>
      </c>
      <c r="Q36" s="66"/>
      <c r="U36" s="119"/>
    </row>
    <row r="37" spans="1:21" s="95" customFormat="1" ht="9" x14ac:dyDescent="0.15">
      <c r="A37" s="90" t="s">
        <v>293</v>
      </c>
      <c r="B37" s="31">
        <v>10</v>
      </c>
      <c r="C37" s="31"/>
      <c r="D37" s="37">
        <v>0</v>
      </c>
      <c r="E37" s="37">
        <v>0</v>
      </c>
      <c r="F37" s="37">
        <v>9700</v>
      </c>
      <c r="G37" s="31">
        <v>1</v>
      </c>
      <c r="H37" s="31">
        <f>B37*G37</f>
        <v>10</v>
      </c>
      <c r="I37" s="63">
        <f>ROUNDUP(Monitors!$B$23/3,0)</f>
        <v>0</v>
      </c>
      <c r="J37" s="64">
        <f>H37*I37</f>
        <v>0</v>
      </c>
      <c r="K37" s="64">
        <f>J37*0.1</f>
        <v>0</v>
      </c>
      <c r="L37" s="64">
        <f>J37*0.05</f>
        <v>0</v>
      </c>
      <c r="M37" s="65"/>
      <c r="N37" s="37">
        <f>(J37*'Base Data'!$C$5)+(K37*'Base Data'!$C$6)+(L37*'Base Data'!$C$7)</f>
        <v>0</v>
      </c>
      <c r="O37" s="37">
        <f>(D37+E37+F37)*G37*I37</f>
        <v>0</v>
      </c>
      <c r="P37" s="64">
        <v>0</v>
      </c>
      <c r="Q37" s="66"/>
      <c r="U37" s="119"/>
    </row>
    <row r="38" spans="1:21" s="95" customFormat="1" ht="18" x14ac:dyDescent="0.15">
      <c r="A38" s="91" t="s">
        <v>146</v>
      </c>
      <c r="B38" s="31"/>
      <c r="C38" s="31"/>
      <c r="D38" s="37"/>
      <c r="E38" s="37"/>
      <c r="F38" s="37"/>
      <c r="G38" s="31"/>
      <c r="H38" s="31"/>
      <c r="I38" s="68"/>
      <c r="J38" s="64"/>
      <c r="K38" s="64"/>
      <c r="L38" s="64"/>
      <c r="M38" s="65"/>
      <c r="N38" s="37"/>
      <c r="O38" s="37"/>
      <c r="P38" s="64"/>
      <c r="Q38" s="66"/>
      <c r="U38" s="119"/>
    </row>
    <row r="39" spans="1:21" s="95" customFormat="1" ht="9" x14ac:dyDescent="0.15">
      <c r="A39" s="90" t="s">
        <v>290</v>
      </c>
      <c r="B39" s="31">
        <v>10</v>
      </c>
      <c r="C39" s="31"/>
      <c r="D39" s="37">
        <v>0</v>
      </c>
      <c r="E39" s="37">
        <v>0</v>
      </c>
      <c r="F39" s="37">
        <v>115000</v>
      </c>
      <c r="G39" s="31">
        <v>1</v>
      </c>
      <c r="H39" s="31">
        <f>B39*G39</f>
        <v>10</v>
      </c>
      <c r="I39" s="63">
        <f>ROUND(Monitors!$E$23/3,0)</f>
        <v>0</v>
      </c>
      <c r="J39" s="64">
        <f>H39*I39</f>
        <v>0</v>
      </c>
      <c r="K39" s="64">
        <f>J39*0.1</f>
        <v>0</v>
      </c>
      <c r="L39" s="64">
        <f>J39*0.05</f>
        <v>0</v>
      </c>
      <c r="M39" s="65"/>
      <c r="N39" s="37">
        <f>(J39*'Base Data'!$C$5)+(K39*'Base Data'!$C$6)+(L39*'Base Data'!$C$7)</f>
        <v>0</v>
      </c>
      <c r="O39" s="37">
        <f>(D39+E39+F39)*G39*I39</f>
        <v>0</v>
      </c>
      <c r="P39" s="64">
        <v>0</v>
      </c>
      <c r="Q39" s="66"/>
      <c r="U39" s="119"/>
    </row>
    <row r="40" spans="1:21" s="95" customFormat="1" ht="9" x14ac:dyDescent="0.15">
      <c r="A40" s="90" t="s">
        <v>293</v>
      </c>
      <c r="B40" s="31">
        <v>10</v>
      </c>
      <c r="C40" s="31"/>
      <c r="D40" s="37">
        <v>0</v>
      </c>
      <c r="E40" s="37">
        <v>0</v>
      </c>
      <c r="F40" s="37">
        <v>9700</v>
      </c>
      <c r="G40" s="31">
        <v>1</v>
      </c>
      <c r="H40" s="31">
        <f>B40*G40</f>
        <v>10</v>
      </c>
      <c r="I40" s="63">
        <f>ROUND(Monitors!$E$23/3,0)</f>
        <v>0</v>
      </c>
      <c r="J40" s="64">
        <f>H40*I40</f>
        <v>0</v>
      </c>
      <c r="K40" s="64">
        <f>J40*0.1</f>
        <v>0</v>
      </c>
      <c r="L40" s="64">
        <f>J40*0.05</f>
        <v>0</v>
      </c>
      <c r="M40" s="65"/>
      <c r="N40" s="37">
        <f>(J40*'Base Data'!$C$5)+(K40*'Base Data'!$C$6)+(L40*'Base Data'!$C$7)</f>
        <v>0</v>
      </c>
      <c r="O40" s="37">
        <f>(D40+E40+F40)*G40*I40</f>
        <v>0</v>
      </c>
      <c r="P40" s="64">
        <v>0</v>
      </c>
      <c r="Q40" s="66"/>
      <c r="U40" s="119"/>
    </row>
    <row r="41" spans="1:21" s="95" customFormat="1" ht="9" x14ac:dyDescent="0.15">
      <c r="A41" s="90" t="s">
        <v>294</v>
      </c>
      <c r="B41" s="31" t="s">
        <v>311</v>
      </c>
      <c r="C41" s="31"/>
      <c r="D41" s="37"/>
      <c r="E41" s="37"/>
      <c r="F41" s="37"/>
      <c r="G41" s="31"/>
      <c r="H41" s="31"/>
      <c r="I41" s="64"/>
      <c r="J41" s="64"/>
      <c r="K41" s="64"/>
      <c r="L41" s="64"/>
      <c r="M41" s="31"/>
      <c r="N41" s="37"/>
      <c r="O41" s="37"/>
      <c r="P41" s="64"/>
      <c r="Q41" s="66"/>
      <c r="U41" s="119"/>
    </row>
    <row r="42" spans="1:21" s="95" customFormat="1" ht="9" x14ac:dyDescent="0.15">
      <c r="A42" s="90" t="s">
        <v>295</v>
      </c>
      <c r="B42" s="31" t="s">
        <v>311</v>
      </c>
      <c r="C42" s="31"/>
      <c r="D42" s="37"/>
      <c r="E42" s="37"/>
      <c r="F42" s="37"/>
      <c r="G42" s="31"/>
      <c r="H42" s="31"/>
      <c r="I42" s="64"/>
      <c r="J42" s="64"/>
      <c r="K42" s="64"/>
      <c r="L42" s="64"/>
      <c r="M42" s="31"/>
      <c r="N42" s="37"/>
      <c r="O42" s="37"/>
      <c r="P42" s="64"/>
      <c r="Q42" s="66"/>
    </row>
    <row r="43" spans="1:21" s="95" customFormat="1" ht="9" x14ac:dyDescent="0.15">
      <c r="A43" s="90" t="s">
        <v>296</v>
      </c>
      <c r="B43" s="31"/>
      <c r="C43" s="31"/>
      <c r="D43" s="37"/>
      <c r="E43" s="37"/>
      <c r="F43" s="37"/>
      <c r="G43" s="31"/>
      <c r="H43" s="31"/>
      <c r="I43" s="64"/>
      <c r="J43" s="64"/>
      <c r="K43" s="64"/>
      <c r="L43" s="64"/>
      <c r="M43" s="31"/>
      <c r="N43" s="37"/>
      <c r="O43" s="37"/>
      <c r="P43" s="64"/>
      <c r="Q43" s="66"/>
    </row>
    <row r="44" spans="1:21" s="95" customFormat="1" ht="9" x14ac:dyDescent="0.15">
      <c r="A44" s="101" t="s">
        <v>312</v>
      </c>
      <c r="B44" s="31">
        <v>2</v>
      </c>
      <c r="C44" s="31"/>
      <c r="D44" s="37">
        <v>0</v>
      </c>
      <c r="E44" s="37">
        <v>0</v>
      </c>
      <c r="F44" s="37">
        <v>0</v>
      </c>
      <c r="G44" s="31">
        <v>1</v>
      </c>
      <c r="H44" s="31">
        <f>B44*G44</f>
        <v>2</v>
      </c>
      <c r="I44" s="63">
        <f>$I$7</f>
        <v>0</v>
      </c>
      <c r="J44" s="64">
        <f>H44*I44</f>
        <v>0</v>
      </c>
      <c r="K44" s="64">
        <f>J44*0.1</f>
        <v>0</v>
      </c>
      <c r="L44" s="64">
        <f>J44*0.05</f>
        <v>0</v>
      </c>
      <c r="M44" s="31">
        <f>C44*G44*I44</f>
        <v>0</v>
      </c>
      <c r="N44" s="37">
        <f>(J44*'Base Data'!$C$5)+(K44*'Base Data'!$C$6)+(L44*'Base Data'!$C$7)</f>
        <v>0</v>
      </c>
      <c r="O44" s="37">
        <f>(D44+E44+F44)*G44*I44</f>
        <v>0</v>
      </c>
      <c r="P44" s="64">
        <f>G44*I44</f>
        <v>0</v>
      </c>
      <c r="Q44" s="66"/>
    </row>
    <row r="45" spans="1:21" s="95" customFormat="1" ht="9" customHeight="1" x14ac:dyDescent="0.15">
      <c r="A45" s="101" t="s">
        <v>273</v>
      </c>
      <c r="B45" s="31">
        <v>8</v>
      </c>
      <c r="C45" s="31"/>
      <c r="D45" s="37">
        <v>0</v>
      </c>
      <c r="E45" s="37">
        <v>0</v>
      </c>
      <c r="F45" s="37">
        <v>0</v>
      </c>
      <c r="G45" s="31">
        <v>1</v>
      </c>
      <c r="H45" s="31">
        <f>B45*G45</f>
        <v>8</v>
      </c>
      <c r="I45" s="63">
        <f>$I$7</f>
        <v>0</v>
      </c>
      <c r="J45" s="64">
        <f>H45*I45</f>
        <v>0</v>
      </c>
      <c r="K45" s="64">
        <f>J45*0.1</f>
        <v>0</v>
      </c>
      <c r="L45" s="64">
        <f>J45*0.05</f>
        <v>0</v>
      </c>
      <c r="M45" s="31">
        <f>C45*G45*I45</f>
        <v>0</v>
      </c>
      <c r="N45" s="37">
        <f>(J45*'Base Data'!$C$5)+(K45*'Base Data'!$C$6)+(L45*'Base Data'!$C$7)</f>
        <v>0</v>
      </c>
      <c r="O45" s="37">
        <f>(D45+E45+F45)*G45*I45</f>
        <v>0</v>
      </c>
      <c r="P45" s="64">
        <f>G45*I45</f>
        <v>0</v>
      </c>
      <c r="Q45" s="66"/>
    </row>
    <row r="46" spans="1:21" s="95" customFormat="1" ht="9" x14ac:dyDescent="0.15">
      <c r="A46" s="92" t="s">
        <v>357</v>
      </c>
      <c r="B46" s="31">
        <v>20</v>
      </c>
      <c r="C46" s="31">
        <v>0</v>
      </c>
      <c r="D46" s="37">
        <v>0</v>
      </c>
      <c r="E46" s="37">
        <v>0</v>
      </c>
      <c r="F46" s="37">
        <v>0</v>
      </c>
      <c r="G46" s="31">
        <v>2</v>
      </c>
      <c r="H46" s="31">
        <f>B46*G46</f>
        <v>40</v>
      </c>
      <c r="I46" s="63">
        <f>$I$7</f>
        <v>0</v>
      </c>
      <c r="J46" s="64">
        <f>H46*I46</f>
        <v>0</v>
      </c>
      <c r="K46" s="64">
        <f>J46*0.1</f>
        <v>0</v>
      </c>
      <c r="L46" s="64">
        <f>J46*0.05</f>
        <v>0</v>
      </c>
      <c r="M46" s="64">
        <f>C46*G46*I46</f>
        <v>0</v>
      </c>
      <c r="N46" s="37">
        <f>(J46*'Base Data'!$C$5)+(K46*'Base Data'!$C$6)+(L46*'Base Data'!$C$7)</f>
        <v>0</v>
      </c>
      <c r="O46" s="37">
        <f>(D46+E46+F46)*G46*I46</f>
        <v>0</v>
      </c>
      <c r="P46" s="64">
        <f>G46*I46</f>
        <v>0</v>
      </c>
      <c r="Q46" s="66"/>
      <c r="R46" s="108"/>
    </row>
    <row r="47" spans="1:21" s="95" customFormat="1" ht="9" x14ac:dyDescent="0.15">
      <c r="A47" s="92" t="s">
        <v>419</v>
      </c>
      <c r="B47" s="31">
        <v>30</v>
      </c>
      <c r="C47" s="31"/>
      <c r="D47" s="37">
        <v>0</v>
      </c>
      <c r="E47" s="37">
        <v>0</v>
      </c>
      <c r="F47" s="37">
        <v>0</v>
      </c>
      <c r="G47" s="31">
        <v>1</v>
      </c>
      <c r="H47" s="31">
        <f>B47*G47</f>
        <v>30</v>
      </c>
      <c r="I47" s="63">
        <v>0</v>
      </c>
      <c r="J47" s="64">
        <f>H47*I47</f>
        <v>0</v>
      </c>
      <c r="K47" s="64">
        <f>J47*0.1</f>
        <v>0</v>
      </c>
      <c r="L47" s="64">
        <f>J47*0.05</f>
        <v>0</v>
      </c>
      <c r="M47" s="64">
        <f>C47*G47*I47</f>
        <v>0</v>
      </c>
      <c r="N47" s="37">
        <f>(J47*'Base Data'!$C$5)+(K47*'Base Data'!$C$6)+(L47*'Base Data'!$C$7)</f>
        <v>0</v>
      </c>
      <c r="O47" s="37">
        <f>(D47+E47+F47)*G47*I47</f>
        <v>0</v>
      </c>
      <c r="P47" s="64">
        <f>G47*I47</f>
        <v>0</v>
      </c>
      <c r="Q47" s="66"/>
      <c r="R47" s="108"/>
    </row>
    <row r="48" spans="1:21" s="95" customFormat="1" ht="9" x14ac:dyDescent="0.15">
      <c r="A48" s="93" t="s">
        <v>4</v>
      </c>
      <c r="B48" s="31"/>
      <c r="C48" s="31"/>
      <c r="D48" s="37"/>
      <c r="E48" s="37"/>
      <c r="F48" s="37"/>
      <c r="G48" s="31"/>
      <c r="H48" s="31"/>
      <c r="I48" s="63"/>
      <c r="J48" s="64">
        <f t="shared" ref="J48:O48" si="5">SUM(J4:J46)</f>
        <v>0</v>
      </c>
      <c r="K48" s="64">
        <f t="shared" si="5"/>
        <v>0</v>
      </c>
      <c r="L48" s="64">
        <f t="shared" si="5"/>
        <v>0</v>
      </c>
      <c r="M48" s="64">
        <f t="shared" si="5"/>
        <v>0</v>
      </c>
      <c r="N48" s="37">
        <f t="shared" si="5"/>
        <v>0</v>
      </c>
      <c r="O48" s="37">
        <f t="shared" si="5"/>
        <v>0</v>
      </c>
      <c r="P48" s="64">
        <f>SUM(P44:P46)</f>
        <v>0</v>
      </c>
      <c r="Q48" s="66"/>
      <c r="R48" s="98">
        <f>SUM(O7,O9:O19,O25,O28,O31,O34,O37,O40)</f>
        <v>0</v>
      </c>
      <c r="S48" s="97">
        <f>SUM(O24,O27,O30,O33,O36,O39)</f>
        <v>0</v>
      </c>
    </row>
    <row r="49" spans="1:18" s="95" customFormat="1" ht="9" x14ac:dyDescent="0.15">
      <c r="A49" s="90" t="s">
        <v>309</v>
      </c>
      <c r="B49" s="31"/>
      <c r="C49" s="31"/>
      <c r="D49" s="37"/>
      <c r="E49" s="37"/>
      <c r="F49" s="37"/>
      <c r="G49" s="31"/>
      <c r="H49" s="31"/>
      <c r="I49" s="64"/>
      <c r="J49" s="64"/>
      <c r="K49" s="64"/>
      <c r="L49" s="64"/>
      <c r="M49" s="31"/>
      <c r="N49" s="37"/>
      <c r="O49" s="37"/>
      <c r="P49" s="64"/>
      <c r="Q49" s="66"/>
    </row>
    <row r="50" spans="1:18" s="95" customFormat="1" ht="9" x14ac:dyDescent="0.15">
      <c r="A50" s="90" t="s">
        <v>297</v>
      </c>
      <c r="B50" s="31" t="s">
        <v>301</v>
      </c>
      <c r="C50" s="31"/>
      <c r="D50" s="37"/>
      <c r="E50" s="37"/>
      <c r="F50" s="37"/>
      <c r="G50" s="31"/>
      <c r="H50" s="31"/>
      <c r="I50" s="64"/>
      <c r="J50" s="64"/>
      <c r="K50" s="64"/>
      <c r="L50" s="64"/>
      <c r="M50" s="31"/>
      <c r="N50" s="37"/>
      <c r="O50" s="37"/>
      <c r="P50" s="64"/>
      <c r="Q50" s="66"/>
    </row>
    <row r="51" spans="1:18" s="95" customFormat="1" ht="9" x14ac:dyDescent="0.15">
      <c r="A51" s="90" t="s">
        <v>298</v>
      </c>
      <c r="B51" s="31" t="s">
        <v>311</v>
      </c>
      <c r="C51" s="31"/>
      <c r="D51" s="37"/>
      <c r="E51" s="37"/>
      <c r="F51" s="37"/>
      <c r="G51" s="31"/>
      <c r="H51" s="31"/>
      <c r="I51" s="64"/>
      <c r="J51" s="64"/>
      <c r="K51" s="64"/>
      <c r="L51" s="64"/>
      <c r="M51" s="31"/>
      <c r="N51" s="37"/>
      <c r="O51" s="37"/>
      <c r="P51" s="64"/>
      <c r="Q51" s="66"/>
    </row>
    <row r="52" spans="1:18" s="95" customFormat="1" ht="9" x14ac:dyDescent="0.15">
      <c r="A52" s="90" t="s">
        <v>299</v>
      </c>
      <c r="B52" s="31" t="s">
        <v>311</v>
      </c>
      <c r="C52" s="31"/>
      <c r="D52" s="37"/>
      <c r="E52" s="37"/>
      <c r="F52" s="37"/>
      <c r="G52" s="31"/>
      <c r="H52" s="31"/>
      <c r="I52" s="64"/>
      <c r="J52" s="64"/>
      <c r="K52" s="64"/>
      <c r="L52" s="64"/>
      <c r="M52" s="31"/>
      <c r="N52" s="37"/>
      <c r="O52" s="37"/>
      <c r="P52" s="64"/>
      <c r="Q52" s="66"/>
    </row>
    <row r="53" spans="1:18" s="95" customFormat="1" ht="9" x14ac:dyDescent="0.15">
      <c r="A53" s="90" t="s">
        <v>300</v>
      </c>
      <c r="B53" s="31"/>
      <c r="C53" s="31"/>
      <c r="D53" s="37"/>
      <c r="E53" s="37"/>
      <c r="F53" s="37"/>
      <c r="G53" s="31"/>
      <c r="H53" s="31"/>
      <c r="I53" s="64"/>
      <c r="J53" s="64"/>
      <c r="K53" s="64"/>
      <c r="L53" s="64"/>
      <c r="M53" s="31"/>
      <c r="N53" s="37"/>
      <c r="O53" s="37"/>
      <c r="P53" s="64"/>
      <c r="Q53" s="66"/>
    </row>
    <row r="54" spans="1:18" s="95" customFormat="1" ht="9.75" customHeight="1" x14ac:dyDescent="0.15">
      <c r="A54" s="90" t="s">
        <v>307</v>
      </c>
      <c r="B54" s="31">
        <v>20</v>
      </c>
      <c r="C54" s="31"/>
      <c r="D54" s="37">
        <v>0</v>
      </c>
      <c r="E54" s="37">
        <v>0</v>
      </c>
      <c r="F54" s="37">
        <v>0</v>
      </c>
      <c r="G54" s="31">
        <v>1</v>
      </c>
      <c r="H54" s="31">
        <f t="shared" ref="H54:H60" si="6">B54*G54</f>
        <v>20</v>
      </c>
      <c r="I54" s="63">
        <f t="shared" ref="I54:I59" si="7">$I$9</f>
        <v>0</v>
      </c>
      <c r="J54" s="64">
        <f t="shared" ref="J54:J60" si="8">H54*I54</f>
        <v>0</v>
      </c>
      <c r="K54" s="64">
        <f t="shared" ref="K54:K60" si="9">J54*0.1</f>
        <v>0</v>
      </c>
      <c r="L54" s="64">
        <f t="shared" ref="L54:L60" si="10">J54*0.05</f>
        <v>0</v>
      </c>
      <c r="M54" s="31"/>
      <c r="N54" s="37">
        <f>(J54*'Base Data'!$C$5)+(K54*'Base Data'!$C$6)+(L54*'Base Data'!$C$7)</f>
        <v>0</v>
      </c>
      <c r="O54" s="37">
        <f t="shared" ref="O54:O60" si="11">(D54+E54+F54)*G54*I54</f>
        <v>0</v>
      </c>
      <c r="P54" s="64">
        <v>0</v>
      </c>
      <c r="Q54" s="66"/>
    </row>
    <row r="55" spans="1:18" s="95" customFormat="1" ht="9" x14ac:dyDescent="0.15">
      <c r="A55" s="91" t="s">
        <v>303</v>
      </c>
      <c r="B55" s="31">
        <v>15</v>
      </c>
      <c r="C55" s="31">
        <v>0</v>
      </c>
      <c r="D55" s="37">
        <v>0</v>
      </c>
      <c r="E55" s="37">
        <v>0</v>
      </c>
      <c r="F55" s="37">
        <v>0</v>
      </c>
      <c r="G55" s="31">
        <v>1</v>
      </c>
      <c r="H55" s="31">
        <f t="shared" si="6"/>
        <v>15</v>
      </c>
      <c r="I55" s="63">
        <f t="shared" si="7"/>
        <v>0</v>
      </c>
      <c r="J55" s="64">
        <f t="shared" si="8"/>
        <v>0</v>
      </c>
      <c r="K55" s="64">
        <f t="shared" si="9"/>
        <v>0</v>
      </c>
      <c r="L55" s="64">
        <f t="shared" si="10"/>
        <v>0</v>
      </c>
      <c r="M55" s="31">
        <f>C55*G55*I55</f>
        <v>0</v>
      </c>
      <c r="N55" s="37">
        <f>(J55*'Base Data'!$C$5)+(K55*'Base Data'!$C$6)+(L55*'Base Data'!$C$7)</f>
        <v>0</v>
      </c>
      <c r="O55" s="37">
        <f t="shared" si="11"/>
        <v>0</v>
      </c>
      <c r="P55" s="64">
        <v>0</v>
      </c>
      <c r="Q55" s="66"/>
    </row>
    <row r="56" spans="1:18" s="95" customFormat="1" ht="9.75" customHeight="1" x14ac:dyDescent="0.15">
      <c r="A56" s="90" t="s">
        <v>304</v>
      </c>
      <c r="B56" s="31">
        <v>2</v>
      </c>
      <c r="C56" s="31"/>
      <c r="D56" s="37">
        <v>0</v>
      </c>
      <c r="E56" s="37">
        <v>0</v>
      </c>
      <c r="F56" s="37">
        <v>0</v>
      </c>
      <c r="G56" s="31">
        <v>1</v>
      </c>
      <c r="H56" s="31">
        <f t="shared" si="6"/>
        <v>2</v>
      </c>
      <c r="I56" s="63">
        <f t="shared" si="7"/>
        <v>0</v>
      </c>
      <c r="J56" s="64">
        <f t="shared" si="8"/>
        <v>0</v>
      </c>
      <c r="K56" s="64">
        <f t="shared" si="9"/>
        <v>0</v>
      </c>
      <c r="L56" s="64">
        <f t="shared" si="10"/>
        <v>0</v>
      </c>
      <c r="M56" s="31"/>
      <c r="N56" s="37">
        <f>(J56*'Base Data'!$C$5)+(K56*'Base Data'!$C$6)+(L56*'Base Data'!$C$7)</f>
        <v>0</v>
      </c>
      <c r="O56" s="37">
        <f t="shared" si="11"/>
        <v>0</v>
      </c>
      <c r="P56" s="64">
        <v>0</v>
      </c>
      <c r="Q56" s="66"/>
    </row>
    <row r="57" spans="1:18" s="95" customFormat="1" ht="9" x14ac:dyDescent="0.15">
      <c r="A57" s="91" t="s">
        <v>313</v>
      </c>
      <c r="B57" s="31">
        <v>2</v>
      </c>
      <c r="C57" s="31"/>
      <c r="D57" s="37">
        <v>0</v>
      </c>
      <c r="E57" s="37">
        <v>0</v>
      </c>
      <c r="F57" s="37">
        <v>0</v>
      </c>
      <c r="G57" s="31">
        <v>1</v>
      </c>
      <c r="H57" s="31">
        <f t="shared" si="6"/>
        <v>2</v>
      </c>
      <c r="I57" s="63">
        <f t="shared" si="7"/>
        <v>0</v>
      </c>
      <c r="J57" s="64">
        <f t="shared" si="8"/>
        <v>0</v>
      </c>
      <c r="K57" s="64">
        <f t="shared" si="9"/>
        <v>0</v>
      </c>
      <c r="L57" s="64">
        <f t="shared" si="10"/>
        <v>0</v>
      </c>
      <c r="M57" s="31"/>
      <c r="N57" s="37">
        <f>(J57*'Base Data'!$C$5)+(K57*'Base Data'!$C$6)+(L57*'Base Data'!$C$7)</f>
        <v>0</v>
      </c>
      <c r="O57" s="37">
        <f t="shared" si="11"/>
        <v>0</v>
      </c>
      <c r="P57" s="64">
        <v>0</v>
      </c>
      <c r="Q57" s="66"/>
    </row>
    <row r="58" spans="1:18" s="95" customFormat="1" ht="9" x14ac:dyDescent="0.15">
      <c r="A58" s="91" t="s">
        <v>314</v>
      </c>
      <c r="B58" s="31">
        <v>2</v>
      </c>
      <c r="C58" s="31">
        <v>0</v>
      </c>
      <c r="D58" s="37">
        <v>0</v>
      </c>
      <c r="E58" s="37">
        <v>0</v>
      </c>
      <c r="F58" s="37">
        <v>0</v>
      </c>
      <c r="G58" s="31">
        <v>2</v>
      </c>
      <c r="H58" s="31">
        <f t="shared" si="6"/>
        <v>4</v>
      </c>
      <c r="I58" s="63">
        <f t="shared" si="7"/>
        <v>0</v>
      </c>
      <c r="J58" s="64">
        <f t="shared" si="8"/>
        <v>0</v>
      </c>
      <c r="K58" s="64">
        <f t="shared" si="9"/>
        <v>0</v>
      </c>
      <c r="L58" s="64">
        <f t="shared" si="10"/>
        <v>0</v>
      </c>
      <c r="M58" s="31">
        <f>C58*G58*I58</f>
        <v>0</v>
      </c>
      <c r="N58" s="37">
        <f>(J58*'Base Data'!$C$5)+(K58*'Base Data'!$C$6)+(L58*'Base Data'!$C$7)</f>
        <v>0</v>
      </c>
      <c r="O58" s="37">
        <f t="shared" si="11"/>
        <v>0</v>
      </c>
      <c r="P58" s="64">
        <v>0</v>
      </c>
      <c r="Q58" s="66"/>
    </row>
    <row r="59" spans="1:18" s="95" customFormat="1" ht="9" x14ac:dyDescent="0.15">
      <c r="A59" s="91" t="s">
        <v>315</v>
      </c>
      <c r="B59" s="31">
        <v>0.5</v>
      </c>
      <c r="C59" s="31"/>
      <c r="D59" s="37">
        <v>0</v>
      </c>
      <c r="E59" s="37">
        <v>0</v>
      </c>
      <c r="F59" s="37">
        <v>0</v>
      </c>
      <c r="G59" s="31">
        <v>12</v>
      </c>
      <c r="H59" s="31">
        <f t="shared" si="6"/>
        <v>6</v>
      </c>
      <c r="I59" s="63">
        <f t="shared" si="7"/>
        <v>0</v>
      </c>
      <c r="J59" s="64">
        <f t="shared" si="8"/>
        <v>0</v>
      </c>
      <c r="K59" s="64">
        <f t="shared" si="9"/>
        <v>0</v>
      </c>
      <c r="L59" s="64">
        <f t="shared" si="10"/>
        <v>0</v>
      </c>
      <c r="M59" s="31"/>
      <c r="N59" s="37">
        <f>(J59*'Base Data'!$C$5)+(K59*'Base Data'!$C$6)+(L59*'Base Data'!$C$7)</f>
        <v>0</v>
      </c>
      <c r="O59" s="37">
        <f t="shared" si="11"/>
        <v>0</v>
      </c>
      <c r="P59" s="64">
        <v>0</v>
      </c>
      <c r="Q59" s="66"/>
    </row>
    <row r="60" spans="1:18" s="95" customFormat="1" ht="9" x14ac:dyDescent="0.15">
      <c r="A60" s="90" t="s">
        <v>305</v>
      </c>
      <c r="B60" s="31">
        <v>40</v>
      </c>
      <c r="C60" s="31"/>
      <c r="D60" s="37">
        <v>0</v>
      </c>
      <c r="E60" s="37">
        <v>0</v>
      </c>
      <c r="F60" s="37">
        <v>0</v>
      </c>
      <c r="G60" s="31">
        <v>1</v>
      </c>
      <c r="H60" s="31">
        <f t="shared" si="6"/>
        <v>40</v>
      </c>
      <c r="I60" s="63">
        <f>$I$7</f>
        <v>0</v>
      </c>
      <c r="J60" s="64">
        <f t="shared" si="8"/>
        <v>0</v>
      </c>
      <c r="K60" s="64">
        <f t="shared" si="9"/>
        <v>0</v>
      </c>
      <c r="L60" s="64">
        <f t="shared" si="10"/>
        <v>0</v>
      </c>
      <c r="M60" s="31"/>
      <c r="N60" s="37">
        <f>(J60*'Base Data'!$C$5)+(K60*'Base Data'!$C$6)+(L60*'Base Data'!$C$7)</f>
        <v>0</v>
      </c>
      <c r="O60" s="37">
        <f t="shared" si="11"/>
        <v>0</v>
      </c>
      <c r="P60" s="64">
        <v>0</v>
      </c>
      <c r="Q60" s="66"/>
    </row>
    <row r="61" spans="1:18" s="95" customFormat="1" ht="9" x14ac:dyDescent="0.15">
      <c r="A61" s="90" t="s">
        <v>306</v>
      </c>
      <c r="B61" s="31" t="s">
        <v>311</v>
      </c>
      <c r="C61" s="31"/>
      <c r="D61" s="37"/>
      <c r="E61" s="37"/>
      <c r="F61" s="37"/>
      <c r="G61" s="31"/>
      <c r="H61" s="31"/>
      <c r="I61" s="64"/>
      <c r="J61" s="64"/>
      <c r="K61" s="64"/>
      <c r="L61" s="64"/>
      <c r="M61" s="31"/>
      <c r="N61" s="37"/>
      <c r="O61" s="37"/>
      <c r="P61" s="64"/>
      <c r="Q61" s="66"/>
    </row>
    <row r="62" spans="1:18" s="95" customFormat="1" ht="9" x14ac:dyDescent="0.15">
      <c r="A62" s="144" t="s">
        <v>23</v>
      </c>
      <c r="B62" s="139"/>
      <c r="C62" s="139"/>
      <c r="D62" s="140"/>
      <c r="E62" s="140"/>
      <c r="F62" s="140"/>
      <c r="G62" s="139"/>
      <c r="H62" s="139"/>
      <c r="I62" s="141"/>
      <c r="J62" s="141">
        <f t="shared" ref="J62:O62" si="12">SUM(J50:J61)</f>
        <v>0</v>
      </c>
      <c r="K62" s="141">
        <f t="shared" si="12"/>
        <v>0</v>
      </c>
      <c r="L62" s="141">
        <f t="shared" si="12"/>
        <v>0</v>
      </c>
      <c r="M62" s="140">
        <f t="shared" si="12"/>
        <v>0</v>
      </c>
      <c r="N62" s="140">
        <f t="shared" si="12"/>
        <v>0</v>
      </c>
      <c r="O62" s="140">
        <f t="shared" si="12"/>
        <v>0</v>
      </c>
      <c r="P62" s="141"/>
      <c r="Q62" s="142"/>
      <c r="R62" s="37">
        <f>SUM(R50:R61)</f>
        <v>0</v>
      </c>
    </row>
    <row r="63" spans="1:18" s="109" customFormat="1" x14ac:dyDescent="0.2">
      <c r="A63" s="110" t="s">
        <v>283</v>
      </c>
      <c r="B63" s="111"/>
      <c r="C63" s="111"/>
      <c r="D63" s="111"/>
      <c r="E63" s="111"/>
      <c r="F63" s="112"/>
      <c r="G63" s="111"/>
      <c r="H63" s="111"/>
      <c r="I63" s="113"/>
      <c r="J63" s="114">
        <f t="shared" ref="J63:P63" si="13">J48+J62</f>
        <v>0</v>
      </c>
      <c r="K63" s="114">
        <f t="shared" si="13"/>
        <v>0</v>
      </c>
      <c r="L63" s="114">
        <f t="shared" si="13"/>
        <v>0</v>
      </c>
      <c r="M63" s="115">
        <f t="shared" si="13"/>
        <v>0</v>
      </c>
      <c r="N63" s="115">
        <f t="shared" si="13"/>
        <v>0</v>
      </c>
      <c r="O63" s="115">
        <f t="shared" si="13"/>
        <v>0</v>
      </c>
      <c r="P63" s="114">
        <f t="shared" si="13"/>
        <v>0</v>
      </c>
      <c r="Q63" s="116"/>
    </row>
    <row r="64" spans="1:18" ht="6" customHeight="1" x14ac:dyDescent="0.2"/>
    <row r="65" spans="1:17" s="38" customFormat="1" ht="9" x14ac:dyDescent="0.15">
      <c r="A65" s="748" t="s">
        <v>455</v>
      </c>
      <c r="B65" s="748"/>
      <c r="C65" s="748"/>
      <c r="D65" s="748"/>
      <c r="E65" s="748"/>
      <c r="F65" s="748"/>
      <c r="G65" s="748"/>
      <c r="H65" s="748"/>
      <c r="I65" s="748"/>
      <c r="J65" s="748"/>
      <c r="K65" s="748"/>
      <c r="L65" s="748"/>
      <c r="M65" s="748"/>
      <c r="N65" s="748"/>
      <c r="O65" s="748"/>
      <c r="P65" s="316"/>
      <c r="Q65" s="41"/>
    </row>
    <row r="66" spans="1:17" s="38" customFormat="1" ht="9" x14ac:dyDescent="0.15">
      <c r="B66" s="41"/>
      <c r="C66" s="41"/>
      <c r="D66" s="41"/>
      <c r="E66" s="41"/>
      <c r="F66" s="41"/>
      <c r="G66" s="41"/>
      <c r="H66" s="41"/>
      <c r="I66" s="42"/>
      <c r="J66" s="41"/>
      <c r="K66" s="41"/>
      <c r="L66" s="41"/>
      <c r="M66" s="41"/>
      <c r="N66" s="41"/>
      <c r="O66" s="121"/>
      <c r="P66" s="121"/>
      <c r="Q66" s="41"/>
    </row>
    <row r="67" spans="1:17" s="38" customFormat="1" ht="9" x14ac:dyDescent="0.15">
      <c r="B67" s="41"/>
      <c r="C67" s="41"/>
      <c r="D67" s="41"/>
      <c r="E67" s="41"/>
      <c r="F67" s="41"/>
      <c r="G67" s="41"/>
      <c r="H67" s="41"/>
      <c r="I67" s="42"/>
      <c r="J67" s="41"/>
      <c r="K67" s="41"/>
      <c r="L67" s="41"/>
      <c r="M67" s="41"/>
      <c r="N67" s="41"/>
      <c r="O67" s="121"/>
      <c r="P67" s="121"/>
      <c r="Q67" s="41"/>
    </row>
    <row r="68" spans="1:17" s="38" customFormat="1" ht="9" x14ac:dyDescent="0.15">
      <c r="B68" s="41"/>
      <c r="C68" s="41"/>
      <c r="D68" s="41"/>
      <c r="E68" s="41"/>
      <c r="F68" s="41"/>
      <c r="G68" s="41"/>
      <c r="H68" s="41"/>
      <c r="I68" s="42"/>
      <c r="J68" s="41"/>
      <c r="K68" s="41"/>
      <c r="L68" s="41"/>
      <c r="M68" s="41"/>
      <c r="N68" s="41"/>
      <c r="O68" s="121"/>
      <c r="P68" s="121"/>
      <c r="Q68" s="41"/>
    </row>
    <row r="69" spans="1:17" s="38" customFormat="1" ht="9" x14ac:dyDescent="0.15">
      <c r="B69" s="41"/>
      <c r="C69" s="41"/>
      <c r="D69" s="41"/>
      <c r="E69" s="41"/>
      <c r="F69" s="41"/>
      <c r="G69" s="41"/>
      <c r="H69" s="41"/>
      <c r="I69" s="42"/>
      <c r="J69" s="41"/>
      <c r="K69" s="41"/>
      <c r="L69" s="41"/>
      <c r="M69" s="41"/>
      <c r="N69" s="41"/>
      <c r="O69" s="121"/>
      <c r="P69" s="121"/>
      <c r="Q69" s="41"/>
    </row>
    <row r="70" spans="1:17" s="38" customFormat="1" ht="9" x14ac:dyDescent="0.15">
      <c r="B70" s="41"/>
      <c r="C70" s="41"/>
      <c r="D70" s="41"/>
      <c r="E70" s="41"/>
      <c r="F70" s="41"/>
      <c r="G70" s="41"/>
      <c r="H70" s="41"/>
      <c r="I70" s="42"/>
      <c r="J70" s="41"/>
      <c r="K70" s="41"/>
      <c r="L70" s="41"/>
      <c r="M70" s="41"/>
      <c r="N70" s="41"/>
      <c r="O70" s="121"/>
      <c r="P70" s="121"/>
      <c r="Q70" s="41"/>
    </row>
    <row r="71" spans="1:17" s="38" customFormat="1" ht="9" x14ac:dyDescent="0.15">
      <c r="B71" s="41"/>
      <c r="C71" s="41"/>
      <c r="D71" s="41"/>
      <c r="E71" s="41"/>
      <c r="F71" s="41"/>
      <c r="G71" s="41"/>
      <c r="H71" s="41"/>
      <c r="I71" s="42"/>
      <c r="J71" s="41"/>
      <c r="K71" s="41"/>
      <c r="L71" s="41"/>
      <c r="M71" s="41"/>
      <c r="N71" s="41"/>
      <c r="O71" s="121"/>
      <c r="P71" s="121"/>
      <c r="Q71" s="41"/>
    </row>
    <row r="72" spans="1:17" s="38" customFormat="1" ht="9" x14ac:dyDescent="0.15">
      <c r="B72" s="41"/>
      <c r="C72" s="41"/>
      <c r="D72" s="41"/>
      <c r="E72" s="41"/>
      <c r="F72" s="41"/>
      <c r="G72" s="41"/>
      <c r="H72" s="41"/>
      <c r="I72" s="42"/>
      <c r="J72" s="41"/>
      <c r="K72" s="41"/>
      <c r="L72" s="41"/>
      <c r="M72" s="41"/>
      <c r="N72" s="41"/>
      <c r="O72" s="121"/>
      <c r="P72" s="121"/>
      <c r="Q72" s="41"/>
    </row>
    <row r="73" spans="1:17" s="38" customFormat="1" ht="9" x14ac:dyDescent="0.15">
      <c r="B73" s="41"/>
      <c r="C73" s="41"/>
      <c r="D73" s="41"/>
      <c r="E73" s="41"/>
      <c r="F73" s="41"/>
      <c r="G73" s="41"/>
      <c r="H73" s="41"/>
      <c r="I73" s="42"/>
      <c r="J73" s="41"/>
      <c r="K73" s="41"/>
      <c r="L73" s="41"/>
      <c r="M73" s="41"/>
      <c r="N73" s="41"/>
      <c r="O73" s="121"/>
      <c r="P73" s="121"/>
      <c r="Q73" s="41"/>
    </row>
    <row r="74" spans="1:17" s="38" customFormat="1" ht="9" x14ac:dyDescent="0.15">
      <c r="B74" s="41"/>
      <c r="C74" s="41"/>
      <c r="D74" s="41"/>
      <c r="E74" s="41"/>
      <c r="F74" s="41"/>
      <c r="G74" s="41"/>
      <c r="H74" s="41"/>
      <c r="I74" s="42"/>
      <c r="J74" s="41"/>
      <c r="K74" s="41"/>
      <c r="L74" s="41"/>
      <c r="M74" s="41"/>
      <c r="N74" s="41"/>
      <c r="O74" s="121"/>
      <c r="P74" s="121"/>
      <c r="Q74" s="41"/>
    </row>
    <row r="75" spans="1:17" s="38" customFormat="1" ht="9" x14ac:dyDescent="0.15">
      <c r="B75" s="41"/>
      <c r="C75" s="41"/>
      <c r="D75" s="41"/>
      <c r="E75" s="41"/>
      <c r="F75" s="41"/>
      <c r="G75" s="41"/>
      <c r="H75" s="41"/>
      <c r="I75" s="42"/>
      <c r="J75" s="41"/>
      <c r="K75" s="41"/>
      <c r="L75" s="41"/>
      <c r="M75" s="41"/>
      <c r="N75" s="41"/>
      <c r="O75" s="121"/>
      <c r="P75" s="121"/>
      <c r="Q75" s="41"/>
    </row>
    <row r="76" spans="1:17" s="38" customFormat="1" ht="9" x14ac:dyDescent="0.15">
      <c r="B76" s="41"/>
      <c r="C76" s="41"/>
      <c r="D76" s="41"/>
      <c r="E76" s="41"/>
      <c r="F76" s="41"/>
      <c r="G76" s="41"/>
      <c r="H76" s="41"/>
      <c r="I76" s="42"/>
      <c r="J76" s="41"/>
      <c r="K76" s="41"/>
      <c r="L76" s="41"/>
      <c r="M76" s="41"/>
      <c r="N76" s="41"/>
      <c r="O76" s="121"/>
      <c r="P76" s="121"/>
      <c r="Q76" s="41"/>
    </row>
    <row r="77" spans="1:17" s="38" customFormat="1" ht="9" x14ac:dyDescent="0.15">
      <c r="B77" s="41"/>
      <c r="C77" s="41"/>
      <c r="D77" s="41"/>
      <c r="E77" s="41"/>
      <c r="F77" s="41"/>
      <c r="G77" s="41"/>
      <c r="H77" s="41"/>
      <c r="I77" s="42"/>
      <c r="J77" s="41"/>
      <c r="K77" s="41"/>
      <c r="L77" s="41"/>
      <c r="M77" s="41"/>
      <c r="N77" s="41"/>
      <c r="O77" s="121"/>
      <c r="P77" s="121"/>
      <c r="Q77" s="41"/>
    </row>
    <row r="78" spans="1:17" s="38" customFormat="1" ht="9" x14ac:dyDescent="0.15">
      <c r="B78" s="41"/>
      <c r="C78" s="41"/>
      <c r="D78" s="41"/>
      <c r="E78" s="41"/>
      <c r="F78" s="41"/>
      <c r="G78" s="41"/>
      <c r="H78" s="41"/>
      <c r="I78" s="42"/>
      <c r="J78" s="41"/>
      <c r="K78" s="41"/>
      <c r="L78" s="41"/>
      <c r="M78" s="41"/>
      <c r="N78" s="41"/>
      <c r="O78" s="121"/>
      <c r="P78" s="121"/>
      <c r="Q78" s="41"/>
    </row>
    <row r="79" spans="1:17" s="38" customFormat="1" ht="9" x14ac:dyDescent="0.15">
      <c r="B79" s="41"/>
      <c r="C79" s="41"/>
      <c r="D79" s="41"/>
      <c r="E79" s="41"/>
      <c r="F79" s="41"/>
      <c r="G79" s="41"/>
      <c r="H79" s="41"/>
      <c r="I79" s="42"/>
      <c r="J79" s="41"/>
      <c r="K79" s="41"/>
      <c r="L79" s="41"/>
      <c r="M79" s="41"/>
      <c r="N79" s="41"/>
      <c r="O79" s="121"/>
      <c r="P79" s="121"/>
      <c r="Q79" s="41"/>
    </row>
    <row r="80" spans="1:17" s="38" customFormat="1" ht="9" x14ac:dyDescent="0.15">
      <c r="B80" s="41"/>
      <c r="C80" s="41"/>
      <c r="D80" s="41"/>
      <c r="E80" s="41"/>
      <c r="F80" s="41"/>
      <c r="G80" s="41"/>
      <c r="H80" s="41"/>
      <c r="I80" s="42"/>
      <c r="J80" s="41"/>
      <c r="K80" s="41"/>
      <c r="L80" s="41"/>
      <c r="M80" s="41"/>
      <c r="N80" s="41"/>
      <c r="O80" s="121"/>
      <c r="P80" s="121"/>
      <c r="Q80" s="41"/>
    </row>
    <row r="81" spans="2:17" s="38" customFormat="1" ht="9" x14ac:dyDescent="0.15">
      <c r="B81" s="41"/>
      <c r="C81" s="41"/>
      <c r="D81" s="41"/>
      <c r="E81" s="41"/>
      <c r="F81" s="41"/>
      <c r="G81" s="41"/>
      <c r="H81" s="41"/>
      <c r="I81" s="42"/>
      <c r="J81" s="41"/>
      <c r="K81" s="41"/>
      <c r="L81" s="41"/>
      <c r="M81" s="41"/>
      <c r="N81" s="41"/>
      <c r="O81" s="121"/>
      <c r="P81" s="121"/>
      <c r="Q81" s="41"/>
    </row>
    <row r="82" spans="2:17" s="38" customFormat="1" ht="9" x14ac:dyDescent="0.15">
      <c r="B82" s="41"/>
      <c r="C82" s="41"/>
      <c r="D82" s="41"/>
      <c r="E82" s="41"/>
      <c r="F82" s="41"/>
      <c r="G82" s="41"/>
      <c r="H82" s="41"/>
      <c r="I82" s="42"/>
      <c r="J82" s="41"/>
      <c r="K82" s="41"/>
      <c r="L82" s="41"/>
      <c r="M82" s="41"/>
      <c r="N82" s="41"/>
      <c r="O82" s="121"/>
      <c r="P82" s="121"/>
      <c r="Q82" s="41"/>
    </row>
    <row r="83" spans="2:17" s="38" customFormat="1" ht="9" x14ac:dyDescent="0.15">
      <c r="B83" s="41"/>
      <c r="C83" s="41"/>
      <c r="D83" s="41"/>
      <c r="E83" s="41"/>
      <c r="F83" s="41"/>
      <c r="G83" s="41"/>
      <c r="H83" s="41"/>
      <c r="I83" s="42"/>
      <c r="J83" s="41"/>
      <c r="K83" s="41"/>
      <c r="L83" s="41"/>
      <c r="M83" s="41"/>
      <c r="N83" s="41"/>
      <c r="O83" s="121"/>
      <c r="P83" s="121"/>
      <c r="Q83" s="41"/>
    </row>
    <row r="84" spans="2:17" s="38" customFormat="1" ht="9" x14ac:dyDescent="0.15">
      <c r="B84" s="41"/>
      <c r="C84" s="41"/>
      <c r="D84" s="41"/>
      <c r="E84" s="41"/>
      <c r="F84" s="41"/>
      <c r="G84" s="41"/>
      <c r="H84" s="41"/>
      <c r="I84" s="42"/>
      <c r="J84" s="41"/>
      <c r="K84" s="41"/>
      <c r="L84" s="41"/>
      <c r="M84" s="41"/>
      <c r="N84" s="41"/>
      <c r="O84" s="121"/>
      <c r="P84" s="121"/>
      <c r="Q84" s="41"/>
    </row>
    <row r="85" spans="2:17" s="38" customFormat="1" ht="9" x14ac:dyDescent="0.15">
      <c r="B85" s="41"/>
      <c r="C85" s="41"/>
      <c r="D85" s="41"/>
      <c r="E85" s="41"/>
      <c r="F85" s="41"/>
      <c r="G85" s="41"/>
      <c r="H85" s="41"/>
      <c r="I85" s="42"/>
      <c r="J85" s="41"/>
      <c r="K85" s="41"/>
      <c r="L85" s="41"/>
      <c r="M85" s="41"/>
      <c r="N85" s="41"/>
      <c r="O85" s="121"/>
      <c r="P85" s="121"/>
      <c r="Q85" s="41"/>
    </row>
    <row r="86" spans="2:17" s="38" customFormat="1" ht="9" x14ac:dyDescent="0.15">
      <c r="B86" s="41"/>
      <c r="C86" s="41"/>
      <c r="D86" s="41"/>
      <c r="E86" s="41"/>
      <c r="F86" s="41"/>
      <c r="G86" s="41"/>
      <c r="H86" s="41"/>
      <c r="I86" s="42"/>
      <c r="J86" s="41"/>
      <c r="K86" s="41"/>
      <c r="L86" s="41"/>
      <c r="M86" s="41"/>
      <c r="N86" s="41"/>
      <c r="O86" s="121"/>
      <c r="P86" s="121"/>
      <c r="Q86" s="41"/>
    </row>
    <row r="87" spans="2:17" s="38" customFormat="1" ht="9" x14ac:dyDescent="0.15">
      <c r="B87" s="41"/>
      <c r="C87" s="41"/>
      <c r="D87" s="41"/>
      <c r="E87" s="41"/>
      <c r="F87" s="41"/>
      <c r="G87" s="41"/>
      <c r="H87" s="41"/>
      <c r="I87" s="42"/>
      <c r="J87" s="41"/>
      <c r="K87" s="41"/>
      <c r="L87" s="41"/>
      <c r="M87" s="41"/>
      <c r="N87" s="41"/>
      <c r="O87" s="121"/>
      <c r="P87" s="121"/>
      <c r="Q87" s="41"/>
    </row>
    <row r="88" spans="2:17" s="38" customFormat="1" ht="9" x14ac:dyDescent="0.15">
      <c r="B88" s="41"/>
      <c r="C88" s="41"/>
      <c r="D88" s="41"/>
      <c r="E88" s="41"/>
      <c r="F88" s="41"/>
      <c r="G88" s="41"/>
      <c r="H88" s="41"/>
      <c r="I88" s="42"/>
      <c r="J88" s="41"/>
      <c r="K88" s="41"/>
      <c r="L88" s="41"/>
      <c r="M88" s="41"/>
      <c r="N88" s="41"/>
      <c r="O88" s="121"/>
      <c r="P88" s="121"/>
      <c r="Q88" s="41"/>
    </row>
    <row r="89" spans="2:17" s="38" customFormat="1" ht="9" x14ac:dyDescent="0.15">
      <c r="B89" s="41"/>
      <c r="C89" s="41"/>
      <c r="D89" s="41"/>
      <c r="E89" s="41"/>
      <c r="F89" s="41"/>
      <c r="G89" s="41"/>
      <c r="H89" s="41"/>
      <c r="I89" s="42"/>
      <c r="J89" s="41"/>
      <c r="K89" s="41"/>
      <c r="L89" s="41"/>
      <c r="M89" s="41"/>
      <c r="N89" s="41"/>
      <c r="O89" s="121"/>
      <c r="P89" s="121"/>
      <c r="Q89" s="41"/>
    </row>
    <row r="90" spans="2:17" s="38" customFormat="1" ht="9" x14ac:dyDescent="0.15">
      <c r="B90" s="41"/>
      <c r="C90" s="41"/>
      <c r="D90" s="41"/>
      <c r="E90" s="41"/>
      <c r="F90" s="41"/>
      <c r="G90" s="41"/>
      <c r="H90" s="41"/>
      <c r="I90" s="42"/>
      <c r="J90" s="41"/>
      <c r="K90" s="41"/>
      <c r="L90" s="41"/>
      <c r="M90" s="41"/>
      <c r="N90" s="41"/>
      <c r="O90" s="121"/>
      <c r="P90" s="121"/>
      <c r="Q90" s="41"/>
    </row>
    <row r="91" spans="2:17" s="38" customFormat="1" ht="9" x14ac:dyDescent="0.15">
      <c r="B91" s="41"/>
      <c r="C91" s="41"/>
      <c r="D91" s="41"/>
      <c r="E91" s="41"/>
      <c r="F91" s="41"/>
      <c r="G91" s="41"/>
      <c r="H91" s="41"/>
      <c r="I91" s="42"/>
      <c r="J91" s="41"/>
      <c r="K91" s="41"/>
      <c r="L91" s="41"/>
      <c r="M91" s="41"/>
      <c r="N91" s="41"/>
      <c r="O91" s="121"/>
      <c r="P91" s="121"/>
      <c r="Q91" s="41"/>
    </row>
    <row r="92" spans="2:17" s="38" customFormat="1" ht="9" x14ac:dyDescent="0.15">
      <c r="B92" s="41"/>
      <c r="C92" s="41"/>
      <c r="D92" s="41"/>
      <c r="E92" s="41"/>
      <c r="F92" s="41"/>
      <c r="G92" s="41"/>
      <c r="H92" s="41"/>
      <c r="I92" s="42"/>
      <c r="J92" s="41"/>
      <c r="K92" s="41"/>
      <c r="L92" s="41"/>
      <c r="M92" s="41"/>
      <c r="N92" s="41"/>
      <c r="O92" s="121"/>
      <c r="P92" s="121"/>
      <c r="Q92" s="41"/>
    </row>
    <row r="93" spans="2:17" s="38" customFormat="1" ht="9" x14ac:dyDescent="0.15">
      <c r="B93" s="41"/>
      <c r="C93" s="41"/>
      <c r="D93" s="41"/>
      <c r="E93" s="41"/>
      <c r="F93" s="41"/>
      <c r="G93" s="41"/>
      <c r="H93" s="41"/>
      <c r="I93" s="42"/>
      <c r="J93" s="41"/>
      <c r="K93" s="41"/>
      <c r="L93" s="41"/>
      <c r="M93" s="41"/>
      <c r="N93" s="41"/>
      <c r="O93" s="121"/>
      <c r="P93" s="121"/>
      <c r="Q93" s="41"/>
    </row>
    <row r="94" spans="2:17" s="38" customFormat="1" ht="9" x14ac:dyDescent="0.15">
      <c r="B94" s="41"/>
      <c r="C94" s="41"/>
      <c r="D94" s="41"/>
      <c r="E94" s="41"/>
      <c r="F94" s="41"/>
      <c r="G94" s="41"/>
      <c r="H94" s="41"/>
      <c r="I94" s="42"/>
      <c r="J94" s="41"/>
      <c r="K94" s="41"/>
      <c r="L94" s="41"/>
      <c r="M94" s="41"/>
      <c r="N94" s="41"/>
      <c r="O94" s="121"/>
      <c r="P94" s="121"/>
      <c r="Q94" s="41"/>
    </row>
    <row r="95" spans="2:17" s="38" customFormat="1" ht="9" x14ac:dyDescent="0.15">
      <c r="B95" s="41"/>
      <c r="C95" s="41"/>
      <c r="D95" s="41"/>
      <c r="E95" s="41"/>
      <c r="F95" s="41"/>
      <c r="G95" s="41"/>
      <c r="H95" s="41"/>
      <c r="I95" s="42"/>
      <c r="J95" s="41"/>
      <c r="K95" s="41"/>
      <c r="L95" s="41"/>
      <c r="M95" s="41"/>
      <c r="N95" s="41"/>
      <c r="O95" s="121"/>
      <c r="P95" s="121"/>
      <c r="Q95" s="41"/>
    </row>
    <row r="96" spans="2:17" s="38" customFormat="1" ht="9" x14ac:dyDescent="0.15">
      <c r="B96" s="41"/>
      <c r="C96" s="41"/>
      <c r="D96" s="41"/>
      <c r="E96" s="41"/>
      <c r="F96" s="41"/>
      <c r="G96" s="41"/>
      <c r="H96" s="41"/>
      <c r="I96" s="42"/>
      <c r="J96" s="41"/>
      <c r="K96" s="41"/>
      <c r="L96" s="41"/>
      <c r="M96" s="41"/>
      <c r="N96" s="41"/>
      <c r="O96" s="121"/>
      <c r="P96" s="121"/>
      <c r="Q96" s="41"/>
    </row>
    <row r="97" spans="2:18" s="38" customFormat="1" ht="9" x14ac:dyDescent="0.15">
      <c r="B97" s="41"/>
      <c r="C97" s="41"/>
      <c r="D97" s="41"/>
      <c r="E97" s="41"/>
      <c r="F97" s="41"/>
      <c r="G97" s="41"/>
      <c r="H97" s="41"/>
      <c r="I97" s="42"/>
      <c r="J97" s="41"/>
      <c r="K97" s="41"/>
      <c r="L97" s="41"/>
      <c r="M97" s="41"/>
      <c r="N97" s="41"/>
      <c r="O97" s="121"/>
      <c r="P97" s="121"/>
      <c r="Q97" s="41"/>
    </row>
    <row r="98" spans="2:18" s="38" customFormat="1" ht="9" x14ac:dyDescent="0.15">
      <c r="B98" s="41"/>
      <c r="C98" s="41"/>
      <c r="D98" s="41"/>
      <c r="E98" s="41"/>
      <c r="F98" s="41"/>
      <c r="G98" s="41"/>
      <c r="H98" s="41"/>
      <c r="I98" s="42"/>
      <c r="J98" s="41"/>
      <c r="K98" s="41"/>
      <c r="L98" s="41"/>
      <c r="M98" s="41"/>
      <c r="N98" s="41"/>
      <c r="O98" s="121"/>
      <c r="P98" s="121"/>
      <c r="Q98" s="41"/>
    </row>
    <row r="99" spans="2:18" s="38" customFormat="1" ht="9" x14ac:dyDescent="0.15">
      <c r="B99" s="41"/>
      <c r="C99" s="41"/>
      <c r="D99" s="41"/>
      <c r="E99" s="41"/>
      <c r="F99" s="41"/>
      <c r="G99" s="41"/>
      <c r="H99" s="41"/>
      <c r="I99" s="42"/>
      <c r="J99" s="41"/>
      <c r="K99" s="41"/>
      <c r="L99" s="41"/>
      <c r="M99" s="41"/>
      <c r="N99" s="41"/>
      <c r="O99" s="121"/>
      <c r="P99" s="121"/>
      <c r="Q99" s="41"/>
    </row>
    <row r="100" spans="2:18" s="38" customFormat="1" ht="9" x14ac:dyDescent="0.15">
      <c r="B100" s="41"/>
      <c r="C100" s="41"/>
      <c r="D100" s="41"/>
      <c r="E100" s="41"/>
      <c r="F100" s="41"/>
      <c r="G100" s="41"/>
      <c r="H100" s="41"/>
      <c r="I100" s="42"/>
      <c r="J100" s="41"/>
      <c r="K100" s="41"/>
      <c r="L100" s="41"/>
      <c r="M100" s="41"/>
      <c r="N100" s="41"/>
      <c r="O100" s="121"/>
      <c r="P100" s="121"/>
      <c r="Q100" s="41"/>
    </row>
    <row r="101" spans="2:18" s="38" customFormat="1" ht="9" x14ac:dyDescent="0.15">
      <c r="B101" s="41"/>
      <c r="C101" s="41"/>
      <c r="D101" s="41"/>
      <c r="E101" s="41"/>
      <c r="F101" s="41"/>
      <c r="G101" s="41"/>
      <c r="H101" s="41"/>
      <c r="I101" s="42"/>
      <c r="J101" s="41"/>
      <c r="K101" s="41"/>
      <c r="L101" s="41"/>
      <c r="M101" s="41"/>
      <c r="N101" s="41"/>
      <c r="O101" s="121"/>
      <c r="P101" s="121"/>
      <c r="Q101" s="41"/>
    </row>
    <row r="102" spans="2:18" s="38" customFormat="1" ht="9" x14ac:dyDescent="0.15">
      <c r="B102" s="41"/>
      <c r="C102" s="41"/>
      <c r="D102" s="41"/>
      <c r="E102" s="41"/>
      <c r="F102" s="41"/>
      <c r="G102" s="41"/>
      <c r="H102" s="41"/>
      <c r="I102" s="42"/>
      <c r="J102" s="41"/>
      <c r="K102" s="41"/>
      <c r="L102" s="41"/>
      <c r="M102" s="41"/>
      <c r="N102" s="41"/>
      <c r="O102" s="121"/>
      <c r="P102" s="121"/>
      <c r="Q102" s="41"/>
    </row>
    <row r="103" spans="2:18" s="38" customFormat="1" ht="9" x14ac:dyDescent="0.15">
      <c r="B103" s="41"/>
      <c r="C103" s="41"/>
      <c r="D103" s="41"/>
      <c r="E103" s="41"/>
      <c r="F103" s="41"/>
      <c r="G103" s="41"/>
      <c r="H103" s="41"/>
      <c r="I103" s="42"/>
      <c r="J103" s="41"/>
      <c r="K103" s="41"/>
      <c r="L103" s="41"/>
      <c r="M103" s="41"/>
      <c r="N103" s="41"/>
      <c r="O103" s="121"/>
      <c r="P103" s="121"/>
      <c r="Q103" s="41"/>
    </row>
    <row r="104" spans="2:18" s="38" customFormat="1" ht="9" x14ac:dyDescent="0.15">
      <c r="B104" s="41"/>
      <c r="C104" s="41"/>
      <c r="D104" s="41"/>
      <c r="E104" s="41"/>
      <c r="F104" s="41"/>
      <c r="G104" s="41"/>
      <c r="H104" s="41"/>
      <c r="I104" s="42"/>
      <c r="J104" s="41"/>
      <c r="K104" s="41"/>
      <c r="L104" s="41"/>
      <c r="M104" s="41"/>
      <c r="N104" s="41"/>
      <c r="O104" s="121"/>
      <c r="P104" s="121"/>
      <c r="Q104" s="41"/>
    </row>
    <row r="105" spans="2:18" s="38" customFormat="1" x14ac:dyDescent="0.2">
      <c r="B105" s="41"/>
      <c r="C105" s="41"/>
      <c r="D105" s="41"/>
      <c r="E105" s="41"/>
      <c r="F105" s="41"/>
      <c r="G105" s="41"/>
      <c r="H105" s="41"/>
      <c r="I105" s="42"/>
      <c r="J105" s="41"/>
      <c r="K105" s="41"/>
      <c r="L105" s="41"/>
      <c r="M105" s="41"/>
      <c r="N105" s="41"/>
      <c r="O105" s="121"/>
      <c r="P105" s="121"/>
      <c r="Q105" s="41"/>
      <c r="R105" s="77"/>
    </row>
  </sheetData>
  <mergeCells count="3">
    <mergeCell ref="A1:Q1"/>
    <mergeCell ref="A2:Q2"/>
    <mergeCell ref="A65:O65"/>
  </mergeCells>
  <phoneticPr fontId="9" type="noConversion"/>
  <pageMargins left="0.25" right="0.25" top="0.5" bottom="0.5" header="0.5" footer="0.5"/>
  <pageSetup scale="6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7"/>
  <sheetViews>
    <sheetView zoomScale="110" zoomScaleNormal="110" workbookViewId="0">
      <pane xSplit="1" ySplit="3" topLeftCell="G37" activePane="bottomRight" state="frozen"/>
      <selection activeCell="O55" sqref="O55"/>
      <selection pane="topRight" activeCell="O55" sqref="O55"/>
      <selection pane="bottomLeft" activeCell="O55" sqref="O55"/>
      <selection pane="bottomRight" activeCell="N71" sqref="N71"/>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7.85546875" style="39" bestFit="1" customWidth="1"/>
    <col min="9" max="9" width="9.42578125" style="40" bestFit="1" customWidth="1"/>
    <col min="10" max="11" width="6.85546875" style="39" bestFit="1" customWidth="1"/>
    <col min="12" max="12" width="8.5703125" style="39" customWidth="1"/>
    <col min="13" max="13" width="7.85546875" style="39" hidden="1" customWidth="1"/>
    <col min="14" max="14" width="10.140625" style="39" customWidth="1"/>
    <col min="15" max="15" width="10.140625" style="120" bestFit="1" customWidth="1"/>
    <col min="16" max="16" width="10" style="120" bestFit="1" customWidth="1"/>
    <col min="17" max="17" width="3.5703125" style="39" customWidth="1"/>
    <col min="18" max="19" width="9.140625" style="77" hidden="1" customWidth="1"/>
    <col min="20" max="20" width="11.140625" style="77" customWidth="1"/>
    <col min="21" max="21" width="8.5703125" style="77" customWidth="1"/>
    <col min="22" max="16384" width="9.140625" style="77"/>
  </cols>
  <sheetData>
    <row r="1" spans="1:21" x14ac:dyDescent="0.2">
      <c r="A1" s="684" t="s">
        <v>713</v>
      </c>
      <c r="B1" s="684"/>
      <c r="C1" s="684"/>
      <c r="D1" s="684"/>
      <c r="E1" s="684"/>
      <c r="F1" s="684"/>
      <c r="G1" s="684"/>
      <c r="H1" s="684"/>
      <c r="I1" s="684"/>
      <c r="J1" s="684"/>
      <c r="K1" s="684"/>
      <c r="L1" s="684"/>
      <c r="M1" s="684"/>
      <c r="N1" s="684"/>
      <c r="O1" s="684"/>
      <c r="P1" s="684"/>
      <c r="Q1" s="684"/>
    </row>
    <row r="2" spans="1:21" x14ac:dyDescent="0.2">
      <c r="A2" s="685" t="s">
        <v>592</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ROUND(SUM('Base Data'!$H$79:$H$81)/3,0)</f>
        <v>0</v>
      </c>
      <c r="J7" s="64">
        <f>H7*I7</f>
        <v>0</v>
      </c>
      <c r="K7" s="64">
        <f>J7*0.1</f>
        <v>0</v>
      </c>
      <c r="L7" s="63">
        <f>J7*0.05</f>
        <v>0</v>
      </c>
      <c r="M7" s="31">
        <f>C7*G7*I7</f>
        <v>0</v>
      </c>
      <c r="N7" s="37">
        <f>(J7*'Base Data'!$C$5)+(K7*'Base Data'!$C$6)+(L7*'Base Data'!$C$7)</f>
        <v>0</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f>ROUND(SUM('Base Data'!$D$79:$D$80)/3,0)</f>
        <v>0</v>
      </c>
      <c r="J9" s="64">
        <f t="shared" ref="J9:J19" si="1">H9*I9</f>
        <v>0</v>
      </c>
      <c r="K9" s="64">
        <f t="shared" ref="K9:K19" si="2">J9*0.1</f>
        <v>0</v>
      </c>
      <c r="L9" s="64">
        <f t="shared" ref="L9:L19" si="3">J9*0.05</f>
        <v>0</v>
      </c>
      <c r="M9" s="65"/>
      <c r="N9" s="37">
        <f>(J9*'Base Data'!$C$5)+(K9*'Base Data'!$C$6)+(L9*'Base Data'!$C$7)</f>
        <v>0</v>
      </c>
      <c r="O9" s="37">
        <f t="shared" ref="O9:O19" si="4">(D9+E9+F9)*G9*I9</f>
        <v>0</v>
      </c>
      <c r="P9" s="64">
        <v>0</v>
      </c>
      <c r="Q9" s="66"/>
      <c r="U9" s="119"/>
    </row>
    <row r="10" spans="1:21" s="95" customFormat="1" ht="9" x14ac:dyDescent="0.15">
      <c r="A10" s="91" t="s">
        <v>109</v>
      </c>
      <c r="B10" s="31">
        <v>12</v>
      </c>
      <c r="C10" s="31"/>
      <c r="D10" s="37">
        <v>0</v>
      </c>
      <c r="E10" s="37">
        <f>'Testing Costs'!$B$17</f>
        <v>8000</v>
      </c>
      <c r="F10" s="37">
        <v>0</v>
      </c>
      <c r="G10" s="31">
        <v>1</v>
      </c>
      <c r="H10" s="31">
        <f t="shared" si="0"/>
        <v>12</v>
      </c>
      <c r="I10" s="63">
        <v>0</v>
      </c>
      <c r="J10" s="64">
        <f t="shared" si="1"/>
        <v>0</v>
      </c>
      <c r="K10" s="64">
        <f t="shared" si="2"/>
        <v>0</v>
      </c>
      <c r="L10" s="64">
        <f t="shared" si="3"/>
        <v>0</v>
      </c>
      <c r="M10" s="65"/>
      <c r="N10" s="37">
        <f>(J10*'Base Data'!$C$5)+(K10*'Base Data'!$C$6)+(L10*'Base Data'!$C$7)</f>
        <v>0</v>
      </c>
      <c r="O10" s="37">
        <f t="shared" si="4"/>
        <v>0</v>
      </c>
      <c r="P10" s="64">
        <v>0</v>
      </c>
      <c r="Q10" s="66"/>
      <c r="U10" s="119"/>
    </row>
    <row r="11" spans="1:21" s="95" customFormat="1" ht="9" x14ac:dyDescent="0.15">
      <c r="A11" s="91" t="s">
        <v>110</v>
      </c>
      <c r="B11" s="31">
        <v>12</v>
      </c>
      <c r="C11" s="31"/>
      <c r="D11" s="37">
        <v>0</v>
      </c>
      <c r="E11" s="37">
        <f>'Testing Costs'!$B$15</f>
        <v>8000</v>
      </c>
      <c r="F11" s="37">
        <v>0</v>
      </c>
      <c r="G11" s="31">
        <v>1</v>
      </c>
      <c r="H11" s="31">
        <f t="shared" si="0"/>
        <v>12</v>
      </c>
      <c r="I11" s="63">
        <v>0</v>
      </c>
      <c r="J11" s="64">
        <f t="shared" si="1"/>
        <v>0</v>
      </c>
      <c r="K11" s="64">
        <f t="shared" si="2"/>
        <v>0</v>
      </c>
      <c r="L11" s="64">
        <f t="shared" si="3"/>
        <v>0</v>
      </c>
      <c r="M11" s="65"/>
      <c r="N11" s="37">
        <f>(J11*'Base Data'!$C$5)+(K11*'Base Data'!$C$6)+(L11*'Base Data'!$C$7)</f>
        <v>0</v>
      </c>
      <c r="O11" s="37">
        <f t="shared" si="4"/>
        <v>0</v>
      </c>
      <c r="P11" s="64">
        <v>0</v>
      </c>
      <c r="Q11" s="66"/>
      <c r="U11" s="119"/>
    </row>
    <row r="12" spans="1:21" s="95" customFormat="1" ht="9" x14ac:dyDescent="0.15">
      <c r="A12" s="91" t="s">
        <v>111</v>
      </c>
      <c r="B12" s="31">
        <v>12</v>
      </c>
      <c r="C12" s="31"/>
      <c r="D12" s="37">
        <v>0</v>
      </c>
      <c r="E12" s="37">
        <f>'Testing Costs'!$B$14</f>
        <v>7000</v>
      </c>
      <c r="F12" s="37">
        <v>0</v>
      </c>
      <c r="G12" s="31">
        <v>1</v>
      </c>
      <c r="H12" s="31">
        <f t="shared" si="0"/>
        <v>12</v>
      </c>
      <c r="I12" s="63">
        <f>ROUND(SUM('Base Data'!$D$79:$D$81)/3,0)</f>
        <v>0</v>
      </c>
      <c r="J12" s="64">
        <f t="shared" si="1"/>
        <v>0</v>
      </c>
      <c r="K12" s="64">
        <f t="shared" si="2"/>
        <v>0</v>
      </c>
      <c r="L12" s="64">
        <f t="shared" si="3"/>
        <v>0</v>
      </c>
      <c r="M12" s="65"/>
      <c r="N12" s="37">
        <f>(J12*'Base Data'!$C$5)+(K12*'Base Data'!$C$6)+(L12*'Base Data'!$C$7)</f>
        <v>0</v>
      </c>
      <c r="O12" s="37">
        <f t="shared" si="4"/>
        <v>0</v>
      </c>
      <c r="P12" s="64">
        <v>0</v>
      </c>
      <c r="Q12" s="66"/>
      <c r="U12" s="119"/>
    </row>
    <row r="13" spans="1:21" s="95" customFormat="1" ht="9" customHeight="1" x14ac:dyDescent="0.15">
      <c r="A13" s="91" t="s">
        <v>439</v>
      </c>
      <c r="B13" s="31">
        <v>12</v>
      </c>
      <c r="C13" s="31"/>
      <c r="D13" s="37">
        <v>0</v>
      </c>
      <c r="E13" s="37">
        <f>'Testing Costs'!$B$13</f>
        <v>5000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c r="U13" s="119"/>
    </row>
    <row r="14" spans="1:21" s="95" customFormat="1" ht="9" x14ac:dyDescent="0.15">
      <c r="A14" s="91" t="s">
        <v>440</v>
      </c>
      <c r="B14" s="31">
        <v>12</v>
      </c>
      <c r="C14" s="31"/>
      <c r="D14" s="37">
        <v>0</v>
      </c>
      <c r="E14" s="37">
        <f>'Testing Costs'!$B$17</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c r="U14" s="119"/>
    </row>
    <row r="15" spans="1:21" s="95" customFormat="1" ht="9" x14ac:dyDescent="0.15">
      <c r="A15" s="91" t="s">
        <v>441</v>
      </c>
      <c r="B15" s="31">
        <v>12</v>
      </c>
      <c r="C15" s="31"/>
      <c r="D15" s="37">
        <v>0</v>
      </c>
      <c r="E15" s="37">
        <f>'Testing Costs'!$B$15</f>
        <v>8000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c r="U15" s="119"/>
    </row>
    <row r="16" spans="1:21" s="95" customFormat="1" ht="9" x14ac:dyDescent="0.15">
      <c r="A16" s="91" t="s">
        <v>442</v>
      </c>
      <c r="B16" s="31">
        <v>12</v>
      </c>
      <c r="C16" s="31"/>
      <c r="D16" s="37">
        <v>0</v>
      </c>
      <c r="E16" s="37">
        <f>'Testing Costs'!$B$14</f>
        <v>7000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c r="U16" s="119"/>
    </row>
    <row r="17" spans="1:21" s="95" customFormat="1" ht="18" x14ac:dyDescent="0.15">
      <c r="A17" s="197" t="s">
        <v>443</v>
      </c>
      <c r="B17" s="31">
        <v>24</v>
      </c>
      <c r="C17" s="196"/>
      <c r="D17" s="37">
        <v>0</v>
      </c>
      <c r="E17" s="37">
        <f>$E$10+$E$11</f>
        <v>16000</v>
      </c>
      <c r="F17" s="37">
        <v>0</v>
      </c>
      <c r="G17" s="31">
        <v>1</v>
      </c>
      <c r="H17" s="31">
        <f t="shared" si="0"/>
        <v>24</v>
      </c>
      <c r="I17" s="63">
        <v>0</v>
      </c>
      <c r="J17" s="64">
        <f t="shared" si="1"/>
        <v>0</v>
      </c>
      <c r="K17" s="64">
        <f t="shared" si="2"/>
        <v>0</v>
      </c>
      <c r="L17" s="64">
        <f t="shared" si="3"/>
        <v>0</v>
      </c>
      <c r="M17" s="65"/>
      <c r="N17" s="37">
        <f>(J17*'Base Data'!$C$5)+(K17*'Base Data'!$C$6)+(L17*'Base Data'!$C$7)</f>
        <v>0</v>
      </c>
      <c r="O17" s="37">
        <f t="shared" si="4"/>
        <v>0</v>
      </c>
      <c r="P17" s="64">
        <v>0</v>
      </c>
      <c r="Q17" s="66"/>
    </row>
    <row r="18" spans="1:21" s="95" customFormat="1" ht="9" customHeight="1" x14ac:dyDescent="0.15">
      <c r="A18" s="91" t="s">
        <v>444</v>
      </c>
      <c r="B18" s="31">
        <v>5</v>
      </c>
      <c r="C18" s="31"/>
      <c r="D18" s="37">
        <v>0</v>
      </c>
      <c r="E18" s="37">
        <v>400</v>
      </c>
      <c r="F18" s="37">
        <v>0</v>
      </c>
      <c r="G18" s="31">
        <v>1</v>
      </c>
      <c r="H18" s="31">
        <f t="shared" si="0"/>
        <v>5</v>
      </c>
      <c r="I18" s="63">
        <f>ROUND(SUM('Base Data'!$D$79:$D$81)/3,0)</f>
        <v>0</v>
      </c>
      <c r="J18" s="64">
        <f t="shared" si="1"/>
        <v>0</v>
      </c>
      <c r="K18" s="64">
        <f t="shared" si="2"/>
        <v>0</v>
      </c>
      <c r="L18" s="64">
        <f t="shared" si="3"/>
        <v>0</v>
      </c>
      <c r="M18" s="65"/>
      <c r="N18" s="37">
        <f>(J18*'Base Data'!$C$5)+(K18*'Base Data'!$C$6)+(L18*'Base Data'!$C$7)</f>
        <v>0</v>
      </c>
      <c r="O18" s="37">
        <f t="shared" si="4"/>
        <v>0</v>
      </c>
      <c r="P18" s="64">
        <v>0</v>
      </c>
      <c r="Q18" s="66"/>
      <c r="U18" s="119"/>
    </row>
    <row r="19" spans="1:21" s="95" customFormat="1" ht="9" customHeight="1" x14ac:dyDescent="0.15">
      <c r="A19" s="91" t="s">
        <v>445</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v>0</v>
      </c>
      <c r="Q19" s="66"/>
      <c r="U19" s="119"/>
    </row>
    <row r="20" spans="1:21" s="95" customFormat="1" ht="9" x14ac:dyDescent="0.15">
      <c r="A20" s="90" t="s">
        <v>446</v>
      </c>
      <c r="B20" s="31">
        <v>12</v>
      </c>
      <c r="C20" s="31"/>
      <c r="D20" s="37">
        <v>0</v>
      </c>
      <c r="E20" s="37">
        <v>2875</v>
      </c>
      <c r="F20" s="37">
        <v>0</v>
      </c>
      <c r="G20" s="31">
        <v>1</v>
      </c>
      <c r="H20" s="31">
        <f>B20*G20</f>
        <v>12</v>
      </c>
      <c r="I20" s="63">
        <v>0</v>
      </c>
      <c r="J20" s="63">
        <f>H20*I20</f>
        <v>0</v>
      </c>
      <c r="K20" s="63">
        <f>J20*0.1</f>
        <v>0</v>
      </c>
      <c r="L20" s="63">
        <f>J20*0.05</f>
        <v>0</v>
      </c>
      <c r="M20" s="64"/>
      <c r="N20" s="37">
        <f>(J20*'Base Data'!$C$5)+(K20*'Base Data'!$C$6)+(L20*'Base Data'!$C$7)</f>
        <v>0</v>
      </c>
      <c r="O20" s="37">
        <f>(D20+E20+F20)*G20*I20</f>
        <v>0</v>
      </c>
      <c r="P20" s="64">
        <v>0</v>
      </c>
      <c r="Q20" s="66"/>
      <c r="R20" s="250" t="s">
        <v>436</v>
      </c>
    </row>
    <row r="21" spans="1:21" s="95" customFormat="1" ht="9" x14ac:dyDescent="0.15">
      <c r="A21" s="91" t="s">
        <v>431</v>
      </c>
      <c r="B21" s="31"/>
      <c r="C21" s="31"/>
      <c r="D21" s="37"/>
      <c r="E21" s="37"/>
      <c r="F21" s="37"/>
      <c r="G21" s="31"/>
      <c r="H21" s="31"/>
      <c r="I21" s="64"/>
      <c r="J21" s="64"/>
      <c r="K21" s="64"/>
      <c r="L21" s="64"/>
      <c r="M21" s="65"/>
      <c r="N21" s="37"/>
      <c r="O21" s="37"/>
      <c r="P21" s="64"/>
      <c r="Q21" s="66"/>
      <c r="U21" s="119"/>
    </row>
    <row r="22" spans="1:21" s="95" customFormat="1" ht="9" x14ac:dyDescent="0.15">
      <c r="A22" s="91" t="s">
        <v>310</v>
      </c>
      <c r="B22" s="31">
        <v>40</v>
      </c>
      <c r="C22" s="31"/>
      <c r="D22" s="37">
        <v>0</v>
      </c>
      <c r="E22" s="37"/>
      <c r="F22" s="37">
        <v>0</v>
      </c>
      <c r="G22" s="31">
        <v>1</v>
      </c>
      <c r="H22" s="31">
        <f>B22*G22</f>
        <v>40</v>
      </c>
      <c r="I22" s="63">
        <f>ROUND(SUM('Base Data'!$H$79:$H$81)/3,0)</f>
        <v>0</v>
      </c>
      <c r="J22" s="64">
        <f>H22*I22</f>
        <v>0</v>
      </c>
      <c r="K22" s="64">
        <f>J22*0.1</f>
        <v>0</v>
      </c>
      <c r="L22" s="64">
        <f>J22*0.05</f>
        <v>0</v>
      </c>
      <c r="M22" s="65"/>
      <c r="N22" s="37">
        <f>(J22*'Base Data'!$C$5)+(K22*'Base Data'!$C$6)+(L22*'Base Data'!$C$7)</f>
        <v>0</v>
      </c>
      <c r="O22" s="37">
        <f>(D22+E22+F22)*G22*I22</f>
        <v>0</v>
      </c>
      <c r="P22" s="64">
        <v>0</v>
      </c>
      <c r="Q22" s="66"/>
      <c r="U22" s="119"/>
    </row>
    <row r="23" spans="1:21" s="95" customFormat="1" ht="9" x14ac:dyDescent="0.15">
      <c r="A23" s="90" t="s">
        <v>289</v>
      </c>
      <c r="B23" s="31"/>
      <c r="C23" s="31"/>
      <c r="D23" s="37"/>
      <c r="E23" s="37"/>
      <c r="F23" s="37"/>
      <c r="G23" s="31"/>
      <c r="H23" s="31"/>
      <c r="I23" s="64"/>
      <c r="J23" s="64"/>
      <c r="K23" s="64"/>
      <c r="L23" s="64"/>
      <c r="M23" s="65"/>
      <c r="N23" s="37"/>
      <c r="O23" s="37"/>
      <c r="P23" s="64">
        <v>0</v>
      </c>
      <c r="Q23" s="66"/>
      <c r="U23" s="119"/>
    </row>
    <row r="24" spans="1:21" s="95" customFormat="1" ht="9" x14ac:dyDescent="0.15">
      <c r="A24" s="90" t="s">
        <v>290</v>
      </c>
      <c r="B24" s="31">
        <v>10</v>
      </c>
      <c r="C24" s="31"/>
      <c r="D24" s="37">
        <v>0</v>
      </c>
      <c r="E24" s="37">
        <v>0</v>
      </c>
      <c r="F24" s="37">
        <v>43100</v>
      </c>
      <c r="G24" s="31">
        <v>1</v>
      </c>
      <c r="H24" s="31">
        <f>B24*G24</f>
        <v>10</v>
      </c>
      <c r="I24" s="63">
        <f>SUM(Monitors!$C$23/3,0)</f>
        <v>0</v>
      </c>
      <c r="J24" s="64">
        <f>H24*I24</f>
        <v>0</v>
      </c>
      <c r="K24" s="64">
        <f>J24*0.1</f>
        <v>0</v>
      </c>
      <c r="L24" s="64">
        <f>J24*0.05</f>
        <v>0</v>
      </c>
      <c r="M24" s="65"/>
      <c r="N24" s="37">
        <f>(J24*'Base Data'!$C$5)+(K24*'Base Data'!$C$6)+(L24*'Base Data'!$C$7)</f>
        <v>0</v>
      </c>
      <c r="O24" s="37">
        <f>(D24+E24+F24)*G24*I24</f>
        <v>0</v>
      </c>
      <c r="P24" s="64">
        <v>0</v>
      </c>
      <c r="Q24" s="66"/>
      <c r="U24" s="119"/>
    </row>
    <row r="25" spans="1:21" s="95" customFormat="1" ht="9" x14ac:dyDescent="0.15">
      <c r="A25" s="90" t="s">
        <v>293</v>
      </c>
      <c r="B25" s="31">
        <v>10</v>
      </c>
      <c r="C25" s="31"/>
      <c r="D25" s="37">
        <v>0</v>
      </c>
      <c r="E25" s="37">
        <v>0</v>
      </c>
      <c r="F25" s="37">
        <v>14700</v>
      </c>
      <c r="G25" s="31">
        <v>1</v>
      </c>
      <c r="H25" s="31">
        <f>B25*G25</f>
        <v>10</v>
      </c>
      <c r="I25" s="63">
        <v>0</v>
      </c>
      <c r="J25" s="64">
        <f>H25*I25</f>
        <v>0</v>
      </c>
      <c r="K25" s="64">
        <f>J25*0.1</f>
        <v>0</v>
      </c>
      <c r="L25" s="64">
        <f>J25*0.05</f>
        <v>0</v>
      </c>
      <c r="M25" s="65"/>
      <c r="N25" s="37">
        <f>(J25*'Base Data'!$C$5)+(K25*'Base Data'!$C$6)+(L25*'Base Data'!$C$7)</f>
        <v>0</v>
      </c>
      <c r="O25" s="37">
        <f>(D25+E25+F25)*G25*I25</f>
        <v>0</v>
      </c>
      <c r="P25" s="64">
        <v>0</v>
      </c>
      <c r="Q25" s="66"/>
      <c r="U25" s="119"/>
    </row>
    <row r="26" spans="1:21" s="95" customFormat="1" ht="9" x14ac:dyDescent="0.15">
      <c r="A26" s="90" t="s">
        <v>256</v>
      </c>
      <c r="B26" s="31"/>
      <c r="C26" s="31"/>
      <c r="D26" s="37"/>
      <c r="E26" s="37"/>
      <c r="F26" s="37"/>
      <c r="G26" s="31"/>
      <c r="H26" s="31"/>
      <c r="I26" s="64"/>
      <c r="J26" s="64"/>
      <c r="K26" s="64"/>
      <c r="L26" s="64"/>
      <c r="M26" s="65"/>
      <c r="N26" s="37"/>
      <c r="O26" s="37"/>
      <c r="P26" s="64"/>
      <c r="Q26" s="66"/>
      <c r="U26" s="119"/>
    </row>
    <row r="27" spans="1:21" s="95" customFormat="1" ht="9" x14ac:dyDescent="0.15">
      <c r="A27" s="90" t="s">
        <v>290</v>
      </c>
      <c r="B27" s="31">
        <v>10</v>
      </c>
      <c r="C27" s="31"/>
      <c r="D27" s="37">
        <v>0</v>
      </c>
      <c r="E27" s="37">
        <v>0</v>
      </c>
      <c r="F27" s="37">
        <v>158000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c r="U27" s="119"/>
    </row>
    <row r="28" spans="1:21" s="95" customFormat="1" ht="9" x14ac:dyDescent="0.15">
      <c r="A28" s="90" t="s">
        <v>293</v>
      </c>
      <c r="B28" s="31">
        <v>10</v>
      </c>
      <c r="C28" s="31"/>
      <c r="D28" s="37">
        <v>0</v>
      </c>
      <c r="E28" s="37">
        <v>0</v>
      </c>
      <c r="F28" s="37">
        <v>56100</v>
      </c>
      <c r="G28" s="31">
        <v>1</v>
      </c>
      <c r="H28" s="31">
        <f>B28*G28</f>
        <v>10</v>
      </c>
      <c r="I28" s="63">
        <v>0</v>
      </c>
      <c r="J28" s="64">
        <f>H28*I28</f>
        <v>0</v>
      </c>
      <c r="K28" s="64">
        <f>J28*0.1</f>
        <v>0</v>
      </c>
      <c r="L28" s="64">
        <f>J28*0.05</f>
        <v>0</v>
      </c>
      <c r="M28" s="65"/>
      <c r="N28" s="37">
        <f>(J28*'Base Data'!$C$5)+(K28*'Base Data'!$C$6)+(L28*'Base Data'!$C$7)</f>
        <v>0</v>
      </c>
      <c r="O28" s="37">
        <f>(D28+E28+F28)*G28*I28</f>
        <v>0</v>
      </c>
      <c r="P28" s="64">
        <v>0</v>
      </c>
      <c r="Q28" s="66"/>
      <c r="U28" s="119"/>
    </row>
    <row r="29" spans="1:21" s="95" customFormat="1" ht="9" x14ac:dyDescent="0.15">
      <c r="A29" s="90" t="s">
        <v>381</v>
      </c>
      <c r="B29" s="31"/>
      <c r="C29" s="31"/>
      <c r="D29" s="37"/>
      <c r="E29" s="37"/>
      <c r="F29" s="37"/>
      <c r="G29" s="31"/>
      <c r="H29" s="31"/>
      <c r="I29" s="63"/>
      <c r="J29" s="64"/>
      <c r="K29" s="64"/>
      <c r="L29" s="64"/>
      <c r="M29" s="65"/>
      <c r="N29" s="37"/>
      <c r="O29" s="37"/>
      <c r="P29" s="64"/>
      <c r="Q29" s="66"/>
    </row>
    <row r="30" spans="1:21" s="95" customFormat="1" ht="9" x14ac:dyDescent="0.15">
      <c r="A30" s="90" t="s">
        <v>290</v>
      </c>
      <c r="B30" s="31">
        <v>10</v>
      </c>
      <c r="C30" s="31"/>
      <c r="D30" s="37">
        <v>0</v>
      </c>
      <c r="E30" s="37">
        <v>0</v>
      </c>
      <c r="F30" s="37">
        <f>Monitors!$F$32</f>
        <v>8523</v>
      </c>
      <c r="G30" s="31">
        <v>1</v>
      </c>
      <c r="H30" s="31">
        <f>B30*G30</f>
        <v>10</v>
      </c>
      <c r="I30" s="63">
        <f>ROUND(Monitors!$F$23/3,0)</f>
        <v>0</v>
      </c>
      <c r="J30" s="64">
        <f>H30*I30</f>
        <v>0</v>
      </c>
      <c r="K30" s="64">
        <f>J30*0.1</f>
        <v>0</v>
      </c>
      <c r="L30" s="64">
        <f>J30*0.05</f>
        <v>0</v>
      </c>
      <c r="M30" s="65"/>
      <c r="N30" s="37">
        <f>(J30*'Base Data'!$C$5)+(K30*'Base Data'!$C$6)+(L30*'Base Data'!$C$7)</f>
        <v>0</v>
      </c>
      <c r="O30" s="37">
        <f>(D30+E30+F30)*G30*I30</f>
        <v>0</v>
      </c>
      <c r="P30" s="64">
        <v>0</v>
      </c>
      <c r="Q30" s="66"/>
    </row>
    <row r="31" spans="1:21" s="95" customFormat="1" ht="9" x14ac:dyDescent="0.15">
      <c r="A31" s="90" t="s">
        <v>293</v>
      </c>
      <c r="B31" s="31">
        <v>10</v>
      </c>
      <c r="C31" s="31"/>
      <c r="D31" s="37">
        <v>0</v>
      </c>
      <c r="E31" s="37">
        <v>0</v>
      </c>
      <c r="F31" s="37">
        <f>Monitors!$G$32</f>
        <v>1436</v>
      </c>
      <c r="G31" s="31">
        <v>1</v>
      </c>
      <c r="H31" s="31">
        <f>B31*G31</f>
        <v>10</v>
      </c>
      <c r="I31" s="63">
        <v>0</v>
      </c>
      <c r="J31" s="64">
        <f>H31*I31</f>
        <v>0</v>
      </c>
      <c r="K31" s="64">
        <f>J31*0.1</f>
        <v>0</v>
      </c>
      <c r="L31" s="64">
        <f>J31*0.05</f>
        <v>0</v>
      </c>
      <c r="M31" s="65"/>
      <c r="N31" s="37">
        <f>(J31*'Base Data'!$C$5)+(K31*'Base Data'!$C$6)+(L31*'Base Data'!$C$7)</f>
        <v>0</v>
      </c>
      <c r="O31" s="37">
        <f>(D31+E31+F31)*G31*I31</f>
        <v>0</v>
      </c>
      <c r="P31" s="64">
        <v>0</v>
      </c>
      <c r="Q31" s="66"/>
    </row>
    <row r="32" spans="1:21" s="95" customFormat="1" ht="18" x14ac:dyDescent="0.15">
      <c r="A32" s="91" t="s">
        <v>145</v>
      </c>
      <c r="B32" s="31"/>
      <c r="C32" s="31"/>
      <c r="D32" s="37"/>
      <c r="E32" s="37"/>
      <c r="F32" s="67"/>
      <c r="G32" s="31"/>
      <c r="H32" s="31"/>
      <c r="I32" s="68"/>
      <c r="J32" s="64"/>
      <c r="K32" s="64"/>
      <c r="L32" s="64"/>
      <c r="M32" s="65"/>
      <c r="N32" s="37"/>
      <c r="O32" s="37"/>
      <c r="P32" s="64"/>
      <c r="Q32" s="66"/>
      <c r="U32" s="119"/>
    </row>
    <row r="33" spans="1:21" s="95" customFormat="1" ht="9" x14ac:dyDescent="0.15">
      <c r="A33" s="90" t="s">
        <v>290</v>
      </c>
      <c r="B33" s="31">
        <v>10</v>
      </c>
      <c r="C33" s="31"/>
      <c r="D33" s="37">
        <v>0</v>
      </c>
      <c r="E33" s="37">
        <v>0</v>
      </c>
      <c r="F33" s="37">
        <v>24300</v>
      </c>
      <c r="G33" s="31">
        <v>1</v>
      </c>
      <c r="H33" s="31">
        <f>B33*G33</f>
        <v>10</v>
      </c>
      <c r="I33" s="63">
        <f>ROUND(Monitors!$D$23/3,0)</f>
        <v>0</v>
      </c>
      <c r="J33" s="64">
        <f>H33*I33</f>
        <v>0</v>
      </c>
      <c r="K33" s="64">
        <f>J33*0.1</f>
        <v>0</v>
      </c>
      <c r="L33" s="64">
        <f>J33*0.05</f>
        <v>0</v>
      </c>
      <c r="M33" s="65"/>
      <c r="N33" s="37">
        <f>(J33*'Base Data'!$C$5)+(K33*'Base Data'!$C$6)+(L33*'Base Data'!$C$7)</f>
        <v>0</v>
      </c>
      <c r="O33" s="37">
        <f>(D33+E33+F33)*G33*I33</f>
        <v>0</v>
      </c>
      <c r="P33" s="64">
        <v>0</v>
      </c>
      <c r="Q33" s="66"/>
      <c r="U33" s="119"/>
    </row>
    <row r="34" spans="1:21" s="95" customFormat="1" ht="9" x14ac:dyDescent="0.15">
      <c r="A34" s="90" t="s">
        <v>293</v>
      </c>
      <c r="B34" s="31">
        <v>10</v>
      </c>
      <c r="C34" s="31"/>
      <c r="D34" s="37">
        <v>0</v>
      </c>
      <c r="E34" s="37">
        <v>0</v>
      </c>
      <c r="F34" s="37">
        <v>5600</v>
      </c>
      <c r="G34" s="31">
        <v>1</v>
      </c>
      <c r="H34" s="31">
        <f>B34*G34</f>
        <v>10</v>
      </c>
      <c r="I34" s="63">
        <v>0</v>
      </c>
      <c r="J34" s="64">
        <f>H34*I34</f>
        <v>0</v>
      </c>
      <c r="K34" s="64">
        <f>J34*0.1</f>
        <v>0</v>
      </c>
      <c r="L34" s="64">
        <f>J34*0.05</f>
        <v>0</v>
      </c>
      <c r="M34" s="65"/>
      <c r="N34" s="37">
        <f>(J34*'Base Data'!$C$5)+(K34*'Base Data'!$C$6)+(L34*'Base Data'!$C$7)</f>
        <v>0</v>
      </c>
      <c r="O34" s="37">
        <f>(D34+E34+F34)*G34*I34</f>
        <v>0</v>
      </c>
      <c r="P34" s="64">
        <v>0</v>
      </c>
      <c r="Q34" s="66"/>
      <c r="U34" s="119"/>
    </row>
    <row r="35" spans="1:21" s="95" customFormat="1" ht="18" x14ac:dyDescent="0.15">
      <c r="A35" s="91" t="s">
        <v>348</v>
      </c>
      <c r="B35" s="31"/>
      <c r="C35" s="31"/>
      <c r="D35" s="37"/>
      <c r="E35" s="37"/>
      <c r="F35" s="37"/>
      <c r="G35" s="31"/>
      <c r="H35" s="31"/>
      <c r="I35" s="68"/>
      <c r="J35" s="64"/>
      <c r="K35" s="64"/>
      <c r="L35" s="64"/>
      <c r="M35" s="65"/>
      <c r="N35" s="37"/>
      <c r="O35" s="138"/>
      <c r="P35" s="64"/>
      <c r="Q35" s="66"/>
      <c r="U35" s="119"/>
    </row>
    <row r="36" spans="1:21" s="95" customFormat="1" ht="9" x14ac:dyDescent="0.15">
      <c r="A36" s="90" t="s">
        <v>290</v>
      </c>
      <c r="B36" s="31">
        <v>10</v>
      </c>
      <c r="C36" s="31"/>
      <c r="D36" s="37">
        <v>0</v>
      </c>
      <c r="E36" s="37">
        <v>0</v>
      </c>
      <c r="F36" s="37">
        <f>25500</f>
        <v>25500</v>
      </c>
      <c r="G36" s="31">
        <v>1</v>
      </c>
      <c r="H36" s="31">
        <f>B36*G36</f>
        <v>10</v>
      </c>
      <c r="I36" s="63">
        <f>ROUND(Monitors!$B$23/3,0)</f>
        <v>0</v>
      </c>
      <c r="J36" s="64">
        <f>H36*I36</f>
        <v>0</v>
      </c>
      <c r="K36" s="64">
        <f>J36*0.1</f>
        <v>0</v>
      </c>
      <c r="L36" s="64">
        <f>J36*0.05</f>
        <v>0</v>
      </c>
      <c r="M36" s="65"/>
      <c r="N36" s="37">
        <f>(J36*'Base Data'!$C$5)+(K36*'Base Data'!$C$6)+(L36*'Base Data'!$C$7)</f>
        <v>0</v>
      </c>
      <c r="O36" s="37">
        <f>(D36+E36+F36)*G36*I36</f>
        <v>0</v>
      </c>
      <c r="P36" s="64">
        <v>0</v>
      </c>
      <c r="Q36" s="66"/>
      <c r="U36" s="119"/>
    </row>
    <row r="37" spans="1:21" s="95" customFormat="1" ht="9" x14ac:dyDescent="0.15">
      <c r="A37" s="90" t="s">
        <v>293</v>
      </c>
      <c r="B37" s="31">
        <v>10</v>
      </c>
      <c r="C37" s="31"/>
      <c r="D37" s="37">
        <v>0</v>
      </c>
      <c r="E37" s="37">
        <v>0</v>
      </c>
      <c r="F37" s="37">
        <v>9700</v>
      </c>
      <c r="G37" s="31">
        <v>1</v>
      </c>
      <c r="H37" s="31">
        <f>B37*G37</f>
        <v>10</v>
      </c>
      <c r="I37" s="63">
        <v>0</v>
      </c>
      <c r="J37" s="64">
        <f>H37*I37</f>
        <v>0</v>
      </c>
      <c r="K37" s="64">
        <f>J37*0.1</f>
        <v>0</v>
      </c>
      <c r="L37" s="64">
        <f>J37*0.05</f>
        <v>0</v>
      </c>
      <c r="M37" s="65"/>
      <c r="N37" s="37">
        <f>(J37*'Base Data'!$C$5)+(K37*'Base Data'!$C$6)+(L37*'Base Data'!$C$7)</f>
        <v>0</v>
      </c>
      <c r="O37" s="37">
        <f>(D37+E37+F37)*G37*I37</f>
        <v>0</v>
      </c>
      <c r="P37" s="64">
        <v>0</v>
      </c>
      <c r="Q37" s="66"/>
      <c r="U37" s="119"/>
    </row>
    <row r="38" spans="1:21" s="95" customFormat="1" ht="18" x14ac:dyDescent="0.15">
      <c r="A38" s="91" t="s">
        <v>146</v>
      </c>
      <c r="B38" s="31"/>
      <c r="C38" s="31"/>
      <c r="D38" s="37"/>
      <c r="E38" s="37"/>
      <c r="F38" s="37"/>
      <c r="G38" s="31"/>
      <c r="H38" s="31"/>
      <c r="I38" s="68"/>
      <c r="J38" s="64"/>
      <c r="K38" s="64"/>
      <c r="L38" s="64"/>
      <c r="M38" s="65"/>
      <c r="N38" s="37"/>
      <c r="O38" s="37"/>
      <c r="P38" s="64"/>
      <c r="Q38" s="66"/>
      <c r="U38" s="119"/>
    </row>
    <row r="39" spans="1:21" s="95" customFormat="1" ht="9" x14ac:dyDescent="0.15">
      <c r="A39" s="90" t="s">
        <v>290</v>
      </c>
      <c r="B39" s="31">
        <v>10</v>
      </c>
      <c r="C39" s="31"/>
      <c r="D39" s="37">
        <v>0</v>
      </c>
      <c r="E39" s="37">
        <v>0</v>
      </c>
      <c r="F39" s="37">
        <v>115000</v>
      </c>
      <c r="G39" s="31">
        <v>1</v>
      </c>
      <c r="H39" s="31">
        <f>B39*G39</f>
        <v>10</v>
      </c>
      <c r="I39" s="63">
        <f>ROUNDDOWN(Monitors!$E$23/3,0)</f>
        <v>0</v>
      </c>
      <c r="J39" s="64">
        <f>H39*I39</f>
        <v>0</v>
      </c>
      <c r="K39" s="64">
        <f>J39*0.1</f>
        <v>0</v>
      </c>
      <c r="L39" s="64">
        <f>J39*0.05</f>
        <v>0</v>
      </c>
      <c r="M39" s="65"/>
      <c r="N39" s="37">
        <f>(J39*'Base Data'!$C$5)+(K39*'Base Data'!$C$6)+(L39*'Base Data'!$C$7)</f>
        <v>0</v>
      </c>
      <c r="O39" s="37">
        <f>(D39+E39+F39)*G39*I39</f>
        <v>0</v>
      </c>
      <c r="P39" s="64">
        <v>0</v>
      </c>
      <c r="Q39" s="66"/>
      <c r="U39" s="119"/>
    </row>
    <row r="40" spans="1:21" s="95" customFormat="1" ht="9" x14ac:dyDescent="0.15">
      <c r="A40" s="90" t="s">
        <v>293</v>
      </c>
      <c r="B40" s="31">
        <v>10</v>
      </c>
      <c r="C40" s="31"/>
      <c r="D40" s="37">
        <v>0</v>
      </c>
      <c r="E40" s="37">
        <v>0</v>
      </c>
      <c r="F40" s="37">
        <v>9700</v>
      </c>
      <c r="G40" s="31">
        <v>1</v>
      </c>
      <c r="H40" s="31">
        <f>B40*G40</f>
        <v>10</v>
      </c>
      <c r="I40" s="63">
        <v>0</v>
      </c>
      <c r="J40" s="64">
        <f>H40*I40</f>
        <v>0</v>
      </c>
      <c r="K40" s="64">
        <f>J40*0.1</f>
        <v>0</v>
      </c>
      <c r="L40" s="64">
        <f>J40*0.05</f>
        <v>0</v>
      </c>
      <c r="M40" s="65"/>
      <c r="N40" s="37">
        <f>(J40*'Base Data'!$C$5)+(K40*'Base Data'!$C$6)+(L40*'Base Data'!$C$7)</f>
        <v>0</v>
      </c>
      <c r="O40" s="37">
        <f>(D40+E40+F40)*G40*I40</f>
        <v>0</v>
      </c>
      <c r="P40" s="64">
        <v>0</v>
      </c>
      <c r="Q40" s="66"/>
      <c r="U40" s="119"/>
    </row>
    <row r="41" spans="1:21" s="95" customFormat="1" ht="9" x14ac:dyDescent="0.15">
      <c r="A41" s="90" t="s">
        <v>294</v>
      </c>
      <c r="B41" s="31" t="s">
        <v>311</v>
      </c>
      <c r="C41" s="31"/>
      <c r="D41" s="37"/>
      <c r="E41" s="37"/>
      <c r="F41" s="37"/>
      <c r="G41" s="31"/>
      <c r="H41" s="31"/>
      <c r="I41" s="64"/>
      <c r="J41" s="64"/>
      <c r="K41" s="64"/>
      <c r="L41" s="64"/>
      <c r="M41" s="31"/>
      <c r="N41" s="37"/>
      <c r="O41" s="37"/>
      <c r="P41" s="64"/>
      <c r="Q41" s="66"/>
      <c r="U41" s="119"/>
    </row>
    <row r="42" spans="1:21" s="95" customFormat="1" ht="9" x14ac:dyDescent="0.15">
      <c r="A42" s="90" t="s">
        <v>295</v>
      </c>
      <c r="B42" s="31" t="s">
        <v>311</v>
      </c>
      <c r="C42" s="31"/>
      <c r="D42" s="37"/>
      <c r="E42" s="37"/>
      <c r="F42" s="37"/>
      <c r="G42" s="31"/>
      <c r="H42" s="31"/>
      <c r="I42" s="64"/>
      <c r="J42" s="64"/>
      <c r="K42" s="64"/>
      <c r="L42" s="64"/>
      <c r="M42" s="31"/>
      <c r="N42" s="37"/>
      <c r="O42" s="37"/>
      <c r="P42" s="64"/>
      <c r="Q42" s="66"/>
    </row>
    <row r="43" spans="1:21" s="95" customFormat="1" ht="9" x14ac:dyDescent="0.15">
      <c r="A43" s="90" t="s">
        <v>296</v>
      </c>
      <c r="B43" s="31"/>
      <c r="C43" s="31"/>
      <c r="D43" s="37"/>
      <c r="E43" s="37"/>
      <c r="F43" s="37"/>
      <c r="G43" s="31"/>
      <c r="H43" s="31"/>
      <c r="I43" s="64"/>
      <c r="J43" s="64"/>
      <c r="K43" s="64"/>
      <c r="L43" s="64"/>
      <c r="M43" s="31"/>
      <c r="N43" s="37"/>
      <c r="O43" s="37"/>
      <c r="P43" s="64"/>
      <c r="Q43" s="66"/>
    </row>
    <row r="44" spans="1:21" s="95" customFormat="1" ht="9" x14ac:dyDescent="0.15">
      <c r="A44" s="101" t="s">
        <v>312</v>
      </c>
      <c r="B44" s="31">
        <v>2</v>
      </c>
      <c r="C44" s="31"/>
      <c r="D44" s="37">
        <v>0</v>
      </c>
      <c r="E44" s="37">
        <v>0</v>
      </c>
      <c r="F44" s="37">
        <v>0</v>
      </c>
      <c r="G44" s="31">
        <v>1</v>
      </c>
      <c r="H44" s="31">
        <f>B44*G44</f>
        <v>2</v>
      </c>
      <c r="I44" s="63">
        <f>$I$7</f>
        <v>0</v>
      </c>
      <c r="J44" s="64">
        <f>H44*I44</f>
        <v>0</v>
      </c>
      <c r="K44" s="64">
        <f>J44*0.1</f>
        <v>0</v>
      </c>
      <c r="L44" s="64">
        <f>J44*0.05</f>
        <v>0</v>
      </c>
      <c r="M44" s="31">
        <f>C44*G44*I44</f>
        <v>0</v>
      </c>
      <c r="N44" s="37">
        <f>(J44*'Base Data'!$C$5)+(K44*'Base Data'!$C$6)+(L44*'Base Data'!$C$7)</f>
        <v>0</v>
      </c>
      <c r="O44" s="37">
        <f>(D44+E44+F44)*G44*I44</f>
        <v>0</v>
      </c>
      <c r="P44" s="64">
        <f>G44*I44</f>
        <v>0</v>
      </c>
      <c r="Q44" s="66"/>
    </row>
    <row r="45" spans="1:21" s="95" customFormat="1" ht="9" customHeight="1" x14ac:dyDescent="0.15">
      <c r="A45" s="101" t="s">
        <v>273</v>
      </c>
      <c r="B45" s="31">
        <v>8</v>
      </c>
      <c r="C45" s="31"/>
      <c r="D45" s="37">
        <v>0</v>
      </c>
      <c r="E45" s="37">
        <v>0</v>
      </c>
      <c r="F45" s="37">
        <v>0</v>
      </c>
      <c r="G45" s="31">
        <v>1</v>
      </c>
      <c r="H45" s="31">
        <f>B45*G45</f>
        <v>8</v>
      </c>
      <c r="I45" s="63">
        <f>$I$7</f>
        <v>0</v>
      </c>
      <c r="J45" s="64">
        <f>H45*I45</f>
        <v>0</v>
      </c>
      <c r="K45" s="64">
        <f>J45*0.1</f>
        <v>0</v>
      </c>
      <c r="L45" s="64">
        <f>J45*0.05</f>
        <v>0</v>
      </c>
      <c r="M45" s="31">
        <f>C45*G45*I45</f>
        <v>0</v>
      </c>
      <c r="N45" s="37">
        <f>(J45*'Base Data'!$C$5)+(K45*'Base Data'!$C$6)+(L45*'Base Data'!$C$7)</f>
        <v>0</v>
      </c>
      <c r="O45" s="37">
        <f>(D45+E45+F45)*G45*I45</f>
        <v>0</v>
      </c>
      <c r="P45" s="64">
        <f>G45*I45</f>
        <v>0</v>
      </c>
      <c r="Q45" s="66"/>
    </row>
    <row r="46" spans="1:21" s="95" customFormat="1" ht="9" x14ac:dyDescent="0.15">
      <c r="A46" s="92" t="s">
        <v>357</v>
      </c>
      <c r="B46" s="31">
        <v>20</v>
      </c>
      <c r="C46" s="31">
        <v>0</v>
      </c>
      <c r="D46" s="37">
        <v>0</v>
      </c>
      <c r="E46" s="37">
        <v>0</v>
      </c>
      <c r="F46" s="37">
        <v>0</v>
      </c>
      <c r="G46" s="31">
        <v>2</v>
      </c>
      <c r="H46" s="31">
        <f>B46*G46</f>
        <v>40</v>
      </c>
      <c r="I46" s="63">
        <v>0</v>
      </c>
      <c r="J46" s="64">
        <f>H46*I46</f>
        <v>0</v>
      </c>
      <c r="K46" s="64">
        <f>J46*0.1</f>
        <v>0</v>
      </c>
      <c r="L46" s="64">
        <f>J46*0.05</f>
        <v>0</v>
      </c>
      <c r="M46" s="64">
        <f>C46*G46*I46</f>
        <v>0</v>
      </c>
      <c r="N46" s="37">
        <f>(J46*'Base Data'!$C$5)+(K46*'Base Data'!$C$6)+(L46*'Base Data'!$C$7)</f>
        <v>0</v>
      </c>
      <c r="O46" s="37">
        <f>(D46+E46+F46)*G46*I46</f>
        <v>0</v>
      </c>
      <c r="P46" s="64">
        <f>G46*I46</f>
        <v>0</v>
      </c>
      <c r="Q46" s="66"/>
      <c r="R46" s="108"/>
    </row>
    <row r="47" spans="1:21" s="95" customFormat="1" ht="9" hidden="1" x14ac:dyDescent="0.15">
      <c r="A47" s="92"/>
      <c r="B47" s="31"/>
      <c r="C47" s="31"/>
      <c r="D47" s="37"/>
      <c r="E47" s="37"/>
      <c r="F47" s="37"/>
      <c r="G47" s="31"/>
      <c r="H47" s="31"/>
      <c r="I47" s="63"/>
      <c r="J47" s="367">
        <f>SUM(J4:J46)</f>
        <v>0</v>
      </c>
      <c r="K47" s="367">
        <f>SUM(K4:K46)</f>
        <v>0</v>
      </c>
      <c r="L47" s="367">
        <f>SUM(L4:L46)</f>
        <v>0</v>
      </c>
      <c r="M47" s="64"/>
      <c r="N47" s="37"/>
      <c r="O47" s="37"/>
      <c r="P47" s="64"/>
      <c r="Q47" s="66"/>
      <c r="R47" s="108"/>
    </row>
    <row r="48" spans="1:21" s="371" customFormat="1" ht="9" x14ac:dyDescent="0.15">
      <c r="A48" s="362" t="s">
        <v>4</v>
      </c>
      <c r="B48" s="364"/>
      <c r="C48" s="364"/>
      <c r="D48" s="365"/>
      <c r="E48" s="365"/>
      <c r="F48" s="365"/>
      <c r="G48" s="364"/>
      <c r="H48" s="364"/>
      <c r="I48" s="366"/>
      <c r="J48" s="727">
        <f>J47+K47+L47</f>
        <v>0</v>
      </c>
      <c r="K48" s="750"/>
      <c r="L48" s="751"/>
      <c r="M48" s="367">
        <f>SUM(M4:M46)</f>
        <v>0</v>
      </c>
      <c r="N48" s="365">
        <f>SUM(N4:N46)</f>
        <v>0</v>
      </c>
      <c r="O48" s="365">
        <f>SUM(O4:O46)</f>
        <v>0</v>
      </c>
      <c r="P48" s="367">
        <f>SUM(P44:P46)</f>
        <v>0</v>
      </c>
      <c r="Q48" s="368"/>
      <c r="R48" s="369">
        <f>SUM(O7,O9:O19,O25,O28,O31,O34,O37,O40)</f>
        <v>0</v>
      </c>
      <c r="S48" s="370">
        <f>SUM(O24,O27,O30,O33,O36,O39)</f>
        <v>0</v>
      </c>
    </row>
    <row r="49" spans="1:18" s="95" customFormat="1" ht="9" x14ac:dyDescent="0.15">
      <c r="A49" s="90" t="s">
        <v>309</v>
      </c>
      <c r="B49" s="31"/>
      <c r="C49" s="31"/>
      <c r="D49" s="37"/>
      <c r="E49" s="37"/>
      <c r="F49" s="37"/>
      <c r="G49" s="31"/>
      <c r="H49" s="31"/>
      <c r="I49" s="64"/>
      <c r="J49" s="64"/>
      <c r="K49" s="64"/>
      <c r="L49" s="64"/>
      <c r="M49" s="31"/>
      <c r="N49" s="37"/>
      <c r="O49" s="37"/>
      <c r="P49" s="64"/>
      <c r="Q49" s="66"/>
    </row>
    <row r="50" spans="1:18" s="95" customFormat="1" ht="9" x14ac:dyDescent="0.15">
      <c r="A50" s="91" t="s">
        <v>287</v>
      </c>
      <c r="B50" s="31" t="s">
        <v>301</v>
      </c>
      <c r="C50" s="31"/>
      <c r="D50" s="37"/>
      <c r="E50" s="37"/>
      <c r="F50" s="37"/>
      <c r="G50" s="31"/>
      <c r="H50" s="31"/>
      <c r="I50" s="64"/>
      <c r="J50" s="64"/>
      <c r="K50" s="64"/>
      <c r="L50" s="64"/>
      <c r="M50" s="31"/>
      <c r="N50" s="37"/>
      <c r="O50" s="37"/>
      <c r="P50" s="64"/>
      <c r="Q50" s="66"/>
    </row>
    <row r="51" spans="1:18" s="95" customFormat="1" ht="9" x14ac:dyDescent="0.15">
      <c r="A51" s="90" t="s">
        <v>298</v>
      </c>
      <c r="B51" s="31" t="s">
        <v>311</v>
      </c>
      <c r="C51" s="31"/>
      <c r="D51" s="37"/>
      <c r="E51" s="37"/>
      <c r="F51" s="37"/>
      <c r="G51" s="31"/>
      <c r="H51" s="31"/>
      <c r="I51" s="64"/>
      <c r="J51" s="64"/>
      <c r="K51" s="64"/>
      <c r="L51" s="64"/>
      <c r="M51" s="31"/>
      <c r="N51" s="37"/>
      <c r="O51" s="37"/>
      <c r="P51" s="64"/>
      <c r="Q51" s="66"/>
    </row>
    <row r="52" spans="1:18" s="95" customFormat="1" ht="9" x14ac:dyDescent="0.15">
      <c r="A52" s="90" t="s">
        <v>299</v>
      </c>
      <c r="B52" s="31" t="s">
        <v>311</v>
      </c>
      <c r="C52" s="31"/>
      <c r="D52" s="37"/>
      <c r="E52" s="37"/>
      <c r="F52" s="37"/>
      <c r="G52" s="31"/>
      <c r="H52" s="31"/>
      <c r="I52" s="64"/>
      <c r="J52" s="64"/>
      <c r="K52" s="64"/>
      <c r="L52" s="64"/>
      <c r="M52" s="31"/>
      <c r="N52" s="37"/>
      <c r="O52" s="37"/>
      <c r="P52" s="64"/>
      <c r="Q52" s="66"/>
    </row>
    <row r="53" spans="1:18" s="95" customFormat="1" ht="9" x14ac:dyDescent="0.15">
      <c r="A53" s="90" t="s">
        <v>300</v>
      </c>
      <c r="B53" s="31"/>
      <c r="C53" s="31"/>
      <c r="D53" s="37"/>
      <c r="E53" s="37"/>
      <c r="F53" s="37"/>
      <c r="G53" s="31"/>
      <c r="H53" s="31"/>
      <c r="I53" s="64"/>
      <c r="J53" s="64"/>
      <c r="K53" s="64"/>
      <c r="L53" s="64"/>
      <c r="M53" s="31"/>
      <c r="N53" s="37"/>
      <c r="O53" s="37"/>
      <c r="P53" s="64"/>
      <c r="Q53" s="66"/>
    </row>
    <row r="54" spans="1:18" s="95" customFormat="1" ht="9.75" customHeight="1" x14ac:dyDescent="0.15">
      <c r="A54" s="90" t="s">
        <v>307</v>
      </c>
      <c r="B54" s="31">
        <v>20</v>
      </c>
      <c r="C54" s="31"/>
      <c r="D54" s="37">
        <v>0</v>
      </c>
      <c r="E54" s="37">
        <v>0</v>
      </c>
      <c r="F54" s="37">
        <v>0</v>
      </c>
      <c r="G54" s="31">
        <v>1</v>
      </c>
      <c r="H54" s="31">
        <f t="shared" ref="H54:H60" si="5">B54*G54</f>
        <v>20</v>
      </c>
      <c r="I54" s="63">
        <f t="shared" ref="I54:I59" si="6">$I$9</f>
        <v>0</v>
      </c>
      <c r="J54" s="64">
        <f t="shared" ref="J54:J60" si="7">H54*I54</f>
        <v>0</v>
      </c>
      <c r="K54" s="64">
        <f t="shared" ref="K54:K60" si="8">J54*0.1</f>
        <v>0</v>
      </c>
      <c r="L54" s="64">
        <f t="shared" ref="L54:L60" si="9">J54*0.05</f>
        <v>0</v>
      </c>
      <c r="M54" s="31"/>
      <c r="N54" s="37">
        <f>(J54*'Base Data'!$C$5)+(K54*'Base Data'!$C$6)+(L54*'Base Data'!$C$7)</f>
        <v>0</v>
      </c>
      <c r="O54" s="37">
        <f t="shared" ref="O54:O60" si="10">(D54+E54+F54)*G54*I54</f>
        <v>0</v>
      </c>
      <c r="P54" s="64">
        <v>0</v>
      </c>
      <c r="Q54" s="66"/>
    </row>
    <row r="55" spans="1:18" s="95" customFormat="1" ht="9" x14ac:dyDescent="0.15">
      <c r="A55" s="91" t="s">
        <v>303</v>
      </c>
      <c r="B55" s="31">
        <v>15</v>
      </c>
      <c r="C55" s="31">
        <v>0</v>
      </c>
      <c r="D55" s="37">
        <v>0</v>
      </c>
      <c r="E55" s="37">
        <v>0</v>
      </c>
      <c r="F55" s="37">
        <v>0</v>
      </c>
      <c r="G55" s="31">
        <v>1</v>
      </c>
      <c r="H55" s="31">
        <f t="shared" si="5"/>
        <v>15</v>
      </c>
      <c r="I55" s="63">
        <f t="shared" si="6"/>
        <v>0</v>
      </c>
      <c r="J55" s="64">
        <f t="shared" si="7"/>
        <v>0</v>
      </c>
      <c r="K55" s="64">
        <f t="shared" si="8"/>
        <v>0</v>
      </c>
      <c r="L55" s="64">
        <f t="shared" si="9"/>
        <v>0</v>
      </c>
      <c r="M55" s="31">
        <f>C55*G55*I55</f>
        <v>0</v>
      </c>
      <c r="N55" s="37">
        <f>(J55*'Base Data'!$C$5)+(K55*'Base Data'!$C$6)+(L55*'Base Data'!$C$7)</f>
        <v>0</v>
      </c>
      <c r="O55" s="37">
        <f t="shared" si="10"/>
        <v>0</v>
      </c>
      <c r="P55" s="64">
        <v>0</v>
      </c>
      <c r="Q55" s="66"/>
    </row>
    <row r="56" spans="1:18" s="95" customFormat="1" ht="9.75" customHeight="1" x14ac:dyDescent="0.15">
      <c r="A56" s="90" t="s">
        <v>304</v>
      </c>
      <c r="B56" s="31">
        <v>2</v>
      </c>
      <c r="C56" s="31"/>
      <c r="D56" s="37">
        <v>0</v>
      </c>
      <c r="E56" s="37">
        <v>0</v>
      </c>
      <c r="F56" s="37">
        <v>0</v>
      </c>
      <c r="G56" s="31">
        <v>1</v>
      </c>
      <c r="H56" s="31">
        <f t="shared" si="5"/>
        <v>2</v>
      </c>
      <c r="I56" s="63">
        <f t="shared" si="6"/>
        <v>0</v>
      </c>
      <c r="J56" s="64">
        <f t="shared" si="7"/>
        <v>0</v>
      </c>
      <c r="K56" s="64">
        <f t="shared" si="8"/>
        <v>0</v>
      </c>
      <c r="L56" s="64">
        <f t="shared" si="9"/>
        <v>0</v>
      </c>
      <c r="M56" s="31"/>
      <c r="N56" s="37">
        <f>(J56*'Base Data'!$C$5)+(K56*'Base Data'!$C$6)+(L56*'Base Data'!$C$7)</f>
        <v>0</v>
      </c>
      <c r="O56" s="37">
        <f t="shared" si="10"/>
        <v>0</v>
      </c>
      <c r="P56" s="64">
        <v>0</v>
      </c>
      <c r="Q56" s="66"/>
    </row>
    <row r="57" spans="1:18" s="95" customFormat="1" ht="9" x14ac:dyDescent="0.15">
      <c r="A57" s="91" t="s">
        <v>313</v>
      </c>
      <c r="B57" s="31">
        <v>2</v>
      </c>
      <c r="C57" s="31"/>
      <c r="D57" s="37">
        <v>0</v>
      </c>
      <c r="E57" s="37">
        <v>0</v>
      </c>
      <c r="F57" s="37">
        <v>0</v>
      </c>
      <c r="G57" s="31">
        <v>1</v>
      </c>
      <c r="H57" s="31">
        <f t="shared" si="5"/>
        <v>2</v>
      </c>
      <c r="I57" s="63">
        <f t="shared" si="6"/>
        <v>0</v>
      </c>
      <c r="J57" s="64">
        <f t="shared" si="7"/>
        <v>0</v>
      </c>
      <c r="K57" s="64">
        <f t="shared" si="8"/>
        <v>0</v>
      </c>
      <c r="L57" s="64">
        <f t="shared" si="9"/>
        <v>0</v>
      </c>
      <c r="M57" s="31"/>
      <c r="N57" s="37">
        <f>(J57*'Base Data'!$C$5)+(K57*'Base Data'!$C$6)+(L57*'Base Data'!$C$7)</f>
        <v>0</v>
      </c>
      <c r="O57" s="37">
        <f t="shared" si="10"/>
        <v>0</v>
      </c>
      <c r="P57" s="64">
        <v>0</v>
      </c>
      <c r="Q57" s="66"/>
    </row>
    <row r="58" spans="1:18" s="95" customFormat="1" ht="9" x14ac:dyDescent="0.15">
      <c r="A58" s="91" t="s">
        <v>314</v>
      </c>
      <c r="B58" s="31">
        <v>2</v>
      </c>
      <c r="C58" s="31">
        <v>0</v>
      </c>
      <c r="D58" s="37">
        <v>0</v>
      </c>
      <c r="E58" s="37">
        <v>0</v>
      </c>
      <c r="F58" s="37">
        <v>0</v>
      </c>
      <c r="G58" s="31">
        <v>2</v>
      </c>
      <c r="H58" s="31">
        <f t="shared" si="5"/>
        <v>4</v>
      </c>
      <c r="I58" s="63">
        <f t="shared" si="6"/>
        <v>0</v>
      </c>
      <c r="J58" s="64">
        <f t="shared" si="7"/>
        <v>0</v>
      </c>
      <c r="K58" s="64">
        <f t="shared" si="8"/>
        <v>0</v>
      </c>
      <c r="L58" s="64">
        <f t="shared" si="9"/>
        <v>0</v>
      </c>
      <c r="M58" s="31">
        <f>C58*G58*I58</f>
        <v>0</v>
      </c>
      <c r="N58" s="37">
        <f>(J58*'Base Data'!$C$5)+(K58*'Base Data'!$C$6)+(L58*'Base Data'!$C$7)</f>
        <v>0</v>
      </c>
      <c r="O58" s="37">
        <f t="shared" si="10"/>
        <v>0</v>
      </c>
      <c r="P58" s="64">
        <v>0</v>
      </c>
      <c r="Q58" s="66"/>
    </row>
    <row r="59" spans="1:18" s="95" customFormat="1" ht="9" x14ac:dyDescent="0.15">
      <c r="A59" s="91" t="s">
        <v>315</v>
      </c>
      <c r="B59" s="31">
        <v>0.5</v>
      </c>
      <c r="C59" s="31"/>
      <c r="D59" s="37">
        <v>0</v>
      </c>
      <c r="E59" s="37">
        <v>0</v>
      </c>
      <c r="F59" s="37">
        <v>0</v>
      </c>
      <c r="G59" s="31">
        <v>12</v>
      </c>
      <c r="H59" s="31">
        <f t="shared" si="5"/>
        <v>6</v>
      </c>
      <c r="I59" s="63">
        <f t="shared" si="6"/>
        <v>0</v>
      </c>
      <c r="J59" s="64">
        <f t="shared" si="7"/>
        <v>0</v>
      </c>
      <c r="K59" s="64">
        <f t="shared" si="8"/>
        <v>0</v>
      </c>
      <c r="L59" s="64">
        <f t="shared" si="9"/>
        <v>0</v>
      </c>
      <c r="M59" s="31"/>
      <c r="N59" s="37">
        <f>(J59*'Base Data'!$C$5)+(K59*'Base Data'!$C$6)+(L59*'Base Data'!$C$7)</f>
        <v>0</v>
      </c>
      <c r="O59" s="37">
        <f t="shared" si="10"/>
        <v>0</v>
      </c>
      <c r="P59" s="64">
        <v>0</v>
      </c>
      <c r="Q59" s="66"/>
    </row>
    <row r="60" spans="1:18" s="95" customFormat="1" ht="9" x14ac:dyDescent="0.15">
      <c r="A60" s="90" t="s">
        <v>305</v>
      </c>
      <c r="B60" s="31">
        <v>40</v>
      </c>
      <c r="C60" s="31"/>
      <c r="D60" s="37">
        <v>0</v>
      </c>
      <c r="E60" s="37">
        <v>0</v>
      </c>
      <c r="F60" s="37">
        <v>0</v>
      </c>
      <c r="G60" s="31">
        <v>1</v>
      </c>
      <c r="H60" s="31">
        <f t="shared" si="5"/>
        <v>40</v>
      </c>
      <c r="I60" s="63">
        <f>$I$7</f>
        <v>0</v>
      </c>
      <c r="J60" s="64">
        <f t="shared" si="7"/>
        <v>0</v>
      </c>
      <c r="K60" s="64">
        <f t="shared" si="8"/>
        <v>0</v>
      </c>
      <c r="L60" s="64">
        <f t="shared" si="9"/>
        <v>0</v>
      </c>
      <c r="M60" s="31"/>
      <c r="N60" s="37">
        <f>(J60*'Base Data'!$C$5)+(K60*'Base Data'!$C$6)+(L60*'Base Data'!$C$7)</f>
        <v>0</v>
      </c>
      <c r="O60" s="37">
        <f t="shared" si="10"/>
        <v>0</v>
      </c>
      <c r="P60" s="64">
        <v>0</v>
      </c>
      <c r="Q60" s="66"/>
    </row>
    <row r="61" spans="1:18" s="95" customFormat="1" ht="9" x14ac:dyDescent="0.15">
      <c r="A61" s="90" t="s">
        <v>306</v>
      </c>
      <c r="B61" s="31" t="s">
        <v>311</v>
      </c>
      <c r="C61" s="31"/>
      <c r="D61" s="37"/>
      <c r="E61" s="37"/>
      <c r="F61" s="37"/>
      <c r="G61" s="31"/>
      <c r="H61" s="31"/>
      <c r="I61" s="64"/>
      <c r="J61" s="64"/>
      <c r="K61" s="64"/>
      <c r="L61" s="64"/>
      <c r="M61" s="31"/>
      <c r="N61" s="37"/>
      <c r="O61" s="37"/>
      <c r="P61" s="64"/>
      <c r="Q61" s="66"/>
    </row>
    <row r="62" spans="1:18" s="95" customFormat="1" ht="9" hidden="1" x14ac:dyDescent="0.15">
      <c r="A62" s="94"/>
      <c r="B62" s="437"/>
      <c r="C62" s="437"/>
      <c r="D62" s="438"/>
      <c r="E62" s="438"/>
      <c r="F62" s="438"/>
      <c r="G62" s="437"/>
      <c r="H62" s="437"/>
      <c r="I62" s="439"/>
      <c r="J62" s="374">
        <f>SUM(J50:J61)</f>
        <v>0</v>
      </c>
      <c r="K62" s="374">
        <f>SUM(K50:K61)</f>
        <v>0</v>
      </c>
      <c r="L62" s="374">
        <f>SUM(L50:L61)</f>
        <v>0</v>
      </c>
      <c r="M62" s="437"/>
      <c r="N62" s="438"/>
      <c r="O62" s="438"/>
      <c r="P62" s="64"/>
      <c r="Q62" s="440"/>
    </row>
    <row r="63" spans="1:18" s="371" customFormat="1" ht="9" x14ac:dyDescent="0.15">
      <c r="A63" s="363" t="s">
        <v>23</v>
      </c>
      <c r="B63" s="372"/>
      <c r="C63" s="372"/>
      <c r="D63" s="373"/>
      <c r="E63" s="373"/>
      <c r="F63" s="373"/>
      <c r="G63" s="372"/>
      <c r="H63" s="372"/>
      <c r="I63" s="374"/>
      <c r="J63" s="730">
        <f>J62+K62+L62</f>
        <v>0</v>
      </c>
      <c r="K63" s="731"/>
      <c r="L63" s="732"/>
      <c r="M63" s="373">
        <f>SUM(M50:M61)</f>
        <v>0</v>
      </c>
      <c r="N63" s="373">
        <f>SUM(N50:N61)</f>
        <v>0</v>
      </c>
      <c r="O63" s="373">
        <f>SUM(O50:O61)</f>
        <v>0</v>
      </c>
      <c r="P63" s="367">
        <f>SUM(P50:P61)</f>
        <v>0</v>
      </c>
      <c r="Q63" s="375"/>
      <c r="R63" s="365">
        <f>SUM(R50:R61)</f>
        <v>0</v>
      </c>
    </row>
    <row r="64" spans="1:18" s="371" customFormat="1" ht="9" hidden="1" x14ac:dyDescent="0.15">
      <c r="A64" s="448"/>
      <c r="B64" s="429"/>
      <c r="C64" s="429"/>
      <c r="D64" s="430"/>
      <c r="E64" s="430"/>
      <c r="F64" s="430"/>
      <c r="G64" s="429"/>
      <c r="H64" s="429"/>
      <c r="I64" s="431"/>
      <c r="J64" s="114">
        <f>J47+J62</f>
        <v>0</v>
      </c>
      <c r="K64" s="114">
        <f>K47+K62</f>
        <v>0</v>
      </c>
      <c r="L64" s="114">
        <f>L47+L62</f>
        <v>0</v>
      </c>
      <c r="M64" s="430"/>
      <c r="N64" s="430"/>
      <c r="O64" s="430"/>
      <c r="P64" s="449"/>
      <c r="Q64" s="432"/>
      <c r="R64" s="433"/>
    </row>
    <row r="65" spans="1:17" s="109" customFormat="1" x14ac:dyDescent="0.2">
      <c r="A65" s="110" t="s">
        <v>283</v>
      </c>
      <c r="B65" s="111"/>
      <c r="C65" s="111"/>
      <c r="D65" s="111"/>
      <c r="E65" s="111"/>
      <c r="F65" s="112"/>
      <c r="G65" s="111"/>
      <c r="H65" s="111"/>
      <c r="I65" s="441"/>
      <c r="J65" s="739">
        <f>J64+K64+L64</f>
        <v>0</v>
      </c>
      <c r="K65" s="734"/>
      <c r="L65" s="735"/>
      <c r="M65" s="442">
        <f>M48+M63</f>
        <v>0</v>
      </c>
      <c r="N65" s="115">
        <f>N48+N63</f>
        <v>0</v>
      </c>
      <c r="O65" s="115">
        <f>O48+O63</f>
        <v>0</v>
      </c>
      <c r="P65" s="114">
        <f>P48+P63</f>
        <v>0</v>
      </c>
      <c r="Q65" s="116"/>
    </row>
    <row r="66" spans="1:17" ht="6" customHeight="1" x14ac:dyDescent="0.2"/>
    <row r="67" spans="1:17" s="38" customFormat="1" ht="9" x14ac:dyDescent="0.15">
      <c r="A67" s="748" t="s">
        <v>455</v>
      </c>
      <c r="B67" s="748"/>
      <c r="C67" s="748"/>
      <c r="D67" s="748"/>
      <c r="E67" s="748"/>
      <c r="F67" s="748"/>
      <c r="G67" s="748"/>
      <c r="H67" s="748"/>
      <c r="I67" s="748"/>
      <c r="J67" s="748"/>
      <c r="K67" s="748"/>
      <c r="L67" s="748"/>
      <c r="M67" s="748"/>
      <c r="N67" s="748"/>
      <c r="O67" s="748"/>
      <c r="P67" s="316"/>
      <c r="Q67" s="41"/>
    </row>
    <row r="68" spans="1:17" s="38" customFormat="1" ht="9" x14ac:dyDescent="0.15">
      <c r="B68" s="41"/>
      <c r="C68" s="41"/>
      <c r="D68" s="41"/>
      <c r="E68" s="41"/>
      <c r="F68" s="41"/>
      <c r="G68" s="41"/>
      <c r="H68" s="41"/>
      <c r="I68" s="42"/>
      <c r="J68" s="41"/>
      <c r="K68" s="41"/>
      <c r="L68" s="41"/>
      <c r="M68" s="41"/>
      <c r="N68" s="41"/>
      <c r="O68" s="121"/>
      <c r="P68" s="121"/>
      <c r="Q68" s="41"/>
    </row>
    <row r="69" spans="1:17" s="38" customFormat="1" ht="9" x14ac:dyDescent="0.15">
      <c r="B69" s="41"/>
      <c r="C69" s="41"/>
      <c r="D69" s="41"/>
      <c r="E69" s="41"/>
      <c r="F69" s="41"/>
      <c r="G69" s="41"/>
      <c r="H69" s="41"/>
      <c r="I69" s="42"/>
      <c r="J69" s="41"/>
      <c r="K69" s="41"/>
      <c r="L69" s="41"/>
      <c r="M69" s="41"/>
      <c r="N69" s="41"/>
      <c r="O69" s="121"/>
      <c r="P69" s="121"/>
      <c r="Q69" s="41"/>
    </row>
    <row r="70" spans="1:17" s="38" customFormat="1" ht="9" x14ac:dyDescent="0.15">
      <c r="B70" s="41"/>
      <c r="C70" s="41"/>
      <c r="D70" s="41"/>
      <c r="E70" s="41"/>
      <c r="F70" s="41"/>
      <c r="G70" s="41"/>
      <c r="H70" s="41"/>
      <c r="I70" s="42"/>
      <c r="J70" s="41"/>
      <c r="K70" s="41"/>
      <c r="L70" s="41"/>
      <c r="M70" s="41"/>
      <c r="N70" s="41"/>
      <c r="O70" s="121"/>
      <c r="P70" s="121"/>
      <c r="Q70" s="41"/>
    </row>
    <row r="71" spans="1:17" s="38" customFormat="1" ht="9" x14ac:dyDescent="0.15">
      <c r="B71" s="41"/>
      <c r="C71" s="41"/>
      <c r="D71" s="41"/>
      <c r="E71" s="41"/>
      <c r="F71" s="41"/>
      <c r="G71" s="41"/>
      <c r="H71" s="41"/>
      <c r="I71" s="42"/>
      <c r="J71" s="41"/>
      <c r="K71" s="41"/>
      <c r="L71" s="41"/>
      <c r="M71" s="41"/>
      <c r="N71" s="41"/>
      <c r="O71" s="121"/>
      <c r="P71" s="121"/>
      <c r="Q71" s="41"/>
    </row>
    <row r="72" spans="1:17" s="38" customFormat="1" ht="9" x14ac:dyDescent="0.15">
      <c r="B72" s="41"/>
      <c r="C72" s="41"/>
      <c r="D72" s="41"/>
      <c r="E72" s="41"/>
      <c r="F72" s="41"/>
      <c r="G72" s="41"/>
      <c r="H72" s="41"/>
      <c r="I72" s="42"/>
      <c r="J72" s="41"/>
      <c r="K72" s="41"/>
      <c r="L72" s="41"/>
      <c r="M72" s="41"/>
      <c r="N72" s="41"/>
      <c r="O72" s="121"/>
      <c r="P72" s="121"/>
      <c r="Q72" s="41"/>
    </row>
    <row r="73" spans="1:17" s="38" customFormat="1" ht="9" x14ac:dyDescent="0.15">
      <c r="B73" s="41"/>
      <c r="C73" s="41"/>
      <c r="D73" s="41"/>
      <c r="E73" s="41"/>
      <c r="F73" s="41"/>
      <c r="G73" s="41"/>
      <c r="H73" s="41"/>
      <c r="I73" s="42"/>
      <c r="J73" s="41"/>
      <c r="K73" s="41"/>
      <c r="L73" s="41"/>
      <c r="M73" s="41"/>
      <c r="N73" s="41"/>
      <c r="O73" s="121"/>
      <c r="P73" s="121"/>
      <c r="Q73" s="41"/>
    </row>
    <row r="74" spans="1:17" s="38" customFormat="1" ht="9" x14ac:dyDescent="0.15">
      <c r="B74" s="41"/>
      <c r="C74" s="41"/>
      <c r="D74" s="41"/>
      <c r="E74" s="41"/>
      <c r="F74" s="41"/>
      <c r="G74" s="41"/>
      <c r="H74" s="41"/>
      <c r="I74" s="42"/>
      <c r="J74" s="41"/>
      <c r="K74" s="41"/>
      <c r="L74" s="41"/>
      <c r="M74" s="41"/>
      <c r="N74" s="41"/>
      <c r="O74" s="121"/>
      <c r="P74" s="121"/>
      <c r="Q74" s="41"/>
    </row>
    <row r="75" spans="1:17" s="38" customFormat="1" ht="9" x14ac:dyDescent="0.15">
      <c r="B75" s="41"/>
      <c r="C75" s="41"/>
      <c r="D75" s="41"/>
      <c r="E75" s="41"/>
      <c r="F75" s="41"/>
      <c r="G75" s="41"/>
      <c r="H75" s="41"/>
      <c r="I75" s="42"/>
      <c r="J75" s="41"/>
      <c r="K75" s="41"/>
      <c r="L75" s="41"/>
      <c r="M75" s="41"/>
      <c r="N75" s="41"/>
      <c r="O75" s="121"/>
      <c r="P75" s="121"/>
      <c r="Q75" s="41"/>
    </row>
    <row r="76" spans="1:17" s="38" customFormat="1" ht="9" x14ac:dyDescent="0.15">
      <c r="B76" s="41"/>
      <c r="C76" s="41"/>
      <c r="D76" s="41"/>
      <c r="E76" s="41"/>
      <c r="F76" s="41"/>
      <c r="G76" s="41"/>
      <c r="H76" s="41"/>
      <c r="I76" s="42"/>
      <c r="J76" s="41"/>
      <c r="K76" s="41"/>
      <c r="L76" s="41"/>
      <c r="M76" s="41"/>
      <c r="N76" s="41"/>
      <c r="O76" s="121"/>
      <c r="P76" s="121"/>
      <c r="Q76" s="41"/>
    </row>
    <row r="77" spans="1:17" s="38" customFormat="1" ht="9" x14ac:dyDescent="0.15">
      <c r="B77" s="41"/>
      <c r="C77" s="41"/>
      <c r="D77" s="41"/>
      <c r="E77" s="41"/>
      <c r="F77" s="41"/>
      <c r="G77" s="41"/>
      <c r="H77" s="41"/>
      <c r="I77" s="42"/>
      <c r="J77" s="41"/>
      <c r="K77" s="41"/>
      <c r="L77" s="41"/>
      <c r="M77" s="41"/>
      <c r="N77" s="41"/>
      <c r="O77" s="121"/>
      <c r="P77" s="121"/>
      <c r="Q77" s="41"/>
    </row>
    <row r="78" spans="1:17" s="38" customFormat="1" ht="9" x14ac:dyDescent="0.15">
      <c r="B78" s="41"/>
      <c r="C78" s="41"/>
      <c r="D78" s="41"/>
      <c r="E78" s="41"/>
      <c r="F78" s="41"/>
      <c r="G78" s="41"/>
      <c r="H78" s="41"/>
      <c r="I78" s="42"/>
      <c r="J78" s="41"/>
      <c r="K78" s="41"/>
      <c r="L78" s="41"/>
      <c r="M78" s="41"/>
      <c r="N78" s="41"/>
      <c r="O78" s="121"/>
      <c r="P78" s="121"/>
      <c r="Q78" s="41"/>
    </row>
    <row r="79" spans="1:17" s="38" customFormat="1" ht="9" x14ac:dyDescent="0.15">
      <c r="B79" s="41"/>
      <c r="C79" s="41"/>
      <c r="D79" s="41"/>
      <c r="E79" s="41"/>
      <c r="F79" s="41"/>
      <c r="G79" s="41"/>
      <c r="H79" s="41"/>
      <c r="I79" s="42"/>
      <c r="J79" s="41"/>
      <c r="K79" s="41"/>
      <c r="L79" s="41"/>
      <c r="M79" s="41"/>
      <c r="N79" s="41"/>
      <c r="O79" s="121"/>
      <c r="P79" s="121"/>
      <c r="Q79" s="41"/>
    </row>
    <row r="80" spans="1:17" s="38" customFormat="1" ht="9" x14ac:dyDescent="0.15">
      <c r="B80" s="41"/>
      <c r="C80" s="41"/>
      <c r="D80" s="41"/>
      <c r="E80" s="41"/>
      <c r="F80" s="41"/>
      <c r="G80" s="41"/>
      <c r="H80" s="41"/>
      <c r="I80" s="42"/>
      <c r="J80" s="41"/>
      <c r="K80" s="41"/>
      <c r="L80" s="41"/>
      <c r="M80" s="41"/>
      <c r="N80" s="41"/>
      <c r="O80" s="121"/>
      <c r="P80" s="121"/>
      <c r="Q80" s="41"/>
    </row>
    <row r="81" spans="2:17" s="38" customFormat="1" ht="9" x14ac:dyDescent="0.15">
      <c r="B81" s="41"/>
      <c r="C81" s="41"/>
      <c r="D81" s="41"/>
      <c r="E81" s="41"/>
      <c r="F81" s="41"/>
      <c r="G81" s="41"/>
      <c r="H81" s="41"/>
      <c r="I81" s="42"/>
      <c r="J81" s="41"/>
      <c r="K81" s="41"/>
      <c r="L81" s="41"/>
      <c r="M81" s="41"/>
      <c r="N81" s="41"/>
      <c r="O81" s="121"/>
      <c r="P81" s="121"/>
      <c r="Q81" s="41"/>
    </row>
    <row r="82" spans="2:17" s="38" customFormat="1" ht="9" x14ac:dyDescent="0.15">
      <c r="B82" s="41"/>
      <c r="C82" s="41"/>
      <c r="D82" s="41"/>
      <c r="E82" s="41"/>
      <c r="F82" s="41"/>
      <c r="G82" s="41"/>
      <c r="H82" s="41"/>
      <c r="I82" s="42"/>
      <c r="J82" s="41"/>
      <c r="K82" s="41"/>
      <c r="L82" s="41"/>
      <c r="M82" s="41"/>
      <c r="N82" s="41"/>
      <c r="O82" s="121"/>
      <c r="P82" s="121"/>
      <c r="Q82" s="41"/>
    </row>
    <row r="83" spans="2:17" s="38" customFormat="1" ht="9" x14ac:dyDescent="0.15">
      <c r="B83" s="41"/>
      <c r="C83" s="41"/>
      <c r="D83" s="41"/>
      <c r="E83" s="41"/>
      <c r="F83" s="41"/>
      <c r="G83" s="41"/>
      <c r="H83" s="41"/>
      <c r="I83" s="42"/>
      <c r="J83" s="41"/>
      <c r="K83" s="41"/>
      <c r="L83" s="41"/>
      <c r="M83" s="41"/>
      <c r="N83" s="41"/>
      <c r="O83" s="121"/>
      <c r="P83" s="121"/>
      <c r="Q83" s="41"/>
    </row>
    <row r="84" spans="2:17" s="38" customFormat="1" ht="9" x14ac:dyDescent="0.15">
      <c r="B84" s="41"/>
      <c r="C84" s="41"/>
      <c r="D84" s="41"/>
      <c r="E84" s="41"/>
      <c r="F84" s="41"/>
      <c r="G84" s="41"/>
      <c r="H84" s="41"/>
      <c r="I84" s="42"/>
      <c r="J84" s="41"/>
      <c r="K84" s="41"/>
      <c r="L84" s="41"/>
      <c r="M84" s="41"/>
      <c r="N84" s="41"/>
      <c r="O84" s="121"/>
      <c r="P84" s="121"/>
      <c r="Q84" s="41"/>
    </row>
    <row r="85" spans="2:17" s="38" customFormat="1" ht="9" x14ac:dyDescent="0.15">
      <c r="B85" s="41"/>
      <c r="C85" s="41"/>
      <c r="D85" s="41"/>
      <c r="E85" s="41"/>
      <c r="F85" s="41"/>
      <c r="G85" s="41"/>
      <c r="H85" s="41"/>
      <c r="I85" s="42"/>
      <c r="J85" s="41"/>
      <c r="K85" s="41"/>
      <c r="L85" s="41"/>
      <c r="M85" s="41"/>
      <c r="N85" s="41"/>
      <c r="O85" s="121"/>
      <c r="P85" s="121"/>
      <c r="Q85" s="41"/>
    </row>
    <row r="86" spans="2:17" s="38" customFormat="1" ht="9" x14ac:dyDescent="0.15">
      <c r="B86" s="41"/>
      <c r="C86" s="41"/>
      <c r="D86" s="41"/>
      <c r="E86" s="41"/>
      <c r="F86" s="41"/>
      <c r="G86" s="41"/>
      <c r="H86" s="41"/>
      <c r="I86" s="42"/>
      <c r="J86" s="41"/>
      <c r="K86" s="41"/>
      <c r="L86" s="41"/>
      <c r="M86" s="41"/>
      <c r="N86" s="41"/>
      <c r="O86" s="121"/>
      <c r="P86" s="121"/>
      <c r="Q86" s="41"/>
    </row>
    <row r="87" spans="2:17" s="38" customFormat="1" ht="9" x14ac:dyDescent="0.15">
      <c r="B87" s="41"/>
      <c r="C87" s="41"/>
      <c r="D87" s="41"/>
      <c r="E87" s="41"/>
      <c r="F87" s="41"/>
      <c r="G87" s="41"/>
      <c r="H87" s="41"/>
      <c r="I87" s="42"/>
      <c r="J87" s="41"/>
      <c r="K87" s="41"/>
      <c r="L87" s="41"/>
      <c r="M87" s="41"/>
      <c r="N87" s="41"/>
      <c r="O87" s="121"/>
      <c r="P87" s="121"/>
      <c r="Q87" s="41"/>
    </row>
    <row r="88" spans="2:17" s="38" customFormat="1" ht="9" x14ac:dyDescent="0.15">
      <c r="B88" s="41"/>
      <c r="C88" s="41"/>
      <c r="D88" s="41"/>
      <c r="E88" s="41"/>
      <c r="F88" s="41"/>
      <c r="G88" s="41"/>
      <c r="H88" s="41"/>
      <c r="I88" s="42"/>
      <c r="J88" s="41"/>
      <c r="K88" s="41"/>
      <c r="L88" s="41"/>
      <c r="M88" s="41"/>
      <c r="N88" s="41"/>
      <c r="O88" s="121"/>
      <c r="P88" s="121"/>
      <c r="Q88" s="41"/>
    </row>
    <row r="89" spans="2:17" s="38" customFormat="1" ht="9" x14ac:dyDescent="0.15">
      <c r="B89" s="41"/>
      <c r="C89" s="41"/>
      <c r="D89" s="41"/>
      <c r="E89" s="41"/>
      <c r="F89" s="41"/>
      <c r="G89" s="41"/>
      <c r="H89" s="41"/>
      <c r="I89" s="42"/>
      <c r="J89" s="41"/>
      <c r="K89" s="41"/>
      <c r="L89" s="41"/>
      <c r="M89" s="41"/>
      <c r="N89" s="41"/>
      <c r="O89" s="121"/>
      <c r="P89" s="121"/>
      <c r="Q89" s="41"/>
    </row>
    <row r="90" spans="2:17" s="38" customFormat="1" ht="9" x14ac:dyDescent="0.15">
      <c r="B90" s="41"/>
      <c r="C90" s="41"/>
      <c r="D90" s="41"/>
      <c r="E90" s="41"/>
      <c r="F90" s="41"/>
      <c r="G90" s="41"/>
      <c r="H90" s="41"/>
      <c r="I90" s="42"/>
      <c r="J90" s="41"/>
      <c r="K90" s="41"/>
      <c r="L90" s="41"/>
      <c r="M90" s="41"/>
      <c r="N90" s="41"/>
      <c r="O90" s="121"/>
      <c r="P90" s="121"/>
      <c r="Q90" s="41"/>
    </row>
    <row r="91" spans="2:17" s="38" customFormat="1" ht="9" x14ac:dyDescent="0.15">
      <c r="B91" s="41"/>
      <c r="C91" s="41"/>
      <c r="D91" s="41"/>
      <c r="E91" s="41"/>
      <c r="F91" s="41"/>
      <c r="G91" s="41"/>
      <c r="H91" s="41"/>
      <c r="I91" s="42"/>
      <c r="J91" s="41"/>
      <c r="K91" s="41"/>
      <c r="L91" s="41"/>
      <c r="M91" s="41"/>
      <c r="N91" s="41"/>
      <c r="O91" s="121"/>
      <c r="P91" s="121"/>
      <c r="Q91" s="41"/>
    </row>
    <row r="92" spans="2:17" s="38" customFormat="1" ht="9" x14ac:dyDescent="0.15">
      <c r="B92" s="41"/>
      <c r="C92" s="41"/>
      <c r="D92" s="41"/>
      <c r="E92" s="41"/>
      <c r="F92" s="41"/>
      <c r="G92" s="41"/>
      <c r="H92" s="41"/>
      <c r="I92" s="42"/>
      <c r="J92" s="41"/>
      <c r="K92" s="41"/>
      <c r="L92" s="41"/>
      <c r="M92" s="41"/>
      <c r="N92" s="41"/>
      <c r="O92" s="121"/>
      <c r="P92" s="121"/>
      <c r="Q92" s="41"/>
    </row>
    <row r="93" spans="2:17" s="38" customFormat="1" ht="9" x14ac:dyDescent="0.15">
      <c r="B93" s="41"/>
      <c r="C93" s="41"/>
      <c r="D93" s="41"/>
      <c r="E93" s="41"/>
      <c r="F93" s="41"/>
      <c r="G93" s="41"/>
      <c r="H93" s="41"/>
      <c r="I93" s="42"/>
      <c r="J93" s="41"/>
      <c r="K93" s="41"/>
      <c r="L93" s="41"/>
      <c r="M93" s="41"/>
      <c r="N93" s="41"/>
      <c r="O93" s="121"/>
      <c r="P93" s="121"/>
      <c r="Q93" s="41"/>
    </row>
    <row r="94" spans="2:17" s="38" customFormat="1" ht="9" x14ac:dyDescent="0.15">
      <c r="B94" s="41"/>
      <c r="C94" s="41"/>
      <c r="D94" s="41"/>
      <c r="E94" s="41"/>
      <c r="F94" s="41"/>
      <c r="G94" s="41"/>
      <c r="H94" s="41"/>
      <c r="I94" s="42"/>
      <c r="J94" s="41"/>
      <c r="K94" s="41"/>
      <c r="L94" s="41"/>
      <c r="M94" s="41"/>
      <c r="N94" s="41"/>
      <c r="O94" s="121"/>
      <c r="P94" s="121"/>
      <c r="Q94" s="41"/>
    </row>
    <row r="95" spans="2:17" s="38" customFormat="1" ht="9" x14ac:dyDescent="0.15">
      <c r="B95" s="41"/>
      <c r="C95" s="41"/>
      <c r="D95" s="41"/>
      <c r="E95" s="41"/>
      <c r="F95" s="41"/>
      <c r="G95" s="41"/>
      <c r="H95" s="41"/>
      <c r="I95" s="42"/>
      <c r="J95" s="41"/>
      <c r="K95" s="41"/>
      <c r="L95" s="41"/>
      <c r="M95" s="41"/>
      <c r="N95" s="41"/>
      <c r="O95" s="121"/>
      <c r="P95" s="121"/>
      <c r="Q95" s="41"/>
    </row>
    <row r="96" spans="2: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x14ac:dyDescent="0.2">
      <c r="Q107" s="41"/>
    </row>
  </sheetData>
  <mergeCells count="6">
    <mergeCell ref="A1:Q1"/>
    <mergeCell ref="A2:Q2"/>
    <mergeCell ref="A67:O67"/>
    <mergeCell ref="J48:L48"/>
    <mergeCell ref="J65:L65"/>
    <mergeCell ref="J63:L63"/>
  </mergeCells>
  <phoneticPr fontId="9" type="noConversion"/>
  <pageMargins left="0.25" right="0.25" top="0.5" bottom="0.5" header="0.5" footer="0.5"/>
  <pageSetup scale="6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3"/>
  <sheetViews>
    <sheetView zoomScale="110" zoomScaleNormal="110" workbookViewId="0">
      <pane xSplit="1" ySplit="3" topLeftCell="B4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5.42578125" style="77" customWidth="1"/>
    <col min="2" max="2" width="8.85546875" style="39" bestFit="1" customWidth="1"/>
    <col min="3" max="3" width="8" style="39" hidden="1" customWidth="1"/>
    <col min="4" max="4" width="8.42578125" style="39" bestFit="1" customWidth="1"/>
    <col min="5" max="5" width="8.85546875" style="39" bestFit="1" customWidth="1"/>
    <col min="6" max="6" width="8.140625" style="39" customWidth="1"/>
    <col min="7" max="7" width="9.42578125" style="39" bestFit="1" customWidth="1"/>
    <col min="8" max="8" width="7.85546875" style="39" bestFit="1" customWidth="1"/>
    <col min="9" max="9" width="8.85546875" style="40" customWidth="1"/>
    <col min="10" max="11" width="6.85546875" style="39" bestFit="1" customWidth="1"/>
    <col min="12" max="12" width="9" style="39" customWidth="1"/>
    <col min="13" max="13" width="7.85546875" style="39" hidden="1" customWidth="1"/>
    <col min="14" max="14" width="8.42578125" style="39" customWidth="1"/>
    <col min="15" max="15" width="9.42578125" style="120" customWidth="1"/>
    <col min="16" max="16" width="7.42578125" style="120" customWidth="1"/>
    <col min="17" max="17" width="4" style="39" bestFit="1" customWidth="1"/>
    <col min="18" max="19" width="9.140625" style="77" hidden="1" customWidth="1"/>
    <col min="20" max="20" width="11.140625" style="77" customWidth="1"/>
    <col min="21" max="21" width="8.5703125" style="77" customWidth="1"/>
    <col min="22" max="16384" width="9.140625" style="77"/>
  </cols>
  <sheetData>
    <row r="1" spans="1:21" x14ac:dyDescent="0.2">
      <c r="A1" s="684" t="s">
        <v>222</v>
      </c>
      <c r="B1" s="684"/>
      <c r="C1" s="684"/>
      <c r="D1" s="684"/>
      <c r="E1" s="684"/>
      <c r="F1" s="684"/>
      <c r="G1" s="684"/>
      <c r="H1" s="684"/>
      <c r="I1" s="684"/>
      <c r="J1" s="684"/>
      <c r="K1" s="684"/>
      <c r="L1" s="684"/>
      <c r="M1" s="684"/>
      <c r="N1" s="684"/>
      <c r="O1" s="684"/>
      <c r="P1" s="684"/>
      <c r="Q1" s="684"/>
    </row>
    <row r="2" spans="1:21" x14ac:dyDescent="0.2">
      <c r="A2" s="685" t="s">
        <v>610</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338</v>
      </c>
      <c r="K3" s="70" t="s">
        <v>339</v>
      </c>
      <c r="L3" s="70" t="s">
        <v>337</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ROUNDUP(SUM('Base Data'!$H$71:$H$73)/3,0)</f>
        <v>34</v>
      </c>
      <c r="J7" s="64">
        <f>H7*I7</f>
        <v>1360</v>
      </c>
      <c r="K7" s="64">
        <f>J7*0.1</f>
        <v>136</v>
      </c>
      <c r="L7" s="63">
        <f>J7*0.05</f>
        <v>68</v>
      </c>
      <c r="M7" s="31">
        <f>C7*G7*I7</f>
        <v>0</v>
      </c>
      <c r="N7" s="37">
        <f>(J7*'Base Data'!$C$5)+(K7*'Base Data'!$C$6)+(L7*'Base Data'!$C$7)</f>
        <v>171262.76</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v>0</v>
      </c>
      <c r="J9" s="64">
        <f t="shared" ref="J9:J19" si="1">H9*I9</f>
        <v>0</v>
      </c>
      <c r="K9" s="64">
        <f t="shared" ref="K9:K19" si="2">J9*0.1</f>
        <v>0</v>
      </c>
      <c r="L9" s="64">
        <f t="shared" ref="L9:L19" si="3">J9*0.05</f>
        <v>0</v>
      </c>
      <c r="M9" s="65"/>
      <c r="N9" s="37">
        <f>(J9*'Base Data'!$C$5)+(K9*'Base Data'!$C$6)+(L9*'Base Data'!$C$7)</f>
        <v>0</v>
      </c>
      <c r="O9" s="37">
        <f t="shared" ref="O9:O19" si="4">(D9+E9+F9)*G9*I9</f>
        <v>0</v>
      </c>
      <c r="P9" s="64">
        <v>0</v>
      </c>
      <c r="Q9" s="66" t="s">
        <v>278</v>
      </c>
      <c r="U9" s="119"/>
    </row>
    <row r="10" spans="1:21" s="95" customFormat="1" ht="9" x14ac:dyDescent="0.15">
      <c r="A10" s="91" t="s">
        <v>109</v>
      </c>
      <c r="B10" s="31">
        <v>12</v>
      </c>
      <c r="C10" s="31"/>
      <c r="D10" s="37">
        <v>0</v>
      </c>
      <c r="E10" s="37">
        <f>'Testing Costs'!$B$17</f>
        <v>8000</v>
      </c>
      <c r="F10" s="37">
        <v>0</v>
      </c>
      <c r="G10" s="31">
        <v>1</v>
      </c>
      <c r="H10" s="31">
        <f t="shared" si="0"/>
        <v>12</v>
      </c>
      <c r="I10" s="63">
        <v>0</v>
      </c>
      <c r="J10" s="64">
        <f t="shared" si="1"/>
        <v>0</v>
      </c>
      <c r="K10" s="64">
        <f t="shared" si="2"/>
        <v>0</v>
      </c>
      <c r="L10" s="64">
        <f t="shared" si="3"/>
        <v>0</v>
      </c>
      <c r="M10" s="65"/>
      <c r="N10" s="37">
        <f>(J10*'Base Data'!$C$5)+(K10*'Base Data'!$C$6)+(L10*'Base Data'!$C$7)</f>
        <v>0</v>
      </c>
      <c r="O10" s="37">
        <f t="shared" si="4"/>
        <v>0</v>
      </c>
      <c r="P10" s="64">
        <v>0</v>
      </c>
      <c r="Q10" s="66" t="s">
        <v>278</v>
      </c>
      <c r="U10" s="119"/>
    </row>
    <row r="11" spans="1:21" s="95" customFormat="1" ht="9" x14ac:dyDescent="0.15">
      <c r="A11" s="91" t="s">
        <v>110</v>
      </c>
      <c r="B11" s="31">
        <v>12</v>
      </c>
      <c r="C11" s="31"/>
      <c r="D11" s="37">
        <v>0</v>
      </c>
      <c r="E11" s="37">
        <f>'Testing Costs'!$B$15</f>
        <v>8000</v>
      </c>
      <c r="F11" s="37">
        <v>0</v>
      </c>
      <c r="G11" s="31">
        <v>1</v>
      </c>
      <c r="H11" s="31">
        <f t="shared" si="0"/>
        <v>12</v>
      </c>
      <c r="I11" s="63">
        <v>0</v>
      </c>
      <c r="J11" s="64">
        <f t="shared" si="1"/>
        <v>0</v>
      </c>
      <c r="K11" s="64">
        <f t="shared" si="2"/>
        <v>0</v>
      </c>
      <c r="L11" s="64">
        <f t="shared" si="3"/>
        <v>0</v>
      </c>
      <c r="M11" s="65"/>
      <c r="N11" s="37">
        <f>(J11*'Base Data'!$C$5)+(K11*'Base Data'!$C$6)+(L11*'Base Data'!$C$7)</f>
        <v>0</v>
      </c>
      <c r="O11" s="37">
        <f t="shared" si="4"/>
        <v>0</v>
      </c>
      <c r="P11" s="64">
        <v>0</v>
      </c>
      <c r="Q11" s="66" t="s">
        <v>278</v>
      </c>
      <c r="U11" s="119"/>
    </row>
    <row r="12" spans="1:21" s="95" customFormat="1" ht="9" x14ac:dyDescent="0.15">
      <c r="A12" s="91" t="s">
        <v>111</v>
      </c>
      <c r="B12" s="31">
        <v>12</v>
      </c>
      <c r="C12" s="31"/>
      <c r="D12" s="37">
        <v>0</v>
      </c>
      <c r="E12" s="37">
        <f>'Testing Costs'!$B$14</f>
        <v>7000</v>
      </c>
      <c r="F12" s="37">
        <v>0</v>
      </c>
      <c r="G12" s="31">
        <v>1</v>
      </c>
      <c r="H12" s="31">
        <f t="shared" si="0"/>
        <v>12</v>
      </c>
      <c r="I12" s="63">
        <v>0</v>
      </c>
      <c r="J12" s="64">
        <f t="shared" si="1"/>
        <v>0</v>
      </c>
      <c r="K12" s="64">
        <f t="shared" si="2"/>
        <v>0</v>
      </c>
      <c r="L12" s="64">
        <f t="shared" si="3"/>
        <v>0</v>
      </c>
      <c r="M12" s="65"/>
      <c r="N12" s="37">
        <f>(J12*'Base Data'!$C$5)+(K12*'Base Data'!$C$6)+(L12*'Base Data'!$C$7)</f>
        <v>0</v>
      </c>
      <c r="O12" s="37">
        <f t="shared" si="4"/>
        <v>0</v>
      </c>
      <c r="P12" s="64">
        <v>0</v>
      </c>
      <c r="Q12" s="66" t="s">
        <v>278</v>
      </c>
      <c r="U12" s="119"/>
    </row>
    <row r="13" spans="1:21" s="95" customFormat="1" ht="9" customHeight="1" x14ac:dyDescent="0.15">
      <c r="A13" s="91" t="s">
        <v>122</v>
      </c>
      <c r="B13" s="31">
        <v>12</v>
      </c>
      <c r="C13" s="31"/>
      <c r="D13" s="37">
        <v>0</v>
      </c>
      <c r="E13" s="37">
        <f>'Testing Costs'!$B$13</f>
        <v>5000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t="s">
        <v>276</v>
      </c>
      <c r="U13" s="119"/>
    </row>
    <row r="14" spans="1:21" s="95" customFormat="1" ht="9" x14ac:dyDescent="0.15">
      <c r="A14" s="91" t="s">
        <v>123</v>
      </c>
      <c r="B14" s="31">
        <v>12</v>
      </c>
      <c r="C14" s="31"/>
      <c r="D14" s="37">
        <v>0</v>
      </c>
      <c r="E14" s="37">
        <f>'Testing Costs'!$B$17</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t="s">
        <v>276</v>
      </c>
      <c r="U14" s="119"/>
    </row>
    <row r="15" spans="1:21" s="95" customFormat="1" ht="9" x14ac:dyDescent="0.15">
      <c r="A15" s="91" t="s">
        <v>124</v>
      </c>
      <c r="B15" s="31">
        <v>12</v>
      </c>
      <c r="C15" s="31"/>
      <c r="D15" s="37">
        <v>0</v>
      </c>
      <c r="E15" s="37">
        <f>'Testing Costs'!$B$15</f>
        <v>8000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t="s">
        <v>276</v>
      </c>
      <c r="U15" s="119"/>
    </row>
    <row r="16" spans="1:21" s="95" customFormat="1" ht="9" x14ac:dyDescent="0.15">
      <c r="A16" s="91" t="s">
        <v>125</v>
      </c>
      <c r="B16" s="31">
        <v>12</v>
      </c>
      <c r="C16" s="31"/>
      <c r="D16" s="37">
        <v>0</v>
      </c>
      <c r="E16" s="37">
        <f>'Testing Costs'!$B$14</f>
        <v>7000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t="s">
        <v>276</v>
      </c>
      <c r="U16" s="119"/>
    </row>
    <row r="17" spans="1:21" s="95" customFormat="1" ht="18" x14ac:dyDescent="0.15">
      <c r="A17" s="197" t="s">
        <v>352</v>
      </c>
      <c r="B17" s="31">
        <v>24</v>
      </c>
      <c r="C17" s="196"/>
      <c r="D17" s="37">
        <v>0</v>
      </c>
      <c r="E17" s="37">
        <v>16000</v>
      </c>
      <c r="F17" s="37">
        <v>0</v>
      </c>
      <c r="G17" s="31">
        <v>1</v>
      </c>
      <c r="H17" s="31">
        <f t="shared" si="0"/>
        <v>24</v>
      </c>
      <c r="I17" s="63">
        <v>0</v>
      </c>
      <c r="J17" s="64">
        <f t="shared" si="1"/>
        <v>0</v>
      </c>
      <c r="K17" s="64">
        <f t="shared" si="2"/>
        <v>0</v>
      </c>
      <c r="L17" s="64">
        <f t="shared" si="3"/>
        <v>0</v>
      </c>
      <c r="M17" s="65"/>
      <c r="N17" s="37">
        <f>(J17*'Base Data'!$C$5)+(K17*'Base Data'!$C$6)+(L17*'Base Data'!$C$7)</f>
        <v>0</v>
      </c>
      <c r="O17" s="37">
        <f t="shared" si="4"/>
        <v>0</v>
      </c>
      <c r="P17" s="64">
        <v>0</v>
      </c>
      <c r="Q17" s="66" t="s">
        <v>408</v>
      </c>
    </row>
    <row r="18" spans="1:21" s="95" customFormat="1" ht="9" customHeight="1" x14ac:dyDescent="0.15">
      <c r="A18" s="91" t="s">
        <v>205</v>
      </c>
      <c r="B18" s="31">
        <v>5</v>
      </c>
      <c r="C18" s="31"/>
      <c r="D18" s="37">
        <v>0</v>
      </c>
      <c r="E18" s="37">
        <v>400</v>
      </c>
      <c r="F18" s="37">
        <v>0</v>
      </c>
      <c r="G18" s="31">
        <v>1</v>
      </c>
      <c r="H18" s="31">
        <f t="shared" si="0"/>
        <v>5</v>
      </c>
      <c r="I18" s="63">
        <v>0</v>
      </c>
      <c r="J18" s="64">
        <f t="shared" si="1"/>
        <v>0</v>
      </c>
      <c r="K18" s="64">
        <f t="shared" si="2"/>
        <v>0</v>
      </c>
      <c r="L18" s="64">
        <f t="shared" si="3"/>
        <v>0</v>
      </c>
      <c r="M18" s="65"/>
      <c r="N18" s="37">
        <f>(J18*'Base Data'!$C$5)+(K18*'Base Data'!$C$6)+(L18*'Base Data'!$C$7)</f>
        <v>0</v>
      </c>
      <c r="O18" s="37">
        <f t="shared" si="4"/>
        <v>0</v>
      </c>
      <c r="P18" s="64">
        <v>0</v>
      </c>
      <c r="Q18" s="66" t="s">
        <v>406</v>
      </c>
      <c r="U18" s="119"/>
    </row>
    <row r="19" spans="1:21" s="95" customFormat="1" ht="9" customHeight="1" x14ac:dyDescent="0.15">
      <c r="A19" s="91" t="s">
        <v>206</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v>0</v>
      </c>
      <c r="Q19" s="66" t="s">
        <v>406</v>
      </c>
      <c r="U19" s="119"/>
    </row>
    <row r="20" spans="1:21" s="95" customFormat="1" ht="9" x14ac:dyDescent="0.15">
      <c r="A20" s="91" t="s">
        <v>207</v>
      </c>
      <c r="B20" s="31"/>
      <c r="C20" s="31"/>
      <c r="D20" s="37"/>
      <c r="E20" s="37"/>
      <c r="F20" s="37"/>
      <c r="G20" s="31"/>
      <c r="H20" s="31"/>
      <c r="I20" s="64"/>
      <c r="J20" s="64"/>
      <c r="K20" s="64"/>
      <c r="L20" s="64"/>
      <c r="M20" s="65"/>
      <c r="N20" s="37"/>
      <c r="O20" s="37"/>
      <c r="P20" s="64"/>
      <c r="Q20" s="66" t="s">
        <v>399</v>
      </c>
      <c r="U20" s="119"/>
    </row>
    <row r="21" spans="1:21" s="95" customFormat="1" ht="9" x14ac:dyDescent="0.15">
      <c r="A21" s="91" t="s">
        <v>310</v>
      </c>
      <c r="B21" s="31">
        <v>40</v>
      </c>
      <c r="C21" s="31"/>
      <c r="D21" s="37">
        <v>0</v>
      </c>
      <c r="E21" s="37"/>
      <c r="F21" s="37">
        <v>0</v>
      </c>
      <c r="G21" s="31">
        <v>1</v>
      </c>
      <c r="H21" s="31">
        <f>B21*G21</f>
        <v>40</v>
      </c>
      <c r="I21" s="63">
        <v>0</v>
      </c>
      <c r="J21" s="64">
        <f>H21*I21</f>
        <v>0</v>
      </c>
      <c r="K21" s="64">
        <f>J21*0.1</f>
        <v>0</v>
      </c>
      <c r="L21" s="64">
        <f>J21*0.05</f>
        <v>0</v>
      </c>
      <c r="M21" s="65"/>
      <c r="N21" s="37">
        <f>(J21*'Base Data'!$C$5)+(K21*'Base Data'!$C$6)+(L21*'Base Data'!$C$7)</f>
        <v>0</v>
      </c>
      <c r="O21" s="37">
        <f>(D21+E21+F21)*G21*I21</f>
        <v>0</v>
      </c>
      <c r="P21" s="64">
        <v>0</v>
      </c>
      <c r="Q21" s="66" t="s">
        <v>276</v>
      </c>
      <c r="U21" s="119"/>
    </row>
    <row r="22" spans="1:21" s="95" customFormat="1" ht="9" x14ac:dyDescent="0.15">
      <c r="A22" s="90" t="s">
        <v>289</v>
      </c>
      <c r="B22" s="31"/>
      <c r="C22" s="31"/>
      <c r="D22" s="37"/>
      <c r="E22" s="37"/>
      <c r="F22" s="37"/>
      <c r="G22" s="31"/>
      <c r="H22" s="31"/>
      <c r="I22" s="64"/>
      <c r="J22" s="64"/>
      <c r="K22" s="64"/>
      <c r="L22" s="64"/>
      <c r="M22" s="65"/>
      <c r="N22" s="37"/>
      <c r="O22" s="37"/>
      <c r="P22" s="64"/>
      <c r="Q22" s="66"/>
      <c r="U22" s="119"/>
    </row>
    <row r="23" spans="1:21" s="95" customFormat="1" ht="9" x14ac:dyDescent="0.15">
      <c r="A23" s="90" t="s">
        <v>290</v>
      </c>
      <c r="B23" s="31">
        <v>10</v>
      </c>
      <c r="C23" s="31"/>
      <c r="D23" s="37">
        <v>0</v>
      </c>
      <c r="E23" s="37">
        <v>0</v>
      </c>
      <c r="F23" s="37">
        <v>43100</v>
      </c>
      <c r="G23" s="31">
        <v>1</v>
      </c>
      <c r="H23" s="31">
        <f>B23*G23</f>
        <v>10</v>
      </c>
      <c r="I23" s="63">
        <f>SUM(Monitors!$C$25/3,0)</f>
        <v>0</v>
      </c>
      <c r="J23" s="64">
        <f>H23*I23</f>
        <v>0</v>
      </c>
      <c r="K23" s="64">
        <f>J23*0.1</f>
        <v>0</v>
      </c>
      <c r="L23" s="64">
        <f>J23*0.05</f>
        <v>0</v>
      </c>
      <c r="M23" s="65"/>
      <c r="N23" s="37">
        <f>(J23*'Base Data'!$C$5)+(K23*'Base Data'!$C$6)+(L23*'Base Data'!$C$7)</f>
        <v>0</v>
      </c>
      <c r="O23" s="37">
        <f>(D23+E23+F23)*G23*I23</f>
        <v>0</v>
      </c>
      <c r="P23" s="64">
        <v>0</v>
      </c>
      <c r="Q23" s="66" t="s">
        <v>276</v>
      </c>
      <c r="U23" s="119"/>
    </row>
    <row r="24" spans="1:21" s="95" customFormat="1" ht="9" x14ac:dyDescent="0.15">
      <c r="A24" s="90" t="s">
        <v>293</v>
      </c>
      <c r="B24" s="31">
        <v>10</v>
      </c>
      <c r="C24" s="31"/>
      <c r="D24" s="37">
        <v>0</v>
      </c>
      <c r="E24" s="37">
        <v>0</v>
      </c>
      <c r="F24" s="37">
        <v>14700</v>
      </c>
      <c r="G24" s="31">
        <v>1</v>
      </c>
      <c r="H24" s="31">
        <f>B24*G24</f>
        <v>10</v>
      </c>
      <c r="I24" s="63">
        <v>0</v>
      </c>
      <c r="J24" s="64">
        <f>H24*I24</f>
        <v>0</v>
      </c>
      <c r="K24" s="64">
        <f>J24*0.1</f>
        <v>0</v>
      </c>
      <c r="L24" s="64">
        <f>J24*0.05</f>
        <v>0</v>
      </c>
      <c r="M24" s="65"/>
      <c r="N24" s="37">
        <f>(J24*'Base Data'!$C$5)+(K24*'Base Data'!$C$6)+(L24*'Base Data'!$C$7)</f>
        <v>0</v>
      </c>
      <c r="O24" s="37">
        <f>(D24+E24+F24)*G24*I24</f>
        <v>0</v>
      </c>
      <c r="P24" s="64">
        <v>0</v>
      </c>
      <c r="Q24" s="66" t="s">
        <v>276</v>
      </c>
      <c r="U24" s="119"/>
    </row>
    <row r="25" spans="1:21" s="95" customFormat="1" ht="9" x14ac:dyDescent="0.15">
      <c r="A25" s="90" t="s">
        <v>256</v>
      </c>
      <c r="B25" s="31"/>
      <c r="C25" s="31"/>
      <c r="D25" s="37"/>
      <c r="E25" s="37"/>
      <c r="F25" s="37"/>
      <c r="G25" s="31"/>
      <c r="H25" s="31"/>
      <c r="I25" s="64"/>
      <c r="J25" s="64"/>
      <c r="K25" s="64"/>
      <c r="L25" s="64"/>
      <c r="M25" s="65"/>
      <c r="N25" s="37"/>
      <c r="O25" s="37"/>
      <c r="P25" s="64"/>
      <c r="Q25" s="66"/>
      <c r="U25" s="119"/>
    </row>
    <row r="26" spans="1:21" s="95" customFormat="1" ht="9" x14ac:dyDescent="0.15">
      <c r="A26" s="90" t="s">
        <v>290</v>
      </c>
      <c r="B26" s="31">
        <v>10</v>
      </c>
      <c r="C26" s="31"/>
      <c r="D26" s="37">
        <v>0</v>
      </c>
      <c r="E26" s="37">
        <v>0</v>
      </c>
      <c r="F26" s="37">
        <v>158000</v>
      </c>
      <c r="G26" s="31">
        <v>1</v>
      </c>
      <c r="H26" s="31">
        <f>B26*G26</f>
        <v>10</v>
      </c>
      <c r="I26" s="63">
        <v>0</v>
      </c>
      <c r="J26" s="64">
        <f>H26*I26</f>
        <v>0</v>
      </c>
      <c r="K26" s="64">
        <f>J26*0.1</f>
        <v>0</v>
      </c>
      <c r="L26" s="64">
        <f>J26*0.05</f>
        <v>0</v>
      </c>
      <c r="M26" s="65"/>
      <c r="N26" s="37">
        <f>(J26*'Base Data'!$C$5)+(K26*'Base Data'!$C$6)+(L26*'Base Data'!$C$7)</f>
        <v>0</v>
      </c>
      <c r="O26" s="37">
        <f>(D26+E26+F26)*G26*I26</f>
        <v>0</v>
      </c>
      <c r="P26" s="64">
        <v>0</v>
      </c>
      <c r="Q26" s="66" t="s">
        <v>276</v>
      </c>
      <c r="U26" s="119"/>
    </row>
    <row r="27" spans="1:21" s="95" customFormat="1" ht="9" x14ac:dyDescent="0.15">
      <c r="A27" s="90" t="s">
        <v>293</v>
      </c>
      <c r="B27" s="31">
        <v>10</v>
      </c>
      <c r="C27" s="31"/>
      <c r="D27" s="37">
        <v>0</v>
      </c>
      <c r="E27" s="37">
        <v>0</v>
      </c>
      <c r="F27" s="37">
        <v>56100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t="s">
        <v>276</v>
      </c>
      <c r="U27" s="119"/>
    </row>
    <row r="28" spans="1:21" s="95" customFormat="1" ht="9" x14ac:dyDescent="0.15">
      <c r="A28" s="90" t="s">
        <v>381</v>
      </c>
      <c r="B28" s="31"/>
      <c r="C28" s="31"/>
      <c r="D28" s="37"/>
      <c r="E28" s="37"/>
      <c r="F28" s="37"/>
      <c r="G28" s="31"/>
      <c r="H28" s="31"/>
      <c r="I28" s="63"/>
      <c r="J28" s="64"/>
      <c r="K28" s="64"/>
      <c r="L28" s="64"/>
      <c r="M28" s="65"/>
      <c r="N28" s="37"/>
      <c r="O28" s="37"/>
      <c r="P28" s="64"/>
      <c r="Q28" s="66"/>
    </row>
    <row r="29" spans="1:21" s="95" customFormat="1" ht="9" x14ac:dyDescent="0.15">
      <c r="A29" s="90" t="s">
        <v>290</v>
      </c>
      <c r="B29" s="31">
        <v>10</v>
      </c>
      <c r="C29" s="31"/>
      <c r="D29" s="37">
        <v>0</v>
      </c>
      <c r="E29" s="37">
        <v>0</v>
      </c>
      <c r="F29" s="37">
        <f>Monitors!$F$32</f>
        <v>8523</v>
      </c>
      <c r="G29" s="31">
        <v>1</v>
      </c>
      <c r="H29" s="31">
        <f>B29*G29</f>
        <v>10</v>
      </c>
      <c r="I29" s="63">
        <v>0</v>
      </c>
      <c r="J29" s="64">
        <f>H29*I29</f>
        <v>0</v>
      </c>
      <c r="K29" s="64">
        <f>J29*0.1</f>
        <v>0</v>
      </c>
      <c r="L29" s="64">
        <f>J29*0.05</f>
        <v>0</v>
      </c>
      <c r="M29" s="65"/>
      <c r="N29" s="37">
        <f>(J29*'Base Data'!$C$5)+(K29*'Base Data'!$C$6)+(L29*'Base Data'!$C$7)</f>
        <v>0</v>
      </c>
      <c r="O29" s="37">
        <f>(D29+E29+F29)*G29*I29</f>
        <v>0</v>
      </c>
      <c r="P29" s="64">
        <v>0</v>
      </c>
      <c r="Q29" s="66" t="s">
        <v>276</v>
      </c>
    </row>
    <row r="30" spans="1:21" s="95" customFormat="1" ht="9" x14ac:dyDescent="0.15">
      <c r="A30" s="90" t="s">
        <v>293</v>
      </c>
      <c r="B30" s="31">
        <v>10</v>
      </c>
      <c r="C30" s="31"/>
      <c r="D30" s="37">
        <v>0</v>
      </c>
      <c r="E30" s="37">
        <v>0</v>
      </c>
      <c r="F30" s="37">
        <f>Monitors!$G$32</f>
        <v>1436</v>
      </c>
      <c r="G30" s="31">
        <v>1</v>
      </c>
      <c r="H30" s="31">
        <f>B30*G30</f>
        <v>10</v>
      </c>
      <c r="I30" s="63">
        <v>0</v>
      </c>
      <c r="J30" s="64">
        <f>H30*I30</f>
        <v>0</v>
      </c>
      <c r="K30" s="64">
        <f>J30*0.1</f>
        <v>0</v>
      </c>
      <c r="L30" s="64">
        <f>J30*0.05</f>
        <v>0</v>
      </c>
      <c r="M30" s="65"/>
      <c r="N30" s="37">
        <f>(J30*'Base Data'!$C$5)+(K30*'Base Data'!$C$6)+(L30*'Base Data'!$C$7)</f>
        <v>0</v>
      </c>
      <c r="O30" s="37">
        <f>(D30+E30+F30)*G30*I30</f>
        <v>0</v>
      </c>
      <c r="P30" s="64">
        <v>0</v>
      </c>
      <c r="Q30" s="66" t="s">
        <v>276</v>
      </c>
    </row>
    <row r="31" spans="1:21" s="95" customFormat="1" ht="18" x14ac:dyDescent="0.15">
      <c r="A31" s="91" t="s">
        <v>145</v>
      </c>
      <c r="B31" s="31"/>
      <c r="C31" s="31"/>
      <c r="D31" s="37"/>
      <c r="E31" s="37"/>
      <c r="F31" s="67"/>
      <c r="G31" s="31"/>
      <c r="H31" s="31"/>
      <c r="I31" s="68"/>
      <c r="J31" s="64"/>
      <c r="K31" s="64"/>
      <c r="L31" s="64"/>
      <c r="M31" s="65"/>
      <c r="N31" s="37"/>
      <c r="O31" s="37"/>
      <c r="P31" s="64"/>
      <c r="Q31" s="66"/>
      <c r="U31" s="119"/>
    </row>
    <row r="32" spans="1:21" s="95" customFormat="1" ht="9" x14ac:dyDescent="0.15">
      <c r="A32" s="90" t="s">
        <v>290</v>
      </c>
      <c r="B32" s="31">
        <v>10</v>
      </c>
      <c r="C32" s="31"/>
      <c r="D32" s="37">
        <v>0</v>
      </c>
      <c r="E32" s="37">
        <v>0</v>
      </c>
      <c r="F32" s="37">
        <v>24300</v>
      </c>
      <c r="G32" s="31">
        <v>1</v>
      </c>
      <c r="H32" s="31">
        <f>B32*G32</f>
        <v>10</v>
      </c>
      <c r="I32" s="63">
        <f>ROUND(Monitors!$D$25/3,0)</f>
        <v>0</v>
      </c>
      <c r="J32" s="64">
        <f>H32*I32</f>
        <v>0</v>
      </c>
      <c r="K32" s="64">
        <f>J32*0.1</f>
        <v>0</v>
      </c>
      <c r="L32" s="64">
        <f>J32*0.05</f>
        <v>0</v>
      </c>
      <c r="M32" s="65"/>
      <c r="N32" s="37">
        <f>(J32*'Base Data'!$C$5)+(K32*'Base Data'!$C$6)+(L32*'Base Data'!$C$7)</f>
        <v>0</v>
      </c>
      <c r="O32" s="37">
        <f>(D32+E32+F32)*G32*I32</f>
        <v>0</v>
      </c>
      <c r="P32" s="64">
        <v>0</v>
      </c>
      <c r="Q32" s="66" t="s">
        <v>276</v>
      </c>
      <c r="U32" s="119"/>
    </row>
    <row r="33" spans="1:21" s="95" customFormat="1" ht="9" x14ac:dyDescent="0.15">
      <c r="A33" s="90" t="s">
        <v>293</v>
      </c>
      <c r="B33" s="31">
        <v>10</v>
      </c>
      <c r="C33" s="31"/>
      <c r="D33" s="37">
        <v>0</v>
      </c>
      <c r="E33" s="37">
        <v>0</v>
      </c>
      <c r="F33" s="37">
        <v>5600</v>
      </c>
      <c r="G33" s="31">
        <v>1</v>
      </c>
      <c r="H33" s="31">
        <f>B33*G33</f>
        <v>10</v>
      </c>
      <c r="I33" s="63">
        <f>ROUND(Monitors!$D$25/3,0)</f>
        <v>0</v>
      </c>
      <c r="J33" s="64">
        <f>H33*I33</f>
        <v>0</v>
      </c>
      <c r="K33" s="64">
        <f>J33*0.1</f>
        <v>0</v>
      </c>
      <c r="L33" s="64">
        <f>J33*0.05</f>
        <v>0</v>
      </c>
      <c r="M33" s="65"/>
      <c r="N33" s="37">
        <f>(J33*'Base Data'!$C$5)+(K33*'Base Data'!$C$6)+(L33*'Base Data'!$C$7)</f>
        <v>0</v>
      </c>
      <c r="O33" s="37">
        <f>(D33+E33+F33)*G33*I33</f>
        <v>0</v>
      </c>
      <c r="P33" s="64">
        <v>0</v>
      </c>
      <c r="Q33" s="66" t="s">
        <v>276</v>
      </c>
      <c r="U33" s="119"/>
    </row>
    <row r="34" spans="1:21" s="95" customFormat="1" ht="18" x14ac:dyDescent="0.15">
      <c r="A34" s="91" t="s">
        <v>348</v>
      </c>
      <c r="B34" s="31"/>
      <c r="C34" s="31"/>
      <c r="D34" s="37"/>
      <c r="E34" s="37"/>
      <c r="F34" s="37"/>
      <c r="G34" s="31"/>
      <c r="H34" s="31"/>
      <c r="I34" s="68"/>
      <c r="J34" s="64"/>
      <c r="K34" s="64"/>
      <c r="L34" s="64"/>
      <c r="M34" s="65"/>
      <c r="N34" s="37"/>
      <c r="O34" s="138"/>
      <c r="P34" s="64"/>
      <c r="Q34" s="66"/>
      <c r="U34" s="119"/>
    </row>
    <row r="35" spans="1:21" s="95" customFormat="1" ht="9" x14ac:dyDescent="0.15">
      <c r="A35" s="90" t="s">
        <v>290</v>
      </c>
      <c r="B35" s="31">
        <v>10</v>
      </c>
      <c r="C35" s="31"/>
      <c r="D35" s="37">
        <v>0</v>
      </c>
      <c r="E35" s="37">
        <v>0</v>
      </c>
      <c r="F35" s="37">
        <f>25500</f>
        <v>25500</v>
      </c>
      <c r="G35" s="31">
        <v>1</v>
      </c>
      <c r="H35" s="31">
        <f>B35*G35</f>
        <v>10</v>
      </c>
      <c r="I35" s="63">
        <f>ROUND(Monitors!$B$25/3,0)</f>
        <v>0</v>
      </c>
      <c r="J35" s="64">
        <f>H35*I35</f>
        <v>0</v>
      </c>
      <c r="K35" s="64">
        <f>J35*0.1</f>
        <v>0</v>
      </c>
      <c r="L35" s="64">
        <f>J35*0.05</f>
        <v>0</v>
      </c>
      <c r="M35" s="65"/>
      <c r="N35" s="37">
        <f>(J35*'Base Data'!$C$5)+(K35*'Base Data'!$C$6)+(L35*'Base Data'!$C$7)</f>
        <v>0</v>
      </c>
      <c r="O35" s="37">
        <f>(D35+E35+F35)*G35*I35</f>
        <v>0</v>
      </c>
      <c r="P35" s="64">
        <v>0</v>
      </c>
      <c r="Q35" s="66" t="s">
        <v>276</v>
      </c>
      <c r="U35" s="119"/>
    </row>
    <row r="36" spans="1:21" s="95" customFormat="1" ht="9" x14ac:dyDescent="0.15">
      <c r="A36" s="90" t="s">
        <v>293</v>
      </c>
      <c r="B36" s="31">
        <v>10</v>
      </c>
      <c r="C36" s="31"/>
      <c r="D36" s="37">
        <v>0</v>
      </c>
      <c r="E36" s="37">
        <v>0</v>
      </c>
      <c r="F36" s="37">
        <v>9700</v>
      </c>
      <c r="G36" s="31">
        <v>1</v>
      </c>
      <c r="H36" s="31">
        <f>B36*G36</f>
        <v>10</v>
      </c>
      <c r="I36" s="63">
        <f>ROUND(Monitors!$B$25/3,0)</f>
        <v>0</v>
      </c>
      <c r="J36" s="64">
        <f>H36*I36</f>
        <v>0</v>
      </c>
      <c r="K36" s="64">
        <f>J36*0.1</f>
        <v>0</v>
      </c>
      <c r="L36" s="64">
        <f>J36*0.05</f>
        <v>0</v>
      </c>
      <c r="M36" s="65"/>
      <c r="N36" s="37">
        <f>(J36*'Base Data'!$C$5)+(K36*'Base Data'!$C$6)+(L36*'Base Data'!$C$7)</f>
        <v>0</v>
      </c>
      <c r="O36" s="37">
        <f>(D36+E36+F36)*G36*I36</f>
        <v>0</v>
      </c>
      <c r="P36" s="64">
        <v>0</v>
      </c>
      <c r="Q36" s="66" t="s">
        <v>276</v>
      </c>
      <c r="U36" s="119"/>
    </row>
    <row r="37" spans="1:21" s="95" customFormat="1" ht="9" x14ac:dyDescent="0.15">
      <c r="A37" s="90" t="s">
        <v>213</v>
      </c>
      <c r="B37" s="31">
        <v>12</v>
      </c>
      <c r="C37" s="31"/>
      <c r="D37" s="37">
        <v>0</v>
      </c>
      <c r="E37" s="37">
        <v>2875</v>
      </c>
      <c r="F37" s="37">
        <v>0</v>
      </c>
      <c r="G37" s="31">
        <v>1</v>
      </c>
      <c r="H37" s="31">
        <f>B37*G37</f>
        <v>12</v>
      </c>
      <c r="I37" s="63">
        <f>ROUNDUP(SUM('Base Data'!$D$71:$D$73)/3,0)</f>
        <v>262</v>
      </c>
      <c r="J37" s="63">
        <f>H37*I37</f>
        <v>3144</v>
      </c>
      <c r="K37" s="63">
        <f>J37*0.1</f>
        <v>314.40000000000003</v>
      </c>
      <c r="L37" s="63">
        <f>J37*0.05</f>
        <v>157.20000000000002</v>
      </c>
      <c r="M37" s="64"/>
      <c r="N37" s="37">
        <f>(J37*'Base Data'!$C$5)+(K37*'Base Data'!$C$6)+(L37*'Base Data'!$C$7)</f>
        <v>395919.20400000003</v>
      </c>
      <c r="O37" s="37">
        <f>(D37+E37+F37)*G37*I37</f>
        <v>753250</v>
      </c>
      <c r="P37" s="64">
        <v>0</v>
      </c>
      <c r="Q37" s="66" t="s">
        <v>277</v>
      </c>
      <c r="U37" s="119"/>
    </row>
    <row r="38" spans="1:21" s="95" customFormat="1" ht="9" x14ac:dyDescent="0.15">
      <c r="A38" s="90" t="s">
        <v>447</v>
      </c>
      <c r="B38" s="31">
        <v>5</v>
      </c>
      <c r="C38" s="31"/>
      <c r="D38" s="37">
        <v>0</v>
      </c>
      <c r="E38" s="37">
        <v>200</v>
      </c>
      <c r="F38" s="37">
        <v>0</v>
      </c>
      <c r="G38" s="31">
        <v>12</v>
      </c>
      <c r="H38" s="31">
        <f>B38*G38</f>
        <v>60</v>
      </c>
      <c r="I38" s="64">
        <v>0</v>
      </c>
      <c r="J38" s="63">
        <f>H38*I38</f>
        <v>0</v>
      </c>
      <c r="K38" s="63">
        <f>J38*0.1</f>
        <v>0</v>
      </c>
      <c r="L38" s="63">
        <f>J38*0.05</f>
        <v>0</v>
      </c>
      <c r="M38" s="64"/>
      <c r="N38" s="37">
        <f>(J38*'Base Data'!$C$5)+(K38*'Base Data'!$C$6)+(L38*'Base Data'!$C$7)</f>
        <v>0</v>
      </c>
      <c r="O38" s="37">
        <f>(D38+E38+F38)*G38*I38</f>
        <v>0</v>
      </c>
      <c r="P38" s="64">
        <v>0</v>
      </c>
      <c r="Q38" s="66" t="s">
        <v>74</v>
      </c>
    </row>
    <row r="39" spans="1:21" s="95" customFormat="1" ht="9" x14ac:dyDescent="0.15">
      <c r="A39" s="90" t="s">
        <v>294</v>
      </c>
      <c r="B39" s="31" t="s">
        <v>311</v>
      </c>
      <c r="C39" s="31"/>
      <c r="D39" s="37"/>
      <c r="E39" s="37"/>
      <c r="F39" s="37"/>
      <c r="G39" s="31"/>
      <c r="H39" s="31"/>
      <c r="I39" s="64"/>
      <c r="J39" s="64"/>
      <c r="K39" s="64"/>
      <c r="L39" s="64"/>
      <c r="M39" s="31"/>
      <c r="N39" s="37"/>
      <c r="O39" s="37"/>
      <c r="P39" s="64"/>
      <c r="Q39" s="66"/>
      <c r="U39" s="119"/>
    </row>
    <row r="40" spans="1:21" s="95" customFormat="1" ht="9" x14ac:dyDescent="0.15">
      <c r="A40" s="90" t="s">
        <v>295</v>
      </c>
      <c r="B40" s="31" t="s">
        <v>311</v>
      </c>
      <c r="C40" s="31"/>
      <c r="D40" s="37"/>
      <c r="E40" s="37"/>
      <c r="F40" s="37"/>
      <c r="G40" s="31"/>
      <c r="H40" s="31"/>
      <c r="I40" s="64"/>
      <c r="J40" s="64"/>
      <c r="K40" s="64"/>
      <c r="L40" s="64"/>
      <c r="M40" s="31"/>
      <c r="N40" s="37"/>
      <c r="O40" s="37"/>
      <c r="P40" s="64"/>
      <c r="Q40" s="66"/>
    </row>
    <row r="41" spans="1:21" s="95" customFormat="1" ht="9" x14ac:dyDescent="0.15">
      <c r="A41" s="90" t="s">
        <v>296</v>
      </c>
      <c r="B41" s="31"/>
      <c r="C41" s="31"/>
      <c r="D41" s="37"/>
      <c r="E41" s="37"/>
      <c r="F41" s="37"/>
      <c r="G41" s="31"/>
      <c r="H41" s="31"/>
      <c r="I41" s="64"/>
      <c r="J41" s="64"/>
      <c r="K41" s="64"/>
      <c r="L41" s="64"/>
      <c r="M41" s="31"/>
      <c r="N41" s="37"/>
      <c r="O41" s="37"/>
      <c r="P41" s="64"/>
      <c r="Q41" s="66"/>
    </row>
    <row r="42" spans="1:21" s="95" customFormat="1" ht="9" x14ac:dyDescent="0.15">
      <c r="A42" s="101" t="s">
        <v>312</v>
      </c>
      <c r="B42" s="31">
        <v>2</v>
      </c>
      <c r="C42" s="31"/>
      <c r="D42" s="37">
        <v>0</v>
      </c>
      <c r="E42" s="37">
        <v>0</v>
      </c>
      <c r="F42" s="37">
        <v>0</v>
      </c>
      <c r="G42" s="31">
        <v>1</v>
      </c>
      <c r="H42" s="31">
        <f t="shared" ref="H42:H47" si="5">B42*G42</f>
        <v>2</v>
      </c>
      <c r="I42" s="63">
        <f>$I$7</f>
        <v>34</v>
      </c>
      <c r="J42" s="64">
        <f t="shared" ref="J42:J47" si="6">H42*I42</f>
        <v>68</v>
      </c>
      <c r="K42" s="64">
        <f t="shared" ref="K42:K47" si="7">J42*0.1</f>
        <v>6.8000000000000007</v>
      </c>
      <c r="L42" s="64">
        <f t="shared" ref="L42:L47" si="8">J42*0.05</f>
        <v>3.4000000000000004</v>
      </c>
      <c r="M42" s="31">
        <f t="shared" ref="M42:M47" si="9">C42*G42*I42</f>
        <v>0</v>
      </c>
      <c r="N42" s="37">
        <f>(J42*'Base Data'!$C$5)+(K42*'Base Data'!$C$6)+(L42*'Base Data'!$C$7)</f>
        <v>8563.1380000000008</v>
      </c>
      <c r="O42" s="37">
        <f t="shared" ref="O42:O47" si="10">(D42+E42+F42)*G42*I42</f>
        <v>0</v>
      </c>
      <c r="P42" s="64">
        <f t="shared" ref="P42:P47" si="11">G42*I42</f>
        <v>34</v>
      </c>
      <c r="Q42" s="66" t="s">
        <v>276</v>
      </c>
    </row>
    <row r="43" spans="1:21" s="95" customFormat="1" ht="9" customHeight="1" x14ac:dyDescent="0.15">
      <c r="A43" s="101" t="s">
        <v>273</v>
      </c>
      <c r="B43" s="31">
        <v>8</v>
      </c>
      <c r="C43" s="31"/>
      <c r="D43" s="37">
        <v>0</v>
      </c>
      <c r="E43" s="37">
        <v>0</v>
      </c>
      <c r="F43" s="37">
        <v>0</v>
      </c>
      <c r="G43" s="31">
        <v>1</v>
      </c>
      <c r="H43" s="31">
        <f t="shared" si="5"/>
        <v>8</v>
      </c>
      <c r="I43" s="63">
        <f>$I$7</f>
        <v>34</v>
      </c>
      <c r="J43" s="64">
        <f t="shared" si="6"/>
        <v>272</v>
      </c>
      <c r="K43" s="64">
        <f t="shared" si="7"/>
        <v>27.200000000000003</v>
      </c>
      <c r="L43" s="64">
        <f t="shared" si="8"/>
        <v>13.600000000000001</v>
      </c>
      <c r="M43" s="31">
        <f t="shared" si="9"/>
        <v>0</v>
      </c>
      <c r="N43" s="37">
        <f>(J43*'Base Data'!$C$5)+(K43*'Base Data'!$C$6)+(L43*'Base Data'!$C$7)</f>
        <v>34252.552000000003</v>
      </c>
      <c r="O43" s="37">
        <f t="shared" si="10"/>
        <v>0</v>
      </c>
      <c r="P43" s="64">
        <f t="shared" si="11"/>
        <v>34</v>
      </c>
      <c r="Q43" s="66" t="s">
        <v>276</v>
      </c>
    </row>
    <row r="44" spans="1:21" s="95" customFormat="1" ht="9" x14ac:dyDescent="0.15">
      <c r="A44" s="92" t="s">
        <v>358</v>
      </c>
      <c r="B44" s="31">
        <v>20</v>
      </c>
      <c r="C44" s="31">
        <v>0</v>
      </c>
      <c r="D44" s="37">
        <v>0</v>
      </c>
      <c r="E44" s="37">
        <v>0</v>
      </c>
      <c r="F44" s="37">
        <v>0</v>
      </c>
      <c r="G44" s="31">
        <v>1</v>
      </c>
      <c r="H44" s="31">
        <f t="shared" si="5"/>
        <v>20</v>
      </c>
      <c r="I44" s="63">
        <f>$I$7</f>
        <v>34</v>
      </c>
      <c r="J44" s="64">
        <f t="shared" si="6"/>
        <v>680</v>
      </c>
      <c r="K44" s="64">
        <f t="shared" si="7"/>
        <v>68</v>
      </c>
      <c r="L44" s="64">
        <f t="shared" si="8"/>
        <v>34</v>
      </c>
      <c r="M44" s="64">
        <f t="shared" si="9"/>
        <v>0</v>
      </c>
      <c r="N44" s="37">
        <f>(J44*'Base Data'!$C$5)+(K44*'Base Data'!$C$6)+(L44*'Base Data'!$C$7)</f>
        <v>85631.38</v>
      </c>
      <c r="O44" s="37">
        <f t="shared" si="10"/>
        <v>0</v>
      </c>
      <c r="P44" s="64">
        <f t="shared" si="11"/>
        <v>34</v>
      </c>
      <c r="Q44" s="66" t="s">
        <v>389</v>
      </c>
    </row>
    <row r="45" spans="1:21" s="95" customFormat="1" ht="9" x14ac:dyDescent="0.15">
      <c r="A45" s="92" t="s">
        <v>332</v>
      </c>
      <c r="B45" s="31">
        <v>20</v>
      </c>
      <c r="C45" s="31">
        <v>0</v>
      </c>
      <c r="D45" s="37">
        <v>0</v>
      </c>
      <c r="E45" s="37">
        <v>0</v>
      </c>
      <c r="F45" s="37">
        <v>0</v>
      </c>
      <c r="G45" s="31">
        <v>2</v>
      </c>
      <c r="H45" s="31">
        <f t="shared" si="5"/>
        <v>40</v>
      </c>
      <c r="I45" s="63">
        <v>0</v>
      </c>
      <c r="J45" s="64">
        <f t="shared" si="6"/>
        <v>0</v>
      </c>
      <c r="K45" s="64">
        <f t="shared" si="7"/>
        <v>0</v>
      </c>
      <c r="L45" s="64">
        <f t="shared" si="8"/>
        <v>0</v>
      </c>
      <c r="M45" s="64">
        <f t="shared" si="9"/>
        <v>0</v>
      </c>
      <c r="N45" s="37">
        <f>(J45*'Base Data'!$C$5)+(K45*'Base Data'!$C$6)+(L45*'Base Data'!$C$7)</f>
        <v>0</v>
      </c>
      <c r="O45" s="37">
        <f t="shared" si="10"/>
        <v>0</v>
      </c>
      <c r="P45" s="64">
        <f t="shared" si="11"/>
        <v>0</v>
      </c>
      <c r="Q45" s="66" t="s">
        <v>389</v>
      </c>
      <c r="R45" s="98">
        <f>SUM(O7,O9:O19,O24,O27,O30,O33,O36:O38)</f>
        <v>753250</v>
      </c>
      <c r="S45" s="97">
        <f>SUM(O23,O26,O29,O32,O35)</f>
        <v>0</v>
      </c>
    </row>
    <row r="46" spans="1:21" s="95" customFormat="1" ht="9" x14ac:dyDescent="0.15">
      <c r="A46" s="92" t="s">
        <v>359</v>
      </c>
      <c r="B46" s="31">
        <v>5</v>
      </c>
      <c r="C46" s="31"/>
      <c r="D46" s="37">
        <v>0</v>
      </c>
      <c r="E46" s="37">
        <v>0</v>
      </c>
      <c r="F46" s="37">
        <v>0</v>
      </c>
      <c r="G46" s="31">
        <v>1</v>
      </c>
      <c r="H46" s="31">
        <f t="shared" si="5"/>
        <v>5</v>
      </c>
      <c r="I46" s="63">
        <v>0</v>
      </c>
      <c r="J46" s="64">
        <f t="shared" si="6"/>
        <v>0</v>
      </c>
      <c r="K46" s="64">
        <f t="shared" si="7"/>
        <v>0</v>
      </c>
      <c r="L46" s="64">
        <f t="shared" si="8"/>
        <v>0</v>
      </c>
      <c r="M46" s="64">
        <f t="shared" si="9"/>
        <v>0</v>
      </c>
      <c r="N46" s="37">
        <f>(J46*'Base Data'!$C$5)+(K46*'Base Data'!$C$6)+(L46*'Base Data'!$C$7)</f>
        <v>0</v>
      </c>
      <c r="O46" s="37">
        <f t="shared" si="10"/>
        <v>0</v>
      </c>
      <c r="P46" s="64">
        <f t="shared" si="11"/>
        <v>0</v>
      </c>
      <c r="Q46" s="66" t="s">
        <v>80</v>
      </c>
    </row>
    <row r="47" spans="1:21" s="95" customFormat="1" ht="9" x14ac:dyDescent="0.15">
      <c r="A47" s="92" t="s">
        <v>420</v>
      </c>
      <c r="B47" s="31">
        <v>30</v>
      </c>
      <c r="C47" s="31"/>
      <c r="D47" s="37">
        <v>0</v>
      </c>
      <c r="E47" s="37">
        <v>0</v>
      </c>
      <c r="F47" s="37">
        <v>0</v>
      </c>
      <c r="G47" s="31">
        <v>1</v>
      </c>
      <c r="H47" s="31">
        <f t="shared" si="5"/>
        <v>30</v>
      </c>
      <c r="I47" s="63">
        <v>0</v>
      </c>
      <c r="J47" s="64">
        <f t="shared" si="6"/>
        <v>0</v>
      </c>
      <c r="K47" s="64">
        <f t="shared" si="7"/>
        <v>0</v>
      </c>
      <c r="L47" s="64">
        <f t="shared" si="8"/>
        <v>0</v>
      </c>
      <c r="M47" s="64">
        <f t="shared" si="9"/>
        <v>0</v>
      </c>
      <c r="N47" s="37">
        <f>(J47*'Base Data'!$C$5)+(K47*'Base Data'!$C$6)+(L47*'Base Data'!$C$7)</f>
        <v>0</v>
      </c>
      <c r="O47" s="37">
        <f t="shared" si="10"/>
        <v>0</v>
      </c>
      <c r="P47" s="64">
        <f t="shared" si="11"/>
        <v>0</v>
      </c>
      <c r="Q47" s="66" t="s">
        <v>13</v>
      </c>
      <c r="R47" s="108"/>
    </row>
    <row r="48" spans="1:21" s="95" customFormat="1" ht="9" x14ac:dyDescent="0.15">
      <c r="A48" s="93" t="s">
        <v>4</v>
      </c>
      <c r="B48" s="31"/>
      <c r="C48" s="31"/>
      <c r="D48" s="37"/>
      <c r="E48" s="37"/>
      <c r="F48" s="37"/>
      <c r="G48" s="31"/>
      <c r="H48" s="31"/>
      <c r="I48" s="63"/>
      <c r="J48" s="64">
        <f t="shared" ref="J48:O48" si="12">SUM(J4:J45)</f>
        <v>5524</v>
      </c>
      <c r="K48" s="64">
        <f t="shared" si="12"/>
        <v>552.40000000000009</v>
      </c>
      <c r="L48" s="64">
        <f t="shared" si="12"/>
        <v>276.20000000000005</v>
      </c>
      <c r="M48" s="64">
        <f t="shared" si="12"/>
        <v>0</v>
      </c>
      <c r="N48" s="37">
        <f t="shared" si="12"/>
        <v>695629.0340000001</v>
      </c>
      <c r="O48" s="37">
        <f t="shared" si="12"/>
        <v>753250</v>
      </c>
      <c r="P48" s="64">
        <f>SUM(P42:P45)</f>
        <v>102</v>
      </c>
      <c r="Q48" s="66"/>
    </row>
    <row r="49" spans="1:18" s="95" customFormat="1" ht="9" x14ac:dyDescent="0.15">
      <c r="A49" s="90" t="s">
        <v>309</v>
      </c>
      <c r="B49" s="31"/>
      <c r="C49" s="31"/>
      <c r="D49" s="37"/>
      <c r="E49" s="37"/>
      <c r="F49" s="37"/>
      <c r="G49" s="31"/>
      <c r="H49" s="31"/>
      <c r="I49" s="64"/>
      <c r="J49" s="64"/>
      <c r="K49" s="64"/>
      <c r="L49" s="64"/>
      <c r="M49" s="31"/>
      <c r="N49" s="37"/>
      <c r="O49" s="37"/>
      <c r="P49" s="64"/>
      <c r="Q49" s="66"/>
      <c r="R49" s="98"/>
    </row>
    <row r="50" spans="1:18" s="95" customFormat="1" ht="9" x14ac:dyDescent="0.15">
      <c r="A50" s="90" t="s">
        <v>297</v>
      </c>
      <c r="B50" s="31" t="s">
        <v>301</v>
      </c>
      <c r="C50" s="31"/>
      <c r="D50" s="37"/>
      <c r="E50" s="37"/>
      <c r="F50" s="37"/>
      <c r="G50" s="31"/>
      <c r="H50" s="31"/>
      <c r="I50" s="64"/>
      <c r="J50" s="64"/>
      <c r="K50" s="64"/>
      <c r="L50" s="64"/>
      <c r="M50" s="31"/>
      <c r="N50" s="37"/>
      <c r="O50" s="37"/>
      <c r="P50" s="64"/>
      <c r="Q50" s="66"/>
    </row>
    <row r="51" spans="1:18" s="95" customFormat="1" ht="9" x14ac:dyDescent="0.15">
      <c r="A51" s="90" t="s">
        <v>298</v>
      </c>
      <c r="B51" s="31" t="s">
        <v>311</v>
      </c>
      <c r="C51" s="31"/>
      <c r="D51" s="37"/>
      <c r="E51" s="37"/>
      <c r="F51" s="37"/>
      <c r="G51" s="31"/>
      <c r="H51" s="31"/>
      <c r="I51" s="64"/>
      <c r="J51" s="64"/>
      <c r="K51" s="64"/>
      <c r="L51" s="64"/>
      <c r="M51" s="31"/>
      <c r="N51" s="37"/>
      <c r="O51" s="37"/>
      <c r="P51" s="64"/>
      <c r="Q51" s="66"/>
    </row>
    <row r="52" spans="1:18" s="95" customFormat="1" ht="9" x14ac:dyDescent="0.15">
      <c r="A52" s="90" t="s">
        <v>299</v>
      </c>
      <c r="B52" s="31" t="s">
        <v>311</v>
      </c>
      <c r="C52" s="31"/>
      <c r="D52" s="37"/>
      <c r="E52" s="37"/>
      <c r="F52" s="37"/>
      <c r="G52" s="31"/>
      <c r="H52" s="31"/>
      <c r="I52" s="64"/>
      <c r="J52" s="64"/>
      <c r="K52" s="64"/>
      <c r="L52" s="64"/>
      <c r="M52" s="31"/>
      <c r="N52" s="37"/>
      <c r="O52" s="37"/>
      <c r="P52" s="64"/>
      <c r="Q52" s="66" t="s">
        <v>209</v>
      </c>
    </row>
    <row r="53" spans="1:18" s="95" customFormat="1" ht="9" x14ac:dyDescent="0.15">
      <c r="A53" s="90" t="s">
        <v>300</v>
      </c>
      <c r="B53" s="31"/>
      <c r="C53" s="31"/>
      <c r="D53" s="37"/>
      <c r="E53" s="37"/>
      <c r="F53" s="37"/>
      <c r="G53" s="31"/>
      <c r="H53" s="31"/>
      <c r="I53" s="64"/>
      <c r="J53" s="64"/>
      <c r="K53" s="64"/>
      <c r="L53" s="64"/>
      <c r="M53" s="31"/>
      <c r="N53" s="37"/>
      <c r="O53" s="37"/>
      <c r="P53" s="64"/>
      <c r="Q53" s="66"/>
    </row>
    <row r="54" spans="1:18" s="95" customFormat="1" ht="9.75" customHeight="1" x14ac:dyDescent="0.15">
      <c r="A54" s="90" t="s">
        <v>307</v>
      </c>
      <c r="B54" s="31">
        <v>20</v>
      </c>
      <c r="C54" s="31"/>
      <c r="D54" s="37">
        <v>0</v>
      </c>
      <c r="E54" s="37">
        <v>0</v>
      </c>
      <c r="F54" s="37">
        <v>0</v>
      </c>
      <c r="G54" s="31">
        <v>1</v>
      </c>
      <c r="H54" s="31">
        <f t="shared" ref="H54:H62" si="13">B54*G54</f>
        <v>20</v>
      </c>
      <c r="I54" s="63">
        <v>0</v>
      </c>
      <c r="J54" s="64">
        <f t="shared" ref="J54:J62" si="14">H54*I54</f>
        <v>0</v>
      </c>
      <c r="K54" s="64">
        <f t="shared" ref="K54:K62" si="15">J54*0.1</f>
        <v>0</v>
      </c>
      <c r="L54" s="64">
        <f t="shared" ref="L54:L62" si="16">J54*0.05</f>
        <v>0</v>
      </c>
      <c r="M54" s="31"/>
      <c r="N54" s="37">
        <f>(J54*'Base Data'!$C$5)+(K54*'Base Data'!$C$6)+(L54*'Base Data'!$C$7)</f>
        <v>0</v>
      </c>
      <c r="O54" s="37">
        <f t="shared" ref="O54:O62" si="17">(D54+E54+F54)*G54*I54</f>
        <v>0</v>
      </c>
      <c r="P54" s="64">
        <v>0</v>
      </c>
      <c r="Q54" s="66" t="s">
        <v>276</v>
      </c>
    </row>
    <row r="55" spans="1:18" s="95" customFormat="1" ht="9" x14ac:dyDescent="0.15">
      <c r="A55" s="91" t="s">
        <v>303</v>
      </c>
      <c r="B55" s="31">
        <v>15</v>
      </c>
      <c r="C55" s="31">
        <v>0</v>
      </c>
      <c r="D55" s="37">
        <v>0</v>
      </c>
      <c r="E55" s="37">
        <v>0</v>
      </c>
      <c r="F55" s="37">
        <v>0</v>
      </c>
      <c r="G55" s="31">
        <v>1</v>
      </c>
      <c r="H55" s="31">
        <f t="shared" si="13"/>
        <v>15</v>
      </c>
      <c r="I55" s="63">
        <v>0</v>
      </c>
      <c r="J55" s="64">
        <f t="shared" si="14"/>
        <v>0</v>
      </c>
      <c r="K55" s="64">
        <f t="shared" si="15"/>
        <v>0</v>
      </c>
      <c r="L55" s="64">
        <f t="shared" si="16"/>
        <v>0</v>
      </c>
      <c r="M55" s="31">
        <f>C55*G55*I55</f>
        <v>0</v>
      </c>
      <c r="N55" s="37">
        <f>(J55*'Base Data'!$C$5)+(K55*'Base Data'!$C$6)+(L55*'Base Data'!$C$7)</f>
        <v>0</v>
      </c>
      <c r="O55" s="37">
        <f t="shared" si="17"/>
        <v>0</v>
      </c>
      <c r="P55" s="64">
        <v>0</v>
      </c>
      <c r="Q55" s="66" t="s">
        <v>276</v>
      </c>
    </row>
    <row r="56" spans="1:18" s="95" customFormat="1" ht="9.75" customHeight="1" x14ac:dyDescent="0.15">
      <c r="A56" s="90" t="s">
        <v>304</v>
      </c>
      <c r="B56" s="31">
        <v>2</v>
      </c>
      <c r="C56" s="31"/>
      <c r="D56" s="37">
        <v>0</v>
      </c>
      <c r="E56" s="37">
        <v>0</v>
      </c>
      <c r="F56" s="37">
        <v>0</v>
      </c>
      <c r="G56" s="31">
        <v>1</v>
      </c>
      <c r="H56" s="31">
        <f t="shared" si="13"/>
        <v>2</v>
      </c>
      <c r="I56" s="63">
        <v>0</v>
      </c>
      <c r="J56" s="64">
        <f t="shared" si="14"/>
        <v>0</v>
      </c>
      <c r="K56" s="64">
        <f t="shared" si="15"/>
        <v>0</v>
      </c>
      <c r="L56" s="64">
        <f t="shared" si="16"/>
        <v>0</v>
      </c>
      <c r="M56" s="31"/>
      <c r="N56" s="37">
        <f>(J56*'Base Data'!$C$5)+(K56*'Base Data'!$C$6)+(L56*'Base Data'!$C$7)</f>
        <v>0</v>
      </c>
      <c r="O56" s="37">
        <f t="shared" si="17"/>
        <v>0</v>
      </c>
      <c r="P56" s="64">
        <v>0</v>
      </c>
      <c r="Q56" s="66" t="s">
        <v>276</v>
      </c>
    </row>
    <row r="57" spans="1:18" s="95" customFormat="1" ht="9" x14ac:dyDescent="0.15">
      <c r="A57" s="91" t="s">
        <v>313</v>
      </c>
      <c r="B57" s="31">
        <v>2</v>
      </c>
      <c r="C57" s="31"/>
      <c r="D57" s="37">
        <v>0</v>
      </c>
      <c r="E57" s="37">
        <v>0</v>
      </c>
      <c r="F57" s="37">
        <v>0</v>
      </c>
      <c r="G57" s="31">
        <v>1</v>
      </c>
      <c r="H57" s="31">
        <f t="shared" si="13"/>
        <v>2</v>
      </c>
      <c r="I57" s="63">
        <v>0</v>
      </c>
      <c r="J57" s="64">
        <f t="shared" si="14"/>
        <v>0</v>
      </c>
      <c r="K57" s="64">
        <f t="shared" si="15"/>
        <v>0</v>
      </c>
      <c r="L57" s="64">
        <f t="shared" si="16"/>
        <v>0</v>
      </c>
      <c r="M57" s="31"/>
      <c r="N57" s="37">
        <f>(J57*'Base Data'!$C$5)+(K57*'Base Data'!$C$6)+(L57*'Base Data'!$C$7)</f>
        <v>0</v>
      </c>
      <c r="O57" s="37">
        <f t="shared" si="17"/>
        <v>0</v>
      </c>
      <c r="P57" s="64">
        <v>0</v>
      </c>
      <c r="Q57" s="66" t="s">
        <v>276</v>
      </c>
    </row>
    <row r="58" spans="1:18" s="95" customFormat="1" ht="9" customHeight="1" x14ac:dyDescent="0.15">
      <c r="A58" s="91" t="s">
        <v>192</v>
      </c>
      <c r="B58" s="31">
        <v>2</v>
      </c>
      <c r="C58" s="31">
        <v>0</v>
      </c>
      <c r="D58" s="37">
        <v>0</v>
      </c>
      <c r="E58" s="37">
        <v>0</v>
      </c>
      <c r="F58" s="37">
        <v>0</v>
      </c>
      <c r="G58" s="31">
        <v>2</v>
      </c>
      <c r="H58" s="31">
        <f>B58*G58</f>
        <v>4</v>
      </c>
      <c r="I58" s="63">
        <f>$I$7</f>
        <v>34</v>
      </c>
      <c r="J58" s="64">
        <f>H58*I58</f>
        <v>136</v>
      </c>
      <c r="K58" s="64">
        <f t="shared" si="15"/>
        <v>13.600000000000001</v>
      </c>
      <c r="L58" s="64">
        <f>J58*0.05</f>
        <v>6.8000000000000007</v>
      </c>
      <c r="M58" s="31">
        <f>C58*G58*I58</f>
        <v>0</v>
      </c>
      <c r="N58" s="37">
        <f>(J58*'Base Data'!$C$5)+(K58*'Base Data'!$C$6)+(L58*'Base Data'!$C$7)</f>
        <v>17126.276000000002</v>
      </c>
      <c r="O58" s="37">
        <f>(D58+E58+F58)*G58*I58</f>
        <v>0</v>
      </c>
      <c r="P58" s="64">
        <v>0</v>
      </c>
      <c r="Q58" s="66" t="s">
        <v>389</v>
      </c>
    </row>
    <row r="59" spans="1:18" s="95" customFormat="1" ht="18" x14ac:dyDescent="0.15">
      <c r="A59" s="91" t="s">
        <v>354</v>
      </c>
      <c r="B59" s="31">
        <v>2</v>
      </c>
      <c r="C59" s="31">
        <v>0</v>
      </c>
      <c r="D59" s="37">
        <v>0</v>
      </c>
      <c r="E59" s="37">
        <v>0</v>
      </c>
      <c r="F59" s="37">
        <v>0</v>
      </c>
      <c r="G59" s="31">
        <v>2</v>
      </c>
      <c r="H59" s="31">
        <f t="shared" si="13"/>
        <v>4</v>
      </c>
      <c r="I59" s="63">
        <f>I45</f>
        <v>0</v>
      </c>
      <c r="J59" s="64">
        <f t="shared" si="14"/>
        <v>0</v>
      </c>
      <c r="K59" s="64">
        <f t="shared" si="15"/>
        <v>0</v>
      </c>
      <c r="L59" s="64">
        <f t="shared" si="16"/>
        <v>0</v>
      </c>
      <c r="M59" s="31">
        <f>C59*G59*I59</f>
        <v>0</v>
      </c>
      <c r="N59" s="37">
        <f>(J59*'Base Data'!$C$5)+(K59*'Base Data'!$C$6)+(L59*'Base Data'!$C$7)</f>
        <v>0</v>
      </c>
      <c r="O59" s="37">
        <f t="shared" si="17"/>
        <v>0</v>
      </c>
      <c r="P59" s="64">
        <v>0</v>
      </c>
      <c r="Q59" s="66" t="s">
        <v>389</v>
      </c>
    </row>
    <row r="60" spans="1:18" s="95" customFormat="1" ht="9" x14ac:dyDescent="0.15">
      <c r="A60" s="91" t="s">
        <v>197</v>
      </c>
      <c r="B60" s="31">
        <v>0.5</v>
      </c>
      <c r="C60" s="31"/>
      <c r="D60" s="37">
        <v>0</v>
      </c>
      <c r="E60" s="37">
        <v>0</v>
      </c>
      <c r="F60" s="37">
        <v>0</v>
      </c>
      <c r="G60" s="31">
        <v>12</v>
      </c>
      <c r="H60" s="31">
        <f t="shared" si="13"/>
        <v>6</v>
      </c>
      <c r="I60" s="63">
        <f>$I$37</f>
        <v>262</v>
      </c>
      <c r="J60" s="64">
        <f t="shared" si="14"/>
        <v>1572</v>
      </c>
      <c r="K60" s="64">
        <f t="shared" si="15"/>
        <v>157.20000000000002</v>
      </c>
      <c r="L60" s="64">
        <f t="shared" si="16"/>
        <v>78.600000000000009</v>
      </c>
      <c r="M60" s="31"/>
      <c r="N60" s="37">
        <f>(J60*'Base Data'!$C$5)+(K60*'Base Data'!$C$6)+(L60*'Base Data'!$C$7)</f>
        <v>197959.60200000001</v>
      </c>
      <c r="O60" s="37">
        <f t="shared" si="17"/>
        <v>0</v>
      </c>
      <c r="P60" s="64">
        <v>0</v>
      </c>
      <c r="Q60" s="66" t="s">
        <v>276</v>
      </c>
    </row>
    <row r="61" spans="1:18" s="95" customFormat="1" ht="9" x14ac:dyDescent="0.15">
      <c r="A61" s="198" t="s">
        <v>355</v>
      </c>
      <c r="B61" s="31">
        <v>0.25</v>
      </c>
      <c r="C61" s="31"/>
      <c r="D61" s="37">
        <v>0</v>
      </c>
      <c r="E61" s="37">
        <v>0</v>
      </c>
      <c r="F61" s="37">
        <v>0</v>
      </c>
      <c r="G61" s="31">
        <v>1</v>
      </c>
      <c r="H61" s="31">
        <f>B61*G61</f>
        <v>0.25</v>
      </c>
      <c r="I61" s="63">
        <f>$I$37</f>
        <v>262</v>
      </c>
      <c r="J61" s="63">
        <f>H61*I61</f>
        <v>65.5</v>
      </c>
      <c r="K61" s="63">
        <f>J61*0.1</f>
        <v>6.5500000000000007</v>
      </c>
      <c r="L61" s="63">
        <f>J61*0.05</f>
        <v>3.2750000000000004</v>
      </c>
      <c r="M61" s="31">
        <f>C61*G61*I61</f>
        <v>0</v>
      </c>
      <c r="N61" s="37">
        <f>(J61*'Base Data'!$C$5)+(K61*'Base Data'!$C$6)+(L61*'Base Data'!$C$7)</f>
        <v>8248.31675</v>
      </c>
      <c r="O61" s="37">
        <f>(D61+E61+F61)*G61*I61</f>
        <v>0</v>
      </c>
      <c r="P61" s="64">
        <f>G61*I61</f>
        <v>262</v>
      </c>
      <c r="Q61" s="66" t="s">
        <v>277</v>
      </c>
    </row>
    <row r="62" spans="1:18" s="95" customFormat="1" ht="9" x14ac:dyDescent="0.15">
      <c r="A62" s="90" t="s">
        <v>305</v>
      </c>
      <c r="B62" s="31">
        <v>40</v>
      </c>
      <c r="C62" s="31"/>
      <c r="D62" s="37">
        <v>0</v>
      </c>
      <c r="E62" s="37">
        <v>0</v>
      </c>
      <c r="F62" s="37">
        <v>0</v>
      </c>
      <c r="G62" s="31">
        <v>1</v>
      </c>
      <c r="H62" s="31">
        <f t="shared" si="13"/>
        <v>40</v>
      </c>
      <c r="I62" s="63">
        <f>$I$7</f>
        <v>34</v>
      </c>
      <c r="J62" s="64">
        <f t="shared" si="14"/>
        <v>1360</v>
      </c>
      <c r="K62" s="64">
        <f t="shared" si="15"/>
        <v>136</v>
      </c>
      <c r="L62" s="64">
        <f t="shared" si="16"/>
        <v>68</v>
      </c>
      <c r="M62" s="31"/>
      <c r="N62" s="37">
        <f>(J62*'Base Data'!$C$5)+(K62*'Base Data'!$C$6)+(L62*'Base Data'!$C$7)</f>
        <v>171262.76</v>
      </c>
      <c r="O62" s="37">
        <f t="shared" si="17"/>
        <v>0</v>
      </c>
      <c r="P62" s="64">
        <v>0</v>
      </c>
      <c r="Q62" s="66" t="s">
        <v>65</v>
      </c>
    </row>
    <row r="63" spans="1:18" s="95" customFormat="1" x14ac:dyDescent="0.2">
      <c r="A63" s="90" t="s">
        <v>306</v>
      </c>
      <c r="B63" s="31" t="s">
        <v>311</v>
      </c>
      <c r="C63" s="31"/>
      <c r="D63" s="37"/>
      <c r="E63" s="37"/>
      <c r="F63" s="37"/>
      <c r="G63" s="31"/>
      <c r="H63" s="31"/>
      <c r="I63" s="64"/>
      <c r="J63" s="64"/>
      <c r="K63" s="64"/>
      <c r="L63" s="64"/>
      <c r="M63" s="31"/>
      <c r="N63" s="37"/>
      <c r="O63" s="37"/>
      <c r="P63" s="64"/>
      <c r="Q63" s="66"/>
      <c r="R63" s="109"/>
    </row>
    <row r="64" spans="1:18" s="95" customFormat="1" x14ac:dyDescent="0.2">
      <c r="A64" s="144" t="s">
        <v>23</v>
      </c>
      <c r="B64" s="139"/>
      <c r="C64" s="139"/>
      <c r="D64" s="140"/>
      <c r="E64" s="140"/>
      <c r="F64" s="140"/>
      <c r="G64" s="139"/>
      <c r="H64" s="139"/>
      <c r="I64" s="141"/>
      <c r="J64" s="141">
        <f t="shared" ref="J64:O64" si="18">SUM(J50:J63)</f>
        <v>3133.5</v>
      </c>
      <c r="K64" s="141">
        <f t="shared" si="18"/>
        <v>313.35000000000002</v>
      </c>
      <c r="L64" s="141">
        <f t="shared" si="18"/>
        <v>156.67500000000001</v>
      </c>
      <c r="M64" s="140">
        <f t="shared" si="18"/>
        <v>0</v>
      </c>
      <c r="N64" s="140">
        <f t="shared" si="18"/>
        <v>394596.95475000003</v>
      </c>
      <c r="O64" s="140">
        <f t="shared" si="18"/>
        <v>0</v>
      </c>
      <c r="P64" s="141"/>
      <c r="Q64" s="142"/>
      <c r="R64" s="77"/>
    </row>
    <row r="65" spans="1:18" s="109" customFormat="1" x14ac:dyDescent="0.2">
      <c r="A65" s="110" t="s">
        <v>283</v>
      </c>
      <c r="B65" s="111"/>
      <c r="C65" s="111"/>
      <c r="D65" s="111"/>
      <c r="E65" s="111"/>
      <c r="F65" s="112"/>
      <c r="G65" s="111"/>
      <c r="H65" s="111"/>
      <c r="I65" s="113"/>
      <c r="J65" s="114">
        <f t="shared" ref="J65:P65" si="19">J48+J64</f>
        <v>8657.5</v>
      </c>
      <c r="K65" s="114">
        <f t="shared" si="19"/>
        <v>865.75000000000011</v>
      </c>
      <c r="L65" s="114">
        <f t="shared" si="19"/>
        <v>432.87500000000006</v>
      </c>
      <c r="M65" s="115">
        <f t="shared" si="19"/>
        <v>0</v>
      </c>
      <c r="N65" s="115">
        <f t="shared" si="19"/>
        <v>1090225.98875</v>
      </c>
      <c r="O65" s="115">
        <f t="shared" si="19"/>
        <v>753250</v>
      </c>
      <c r="P65" s="114">
        <f t="shared" si="19"/>
        <v>102</v>
      </c>
      <c r="Q65" s="116"/>
      <c r="R65" s="38"/>
    </row>
    <row r="66" spans="1:18" ht="6" customHeight="1" x14ac:dyDescent="0.2">
      <c r="R66" s="38"/>
    </row>
    <row r="67" spans="1:18" s="38" customFormat="1" ht="9" customHeight="1" x14ac:dyDescent="0.15">
      <c r="A67" s="748" t="s">
        <v>519</v>
      </c>
      <c r="B67" s="748"/>
      <c r="C67" s="748"/>
      <c r="D67" s="748"/>
      <c r="E67" s="748"/>
      <c r="F67" s="748"/>
      <c r="G67" s="748"/>
      <c r="H67" s="748"/>
      <c r="I67" s="748"/>
      <c r="J67" s="748"/>
      <c r="K67" s="748"/>
      <c r="L67" s="748"/>
      <c r="M67" s="748"/>
      <c r="N67" s="748"/>
      <c r="O67" s="748"/>
      <c r="P67" s="211"/>
    </row>
    <row r="68" spans="1:18" s="38" customFormat="1" ht="9" customHeight="1" x14ac:dyDescent="0.15">
      <c r="A68" s="682" t="s">
        <v>275</v>
      </c>
      <c r="B68" s="682"/>
      <c r="C68" s="682"/>
      <c r="D68" s="682"/>
      <c r="E68" s="682"/>
      <c r="F68" s="682"/>
      <c r="G68" s="682"/>
      <c r="H68" s="682"/>
      <c r="I68" s="682"/>
      <c r="J68" s="682"/>
      <c r="K68" s="682"/>
      <c r="L68" s="682"/>
      <c r="M68" s="682"/>
      <c r="N68" s="682"/>
      <c r="O68" s="682"/>
      <c r="P68" s="211"/>
    </row>
    <row r="69" spans="1:18" s="212" customFormat="1" ht="9" x14ac:dyDescent="0.15">
      <c r="A69" s="682" t="s">
        <v>448</v>
      </c>
      <c r="B69" s="682"/>
      <c r="C69" s="682"/>
      <c r="D69" s="682"/>
      <c r="E69" s="682"/>
      <c r="F69" s="682"/>
      <c r="G69" s="682"/>
      <c r="H69" s="682"/>
      <c r="I69" s="682"/>
      <c r="J69" s="682"/>
      <c r="K69" s="682"/>
      <c r="L69" s="682"/>
      <c r="M69" s="682"/>
      <c r="N69" s="682"/>
      <c r="O69" s="682"/>
      <c r="P69" s="682"/>
      <c r="Q69" s="38"/>
      <c r="R69" s="38"/>
    </row>
    <row r="70" spans="1:18" s="38" customFormat="1" x14ac:dyDescent="0.2">
      <c r="A70" s="682" t="s">
        <v>208</v>
      </c>
      <c r="B70" s="682"/>
      <c r="C70" s="682"/>
      <c r="D70" s="682"/>
      <c r="E70" s="682"/>
      <c r="F70" s="682"/>
      <c r="G70" s="682"/>
      <c r="H70" s="682"/>
      <c r="I70" s="682"/>
      <c r="J70" s="682"/>
      <c r="K70" s="682"/>
      <c r="L70" s="682"/>
      <c r="M70" s="682"/>
      <c r="N70" s="682"/>
      <c r="O70" s="682"/>
      <c r="P70" s="682"/>
      <c r="Q70" s="77"/>
    </row>
    <row r="71" spans="1:18" s="38" customFormat="1" ht="21" customHeight="1" x14ac:dyDescent="0.15">
      <c r="A71" s="682" t="s">
        <v>407</v>
      </c>
      <c r="B71" s="682"/>
      <c r="C71" s="682"/>
      <c r="D71" s="682"/>
      <c r="E71" s="682"/>
      <c r="F71" s="682"/>
      <c r="G71" s="682"/>
      <c r="H71" s="682"/>
      <c r="I71" s="682"/>
      <c r="J71" s="682"/>
      <c r="K71" s="682"/>
      <c r="L71" s="682"/>
      <c r="M71" s="682"/>
      <c r="N71" s="682"/>
      <c r="O71" s="682"/>
      <c r="P71" s="315"/>
    </row>
    <row r="72" spans="1:18" s="38" customFormat="1" ht="9" customHeight="1" x14ac:dyDescent="0.15">
      <c r="A72" s="69" t="s">
        <v>390</v>
      </c>
      <c r="B72" s="315"/>
      <c r="C72" s="315"/>
      <c r="D72" s="315"/>
      <c r="E72" s="315"/>
      <c r="F72" s="315"/>
      <c r="G72" s="315"/>
      <c r="H72" s="315"/>
      <c r="I72" s="315"/>
      <c r="J72" s="315"/>
      <c r="K72" s="315"/>
      <c r="L72" s="315"/>
      <c r="M72" s="315"/>
      <c r="N72" s="315"/>
      <c r="O72" s="315"/>
      <c r="P72" s="315"/>
    </row>
    <row r="73" spans="1:18" s="38" customFormat="1" ht="9" x14ac:dyDescent="0.15">
      <c r="A73" s="38" t="s">
        <v>409</v>
      </c>
      <c r="B73" s="41"/>
      <c r="C73" s="41"/>
      <c r="D73" s="41"/>
      <c r="E73" s="41"/>
      <c r="F73" s="41"/>
      <c r="G73" s="41"/>
      <c r="H73" s="41"/>
      <c r="I73" s="42"/>
      <c r="J73" s="41"/>
      <c r="K73" s="41"/>
      <c r="L73" s="41"/>
      <c r="M73" s="41"/>
      <c r="N73" s="41"/>
      <c r="O73" s="121"/>
      <c r="P73" s="121"/>
      <c r="Q73" s="41"/>
    </row>
    <row r="74" spans="1:18" s="38" customFormat="1" ht="9" x14ac:dyDescent="0.15">
      <c r="A74" s="38" t="s">
        <v>414</v>
      </c>
      <c r="C74" s="41"/>
      <c r="D74" s="41"/>
      <c r="E74" s="41"/>
      <c r="F74" s="41"/>
      <c r="G74" s="41"/>
      <c r="H74" s="41"/>
      <c r="I74" s="41"/>
      <c r="J74" s="42"/>
      <c r="K74" s="41"/>
      <c r="L74" s="41"/>
      <c r="M74" s="41"/>
      <c r="N74" s="41"/>
      <c r="O74" s="41"/>
      <c r="P74" s="121"/>
      <c r="Q74" s="41"/>
    </row>
    <row r="75" spans="1:18" s="38" customFormat="1" ht="9" x14ac:dyDescent="0.15">
      <c r="A75" s="87" t="s">
        <v>415</v>
      </c>
      <c r="B75" s="682"/>
      <c r="C75" s="682"/>
      <c r="D75" s="682"/>
      <c r="E75" s="682"/>
      <c r="F75" s="682"/>
      <c r="G75" s="682"/>
      <c r="H75" s="682"/>
      <c r="I75" s="682"/>
      <c r="J75" s="682"/>
      <c r="K75" s="682"/>
      <c r="L75" s="682"/>
      <c r="M75" s="682"/>
      <c r="N75" s="682"/>
      <c r="O75" s="682"/>
      <c r="P75" s="682"/>
      <c r="Q75" s="41"/>
    </row>
    <row r="76" spans="1:18" s="38" customFormat="1" ht="20.25" customHeight="1" x14ac:dyDescent="0.15">
      <c r="A76" s="682" t="s">
        <v>567</v>
      </c>
      <c r="B76" s="682"/>
      <c r="C76" s="682"/>
      <c r="D76" s="682"/>
      <c r="E76" s="682"/>
      <c r="F76" s="682"/>
      <c r="G76" s="682"/>
      <c r="H76" s="682"/>
      <c r="I76" s="682"/>
      <c r="J76" s="682"/>
      <c r="K76" s="682"/>
      <c r="L76" s="682"/>
      <c r="M76" s="682"/>
      <c r="N76" s="682"/>
      <c r="O76" s="682"/>
      <c r="P76" s="682"/>
      <c r="Q76" s="41"/>
    </row>
    <row r="77" spans="1:18" s="38" customFormat="1" ht="9" x14ac:dyDescent="0.15">
      <c r="A77" s="682" t="s">
        <v>555</v>
      </c>
      <c r="B77" s="682"/>
      <c r="C77" s="682"/>
      <c r="D77" s="682"/>
      <c r="E77" s="682"/>
      <c r="F77" s="682"/>
      <c r="G77" s="682"/>
      <c r="H77" s="682"/>
      <c r="I77" s="682"/>
      <c r="J77" s="682"/>
      <c r="K77" s="682"/>
      <c r="L77" s="682"/>
      <c r="M77" s="682"/>
      <c r="N77" s="682"/>
      <c r="O77" s="682"/>
      <c r="P77" s="682"/>
      <c r="Q77" s="682"/>
    </row>
    <row r="78" spans="1:18" s="38" customFormat="1" ht="9" x14ac:dyDescent="0.15">
      <c r="A78" s="682"/>
      <c r="B78" s="682"/>
      <c r="C78" s="682"/>
      <c r="D78" s="682"/>
      <c r="E78" s="682"/>
      <c r="F78" s="682"/>
      <c r="G78" s="682"/>
      <c r="H78" s="682"/>
      <c r="I78" s="682"/>
      <c r="J78" s="682"/>
      <c r="K78" s="682"/>
      <c r="L78" s="682"/>
      <c r="M78" s="682"/>
      <c r="N78" s="682"/>
      <c r="O78" s="682"/>
      <c r="P78" s="682"/>
      <c r="Q78" s="682"/>
    </row>
    <row r="79" spans="1:18" s="38" customFormat="1" ht="9" x14ac:dyDescent="0.15">
      <c r="A79" s="682"/>
      <c r="B79" s="682"/>
      <c r="C79" s="682"/>
      <c r="D79" s="682"/>
      <c r="E79" s="682"/>
      <c r="F79" s="682"/>
      <c r="G79" s="682"/>
      <c r="H79" s="682"/>
      <c r="I79" s="682"/>
      <c r="J79" s="682"/>
      <c r="K79" s="682"/>
      <c r="L79" s="682"/>
      <c r="M79" s="682"/>
      <c r="N79" s="682"/>
      <c r="O79" s="682"/>
      <c r="P79" s="682"/>
      <c r="Q79" s="682"/>
    </row>
    <row r="80" spans="1:18" s="38" customFormat="1" ht="9" x14ac:dyDescent="0.15">
      <c r="B80" s="41"/>
      <c r="C80" s="41"/>
      <c r="D80" s="41"/>
      <c r="E80" s="41"/>
      <c r="F80" s="41"/>
      <c r="G80" s="41"/>
      <c r="H80" s="41"/>
      <c r="I80" s="42"/>
      <c r="J80" s="41"/>
      <c r="K80" s="41"/>
      <c r="L80" s="41"/>
      <c r="M80" s="41"/>
      <c r="N80" s="41"/>
      <c r="O80" s="121"/>
      <c r="P80" s="121"/>
      <c r="Q80" s="41"/>
    </row>
    <row r="81" spans="2:18" s="38" customFormat="1" ht="9" x14ac:dyDescent="0.15">
      <c r="B81" s="41"/>
      <c r="C81" s="41"/>
      <c r="D81" s="41"/>
      <c r="E81" s="41"/>
      <c r="F81" s="41"/>
      <c r="G81" s="41"/>
      <c r="H81" s="41"/>
      <c r="I81" s="42"/>
      <c r="J81" s="41"/>
      <c r="K81" s="41"/>
      <c r="L81" s="41"/>
      <c r="M81" s="41"/>
      <c r="N81" s="41"/>
      <c r="O81" s="121"/>
      <c r="P81" s="121"/>
      <c r="Q81" s="41"/>
    </row>
    <row r="82" spans="2:18" s="38" customFormat="1" ht="9" x14ac:dyDescent="0.15">
      <c r="B82" s="41"/>
      <c r="C82" s="41"/>
      <c r="D82" s="41"/>
      <c r="E82" s="41"/>
      <c r="F82" s="41"/>
      <c r="G82" s="41"/>
      <c r="H82" s="41"/>
      <c r="I82" s="42"/>
      <c r="J82" s="41"/>
      <c r="K82" s="41"/>
      <c r="L82" s="41"/>
      <c r="M82" s="41"/>
      <c r="N82" s="41"/>
      <c r="O82" s="121"/>
      <c r="P82" s="121"/>
      <c r="Q82" s="41"/>
    </row>
    <row r="83" spans="2:18" s="38" customFormat="1" ht="9" x14ac:dyDescent="0.15">
      <c r="B83" s="41"/>
      <c r="C83" s="41"/>
      <c r="D83" s="41"/>
      <c r="E83" s="41"/>
      <c r="F83" s="41"/>
      <c r="G83" s="41"/>
      <c r="H83" s="41"/>
      <c r="I83" s="42"/>
      <c r="J83" s="41"/>
      <c r="K83" s="41"/>
      <c r="L83" s="41"/>
      <c r="M83" s="41"/>
      <c r="N83" s="41"/>
      <c r="O83" s="121"/>
      <c r="P83" s="121"/>
      <c r="Q83" s="41"/>
    </row>
    <row r="84" spans="2:18" s="38" customFormat="1" ht="9" x14ac:dyDescent="0.15">
      <c r="B84" s="41"/>
      <c r="C84" s="41"/>
      <c r="D84" s="41"/>
      <c r="E84" s="41"/>
      <c r="F84" s="41"/>
      <c r="G84" s="41"/>
      <c r="H84" s="41"/>
      <c r="I84" s="42"/>
      <c r="J84" s="41"/>
      <c r="K84" s="41"/>
      <c r="L84" s="41"/>
      <c r="M84" s="41"/>
      <c r="N84" s="41"/>
      <c r="O84" s="121"/>
      <c r="P84" s="121"/>
      <c r="Q84" s="41"/>
    </row>
    <row r="85" spans="2:18" s="38" customFormat="1" ht="9" x14ac:dyDescent="0.15">
      <c r="B85" s="41"/>
      <c r="C85" s="41"/>
      <c r="D85" s="41"/>
      <c r="E85" s="41"/>
      <c r="F85" s="41"/>
      <c r="G85" s="41"/>
      <c r="H85" s="41"/>
      <c r="I85" s="42"/>
      <c r="J85" s="41"/>
      <c r="K85" s="41"/>
      <c r="L85" s="41"/>
      <c r="M85" s="41"/>
      <c r="N85" s="41"/>
      <c r="O85" s="121"/>
      <c r="P85" s="121"/>
      <c r="Q85" s="41"/>
    </row>
    <row r="86" spans="2:18" s="38" customFormat="1" ht="9" x14ac:dyDescent="0.15">
      <c r="B86" s="41"/>
      <c r="C86" s="41"/>
      <c r="D86" s="41"/>
      <c r="E86" s="41"/>
      <c r="F86" s="41"/>
      <c r="G86" s="41"/>
      <c r="H86" s="41"/>
      <c r="I86" s="42"/>
      <c r="J86" s="41"/>
      <c r="K86" s="41"/>
      <c r="L86" s="41"/>
      <c r="M86" s="41"/>
      <c r="N86" s="41"/>
      <c r="O86" s="121"/>
      <c r="P86" s="121"/>
      <c r="Q86" s="41"/>
    </row>
    <row r="87" spans="2:18" s="38" customFormat="1" ht="9" x14ac:dyDescent="0.15">
      <c r="B87" s="41"/>
      <c r="C87" s="41"/>
      <c r="D87" s="41"/>
      <c r="E87" s="41"/>
      <c r="F87" s="41"/>
      <c r="G87" s="41"/>
      <c r="H87" s="41"/>
      <c r="I87" s="42"/>
      <c r="J87" s="41"/>
      <c r="K87" s="41"/>
      <c r="L87" s="41"/>
      <c r="M87" s="41"/>
      <c r="N87" s="41"/>
      <c r="O87" s="121"/>
      <c r="P87" s="121"/>
      <c r="Q87" s="41"/>
    </row>
    <row r="88" spans="2:18" s="38" customFormat="1" ht="9" x14ac:dyDescent="0.15">
      <c r="B88" s="41"/>
      <c r="C88" s="41"/>
      <c r="D88" s="41"/>
      <c r="E88" s="41"/>
      <c r="F88" s="41"/>
      <c r="G88" s="41"/>
      <c r="H88" s="41"/>
      <c r="I88" s="42"/>
      <c r="J88" s="41"/>
      <c r="K88" s="41"/>
      <c r="L88" s="41"/>
      <c r="M88" s="41"/>
      <c r="N88" s="41"/>
      <c r="O88" s="121"/>
      <c r="P88" s="121"/>
      <c r="Q88" s="41"/>
    </row>
    <row r="89" spans="2:18" s="38" customFormat="1" x14ac:dyDescent="0.2">
      <c r="B89" s="41"/>
      <c r="C89" s="41"/>
      <c r="D89" s="41"/>
      <c r="E89" s="41"/>
      <c r="F89" s="41"/>
      <c r="G89" s="41"/>
      <c r="H89" s="41"/>
      <c r="I89" s="42"/>
      <c r="J89" s="41"/>
      <c r="K89" s="41"/>
      <c r="L89" s="41"/>
      <c r="M89" s="41"/>
      <c r="N89" s="41"/>
      <c r="O89" s="121"/>
      <c r="P89" s="121"/>
      <c r="Q89" s="41"/>
      <c r="R89" s="77"/>
    </row>
    <row r="90" spans="2:18" s="38" customFormat="1" x14ac:dyDescent="0.2">
      <c r="B90" s="41"/>
      <c r="C90" s="41"/>
      <c r="D90" s="41"/>
      <c r="E90" s="41"/>
      <c r="F90" s="41"/>
      <c r="G90" s="41"/>
      <c r="H90" s="41"/>
      <c r="I90" s="42"/>
      <c r="J90" s="41"/>
      <c r="K90" s="41"/>
      <c r="L90" s="41"/>
      <c r="M90" s="41"/>
      <c r="N90" s="41"/>
      <c r="O90" s="121"/>
      <c r="P90" s="121"/>
      <c r="Q90" s="41"/>
      <c r="R90" s="77"/>
    </row>
    <row r="91" spans="2:18" x14ac:dyDescent="0.2">
      <c r="Q91" s="41"/>
    </row>
    <row r="92" spans="2:18" x14ac:dyDescent="0.2">
      <c r="Q92" s="41"/>
    </row>
    <row r="93" spans="2:18" x14ac:dyDescent="0.2">
      <c r="Q93" s="41"/>
    </row>
  </sheetData>
  <mergeCells count="10">
    <mergeCell ref="A77:Q79"/>
    <mergeCell ref="B75:P75"/>
    <mergeCell ref="A70:P70"/>
    <mergeCell ref="A71:O71"/>
    <mergeCell ref="A1:Q1"/>
    <mergeCell ref="A2:Q2"/>
    <mergeCell ref="A68:O68"/>
    <mergeCell ref="A67:O67"/>
    <mergeCell ref="A69:P69"/>
    <mergeCell ref="A76:P76"/>
  </mergeCells>
  <phoneticPr fontId="9" type="noConversion"/>
  <pageMargins left="0.25" right="0.25" top="0.5" bottom="0.5" header="0.5" footer="0.5"/>
  <pageSetup scale="7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0"/>
  <sheetViews>
    <sheetView zoomScale="110" zoomScaleNormal="110" workbookViewId="0">
      <pane xSplit="1" ySplit="3" topLeftCell="G46" activePane="bottomRight" state="frozen"/>
      <selection activeCell="O55" sqref="O55"/>
      <selection pane="topRight" activeCell="O55" sqref="O55"/>
      <selection pane="bottomLeft" activeCell="O55" sqref="O55"/>
      <selection pane="bottomRight" activeCell="I37" sqref="I37"/>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8.85546875" style="39" bestFit="1" customWidth="1"/>
    <col min="6" max="6" width="7.85546875" style="39" bestFit="1" customWidth="1"/>
    <col min="7" max="7" width="9.42578125" style="39" bestFit="1" customWidth="1"/>
    <col min="8" max="8" width="7.85546875" style="39" bestFit="1" customWidth="1"/>
    <col min="9" max="9" width="9.42578125" style="40" bestFit="1" customWidth="1"/>
    <col min="10" max="11" width="6.85546875" style="39" bestFit="1" customWidth="1"/>
    <col min="12" max="12" width="8.85546875" style="39" bestFit="1" customWidth="1"/>
    <col min="13" max="13" width="7.85546875" style="39" hidden="1" customWidth="1"/>
    <col min="14" max="14" width="10.42578125" style="39" customWidth="1"/>
    <col min="15" max="15" width="10.140625" style="120" bestFit="1" customWidth="1"/>
    <col min="16" max="16" width="7.85546875" style="120" customWidth="1"/>
    <col min="17" max="17" width="4" style="39" bestFit="1" customWidth="1"/>
    <col min="18" max="19" width="9.140625" style="77" hidden="1" customWidth="1"/>
    <col min="20" max="20" width="11.140625" style="77" customWidth="1"/>
    <col min="21" max="21" width="8.5703125" style="77" customWidth="1"/>
    <col min="22" max="16384" width="9.140625" style="77"/>
  </cols>
  <sheetData>
    <row r="1" spans="1:21" x14ac:dyDescent="0.2">
      <c r="A1" s="684" t="s">
        <v>712</v>
      </c>
      <c r="B1" s="684"/>
      <c r="C1" s="684"/>
      <c r="D1" s="684"/>
      <c r="E1" s="684"/>
      <c r="F1" s="684"/>
      <c r="G1" s="684"/>
      <c r="H1" s="684"/>
      <c r="I1" s="684"/>
      <c r="J1" s="684"/>
      <c r="K1" s="684"/>
      <c r="L1" s="684"/>
      <c r="M1" s="684"/>
      <c r="N1" s="684"/>
      <c r="O1" s="684"/>
      <c r="P1" s="684"/>
      <c r="Q1" s="684"/>
    </row>
    <row r="2" spans="1:21" x14ac:dyDescent="0.2">
      <c r="A2" s="685" t="s">
        <v>593</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3</v>
      </c>
      <c r="F3" s="32" t="s">
        <v>2</v>
      </c>
      <c r="G3" s="32" t="s">
        <v>148</v>
      </c>
      <c r="H3" s="32" t="s">
        <v>335</v>
      </c>
      <c r="I3" s="43" t="s">
        <v>336</v>
      </c>
      <c r="J3" s="70" t="s">
        <v>623</v>
      </c>
      <c r="K3" s="70" t="s">
        <v>624</v>
      </c>
      <c r="L3" s="70" t="s">
        <v>625</v>
      </c>
      <c r="M3" s="32" t="s">
        <v>279</v>
      </c>
      <c r="N3" s="32" t="s">
        <v>5</v>
      </c>
      <c r="O3" s="70" t="s">
        <v>6</v>
      </c>
      <c r="P3" s="70" t="s">
        <v>147</v>
      </c>
      <c r="Q3" s="106" t="s">
        <v>282</v>
      </c>
      <c r="R3" s="117" t="s">
        <v>225</v>
      </c>
      <c r="S3" s="117" t="s">
        <v>226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ROUND(SUM('Base Data'!$H$71:$H$73)/3,0)</f>
        <v>33</v>
      </c>
      <c r="J7" s="64">
        <f>H7*I7</f>
        <v>1320</v>
      </c>
      <c r="K7" s="64">
        <f>J7*0.1</f>
        <v>132</v>
      </c>
      <c r="L7" s="63">
        <f>J7*0.05</f>
        <v>66</v>
      </c>
      <c r="M7" s="31">
        <f>C7*G7*I7</f>
        <v>0</v>
      </c>
      <c r="N7" s="37">
        <f>(J7*'Base Data'!$C$5)+(K7*'Base Data'!$C$6)+(L7*'Base Data'!$C$7)</f>
        <v>166225.62000000002</v>
      </c>
      <c r="O7" s="37">
        <f>(D7+E7+F7)*G7*I7</f>
        <v>0</v>
      </c>
      <c r="P7" s="64">
        <v>0</v>
      </c>
      <c r="Q7" s="66" t="s">
        <v>276</v>
      </c>
    </row>
    <row r="8" spans="1:21" s="95" customFormat="1" ht="9" x14ac:dyDescent="0.15">
      <c r="A8" s="90" t="s">
        <v>288</v>
      </c>
      <c r="B8" s="31"/>
      <c r="C8" s="31"/>
      <c r="D8" s="37"/>
      <c r="E8" s="37"/>
      <c r="F8" s="37"/>
      <c r="G8" s="31"/>
      <c r="H8" s="31"/>
      <c r="I8" s="64"/>
      <c r="J8" s="64"/>
      <c r="K8" s="64"/>
      <c r="L8" s="64"/>
      <c r="M8" s="31"/>
      <c r="N8" s="37"/>
      <c r="O8" s="37"/>
      <c r="P8" s="64"/>
      <c r="Q8" s="66"/>
      <c r="U8" s="119"/>
    </row>
    <row r="9" spans="1:21" s="95" customFormat="1" ht="9" x14ac:dyDescent="0.15">
      <c r="A9" s="91" t="s">
        <v>353</v>
      </c>
      <c r="B9" s="31">
        <v>12</v>
      </c>
      <c r="C9" s="31"/>
      <c r="D9" s="37">
        <v>0</v>
      </c>
      <c r="E9" s="37">
        <f>'Testing Costs'!$B$13</f>
        <v>5000</v>
      </c>
      <c r="F9" s="37">
        <v>0</v>
      </c>
      <c r="G9" s="31">
        <v>1</v>
      </c>
      <c r="H9" s="31">
        <f t="shared" ref="H9:H19" si="0">B9*G9</f>
        <v>12</v>
      </c>
      <c r="I9" s="63">
        <v>0</v>
      </c>
      <c r="J9" s="64">
        <f t="shared" ref="J9:J19" si="1">H9*I9</f>
        <v>0</v>
      </c>
      <c r="K9" s="64">
        <f t="shared" ref="K9:K19" si="2">J9*0.1</f>
        <v>0</v>
      </c>
      <c r="L9" s="64">
        <f t="shared" ref="L9:L19" si="3">J9*0.05</f>
        <v>0</v>
      </c>
      <c r="M9" s="65"/>
      <c r="N9" s="37">
        <f>(J9*'Base Data'!$C$5)+(K9*'Base Data'!$C$6)+(L9*'Base Data'!$C$7)</f>
        <v>0</v>
      </c>
      <c r="O9" s="37">
        <f t="shared" ref="O9:O19" si="4">(D9+E9+F9)*G9*I9</f>
        <v>0</v>
      </c>
      <c r="P9" s="64">
        <v>0</v>
      </c>
      <c r="Q9" s="66" t="s">
        <v>278</v>
      </c>
      <c r="U9" s="119"/>
    </row>
    <row r="10" spans="1:21" s="95" customFormat="1" ht="9" x14ac:dyDescent="0.15">
      <c r="A10" s="91" t="s">
        <v>109</v>
      </c>
      <c r="B10" s="31">
        <v>12</v>
      </c>
      <c r="C10" s="31"/>
      <c r="D10" s="37">
        <v>0</v>
      </c>
      <c r="E10" s="37">
        <f>'Testing Costs'!$B$17</f>
        <v>8000</v>
      </c>
      <c r="F10" s="37">
        <v>0</v>
      </c>
      <c r="G10" s="31">
        <v>1</v>
      </c>
      <c r="H10" s="31">
        <f t="shared" si="0"/>
        <v>12</v>
      </c>
      <c r="I10" s="63">
        <v>0</v>
      </c>
      <c r="J10" s="64">
        <f t="shared" si="1"/>
        <v>0</v>
      </c>
      <c r="K10" s="64">
        <f t="shared" si="2"/>
        <v>0</v>
      </c>
      <c r="L10" s="64">
        <f t="shared" si="3"/>
        <v>0</v>
      </c>
      <c r="M10" s="65"/>
      <c r="N10" s="37">
        <f>(J10*'Base Data'!$C$5)+(K10*'Base Data'!$C$6)+(L10*'Base Data'!$C$7)</f>
        <v>0</v>
      </c>
      <c r="O10" s="37">
        <f t="shared" si="4"/>
        <v>0</v>
      </c>
      <c r="P10" s="64">
        <v>0</v>
      </c>
      <c r="Q10" s="66" t="s">
        <v>278</v>
      </c>
      <c r="U10" s="119"/>
    </row>
    <row r="11" spans="1:21" s="95" customFormat="1" ht="9" x14ac:dyDescent="0.15">
      <c r="A11" s="91" t="s">
        <v>110</v>
      </c>
      <c r="B11" s="31">
        <v>12</v>
      </c>
      <c r="C11" s="31"/>
      <c r="D11" s="37">
        <v>0</v>
      </c>
      <c r="E11" s="37">
        <f>'Testing Costs'!$B$15</f>
        <v>8000</v>
      </c>
      <c r="F11" s="37">
        <v>0</v>
      </c>
      <c r="G11" s="31">
        <v>1</v>
      </c>
      <c r="H11" s="31">
        <f t="shared" si="0"/>
        <v>12</v>
      </c>
      <c r="I11" s="63">
        <v>0</v>
      </c>
      <c r="J11" s="64">
        <f t="shared" si="1"/>
        <v>0</v>
      </c>
      <c r="K11" s="64">
        <f t="shared" si="2"/>
        <v>0</v>
      </c>
      <c r="L11" s="64">
        <f t="shared" si="3"/>
        <v>0</v>
      </c>
      <c r="M11" s="65"/>
      <c r="N11" s="37">
        <f>(J11*'Base Data'!$C$5)+(K11*'Base Data'!$C$6)+(L11*'Base Data'!$C$7)</f>
        <v>0</v>
      </c>
      <c r="O11" s="37">
        <f t="shared" si="4"/>
        <v>0</v>
      </c>
      <c r="P11" s="64">
        <v>0</v>
      </c>
      <c r="Q11" s="66" t="s">
        <v>278</v>
      </c>
      <c r="U11" s="119"/>
    </row>
    <row r="12" spans="1:21" s="95" customFormat="1" ht="9" x14ac:dyDescent="0.15">
      <c r="A12" s="91" t="s">
        <v>111</v>
      </c>
      <c r="B12" s="31">
        <v>12</v>
      </c>
      <c r="C12" s="31"/>
      <c r="D12" s="37">
        <v>0</v>
      </c>
      <c r="E12" s="37">
        <f>'Testing Costs'!$B$14</f>
        <v>7000</v>
      </c>
      <c r="F12" s="37">
        <v>0</v>
      </c>
      <c r="G12" s="31">
        <v>1</v>
      </c>
      <c r="H12" s="31">
        <f t="shared" si="0"/>
        <v>12</v>
      </c>
      <c r="I12" s="63">
        <v>0</v>
      </c>
      <c r="J12" s="64">
        <f t="shared" si="1"/>
        <v>0</v>
      </c>
      <c r="K12" s="64">
        <f t="shared" si="2"/>
        <v>0</v>
      </c>
      <c r="L12" s="64">
        <f t="shared" si="3"/>
        <v>0</v>
      </c>
      <c r="M12" s="65"/>
      <c r="N12" s="37">
        <f>(J12*'Base Data'!$C$5)+(K12*'Base Data'!$C$6)+(L12*'Base Data'!$C$7)</f>
        <v>0</v>
      </c>
      <c r="O12" s="37">
        <f t="shared" si="4"/>
        <v>0</v>
      </c>
      <c r="P12" s="64">
        <v>0</v>
      </c>
      <c r="Q12" s="66" t="s">
        <v>278</v>
      </c>
      <c r="U12" s="119"/>
    </row>
    <row r="13" spans="1:21" s="95" customFormat="1" ht="9" customHeight="1" x14ac:dyDescent="0.15">
      <c r="A13" s="91" t="s">
        <v>122</v>
      </c>
      <c r="B13" s="31">
        <v>12</v>
      </c>
      <c r="C13" s="31"/>
      <c r="D13" s="37">
        <v>0</v>
      </c>
      <c r="E13" s="37">
        <f>'Testing Costs'!$B$13</f>
        <v>5000</v>
      </c>
      <c r="F13" s="37">
        <v>0</v>
      </c>
      <c r="G13" s="31">
        <v>1</v>
      </c>
      <c r="H13" s="31">
        <f t="shared" si="0"/>
        <v>12</v>
      </c>
      <c r="I13" s="63">
        <v>0</v>
      </c>
      <c r="J13" s="64">
        <f t="shared" si="1"/>
        <v>0</v>
      </c>
      <c r="K13" s="64">
        <f t="shared" si="2"/>
        <v>0</v>
      </c>
      <c r="L13" s="64">
        <f t="shared" si="3"/>
        <v>0</v>
      </c>
      <c r="M13" s="65"/>
      <c r="N13" s="37">
        <f>(J13*'Base Data'!$C$5)+(K13*'Base Data'!$C$6)+(L13*'Base Data'!$C$7)</f>
        <v>0</v>
      </c>
      <c r="O13" s="37">
        <f t="shared" si="4"/>
        <v>0</v>
      </c>
      <c r="P13" s="64">
        <v>0</v>
      </c>
      <c r="Q13" s="66" t="s">
        <v>276</v>
      </c>
      <c r="U13" s="119"/>
    </row>
    <row r="14" spans="1:21" s="95" customFormat="1" ht="9" x14ac:dyDescent="0.15">
      <c r="A14" s="91" t="s">
        <v>123</v>
      </c>
      <c r="B14" s="31">
        <v>12</v>
      </c>
      <c r="C14" s="31"/>
      <c r="D14" s="37">
        <v>0</v>
      </c>
      <c r="E14" s="37">
        <f>'Testing Costs'!$B$17</f>
        <v>8000</v>
      </c>
      <c r="F14" s="37">
        <v>0</v>
      </c>
      <c r="G14" s="31">
        <v>1</v>
      </c>
      <c r="H14" s="31">
        <f t="shared" si="0"/>
        <v>12</v>
      </c>
      <c r="I14" s="63">
        <v>0</v>
      </c>
      <c r="J14" s="64">
        <f t="shared" si="1"/>
        <v>0</v>
      </c>
      <c r="K14" s="64">
        <f t="shared" si="2"/>
        <v>0</v>
      </c>
      <c r="L14" s="64">
        <f t="shared" si="3"/>
        <v>0</v>
      </c>
      <c r="M14" s="65"/>
      <c r="N14" s="37">
        <f>(J14*'Base Data'!$C$5)+(K14*'Base Data'!$C$6)+(L14*'Base Data'!$C$7)</f>
        <v>0</v>
      </c>
      <c r="O14" s="37">
        <f t="shared" si="4"/>
        <v>0</v>
      </c>
      <c r="P14" s="64">
        <v>0</v>
      </c>
      <c r="Q14" s="66" t="s">
        <v>276</v>
      </c>
      <c r="U14" s="119"/>
    </row>
    <row r="15" spans="1:21" s="95" customFormat="1" ht="9" x14ac:dyDescent="0.15">
      <c r="A15" s="91" t="s">
        <v>124</v>
      </c>
      <c r="B15" s="31">
        <v>12</v>
      </c>
      <c r="C15" s="31"/>
      <c r="D15" s="37">
        <v>0</v>
      </c>
      <c r="E15" s="37">
        <f>'Testing Costs'!$B$15</f>
        <v>8000</v>
      </c>
      <c r="F15" s="37">
        <v>0</v>
      </c>
      <c r="G15" s="31">
        <v>1</v>
      </c>
      <c r="H15" s="31">
        <f t="shared" si="0"/>
        <v>12</v>
      </c>
      <c r="I15" s="63">
        <v>0</v>
      </c>
      <c r="J15" s="64">
        <f t="shared" si="1"/>
        <v>0</v>
      </c>
      <c r="K15" s="64">
        <f t="shared" si="2"/>
        <v>0</v>
      </c>
      <c r="L15" s="64">
        <f t="shared" si="3"/>
        <v>0</v>
      </c>
      <c r="M15" s="65"/>
      <c r="N15" s="37">
        <f>(J15*'Base Data'!$C$5)+(K15*'Base Data'!$C$6)+(L15*'Base Data'!$C$7)</f>
        <v>0</v>
      </c>
      <c r="O15" s="37">
        <f t="shared" si="4"/>
        <v>0</v>
      </c>
      <c r="P15" s="64">
        <v>0</v>
      </c>
      <c r="Q15" s="66" t="s">
        <v>276</v>
      </c>
      <c r="U15" s="119"/>
    </row>
    <row r="16" spans="1:21" s="95" customFormat="1" ht="9" x14ac:dyDescent="0.15">
      <c r="A16" s="91" t="s">
        <v>125</v>
      </c>
      <c r="B16" s="31">
        <v>12</v>
      </c>
      <c r="C16" s="31"/>
      <c r="D16" s="37">
        <v>0</v>
      </c>
      <c r="E16" s="37">
        <f>'Testing Costs'!$B$14</f>
        <v>7000</v>
      </c>
      <c r="F16" s="37">
        <v>0</v>
      </c>
      <c r="G16" s="31">
        <v>1</v>
      </c>
      <c r="H16" s="31">
        <f t="shared" si="0"/>
        <v>12</v>
      </c>
      <c r="I16" s="63">
        <v>0</v>
      </c>
      <c r="J16" s="64">
        <f t="shared" si="1"/>
        <v>0</v>
      </c>
      <c r="K16" s="64">
        <f t="shared" si="2"/>
        <v>0</v>
      </c>
      <c r="L16" s="64">
        <f t="shared" si="3"/>
        <v>0</v>
      </c>
      <c r="M16" s="65"/>
      <c r="N16" s="37">
        <f>(J16*'Base Data'!$C$5)+(K16*'Base Data'!$C$6)+(L16*'Base Data'!$C$7)</f>
        <v>0</v>
      </c>
      <c r="O16" s="37">
        <f t="shared" si="4"/>
        <v>0</v>
      </c>
      <c r="P16" s="64">
        <v>0</v>
      </c>
      <c r="Q16" s="66" t="s">
        <v>276</v>
      </c>
      <c r="U16" s="119"/>
    </row>
    <row r="17" spans="1:22" s="95" customFormat="1" ht="18.75" customHeight="1" x14ac:dyDescent="0.15">
      <c r="A17" s="197" t="s">
        <v>352</v>
      </c>
      <c r="B17" s="31">
        <v>24</v>
      </c>
      <c r="C17" s="196"/>
      <c r="D17" s="37">
        <v>0</v>
      </c>
      <c r="E17" s="37">
        <v>16000</v>
      </c>
      <c r="F17" s="37">
        <v>0</v>
      </c>
      <c r="G17" s="31">
        <v>1</v>
      </c>
      <c r="H17" s="31">
        <f t="shared" si="0"/>
        <v>24</v>
      </c>
      <c r="I17" s="63">
        <v>0</v>
      </c>
      <c r="J17" s="64">
        <f t="shared" si="1"/>
        <v>0</v>
      </c>
      <c r="K17" s="64">
        <f t="shared" si="2"/>
        <v>0</v>
      </c>
      <c r="L17" s="64">
        <f t="shared" si="3"/>
        <v>0</v>
      </c>
      <c r="M17" s="65"/>
      <c r="N17" s="37">
        <f>(J17*'Base Data'!$C$5)+(K17*'Base Data'!$C$6)+(L17*'Base Data'!$C$7)</f>
        <v>0</v>
      </c>
      <c r="O17" s="37">
        <f t="shared" si="4"/>
        <v>0</v>
      </c>
      <c r="P17" s="64">
        <v>0</v>
      </c>
      <c r="Q17" s="66" t="s">
        <v>408</v>
      </c>
    </row>
    <row r="18" spans="1:22" s="95" customFormat="1" ht="9" customHeight="1" x14ac:dyDescent="0.15">
      <c r="A18" s="91" t="s">
        <v>205</v>
      </c>
      <c r="B18" s="31">
        <v>5</v>
      </c>
      <c r="C18" s="31"/>
      <c r="D18" s="37">
        <v>0</v>
      </c>
      <c r="E18" s="37">
        <v>400</v>
      </c>
      <c r="F18" s="37">
        <v>0</v>
      </c>
      <c r="G18" s="31">
        <v>1</v>
      </c>
      <c r="H18" s="31">
        <f t="shared" si="0"/>
        <v>5</v>
      </c>
      <c r="I18" s="63">
        <v>0</v>
      </c>
      <c r="J18" s="64">
        <f t="shared" si="1"/>
        <v>0</v>
      </c>
      <c r="K18" s="64">
        <f t="shared" si="2"/>
        <v>0</v>
      </c>
      <c r="L18" s="64">
        <f t="shared" si="3"/>
        <v>0</v>
      </c>
      <c r="M18" s="65"/>
      <c r="N18" s="37">
        <f>(J18*'Base Data'!$C$5)+(K18*'Base Data'!$C$6)+(L18*'Base Data'!$C$7)</f>
        <v>0</v>
      </c>
      <c r="O18" s="37">
        <f t="shared" si="4"/>
        <v>0</v>
      </c>
      <c r="P18" s="64">
        <v>0</v>
      </c>
      <c r="Q18" s="66" t="s">
        <v>406</v>
      </c>
      <c r="U18" s="119"/>
    </row>
    <row r="19" spans="1:22" s="95" customFormat="1" ht="9" customHeight="1" x14ac:dyDescent="0.15">
      <c r="A19" s="91" t="s">
        <v>206</v>
      </c>
      <c r="B19" s="31">
        <v>5</v>
      </c>
      <c r="C19" s="31"/>
      <c r="D19" s="37">
        <v>0</v>
      </c>
      <c r="E19" s="37">
        <v>400</v>
      </c>
      <c r="F19" s="37">
        <v>0</v>
      </c>
      <c r="G19" s="31">
        <v>12</v>
      </c>
      <c r="H19" s="31">
        <f t="shared" si="0"/>
        <v>60</v>
      </c>
      <c r="I19" s="63">
        <v>0</v>
      </c>
      <c r="J19" s="64">
        <f t="shared" si="1"/>
        <v>0</v>
      </c>
      <c r="K19" s="64">
        <f t="shared" si="2"/>
        <v>0</v>
      </c>
      <c r="L19" s="64">
        <f t="shared" si="3"/>
        <v>0</v>
      </c>
      <c r="M19" s="65"/>
      <c r="N19" s="37">
        <f>(J19*'Base Data'!$C$5)+(K19*'Base Data'!$C$6)+(L19*'Base Data'!$C$7)</f>
        <v>0</v>
      </c>
      <c r="O19" s="37">
        <f t="shared" si="4"/>
        <v>0</v>
      </c>
      <c r="P19" s="64">
        <v>0</v>
      </c>
      <c r="Q19" s="66" t="s">
        <v>406</v>
      </c>
      <c r="U19" s="119"/>
    </row>
    <row r="20" spans="1:22" s="95" customFormat="1" ht="9" x14ac:dyDescent="0.15">
      <c r="A20" s="91" t="s">
        <v>207</v>
      </c>
      <c r="B20" s="31"/>
      <c r="C20" s="31"/>
      <c r="D20" s="37"/>
      <c r="E20" s="37"/>
      <c r="F20" s="37"/>
      <c r="G20" s="31"/>
      <c r="H20" s="31"/>
      <c r="I20" s="64"/>
      <c r="J20" s="64"/>
      <c r="K20" s="64"/>
      <c r="L20" s="64"/>
      <c r="M20" s="65"/>
      <c r="N20" s="37"/>
      <c r="O20" s="37"/>
      <c r="P20" s="64"/>
      <c r="Q20" s="66" t="s">
        <v>13</v>
      </c>
      <c r="U20" s="119"/>
    </row>
    <row r="21" spans="1:22" s="95" customFormat="1" ht="9" x14ac:dyDescent="0.15">
      <c r="A21" s="91" t="s">
        <v>310</v>
      </c>
      <c r="B21" s="31">
        <v>40</v>
      </c>
      <c r="C21" s="31"/>
      <c r="D21" s="37">
        <v>0</v>
      </c>
      <c r="E21" s="37"/>
      <c r="F21" s="37">
        <v>0</v>
      </c>
      <c r="G21" s="31">
        <v>1</v>
      </c>
      <c r="H21" s="31">
        <f>B21*G21</f>
        <v>40</v>
      </c>
      <c r="I21" s="63">
        <v>0</v>
      </c>
      <c r="J21" s="64">
        <f>H21*I21</f>
        <v>0</v>
      </c>
      <c r="K21" s="64">
        <f>J21*0.1</f>
        <v>0</v>
      </c>
      <c r="L21" s="64">
        <f>J21*0.05</f>
        <v>0</v>
      </c>
      <c r="M21" s="65"/>
      <c r="N21" s="37">
        <f>(J21*'Base Data'!$C$5)+(K21*'Base Data'!$C$6)+(L21*'Base Data'!$C$7)</f>
        <v>0</v>
      </c>
      <c r="O21" s="37">
        <f>(D21+E21+F21)*G21*I21</f>
        <v>0</v>
      </c>
      <c r="P21" s="64">
        <v>0</v>
      </c>
      <c r="Q21" s="66" t="s">
        <v>276</v>
      </c>
      <c r="U21" s="119"/>
    </row>
    <row r="22" spans="1:22" s="95" customFormat="1" ht="9" x14ac:dyDescent="0.15">
      <c r="A22" s="90" t="s">
        <v>289</v>
      </c>
      <c r="B22" s="31"/>
      <c r="C22" s="31"/>
      <c r="D22" s="37"/>
      <c r="E22" s="37"/>
      <c r="F22" s="37"/>
      <c r="G22" s="31"/>
      <c r="H22" s="31"/>
      <c r="I22" s="64"/>
      <c r="J22" s="64"/>
      <c r="K22" s="64"/>
      <c r="L22" s="64"/>
      <c r="M22" s="65"/>
      <c r="N22" s="37"/>
      <c r="O22" s="37"/>
      <c r="P22" s="64"/>
      <c r="Q22" s="66"/>
      <c r="U22" s="119"/>
    </row>
    <row r="23" spans="1:22" s="95" customFormat="1" ht="9" x14ac:dyDescent="0.15">
      <c r="A23" s="90" t="s">
        <v>290</v>
      </c>
      <c r="B23" s="31">
        <v>10</v>
      </c>
      <c r="C23" s="31"/>
      <c r="D23" s="37">
        <v>0</v>
      </c>
      <c r="E23" s="37">
        <v>0</v>
      </c>
      <c r="F23" s="37">
        <v>43100</v>
      </c>
      <c r="G23" s="31">
        <v>1</v>
      </c>
      <c r="H23" s="31">
        <f>B23*G23</f>
        <v>10</v>
      </c>
      <c r="I23" s="63">
        <v>0</v>
      </c>
      <c r="J23" s="64">
        <f>H23*I23</f>
        <v>0</v>
      </c>
      <c r="K23" s="64">
        <f>J23*0.1</f>
        <v>0</v>
      </c>
      <c r="L23" s="64">
        <f>J23*0.05</f>
        <v>0</v>
      </c>
      <c r="M23" s="65"/>
      <c r="N23" s="37">
        <f>(J23*'Base Data'!$C$5)+(K23*'Base Data'!$C$6)+(L23*'Base Data'!$C$7)</f>
        <v>0</v>
      </c>
      <c r="O23" s="37">
        <f>(D23+E23+F23)*G23*I23</f>
        <v>0</v>
      </c>
      <c r="P23" s="64">
        <v>0</v>
      </c>
      <c r="Q23" s="66" t="s">
        <v>276</v>
      </c>
      <c r="U23" s="119"/>
    </row>
    <row r="24" spans="1:22" s="95" customFormat="1" ht="9" x14ac:dyDescent="0.15">
      <c r="A24" s="90" t="s">
        <v>293</v>
      </c>
      <c r="B24" s="31">
        <v>10</v>
      </c>
      <c r="C24" s="31"/>
      <c r="D24" s="37">
        <v>0</v>
      </c>
      <c r="E24" s="37">
        <v>0</v>
      </c>
      <c r="F24" s="37">
        <v>14700</v>
      </c>
      <c r="G24" s="31">
        <v>1</v>
      </c>
      <c r="H24" s="31">
        <f>B24*G24</f>
        <v>10</v>
      </c>
      <c r="I24" s="63">
        <v>0</v>
      </c>
      <c r="J24" s="64">
        <f>H24*I24</f>
        <v>0</v>
      </c>
      <c r="K24" s="64">
        <f>J24*0.1</f>
        <v>0</v>
      </c>
      <c r="L24" s="64">
        <f>J24*0.05</f>
        <v>0</v>
      </c>
      <c r="M24" s="65"/>
      <c r="N24" s="37">
        <f>(J24*'Base Data'!$C$5)+(K24*'Base Data'!$C$6)+(L24*'Base Data'!$C$7)</f>
        <v>0</v>
      </c>
      <c r="O24" s="37">
        <f>(D24+E24+F24)*G24*I24</f>
        <v>0</v>
      </c>
      <c r="P24" s="64">
        <v>0</v>
      </c>
      <c r="Q24" s="66" t="s">
        <v>276</v>
      </c>
      <c r="U24" s="119"/>
    </row>
    <row r="25" spans="1:22" s="95" customFormat="1" ht="9" x14ac:dyDescent="0.15">
      <c r="A25" s="90" t="s">
        <v>256</v>
      </c>
      <c r="B25" s="31"/>
      <c r="C25" s="31"/>
      <c r="D25" s="37"/>
      <c r="E25" s="37"/>
      <c r="F25" s="37"/>
      <c r="G25" s="31"/>
      <c r="H25" s="31"/>
      <c r="I25" s="64"/>
      <c r="J25" s="64"/>
      <c r="K25" s="64"/>
      <c r="L25" s="64"/>
      <c r="M25" s="65"/>
      <c r="N25" s="37"/>
      <c r="O25" s="37"/>
      <c r="P25" s="64"/>
      <c r="Q25" s="66"/>
      <c r="U25" s="119"/>
    </row>
    <row r="26" spans="1:22" s="95" customFormat="1" ht="9" x14ac:dyDescent="0.15">
      <c r="A26" s="90" t="s">
        <v>290</v>
      </c>
      <c r="B26" s="31">
        <v>10</v>
      </c>
      <c r="C26" s="31"/>
      <c r="D26" s="37">
        <v>0</v>
      </c>
      <c r="E26" s="37">
        <v>0</v>
      </c>
      <c r="F26" s="37">
        <v>158000</v>
      </c>
      <c r="G26" s="31">
        <v>1</v>
      </c>
      <c r="H26" s="31">
        <f>B26*G26</f>
        <v>10</v>
      </c>
      <c r="I26" s="63">
        <v>0</v>
      </c>
      <c r="J26" s="64">
        <f>H26*I26</f>
        <v>0</v>
      </c>
      <c r="K26" s="64">
        <f>J26*0.1</f>
        <v>0</v>
      </c>
      <c r="L26" s="64">
        <f>J26*0.05</f>
        <v>0</v>
      </c>
      <c r="M26" s="65"/>
      <c r="N26" s="37">
        <f>(J26*'Base Data'!$C$5)+(K26*'Base Data'!$C$6)+(L26*'Base Data'!$C$7)</f>
        <v>0</v>
      </c>
      <c r="O26" s="37">
        <f>(D26+E26+F26)*G26*I26</f>
        <v>0</v>
      </c>
      <c r="P26" s="64">
        <v>0</v>
      </c>
      <c r="Q26" s="66" t="s">
        <v>276</v>
      </c>
      <c r="U26" s="119"/>
    </row>
    <row r="27" spans="1:22" s="95" customFormat="1" ht="9" x14ac:dyDescent="0.15">
      <c r="A27" s="90" t="s">
        <v>293</v>
      </c>
      <c r="B27" s="31">
        <v>10</v>
      </c>
      <c r="C27" s="31"/>
      <c r="D27" s="37">
        <v>0</v>
      </c>
      <c r="E27" s="37">
        <v>0</v>
      </c>
      <c r="F27" s="37">
        <v>56100</v>
      </c>
      <c r="G27" s="31">
        <v>1</v>
      </c>
      <c r="H27" s="31">
        <f>B27*G27</f>
        <v>10</v>
      </c>
      <c r="I27" s="63">
        <v>0</v>
      </c>
      <c r="J27" s="64">
        <f>H27*I27</f>
        <v>0</v>
      </c>
      <c r="K27" s="64">
        <f>J27*0.1</f>
        <v>0</v>
      </c>
      <c r="L27" s="64">
        <f>J27*0.05</f>
        <v>0</v>
      </c>
      <c r="M27" s="65"/>
      <c r="N27" s="37">
        <f>(J27*'Base Data'!$C$5)+(K27*'Base Data'!$C$6)+(L27*'Base Data'!$C$7)</f>
        <v>0</v>
      </c>
      <c r="O27" s="37">
        <f>(D27+E27+F27)*G27*I27</f>
        <v>0</v>
      </c>
      <c r="P27" s="64">
        <v>0</v>
      </c>
      <c r="Q27" s="66" t="s">
        <v>276</v>
      </c>
      <c r="U27" s="119"/>
    </row>
    <row r="28" spans="1:22" s="95" customFormat="1" ht="9" x14ac:dyDescent="0.15">
      <c r="A28" s="90" t="s">
        <v>381</v>
      </c>
      <c r="B28" s="31"/>
      <c r="C28" s="31"/>
      <c r="D28" s="37"/>
      <c r="E28" s="37"/>
      <c r="F28" s="37"/>
      <c r="G28" s="31"/>
      <c r="H28" s="31"/>
      <c r="I28" s="63"/>
      <c r="J28" s="64"/>
      <c r="K28" s="64"/>
      <c r="L28" s="64"/>
      <c r="M28" s="65"/>
      <c r="N28" s="37"/>
      <c r="O28" s="37"/>
      <c r="P28" s="64"/>
      <c r="Q28" s="66"/>
    </row>
    <row r="29" spans="1:22" s="95" customFormat="1" ht="9" x14ac:dyDescent="0.15">
      <c r="A29" s="90" t="s">
        <v>290</v>
      </c>
      <c r="B29" s="31">
        <v>10</v>
      </c>
      <c r="C29" s="31"/>
      <c r="D29" s="37">
        <v>0</v>
      </c>
      <c r="E29" s="37">
        <v>0</v>
      </c>
      <c r="F29" s="37">
        <f>Monitors!$F$32</f>
        <v>8523</v>
      </c>
      <c r="G29" s="31">
        <v>1</v>
      </c>
      <c r="H29" s="31">
        <f>B29*G29</f>
        <v>10</v>
      </c>
      <c r="I29" s="63">
        <v>0</v>
      </c>
      <c r="J29" s="64">
        <f>H29*I29</f>
        <v>0</v>
      </c>
      <c r="K29" s="64">
        <f>J29*0.1</f>
        <v>0</v>
      </c>
      <c r="L29" s="64">
        <f>J29*0.05</f>
        <v>0</v>
      </c>
      <c r="M29" s="65"/>
      <c r="N29" s="37">
        <f>(J29*'Base Data'!$C$5)+(K29*'Base Data'!$C$6)+(L29*'Base Data'!$C$7)</f>
        <v>0</v>
      </c>
      <c r="O29" s="37">
        <f>(D29+E29+F29)*G29*I29</f>
        <v>0</v>
      </c>
      <c r="P29" s="64">
        <v>0</v>
      </c>
      <c r="Q29" s="66" t="s">
        <v>276</v>
      </c>
    </row>
    <row r="30" spans="1:22" s="95" customFormat="1" ht="9" x14ac:dyDescent="0.15">
      <c r="A30" s="90" t="s">
        <v>293</v>
      </c>
      <c r="B30" s="31">
        <v>10</v>
      </c>
      <c r="C30" s="31"/>
      <c r="D30" s="37">
        <v>0</v>
      </c>
      <c r="E30" s="37">
        <v>0</v>
      </c>
      <c r="F30" s="37">
        <f>Monitors!$G$32</f>
        <v>1436</v>
      </c>
      <c r="G30" s="31">
        <v>1</v>
      </c>
      <c r="H30" s="31">
        <f>B30*G30</f>
        <v>10</v>
      </c>
      <c r="I30" s="63">
        <v>0</v>
      </c>
      <c r="J30" s="64">
        <f>H30*I30</f>
        <v>0</v>
      </c>
      <c r="K30" s="64">
        <f>J30*0.1</f>
        <v>0</v>
      </c>
      <c r="L30" s="64">
        <f>J30*0.05</f>
        <v>0</v>
      </c>
      <c r="M30" s="65"/>
      <c r="N30" s="37">
        <f>(J30*'Base Data'!$C$5)+(K30*'Base Data'!$C$6)+(L30*'Base Data'!$C$7)</f>
        <v>0</v>
      </c>
      <c r="O30" s="37">
        <f>(D30+E30+F30)*G30*I30</f>
        <v>0</v>
      </c>
      <c r="P30" s="64">
        <v>0</v>
      </c>
      <c r="Q30" s="66" t="s">
        <v>276</v>
      </c>
    </row>
    <row r="31" spans="1:22" s="95" customFormat="1" ht="18" x14ac:dyDescent="0.15">
      <c r="A31" s="91" t="s">
        <v>145</v>
      </c>
      <c r="B31" s="31"/>
      <c r="C31" s="31"/>
      <c r="D31" s="37"/>
      <c r="E31" s="37"/>
      <c r="F31" s="67"/>
      <c r="G31" s="31"/>
      <c r="H31" s="31"/>
      <c r="I31" s="68"/>
      <c r="J31" s="64"/>
      <c r="K31" s="64"/>
      <c r="L31" s="64"/>
      <c r="M31" s="65"/>
      <c r="N31" s="37"/>
      <c r="O31" s="37"/>
      <c r="P31" s="64"/>
      <c r="Q31" s="66"/>
      <c r="V31" s="119"/>
    </row>
    <row r="32" spans="1:22" s="95" customFormat="1" ht="9" x14ac:dyDescent="0.15">
      <c r="A32" s="90" t="s">
        <v>290</v>
      </c>
      <c r="B32" s="31">
        <v>10</v>
      </c>
      <c r="C32" s="31"/>
      <c r="D32" s="37">
        <v>0</v>
      </c>
      <c r="E32" s="37">
        <v>0</v>
      </c>
      <c r="F32" s="37">
        <v>24300</v>
      </c>
      <c r="G32" s="31">
        <v>1</v>
      </c>
      <c r="H32" s="31">
        <f>B32*G32</f>
        <v>10</v>
      </c>
      <c r="I32" s="63">
        <f>ROUND(Monitors!$D$27/3,0)+ROUND(Monitors!$D$25/3,0)</f>
        <v>0</v>
      </c>
      <c r="J32" s="64">
        <f>H32*I32</f>
        <v>0</v>
      </c>
      <c r="K32" s="64">
        <f>J32*0.1</f>
        <v>0</v>
      </c>
      <c r="L32" s="64">
        <f>J32*0.05</f>
        <v>0</v>
      </c>
      <c r="M32" s="65"/>
      <c r="N32" s="37">
        <f>(J32*'Base Data'!$C$5)+(K32*'Base Data'!$C$6)+(L32*'Base Data'!$C$7)</f>
        <v>0</v>
      </c>
      <c r="O32" s="37">
        <f>(D32+E32+F32)*G32*I32</f>
        <v>0</v>
      </c>
      <c r="P32" s="64">
        <v>0</v>
      </c>
      <c r="Q32" s="66" t="s">
        <v>276</v>
      </c>
      <c r="V32" s="119"/>
    </row>
    <row r="33" spans="1:22" s="95" customFormat="1" ht="9" x14ac:dyDescent="0.15">
      <c r="A33" s="90" t="s">
        <v>293</v>
      </c>
      <c r="B33" s="31">
        <v>10</v>
      </c>
      <c r="C33" s="31"/>
      <c r="D33" s="37">
        <v>0</v>
      </c>
      <c r="E33" s="37">
        <v>0</v>
      </c>
      <c r="F33" s="37">
        <v>5600</v>
      </c>
      <c r="G33" s="31">
        <v>1</v>
      </c>
      <c r="H33" s="31">
        <f>B33*G33</f>
        <v>10</v>
      </c>
      <c r="I33" s="63">
        <v>0</v>
      </c>
      <c r="J33" s="64">
        <f>H33*I33</f>
        <v>0</v>
      </c>
      <c r="K33" s="64">
        <f>J33*0.1</f>
        <v>0</v>
      </c>
      <c r="L33" s="64">
        <f>J33*0.05</f>
        <v>0</v>
      </c>
      <c r="M33" s="65"/>
      <c r="N33" s="37">
        <f>(J33*'Base Data'!$C$5)+(K33*'Base Data'!$C$6)+(L33*'Base Data'!$C$7)</f>
        <v>0</v>
      </c>
      <c r="O33" s="37">
        <f>(D33+E33+F33)*G33*I33</f>
        <v>0</v>
      </c>
      <c r="P33" s="64">
        <v>0</v>
      </c>
      <c r="Q33" s="66" t="s">
        <v>276</v>
      </c>
      <c r="V33" s="119"/>
    </row>
    <row r="34" spans="1:22" s="95" customFormat="1" ht="18" x14ac:dyDescent="0.15">
      <c r="A34" s="91" t="s">
        <v>348</v>
      </c>
      <c r="B34" s="31"/>
      <c r="C34" s="31"/>
      <c r="D34" s="37"/>
      <c r="E34" s="37"/>
      <c r="F34" s="37"/>
      <c r="G34" s="31"/>
      <c r="H34" s="31"/>
      <c r="I34" s="68"/>
      <c r="J34" s="64"/>
      <c r="K34" s="64"/>
      <c r="L34" s="64"/>
      <c r="M34" s="65"/>
      <c r="N34" s="37"/>
      <c r="O34" s="138"/>
      <c r="P34" s="64"/>
      <c r="Q34" s="66"/>
      <c r="V34" s="119"/>
    </row>
    <row r="35" spans="1:22" s="95" customFormat="1" ht="9" x14ac:dyDescent="0.15">
      <c r="A35" s="90" t="s">
        <v>290</v>
      </c>
      <c r="B35" s="31">
        <v>10</v>
      </c>
      <c r="C35" s="31"/>
      <c r="D35" s="37">
        <v>0</v>
      </c>
      <c r="E35" s="37">
        <v>0</v>
      </c>
      <c r="F35" s="37">
        <f>25500</f>
        <v>25500</v>
      </c>
      <c r="G35" s="31">
        <v>1</v>
      </c>
      <c r="H35" s="31">
        <f>B35*G35</f>
        <v>10</v>
      </c>
      <c r="I35" s="63">
        <f>ROUND(Monitors!$B$27/3,0)+ROUND(Monitors!$B$25/3,0)</f>
        <v>0</v>
      </c>
      <c r="J35" s="64">
        <f>H35*I35</f>
        <v>0</v>
      </c>
      <c r="K35" s="64">
        <f>J35*0.1</f>
        <v>0</v>
      </c>
      <c r="L35" s="64">
        <f>J35*0.05</f>
        <v>0</v>
      </c>
      <c r="M35" s="65"/>
      <c r="N35" s="37">
        <f>(J35*'Base Data'!$C$5)+(K35*'Base Data'!$C$6)+(L35*'Base Data'!$C$7)</f>
        <v>0</v>
      </c>
      <c r="O35" s="37">
        <f>(D35+E35+F35)*G35*I35</f>
        <v>0</v>
      </c>
      <c r="P35" s="64">
        <v>0</v>
      </c>
      <c r="Q35" s="66" t="s">
        <v>276</v>
      </c>
      <c r="V35" s="119"/>
    </row>
    <row r="36" spans="1:22" s="95" customFormat="1" ht="9" x14ac:dyDescent="0.15">
      <c r="A36" s="90" t="s">
        <v>293</v>
      </c>
      <c r="B36" s="31">
        <v>10</v>
      </c>
      <c r="C36" s="31"/>
      <c r="D36" s="37">
        <v>0</v>
      </c>
      <c r="E36" s="37">
        <v>0</v>
      </c>
      <c r="F36" s="37">
        <v>9700</v>
      </c>
      <c r="G36" s="31">
        <v>1</v>
      </c>
      <c r="H36" s="31">
        <f>B36*G36</f>
        <v>10</v>
      </c>
      <c r="I36" s="63">
        <v>0</v>
      </c>
      <c r="J36" s="64">
        <f>H36*I36</f>
        <v>0</v>
      </c>
      <c r="K36" s="64">
        <f>J36*0.1</f>
        <v>0</v>
      </c>
      <c r="L36" s="64">
        <f>J36*0.05</f>
        <v>0</v>
      </c>
      <c r="M36" s="65"/>
      <c r="N36" s="37">
        <f>(J36*'Base Data'!$C$5)+(K36*'Base Data'!$C$6)+(L36*'Base Data'!$C$7)</f>
        <v>0</v>
      </c>
      <c r="O36" s="37">
        <f>(D36+E36+F36)*G36*I36</f>
        <v>0</v>
      </c>
      <c r="P36" s="64">
        <v>0</v>
      </c>
      <c r="Q36" s="66" t="s">
        <v>276</v>
      </c>
      <c r="V36" s="119"/>
    </row>
    <row r="37" spans="1:22" s="95" customFormat="1" ht="9" x14ac:dyDescent="0.15">
      <c r="A37" s="90" t="s">
        <v>213</v>
      </c>
      <c r="B37" s="31">
        <v>12</v>
      </c>
      <c r="C37" s="31"/>
      <c r="D37" s="37">
        <v>0</v>
      </c>
      <c r="E37" s="37">
        <v>2875</v>
      </c>
      <c r="F37" s="37">
        <v>0</v>
      </c>
      <c r="G37" s="31">
        <v>1</v>
      </c>
      <c r="H37" s="31">
        <f>B37*G37</f>
        <v>12</v>
      </c>
      <c r="I37" s="63">
        <f>ROUND(SUM('Base Data'!$D$71:$D$73)/3,0)</f>
        <v>261</v>
      </c>
      <c r="J37" s="63">
        <f>H37*I37</f>
        <v>3132</v>
      </c>
      <c r="K37" s="63">
        <f>J37*0.1</f>
        <v>313.20000000000005</v>
      </c>
      <c r="L37" s="63">
        <f>J37*0.05</f>
        <v>156.60000000000002</v>
      </c>
      <c r="M37" s="64"/>
      <c r="N37" s="37">
        <f>(J37*'Base Data'!$C$5)+(K37*'Base Data'!$C$6)+(L37*'Base Data'!$C$7)</f>
        <v>394408.06200000003</v>
      </c>
      <c r="O37" s="37">
        <f>(D37+E37+F37)*G37*I37</f>
        <v>750375</v>
      </c>
      <c r="P37" s="64">
        <v>0</v>
      </c>
      <c r="Q37" s="66" t="s">
        <v>277</v>
      </c>
      <c r="U37" s="119"/>
    </row>
    <row r="38" spans="1:22" s="95" customFormat="1" ht="9" x14ac:dyDescent="0.15">
      <c r="A38" s="90" t="s">
        <v>447</v>
      </c>
      <c r="B38" s="31">
        <v>5</v>
      </c>
      <c r="C38" s="31"/>
      <c r="D38" s="37">
        <v>0</v>
      </c>
      <c r="E38" s="37">
        <v>200</v>
      </c>
      <c r="F38" s="37">
        <v>0</v>
      </c>
      <c r="G38" s="31">
        <v>12</v>
      </c>
      <c r="H38" s="31">
        <f>B38*G38</f>
        <v>60</v>
      </c>
      <c r="I38" s="64">
        <v>0</v>
      </c>
      <c r="J38" s="63">
        <f>H38*I38</f>
        <v>0</v>
      </c>
      <c r="K38" s="63">
        <f>J38*0.1</f>
        <v>0</v>
      </c>
      <c r="L38" s="63">
        <f>J38*0.05</f>
        <v>0</v>
      </c>
      <c r="M38" s="64"/>
      <c r="N38" s="37">
        <f>(J38*'Base Data'!$C$5)+(K38*'Base Data'!$C$6)+(L38*'Base Data'!$C$7)</f>
        <v>0</v>
      </c>
      <c r="O38" s="37">
        <f>(D38+E38+F38)*G38*I38</f>
        <v>0</v>
      </c>
      <c r="P38" s="64">
        <v>0</v>
      </c>
      <c r="Q38" s="66" t="s">
        <v>74</v>
      </c>
    </row>
    <row r="39" spans="1:22" s="95" customFormat="1" ht="9" x14ac:dyDescent="0.15">
      <c r="A39" s="90" t="s">
        <v>294</v>
      </c>
      <c r="B39" s="31" t="s">
        <v>311</v>
      </c>
      <c r="C39" s="31"/>
      <c r="D39" s="37"/>
      <c r="E39" s="37"/>
      <c r="F39" s="37"/>
      <c r="G39" s="31"/>
      <c r="H39" s="31"/>
      <c r="I39" s="64"/>
      <c r="J39" s="64"/>
      <c r="K39" s="64"/>
      <c r="L39" s="64"/>
      <c r="M39" s="31"/>
      <c r="N39" s="37"/>
      <c r="O39" s="37"/>
      <c r="P39" s="64"/>
      <c r="Q39" s="66"/>
      <c r="U39" s="119"/>
    </row>
    <row r="40" spans="1:22" s="95" customFormat="1" ht="9" x14ac:dyDescent="0.15">
      <c r="A40" s="90" t="s">
        <v>295</v>
      </c>
      <c r="B40" s="31" t="s">
        <v>311</v>
      </c>
      <c r="C40" s="31"/>
      <c r="D40" s="37"/>
      <c r="E40" s="37"/>
      <c r="F40" s="37"/>
      <c r="G40" s="31"/>
      <c r="H40" s="31"/>
      <c r="I40" s="64"/>
      <c r="J40" s="64"/>
      <c r="K40" s="64"/>
      <c r="L40" s="64"/>
      <c r="M40" s="31"/>
      <c r="N40" s="37"/>
      <c r="O40" s="37"/>
      <c r="P40" s="64"/>
      <c r="Q40" s="66"/>
    </row>
    <row r="41" spans="1:22" s="95" customFormat="1" ht="9" x14ac:dyDescent="0.15">
      <c r="A41" s="90" t="s">
        <v>296</v>
      </c>
      <c r="B41" s="31"/>
      <c r="C41" s="31"/>
      <c r="D41" s="37"/>
      <c r="E41" s="37"/>
      <c r="F41" s="37"/>
      <c r="G41" s="31"/>
      <c r="H41" s="31"/>
      <c r="I41" s="64"/>
      <c r="J41" s="64"/>
      <c r="K41" s="64"/>
      <c r="L41" s="64"/>
      <c r="M41" s="31"/>
      <c r="N41" s="37"/>
      <c r="O41" s="37"/>
      <c r="P41" s="64"/>
      <c r="Q41" s="66"/>
    </row>
    <row r="42" spans="1:22" s="95" customFormat="1" ht="9" x14ac:dyDescent="0.15">
      <c r="A42" s="101" t="s">
        <v>312</v>
      </c>
      <c r="B42" s="31">
        <v>2</v>
      </c>
      <c r="C42" s="31"/>
      <c r="D42" s="37">
        <v>0</v>
      </c>
      <c r="E42" s="37">
        <v>0</v>
      </c>
      <c r="F42" s="37">
        <v>0</v>
      </c>
      <c r="G42" s="31">
        <v>1</v>
      </c>
      <c r="H42" s="31">
        <f t="shared" ref="H42:H46" si="5">B42*G42</f>
        <v>2</v>
      </c>
      <c r="I42" s="63">
        <f>$I$7</f>
        <v>33</v>
      </c>
      <c r="J42" s="64">
        <f t="shared" ref="J42:J46" si="6">H42*I42</f>
        <v>66</v>
      </c>
      <c r="K42" s="457">
        <f t="shared" ref="K42:K46" si="7">J42*0.1</f>
        <v>6.6000000000000005</v>
      </c>
      <c r="L42" s="457">
        <f t="shared" ref="L42:L46" si="8">J42*0.05</f>
        <v>3.3000000000000003</v>
      </c>
      <c r="M42" s="31">
        <f t="shared" ref="M42:M46" si="9">C42*G42*I42</f>
        <v>0</v>
      </c>
      <c r="N42" s="37">
        <f>(J42*'Base Data'!$C$5)+(K42*'Base Data'!$C$6)+(L42*'Base Data'!$C$7)</f>
        <v>8311.2810000000009</v>
      </c>
      <c r="O42" s="37">
        <f t="shared" ref="O42:O46" si="10">(D42+E42+F42)*G42*I42</f>
        <v>0</v>
      </c>
      <c r="P42" s="64">
        <f t="shared" ref="P42:P46" si="11">G42*I42</f>
        <v>33</v>
      </c>
      <c r="Q42" s="66" t="s">
        <v>276</v>
      </c>
    </row>
    <row r="43" spans="1:22" s="95" customFormat="1" ht="9" customHeight="1" x14ac:dyDescent="0.15">
      <c r="A43" s="101" t="s">
        <v>273</v>
      </c>
      <c r="B43" s="31">
        <v>8</v>
      </c>
      <c r="C43" s="31"/>
      <c r="D43" s="37">
        <v>0</v>
      </c>
      <c r="E43" s="37">
        <v>0</v>
      </c>
      <c r="F43" s="37">
        <v>0</v>
      </c>
      <c r="G43" s="31">
        <v>1</v>
      </c>
      <c r="H43" s="31">
        <f t="shared" si="5"/>
        <v>8</v>
      </c>
      <c r="I43" s="63">
        <f>$I$7</f>
        <v>33</v>
      </c>
      <c r="J43" s="64">
        <f t="shared" si="6"/>
        <v>264</v>
      </c>
      <c r="K43" s="457">
        <f t="shared" si="7"/>
        <v>26.400000000000002</v>
      </c>
      <c r="L43" s="457">
        <f t="shared" si="8"/>
        <v>13.200000000000001</v>
      </c>
      <c r="M43" s="31">
        <f t="shared" si="9"/>
        <v>0</v>
      </c>
      <c r="N43" s="37">
        <f>(J43*'Base Data'!$C$5)+(K43*'Base Data'!$C$6)+(L43*'Base Data'!$C$7)</f>
        <v>33245.124000000003</v>
      </c>
      <c r="O43" s="37">
        <f t="shared" si="10"/>
        <v>0</v>
      </c>
      <c r="P43" s="64">
        <f t="shared" si="11"/>
        <v>33</v>
      </c>
      <c r="Q43" s="66" t="s">
        <v>276</v>
      </c>
    </row>
    <row r="44" spans="1:22" s="95" customFormat="1" ht="9" x14ac:dyDescent="0.15">
      <c r="A44" s="92" t="s">
        <v>358</v>
      </c>
      <c r="B44" s="31">
        <v>20</v>
      </c>
      <c r="C44" s="31">
        <v>0</v>
      </c>
      <c r="D44" s="37">
        <v>0</v>
      </c>
      <c r="E44" s="37">
        <v>0</v>
      </c>
      <c r="F44" s="37">
        <v>0</v>
      </c>
      <c r="G44" s="31">
        <v>1</v>
      </c>
      <c r="H44" s="31">
        <f t="shared" si="5"/>
        <v>20</v>
      </c>
      <c r="I44" s="63">
        <f>$I$7</f>
        <v>33</v>
      </c>
      <c r="J44" s="64">
        <f t="shared" si="6"/>
        <v>660</v>
      </c>
      <c r="K44" s="64">
        <f t="shared" si="7"/>
        <v>66</v>
      </c>
      <c r="L44" s="64">
        <f t="shared" si="8"/>
        <v>33</v>
      </c>
      <c r="M44" s="64">
        <f t="shared" si="9"/>
        <v>0</v>
      </c>
      <c r="N44" s="37">
        <f>(J44*'Base Data'!$C$5)+(K44*'Base Data'!$C$6)+(L44*'Base Data'!$C$7)</f>
        <v>83112.810000000012</v>
      </c>
      <c r="O44" s="37">
        <f t="shared" si="10"/>
        <v>0</v>
      </c>
      <c r="P44" s="64">
        <f t="shared" si="11"/>
        <v>33</v>
      </c>
      <c r="Q44" s="66" t="s">
        <v>389</v>
      </c>
    </row>
    <row r="45" spans="1:22" s="95" customFormat="1" ht="9" x14ac:dyDescent="0.15">
      <c r="A45" s="92" t="s">
        <v>332</v>
      </c>
      <c r="B45" s="31">
        <v>20</v>
      </c>
      <c r="C45" s="31">
        <v>0</v>
      </c>
      <c r="D45" s="37">
        <v>0</v>
      </c>
      <c r="E45" s="37">
        <v>0</v>
      </c>
      <c r="F45" s="37">
        <v>0</v>
      </c>
      <c r="G45" s="31">
        <v>2</v>
      </c>
      <c r="H45" s="31">
        <f t="shared" si="5"/>
        <v>40</v>
      </c>
      <c r="I45" s="63">
        <v>0</v>
      </c>
      <c r="J45" s="64">
        <f t="shared" si="6"/>
        <v>0</v>
      </c>
      <c r="K45" s="64">
        <f t="shared" si="7"/>
        <v>0</v>
      </c>
      <c r="L45" s="64">
        <f t="shared" si="8"/>
        <v>0</v>
      </c>
      <c r="M45" s="64">
        <f t="shared" si="9"/>
        <v>0</v>
      </c>
      <c r="N45" s="37">
        <f>(J45*'Base Data'!$C$5)+(K45*'Base Data'!$C$6)+(L45*'Base Data'!$C$7)</f>
        <v>0</v>
      </c>
      <c r="O45" s="37">
        <f t="shared" si="10"/>
        <v>0</v>
      </c>
      <c r="P45" s="64">
        <f t="shared" si="11"/>
        <v>0</v>
      </c>
      <c r="Q45" s="66" t="s">
        <v>389</v>
      </c>
      <c r="R45" s="98">
        <f>SUM(O6,O8:O18,O23,O26,O29,O32,O35,O37:O38)</f>
        <v>750375</v>
      </c>
      <c r="S45" s="97">
        <f>SUM(O23,O26,O29,O32,O35)</f>
        <v>0</v>
      </c>
    </row>
    <row r="46" spans="1:22" s="95" customFormat="1" ht="9" x14ac:dyDescent="0.15">
      <c r="A46" s="92" t="s">
        <v>359</v>
      </c>
      <c r="B46" s="31">
        <v>5</v>
      </c>
      <c r="C46" s="31"/>
      <c r="D46" s="37">
        <v>0</v>
      </c>
      <c r="E46" s="37">
        <v>0</v>
      </c>
      <c r="F46" s="37">
        <v>0</v>
      </c>
      <c r="G46" s="31">
        <v>1</v>
      </c>
      <c r="H46" s="31">
        <f t="shared" si="5"/>
        <v>5</v>
      </c>
      <c r="I46" s="63">
        <v>0</v>
      </c>
      <c r="J46" s="64">
        <f t="shared" si="6"/>
        <v>0</v>
      </c>
      <c r="K46" s="64">
        <f t="shared" si="7"/>
        <v>0</v>
      </c>
      <c r="L46" s="64">
        <f t="shared" si="8"/>
        <v>0</v>
      </c>
      <c r="M46" s="64">
        <f t="shared" si="9"/>
        <v>0</v>
      </c>
      <c r="N46" s="37">
        <f>(J46*'Base Data'!$C$5)+(K46*'Base Data'!$C$6)+(L46*'Base Data'!$C$7)</f>
        <v>0</v>
      </c>
      <c r="O46" s="37">
        <f t="shared" si="10"/>
        <v>0</v>
      </c>
      <c r="P46" s="64">
        <f t="shared" si="11"/>
        <v>0</v>
      </c>
      <c r="Q46" s="66" t="s">
        <v>80</v>
      </c>
    </row>
    <row r="47" spans="1:22" s="95" customFormat="1" ht="9" hidden="1" x14ac:dyDescent="0.15">
      <c r="A47" s="92"/>
      <c r="B47" s="31"/>
      <c r="C47" s="31"/>
      <c r="D47" s="37"/>
      <c r="E47" s="37"/>
      <c r="F47" s="37"/>
      <c r="G47" s="31"/>
      <c r="H47" s="31"/>
      <c r="I47" s="63"/>
      <c r="J47" s="367">
        <f>SUM(J7:J45)</f>
        <v>5442</v>
      </c>
      <c r="K47" s="367">
        <f>SUM(K7:K45)</f>
        <v>544.20000000000005</v>
      </c>
      <c r="L47" s="367">
        <f>SUM(L7:L45)</f>
        <v>272.10000000000002</v>
      </c>
      <c r="M47" s="64"/>
      <c r="N47" s="37"/>
      <c r="O47" s="37"/>
      <c r="P47" s="64"/>
      <c r="Q47" s="66"/>
      <c r="R47" s="108"/>
    </row>
    <row r="48" spans="1:22" s="371" customFormat="1" ht="9" x14ac:dyDescent="0.15">
      <c r="A48" s="362" t="s">
        <v>4</v>
      </c>
      <c r="B48" s="364"/>
      <c r="C48" s="364"/>
      <c r="D48" s="365"/>
      <c r="E48" s="365"/>
      <c r="F48" s="365"/>
      <c r="G48" s="364"/>
      <c r="H48" s="364"/>
      <c r="I48" s="366"/>
      <c r="J48" s="727">
        <f>J47+K47+L47</f>
        <v>6258.3</v>
      </c>
      <c r="K48" s="750"/>
      <c r="L48" s="751"/>
      <c r="M48" s="367">
        <f>SUM(M7:M45)</f>
        <v>0</v>
      </c>
      <c r="N48" s="365">
        <f>SUM(N7:N45)</f>
        <v>685302.897</v>
      </c>
      <c r="O48" s="365">
        <f>SUM(O7:O45)</f>
        <v>750375</v>
      </c>
      <c r="P48" s="367">
        <f>SUM(P42:P45)</f>
        <v>99</v>
      </c>
      <c r="Q48" s="368"/>
    </row>
    <row r="49" spans="1:18" s="95" customFormat="1" ht="9" x14ac:dyDescent="0.15">
      <c r="A49" s="90" t="s">
        <v>309</v>
      </c>
      <c r="B49" s="31"/>
      <c r="C49" s="31"/>
      <c r="D49" s="37"/>
      <c r="E49" s="37"/>
      <c r="F49" s="37"/>
      <c r="G49" s="31"/>
      <c r="H49" s="31"/>
      <c r="I49" s="64"/>
      <c r="J49" s="64"/>
      <c r="K49" s="64"/>
      <c r="L49" s="64"/>
      <c r="M49" s="31"/>
      <c r="N49" s="37"/>
      <c r="O49" s="37"/>
      <c r="P49" s="64"/>
      <c r="Q49" s="66"/>
    </row>
    <row r="50" spans="1:18" s="95" customFormat="1" ht="9" x14ac:dyDescent="0.15">
      <c r="A50" s="91" t="s">
        <v>287</v>
      </c>
      <c r="B50" s="31" t="s">
        <v>301</v>
      </c>
      <c r="C50" s="31"/>
      <c r="D50" s="37"/>
      <c r="E50" s="37"/>
      <c r="F50" s="37"/>
      <c r="G50" s="31"/>
      <c r="H50" s="31"/>
      <c r="I50" s="64"/>
      <c r="J50" s="64"/>
      <c r="K50" s="64"/>
      <c r="L50" s="64"/>
      <c r="M50" s="31"/>
      <c r="N50" s="37"/>
      <c r="O50" s="37"/>
      <c r="P50" s="64"/>
      <c r="Q50" s="66"/>
    </row>
    <row r="51" spans="1:18" s="95" customFormat="1" ht="9" x14ac:dyDescent="0.15">
      <c r="A51" s="90" t="s">
        <v>298</v>
      </c>
      <c r="B51" s="31" t="s">
        <v>311</v>
      </c>
      <c r="C51" s="31"/>
      <c r="D51" s="37"/>
      <c r="E51" s="37"/>
      <c r="F51" s="37"/>
      <c r="G51" s="31"/>
      <c r="H51" s="31"/>
      <c r="I51" s="64"/>
      <c r="J51" s="64"/>
      <c r="K51" s="64"/>
      <c r="L51" s="64"/>
      <c r="M51" s="31"/>
      <c r="N51" s="37"/>
      <c r="O51" s="37"/>
      <c r="P51" s="64"/>
      <c r="Q51" s="66"/>
    </row>
    <row r="52" spans="1:18" s="95" customFormat="1" ht="9" x14ac:dyDescent="0.15">
      <c r="A52" s="90" t="s">
        <v>299</v>
      </c>
      <c r="B52" s="31" t="s">
        <v>311</v>
      </c>
      <c r="C52" s="31"/>
      <c r="D52" s="37"/>
      <c r="E52" s="37"/>
      <c r="F52" s="37"/>
      <c r="G52" s="31"/>
      <c r="H52" s="31"/>
      <c r="I52" s="64"/>
      <c r="J52" s="64"/>
      <c r="K52" s="64"/>
      <c r="L52" s="64"/>
      <c r="M52" s="31"/>
      <c r="N52" s="37"/>
      <c r="O52" s="37"/>
      <c r="P52" s="64"/>
      <c r="Q52" s="66" t="s">
        <v>209</v>
      </c>
    </row>
    <row r="53" spans="1:18" s="95" customFormat="1" ht="9" x14ac:dyDescent="0.15">
      <c r="A53" s="90" t="s">
        <v>300</v>
      </c>
      <c r="B53" s="31"/>
      <c r="C53" s="31"/>
      <c r="D53" s="37"/>
      <c r="E53" s="37"/>
      <c r="F53" s="37"/>
      <c r="G53" s="31"/>
      <c r="H53" s="31"/>
      <c r="I53" s="64"/>
      <c r="J53" s="64"/>
      <c r="K53" s="64"/>
      <c r="L53" s="64"/>
      <c r="M53" s="31"/>
      <c r="N53" s="37"/>
      <c r="O53" s="37"/>
      <c r="P53" s="64"/>
      <c r="Q53" s="66"/>
    </row>
    <row r="54" spans="1:18" s="95" customFormat="1" ht="9.75" customHeight="1" x14ac:dyDescent="0.15">
      <c r="A54" s="90" t="s">
        <v>307</v>
      </c>
      <c r="B54" s="31">
        <v>20</v>
      </c>
      <c r="C54" s="31"/>
      <c r="D54" s="37">
        <v>0</v>
      </c>
      <c r="E54" s="37">
        <v>0</v>
      </c>
      <c r="F54" s="37">
        <v>0</v>
      </c>
      <c r="G54" s="31">
        <v>1</v>
      </c>
      <c r="H54" s="31">
        <f t="shared" ref="H54:H62" si="12">B54*G54</f>
        <v>20</v>
      </c>
      <c r="I54" s="63">
        <v>0</v>
      </c>
      <c r="J54" s="64">
        <f t="shared" ref="J54:J62" si="13">H54*I54</f>
        <v>0</v>
      </c>
      <c r="K54" s="64">
        <f t="shared" ref="K54:K62" si="14">J54*0.1</f>
        <v>0</v>
      </c>
      <c r="L54" s="64">
        <f t="shared" ref="L54:L62" si="15">J54*0.05</f>
        <v>0</v>
      </c>
      <c r="M54" s="31"/>
      <c r="N54" s="37">
        <f>(J54*'Base Data'!$C$5)+(K54*'Base Data'!$C$6)+(L54*'Base Data'!$C$7)</f>
        <v>0</v>
      </c>
      <c r="O54" s="37">
        <f t="shared" ref="O54:O62" si="16">(D54+E54+F54)*G54*I54</f>
        <v>0</v>
      </c>
      <c r="P54" s="64">
        <v>0</v>
      </c>
      <c r="Q54" s="66" t="s">
        <v>276</v>
      </c>
    </row>
    <row r="55" spans="1:18" s="95" customFormat="1" ht="9" x14ac:dyDescent="0.15">
      <c r="A55" s="91" t="s">
        <v>303</v>
      </c>
      <c r="B55" s="31">
        <v>15</v>
      </c>
      <c r="C55" s="31">
        <v>0</v>
      </c>
      <c r="D55" s="37">
        <v>0</v>
      </c>
      <c r="E55" s="37">
        <v>0</v>
      </c>
      <c r="F55" s="37">
        <v>0</v>
      </c>
      <c r="G55" s="31">
        <v>1</v>
      </c>
      <c r="H55" s="31">
        <f t="shared" si="12"/>
        <v>15</v>
      </c>
      <c r="I55" s="63">
        <v>0</v>
      </c>
      <c r="J55" s="64">
        <f t="shared" si="13"/>
        <v>0</v>
      </c>
      <c r="K55" s="64">
        <f t="shared" si="14"/>
        <v>0</v>
      </c>
      <c r="L55" s="64">
        <f t="shared" si="15"/>
        <v>0</v>
      </c>
      <c r="M55" s="31">
        <f>C55*G55*I55</f>
        <v>0</v>
      </c>
      <c r="N55" s="37">
        <f>(J55*'Base Data'!$C$5)+(K55*'Base Data'!$C$6)+(L55*'Base Data'!$C$7)</f>
        <v>0</v>
      </c>
      <c r="O55" s="37">
        <f t="shared" si="16"/>
        <v>0</v>
      </c>
      <c r="P55" s="64">
        <v>0</v>
      </c>
      <c r="Q55" s="66" t="s">
        <v>276</v>
      </c>
    </row>
    <row r="56" spans="1:18" s="95" customFormat="1" ht="9.75" customHeight="1" x14ac:dyDescent="0.15">
      <c r="A56" s="90" t="s">
        <v>304</v>
      </c>
      <c r="B56" s="31">
        <v>2</v>
      </c>
      <c r="C56" s="31"/>
      <c r="D56" s="37">
        <v>0</v>
      </c>
      <c r="E56" s="37">
        <v>0</v>
      </c>
      <c r="F56" s="37">
        <v>0</v>
      </c>
      <c r="G56" s="31">
        <v>1</v>
      </c>
      <c r="H56" s="31">
        <f t="shared" si="12"/>
        <v>2</v>
      </c>
      <c r="I56" s="63">
        <v>0</v>
      </c>
      <c r="J56" s="64">
        <f t="shared" si="13"/>
        <v>0</v>
      </c>
      <c r="K56" s="64">
        <f t="shared" si="14"/>
        <v>0</v>
      </c>
      <c r="L56" s="64">
        <f t="shared" si="15"/>
        <v>0</v>
      </c>
      <c r="M56" s="31"/>
      <c r="N56" s="37">
        <f>(J56*'Base Data'!$C$5)+(K56*'Base Data'!$C$6)+(L56*'Base Data'!$C$7)</f>
        <v>0</v>
      </c>
      <c r="O56" s="37">
        <f t="shared" si="16"/>
        <v>0</v>
      </c>
      <c r="P56" s="64">
        <v>0</v>
      </c>
      <c r="Q56" s="66" t="s">
        <v>276</v>
      </c>
    </row>
    <row r="57" spans="1:18" s="95" customFormat="1" ht="9" x14ac:dyDescent="0.15">
      <c r="A57" s="91" t="s">
        <v>313</v>
      </c>
      <c r="B57" s="31">
        <v>2</v>
      </c>
      <c r="C57" s="31"/>
      <c r="D57" s="37">
        <v>0</v>
      </c>
      <c r="E57" s="37">
        <v>0</v>
      </c>
      <c r="F57" s="37">
        <v>0</v>
      </c>
      <c r="G57" s="31">
        <v>1</v>
      </c>
      <c r="H57" s="31">
        <f t="shared" si="12"/>
        <v>2</v>
      </c>
      <c r="I57" s="63">
        <v>0</v>
      </c>
      <c r="J57" s="64">
        <f t="shared" si="13"/>
        <v>0</v>
      </c>
      <c r="K57" s="64">
        <f t="shared" si="14"/>
        <v>0</v>
      </c>
      <c r="L57" s="64">
        <f t="shared" si="15"/>
        <v>0</v>
      </c>
      <c r="M57" s="31"/>
      <c r="N57" s="37">
        <f>(J57*'Base Data'!$C$5)+(K57*'Base Data'!$C$6)+(L57*'Base Data'!$C$7)</f>
        <v>0</v>
      </c>
      <c r="O57" s="37">
        <f t="shared" si="16"/>
        <v>0</v>
      </c>
      <c r="P57" s="64">
        <v>0</v>
      </c>
      <c r="Q57" s="66" t="s">
        <v>276</v>
      </c>
    </row>
    <row r="58" spans="1:18" s="95" customFormat="1" ht="9" customHeight="1" x14ac:dyDescent="0.15">
      <c r="A58" s="91" t="s">
        <v>192</v>
      </c>
      <c r="B58" s="31">
        <v>2</v>
      </c>
      <c r="C58" s="31">
        <v>0</v>
      </c>
      <c r="D58" s="37">
        <v>0</v>
      </c>
      <c r="E58" s="37">
        <v>0</v>
      </c>
      <c r="F58" s="37">
        <v>0</v>
      </c>
      <c r="G58" s="31">
        <v>2</v>
      </c>
      <c r="H58" s="31">
        <f>B58*G58</f>
        <v>4</v>
      </c>
      <c r="I58" s="63">
        <f>I44</f>
        <v>33</v>
      </c>
      <c r="J58" s="64">
        <f>H58*I58</f>
        <v>132</v>
      </c>
      <c r="K58" s="457">
        <f t="shared" si="14"/>
        <v>13.200000000000001</v>
      </c>
      <c r="L58" s="457">
        <f>J58*0.05</f>
        <v>6.6000000000000005</v>
      </c>
      <c r="M58" s="31">
        <f>C58*G58*I58</f>
        <v>0</v>
      </c>
      <c r="N58" s="37">
        <f>(J58*'Base Data'!$C$5)+(K58*'Base Data'!$C$6)+(L58*'Base Data'!$C$7)</f>
        <v>16622.562000000002</v>
      </c>
      <c r="O58" s="37">
        <f>(D58+E58+F58)*G58*I58</f>
        <v>0</v>
      </c>
      <c r="P58" s="64">
        <v>0</v>
      </c>
      <c r="Q58" s="66" t="s">
        <v>389</v>
      </c>
    </row>
    <row r="59" spans="1:18" s="95" customFormat="1" ht="18" x14ac:dyDescent="0.15">
      <c r="A59" s="91" t="s">
        <v>354</v>
      </c>
      <c r="B59" s="31">
        <v>2</v>
      </c>
      <c r="C59" s="31">
        <v>0</v>
      </c>
      <c r="D59" s="37">
        <v>0</v>
      </c>
      <c r="E59" s="37">
        <v>0</v>
      </c>
      <c r="F59" s="37">
        <v>0</v>
      </c>
      <c r="G59" s="31">
        <v>2</v>
      </c>
      <c r="H59" s="31">
        <f t="shared" si="12"/>
        <v>4</v>
      </c>
      <c r="I59" s="63">
        <f>I45</f>
        <v>0</v>
      </c>
      <c r="J59" s="64">
        <f t="shared" si="13"/>
        <v>0</v>
      </c>
      <c r="K59" s="64">
        <f t="shared" si="14"/>
        <v>0</v>
      </c>
      <c r="L59" s="64">
        <f t="shared" si="15"/>
        <v>0</v>
      </c>
      <c r="M59" s="31">
        <f>C59*G59*I59</f>
        <v>0</v>
      </c>
      <c r="N59" s="37">
        <f>(J59*'Base Data'!$C$5)+(K59*'Base Data'!$C$6)+(L59*'Base Data'!$C$7)</f>
        <v>0</v>
      </c>
      <c r="O59" s="37">
        <f t="shared" si="16"/>
        <v>0</v>
      </c>
      <c r="P59" s="64">
        <v>0</v>
      </c>
      <c r="Q59" s="66" t="s">
        <v>389</v>
      </c>
    </row>
    <row r="60" spans="1:18" s="95" customFormat="1" ht="9" x14ac:dyDescent="0.15">
      <c r="A60" s="91" t="s">
        <v>196</v>
      </c>
      <c r="B60" s="31">
        <v>0.5</v>
      </c>
      <c r="C60" s="31"/>
      <c r="D60" s="37">
        <v>0</v>
      </c>
      <c r="E60" s="37">
        <v>0</v>
      </c>
      <c r="F60" s="37">
        <v>0</v>
      </c>
      <c r="G60" s="31">
        <v>12</v>
      </c>
      <c r="H60" s="31">
        <f t="shared" si="12"/>
        <v>6</v>
      </c>
      <c r="I60" s="63">
        <f>$I$37</f>
        <v>261</v>
      </c>
      <c r="J60" s="64">
        <f t="shared" si="13"/>
        <v>1566</v>
      </c>
      <c r="K60" s="64">
        <f t="shared" si="14"/>
        <v>156.60000000000002</v>
      </c>
      <c r="L60" s="457">
        <f t="shared" si="15"/>
        <v>78.300000000000011</v>
      </c>
      <c r="M60" s="31"/>
      <c r="N60" s="37">
        <f>(J60*'Base Data'!$C$5)+(K60*'Base Data'!$C$6)+(L60*'Base Data'!$C$7)</f>
        <v>197204.03100000002</v>
      </c>
      <c r="O60" s="37">
        <f t="shared" si="16"/>
        <v>0</v>
      </c>
      <c r="P60" s="64">
        <v>0</v>
      </c>
      <c r="Q60" s="66" t="s">
        <v>276</v>
      </c>
    </row>
    <row r="61" spans="1:18" s="95" customFormat="1" ht="9" x14ac:dyDescent="0.15">
      <c r="A61" s="198" t="s">
        <v>355</v>
      </c>
      <c r="B61" s="31">
        <v>0.25</v>
      </c>
      <c r="C61" s="31"/>
      <c r="D61" s="37">
        <v>0</v>
      </c>
      <c r="E61" s="37">
        <v>0</v>
      </c>
      <c r="F61" s="37">
        <v>0</v>
      </c>
      <c r="G61" s="31">
        <v>1</v>
      </c>
      <c r="H61" s="31">
        <f>B61*G61</f>
        <v>0.25</v>
      </c>
      <c r="I61" s="63">
        <f>$I$37</f>
        <v>261</v>
      </c>
      <c r="J61" s="63">
        <f>H61*I61</f>
        <v>65.25</v>
      </c>
      <c r="K61" s="455">
        <f>J61*0.1</f>
        <v>6.5250000000000004</v>
      </c>
      <c r="L61" s="455">
        <f>J61*0.05</f>
        <v>3.2625000000000002</v>
      </c>
      <c r="M61" s="31">
        <f>C61*G61*I61</f>
        <v>0</v>
      </c>
      <c r="N61" s="37">
        <f>(J61*'Base Data'!$C$5)+(K61*'Base Data'!$C$6)+(L61*'Base Data'!$C$7)</f>
        <v>8216.8346250000013</v>
      </c>
      <c r="O61" s="37">
        <f>(D61+E61+F61)*G61*I61</f>
        <v>0</v>
      </c>
      <c r="P61" s="64">
        <f>G61*I61</f>
        <v>261</v>
      </c>
      <c r="Q61" s="66" t="s">
        <v>277</v>
      </c>
    </row>
    <row r="62" spans="1:18" s="95" customFormat="1" ht="9" x14ac:dyDescent="0.15">
      <c r="A62" s="90" t="s">
        <v>305</v>
      </c>
      <c r="B62" s="31">
        <v>40</v>
      </c>
      <c r="C62" s="31"/>
      <c r="D62" s="37">
        <v>0</v>
      </c>
      <c r="E62" s="37">
        <v>0</v>
      </c>
      <c r="F62" s="37">
        <v>0</v>
      </c>
      <c r="G62" s="31">
        <v>1</v>
      </c>
      <c r="H62" s="31">
        <f t="shared" si="12"/>
        <v>40</v>
      </c>
      <c r="I62" s="63">
        <f>$I$7</f>
        <v>33</v>
      </c>
      <c r="J62" s="64">
        <f t="shared" si="13"/>
        <v>1320</v>
      </c>
      <c r="K62" s="64">
        <f t="shared" si="14"/>
        <v>132</v>
      </c>
      <c r="L62" s="64">
        <f t="shared" si="15"/>
        <v>66</v>
      </c>
      <c r="M62" s="31"/>
      <c r="N62" s="37">
        <f>(J62*'Base Data'!$C$5)+(K62*'Base Data'!$C$6)+(L62*'Base Data'!$C$7)</f>
        <v>166225.62000000002</v>
      </c>
      <c r="O62" s="37">
        <f t="shared" si="16"/>
        <v>0</v>
      </c>
      <c r="P62" s="64">
        <v>0</v>
      </c>
      <c r="Q62" s="66" t="s">
        <v>65</v>
      </c>
    </row>
    <row r="63" spans="1:18" s="95" customFormat="1" x14ac:dyDescent="0.2">
      <c r="A63" s="90" t="s">
        <v>306</v>
      </c>
      <c r="B63" s="31" t="s">
        <v>311</v>
      </c>
      <c r="C63" s="31"/>
      <c r="D63" s="37"/>
      <c r="E63" s="37"/>
      <c r="F63" s="37"/>
      <c r="G63" s="31"/>
      <c r="H63" s="31"/>
      <c r="I63" s="64"/>
      <c r="J63" s="64"/>
      <c r="K63" s="64"/>
      <c r="L63" s="64"/>
      <c r="M63" s="31"/>
      <c r="N63" s="37"/>
      <c r="O63" s="37"/>
      <c r="P63" s="64"/>
      <c r="Q63" s="66"/>
      <c r="R63" s="109"/>
    </row>
    <row r="64" spans="1:18" s="95" customFormat="1" hidden="1" x14ac:dyDescent="0.2">
      <c r="A64" s="94"/>
      <c r="B64" s="437"/>
      <c r="C64" s="437"/>
      <c r="D64" s="438"/>
      <c r="E64" s="438"/>
      <c r="F64" s="438"/>
      <c r="G64" s="437"/>
      <c r="H64" s="437"/>
      <c r="I64" s="439"/>
      <c r="J64" s="374">
        <f>SUM(J50:J63)</f>
        <v>3083.25</v>
      </c>
      <c r="K64" s="374">
        <f>SUM(K50:K63)</f>
        <v>308.32500000000005</v>
      </c>
      <c r="L64" s="374">
        <f>SUM(L50:L63)</f>
        <v>154.16250000000002</v>
      </c>
      <c r="M64" s="437"/>
      <c r="N64" s="438"/>
      <c r="O64" s="438"/>
      <c r="P64" s="439"/>
      <c r="Q64" s="440"/>
      <c r="R64" s="109"/>
    </row>
    <row r="65" spans="1:18" s="371" customFormat="1" x14ac:dyDescent="0.2">
      <c r="A65" s="363" t="s">
        <v>23</v>
      </c>
      <c r="B65" s="372"/>
      <c r="C65" s="372"/>
      <c r="D65" s="373"/>
      <c r="E65" s="373"/>
      <c r="F65" s="373"/>
      <c r="G65" s="372"/>
      <c r="H65" s="372"/>
      <c r="I65" s="374"/>
      <c r="J65" s="730">
        <f>J64+K64+L64</f>
        <v>3545.7374999999997</v>
      </c>
      <c r="K65" s="731"/>
      <c r="L65" s="732"/>
      <c r="M65" s="373">
        <f>SUM(M50:M63)</f>
        <v>0</v>
      </c>
      <c r="N65" s="373">
        <f>SUM(N50:N63)</f>
        <v>388269.04762500001</v>
      </c>
      <c r="O65" s="373">
        <f>SUM(O50:O63)</f>
        <v>0</v>
      </c>
      <c r="P65" s="374"/>
      <c r="Q65" s="375"/>
      <c r="R65" s="109"/>
    </row>
    <row r="66" spans="1:18" s="371" customFormat="1" hidden="1" x14ac:dyDescent="0.2">
      <c r="A66" s="448"/>
      <c r="B66" s="429"/>
      <c r="C66" s="429"/>
      <c r="D66" s="430"/>
      <c r="E66" s="430"/>
      <c r="F66" s="430"/>
      <c r="G66" s="429"/>
      <c r="H66" s="429"/>
      <c r="I66" s="431"/>
      <c r="J66" s="114">
        <f>J47+J64</f>
        <v>8525.25</v>
      </c>
      <c r="K66" s="114">
        <f>K47+K64</f>
        <v>852.52500000000009</v>
      </c>
      <c r="L66" s="114">
        <f>L47+L64</f>
        <v>426.26250000000005</v>
      </c>
      <c r="M66" s="430"/>
      <c r="N66" s="430"/>
      <c r="O66" s="430"/>
      <c r="P66" s="431"/>
      <c r="Q66" s="432"/>
      <c r="R66" s="109"/>
    </row>
    <row r="67" spans="1:18" s="109" customFormat="1" x14ac:dyDescent="0.2">
      <c r="A67" s="110" t="s">
        <v>283</v>
      </c>
      <c r="B67" s="111"/>
      <c r="C67" s="111"/>
      <c r="D67" s="111"/>
      <c r="E67" s="111"/>
      <c r="F67" s="112"/>
      <c r="G67" s="111"/>
      <c r="H67" s="111"/>
      <c r="I67" s="441"/>
      <c r="J67" s="754">
        <f>J66+K66+L66</f>
        <v>9804.0375000000004</v>
      </c>
      <c r="K67" s="752"/>
      <c r="L67" s="755"/>
      <c r="M67" s="442">
        <f>M48+M65</f>
        <v>0</v>
      </c>
      <c r="N67" s="115">
        <f>N48+N65</f>
        <v>1073571.944625</v>
      </c>
      <c r="O67" s="115">
        <f>O48+O65</f>
        <v>750375</v>
      </c>
      <c r="P67" s="114">
        <f>P48+P65</f>
        <v>99</v>
      </c>
      <c r="Q67" s="116"/>
      <c r="R67" s="38"/>
    </row>
    <row r="68" spans="1:18" ht="6" customHeight="1" x14ac:dyDescent="0.2">
      <c r="R68" s="38"/>
    </row>
    <row r="69" spans="1:18" s="38" customFormat="1" ht="9" customHeight="1" x14ac:dyDescent="0.15">
      <c r="A69" s="748" t="s">
        <v>519</v>
      </c>
      <c r="B69" s="748"/>
      <c r="C69" s="748"/>
      <c r="D69" s="748"/>
      <c r="E69" s="748"/>
      <c r="F69" s="748"/>
      <c r="G69" s="748"/>
      <c r="H69" s="748"/>
      <c r="I69" s="748"/>
      <c r="J69" s="748"/>
      <c r="K69" s="748"/>
      <c r="L69" s="748"/>
      <c r="M69" s="748"/>
      <c r="N69" s="748"/>
      <c r="O69" s="748"/>
      <c r="P69" s="211"/>
    </row>
    <row r="70" spans="1:18" s="38" customFormat="1" ht="9" customHeight="1" x14ac:dyDescent="0.15">
      <c r="A70" s="682" t="s">
        <v>275</v>
      </c>
      <c r="B70" s="682"/>
      <c r="C70" s="682"/>
      <c r="D70" s="682"/>
      <c r="E70" s="682"/>
      <c r="F70" s="682"/>
      <c r="G70" s="682"/>
      <c r="H70" s="682"/>
      <c r="I70" s="682"/>
      <c r="J70" s="682"/>
      <c r="K70" s="682"/>
      <c r="L70" s="682"/>
      <c r="M70" s="682"/>
      <c r="N70" s="682"/>
      <c r="O70" s="682"/>
      <c r="P70" s="211"/>
    </row>
    <row r="71" spans="1:18" s="38" customFormat="1" ht="9" x14ac:dyDescent="0.15">
      <c r="A71" s="682" t="s">
        <v>393</v>
      </c>
      <c r="B71" s="682"/>
      <c r="C71" s="682"/>
      <c r="D71" s="682"/>
      <c r="E71" s="682"/>
      <c r="F71" s="682"/>
      <c r="G71" s="682"/>
      <c r="H71" s="682"/>
      <c r="I71" s="682"/>
      <c r="J71" s="682"/>
      <c r="K71" s="682"/>
      <c r="L71" s="682"/>
      <c r="M71" s="682"/>
      <c r="N71" s="682"/>
      <c r="O71" s="682"/>
      <c r="P71" s="682"/>
    </row>
    <row r="72" spans="1:18" ht="12" customHeight="1" x14ac:dyDescent="0.2">
      <c r="A72" s="682" t="s">
        <v>208</v>
      </c>
      <c r="B72" s="682"/>
      <c r="C72" s="682"/>
      <c r="D72" s="682"/>
      <c r="E72" s="682"/>
      <c r="F72" s="682"/>
      <c r="G72" s="682"/>
      <c r="H72" s="682"/>
      <c r="I72" s="682"/>
      <c r="J72" s="682"/>
      <c r="K72" s="682"/>
      <c r="L72" s="682"/>
      <c r="M72" s="682"/>
      <c r="N72" s="682"/>
      <c r="O72" s="682"/>
      <c r="P72" s="682"/>
      <c r="Q72" s="77"/>
      <c r="R72" s="38"/>
    </row>
    <row r="73" spans="1:18" s="38" customFormat="1" ht="33" customHeight="1" x14ac:dyDescent="0.15">
      <c r="A73" s="682" t="s">
        <v>780</v>
      </c>
      <c r="B73" s="682"/>
      <c r="C73" s="682"/>
      <c r="D73" s="682"/>
      <c r="E73" s="682"/>
      <c r="F73" s="682"/>
      <c r="G73" s="682"/>
      <c r="H73" s="682"/>
      <c r="I73" s="682"/>
      <c r="J73" s="682"/>
      <c r="K73" s="682"/>
      <c r="L73" s="682"/>
      <c r="M73" s="682"/>
      <c r="N73" s="682"/>
      <c r="O73" s="682"/>
      <c r="P73" s="682"/>
      <c r="Q73" s="682"/>
    </row>
    <row r="74" spans="1:18" s="38" customFormat="1" ht="9" x14ac:dyDescent="0.15">
      <c r="A74" s="69" t="s">
        <v>777</v>
      </c>
      <c r="B74" s="315"/>
      <c r="C74" s="315"/>
      <c r="D74" s="315"/>
      <c r="E74" s="315"/>
      <c r="F74" s="315"/>
      <c r="G74" s="315"/>
      <c r="H74" s="315"/>
      <c r="I74" s="315"/>
      <c r="J74" s="315"/>
      <c r="K74" s="315"/>
      <c r="L74" s="315"/>
      <c r="M74" s="315"/>
      <c r="N74" s="315"/>
      <c r="O74" s="315"/>
      <c r="P74" s="315"/>
    </row>
    <row r="75" spans="1:18" s="38" customFormat="1" ht="9" x14ac:dyDescent="0.15">
      <c r="A75" s="38" t="s">
        <v>779</v>
      </c>
      <c r="B75" s="41"/>
      <c r="C75" s="41"/>
      <c r="D75" s="41"/>
      <c r="E75" s="41"/>
      <c r="F75" s="41"/>
      <c r="G75" s="41"/>
      <c r="H75" s="41"/>
      <c r="I75" s="42"/>
      <c r="J75" s="41"/>
      <c r="K75" s="41"/>
      <c r="L75" s="41"/>
      <c r="M75" s="41"/>
      <c r="N75" s="41"/>
      <c r="O75" s="121"/>
      <c r="P75" s="121"/>
      <c r="Q75" s="41"/>
    </row>
    <row r="76" spans="1:18" s="38" customFormat="1" ht="9" x14ac:dyDescent="0.15">
      <c r="A76" s="38" t="s">
        <v>414</v>
      </c>
      <c r="B76" s="74"/>
      <c r="C76" s="74"/>
      <c r="D76" s="74"/>
      <c r="E76" s="74"/>
      <c r="F76" s="74"/>
      <c r="G76" s="74"/>
      <c r="H76" s="41"/>
      <c r="I76" s="42"/>
      <c r="J76" s="41"/>
      <c r="K76" s="41"/>
      <c r="L76" s="41"/>
      <c r="M76" s="41"/>
      <c r="N76" s="41"/>
      <c r="O76" s="121"/>
      <c r="P76" s="121"/>
      <c r="Q76" s="81"/>
    </row>
    <row r="77" spans="1:18" s="38" customFormat="1" ht="9" x14ac:dyDescent="0.15">
      <c r="A77" s="87" t="s">
        <v>415</v>
      </c>
      <c r="B77" s="41"/>
      <c r="C77" s="41"/>
      <c r="D77" s="41"/>
      <c r="E77" s="41"/>
      <c r="F77" s="41"/>
      <c r="G77" s="41"/>
      <c r="H77" s="41"/>
      <c r="I77" s="42"/>
      <c r="J77" s="41"/>
      <c r="K77" s="41"/>
      <c r="L77" s="41"/>
      <c r="M77" s="41"/>
      <c r="N77" s="41"/>
      <c r="O77" s="121"/>
      <c r="P77" s="121"/>
      <c r="Q77" s="41"/>
    </row>
    <row r="78" spans="1:18" s="38" customFormat="1" ht="9" customHeight="1" x14ac:dyDescent="0.15">
      <c r="A78" s="682" t="s">
        <v>733</v>
      </c>
      <c r="B78" s="682"/>
      <c r="C78" s="682"/>
      <c r="D78" s="682"/>
      <c r="E78" s="682"/>
      <c r="F78" s="682"/>
      <c r="G78" s="682"/>
      <c r="H78" s="682"/>
      <c r="I78" s="682"/>
      <c r="J78" s="682"/>
      <c r="K78" s="682"/>
      <c r="L78" s="682"/>
      <c r="M78" s="682"/>
      <c r="N78" s="682"/>
      <c r="O78" s="682"/>
      <c r="P78" s="682"/>
      <c r="Q78" s="682"/>
    </row>
    <row r="79" spans="1:18" s="38" customFormat="1" ht="9" x14ac:dyDescent="0.15">
      <c r="A79" s="682"/>
      <c r="B79" s="682"/>
      <c r="C79" s="682"/>
      <c r="D79" s="682"/>
      <c r="E79" s="682"/>
      <c r="F79" s="682"/>
      <c r="G79" s="682"/>
      <c r="H79" s="682"/>
      <c r="I79" s="682"/>
      <c r="J79" s="682"/>
      <c r="K79" s="682"/>
      <c r="L79" s="682"/>
      <c r="M79" s="682"/>
      <c r="N79" s="682"/>
      <c r="O79" s="682"/>
      <c r="P79" s="682"/>
      <c r="Q79" s="682"/>
    </row>
    <row r="80" spans="1:18" s="38" customFormat="1" ht="9" x14ac:dyDescent="0.15">
      <c r="A80" s="682"/>
      <c r="B80" s="682"/>
      <c r="C80" s="682"/>
      <c r="D80" s="682"/>
      <c r="E80" s="682"/>
      <c r="F80" s="682"/>
      <c r="G80" s="682"/>
      <c r="H80" s="682"/>
      <c r="I80" s="682"/>
      <c r="J80" s="682"/>
      <c r="K80" s="682"/>
      <c r="L80" s="682"/>
      <c r="M80" s="682"/>
      <c r="N80" s="682"/>
      <c r="O80" s="682"/>
      <c r="P80" s="682"/>
      <c r="Q80" s="682"/>
    </row>
    <row r="81" spans="2:17" s="38" customFormat="1" x14ac:dyDescent="0.2">
      <c r="B81" s="39"/>
      <c r="C81" s="39"/>
      <c r="D81" s="39"/>
      <c r="E81" s="39"/>
      <c r="F81" s="39"/>
      <c r="G81" s="39"/>
      <c r="H81" s="39"/>
      <c r="I81" s="40"/>
      <c r="J81" s="39"/>
      <c r="K81" s="39"/>
      <c r="L81" s="39"/>
      <c r="M81" s="39"/>
      <c r="N81" s="39"/>
      <c r="O81" s="120"/>
      <c r="P81" s="120"/>
      <c r="Q81" s="39"/>
    </row>
    <row r="82" spans="2:17" s="38" customFormat="1" x14ac:dyDescent="0.2">
      <c r="B82" s="39"/>
      <c r="C82" s="39"/>
      <c r="D82" s="39"/>
      <c r="E82" s="39"/>
      <c r="F82" s="39"/>
      <c r="G82" s="39"/>
      <c r="H82" s="39"/>
      <c r="I82" s="40"/>
      <c r="J82" s="39"/>
      <c r="K82" s="39"/>
      <c r="L82" s="39"/>
      <c r="M82" s="39"/>
      <c r="N82" s="39"/>
      <c r="O82" s="120"/>
      <c r="P82" s="120"/>
      <c r="Q82" s="39"/>
    </row>
    <row r="83" spans="2:17" s="38" customFormat="1" ht="9" x14ac:dyDescent="0.15">
      <c r="B83" s="41"/>
      <c r="C83" s="41"/>
      <c r="D83" s="41"/>
      <c r="E83" s="41"/>
      <c r="F83" s="41"/>
      <c r="G83" s="41"/>
      <c r="H83" s="41"/>
      <c r="I83" s="42"/>
      <c r="J83" s="41"/>
      <c r="K83" s="41"/>
      <c r="L83" s="41"/>
      <c r="M83" s="41"/>
      <c r="N83" s="41"/>
      <c r="O83" s="121"/>
      <c r="P83" s="121"/>
      <c r="Q83" s="41"/>
    </row>
    <row r="84" spans="2:17" s="38" customFormat="1" ht="9" x14ac:dyDescent="0.15">
      <c r="B84" s="41"/>
      <c r="C84" s="41"/>
      <c r="D84" s="41"/>
      <c r="E84" s="41"/>
      <c r="F84" s="41"/>
      <c r="G84" s="41"/>
      <c r="H84" s="41"/>
      <c r="I84" s="42"/>
      <c r="J84" s="41"/>
      <c r="K84" s="41"/>
      <c r="L84" s="41"/>
      <c r="M84" s="41"/>
      <c r="N84" s="41"/>
      <c r="O84" s="121"/>
      <c r="P84" s="121"/>
      <c r="Q84" s="41"/>
    </row>
    <row r="85" spans="2:17" s="38" customFormat="1" ht="9" x14ac:dyDescent="0.15">
      <c r="B85" s="41"/>
      <c r="C85" s="41"/>
      <c r="D85" s="41"/>
      <c r="E85" s="41"/>
      <c r="F85" s="41"/>
      <c r="G85" s="41"/>
      <c r="H85" s="41"/>
      <c r="I85" s="42"/>
      <c r="J85" s="41"/>
      <c r="K85" s="41"/>
      <c r="L85" s="41"/>
      <c r="M85" s="41"/>
      <c r="N85" s="41"/>
      <c r="O85" s="121"/>
      <c r="P85" s="121"/>
      <c r="Q85" s="41"/>
    </row>
    <row r="86" spans="2:17" s="38" customFormat="1" ht="9" x14ac:dyDescent="0.15">
      <c r="B86" s="41"/>
      <c r="C86" s="41"/>
      <c r="D86" s="41"/>
      <c r="E86" s="41"/>
      <c r="F86" s="41"/>
      <c r="G86" s="41"/>
      <c r="H86" s="41"/>
      <c r="I86" s="42"/>
      <c r="J86" s="41"/>
      <c r="K86" s="41"/>
      <c r="L86" s="41"/>
      <c r="M86" s="41"/>
      <c r="N86" s="41"/>
      <c r="O86" s="121"/>
      <c r="P86" s="121"/>
      <c r="Q86" s="41"/>
    </row>
    <row r="87" spans="2:17" s="38" customFormat="1" ht="9" x14ac:dyDescent="0.15">
      <c r="B87" s="41"/>
      <c r="C87" s="41"/>
      <c r="D87" s="41"/>
      <c r="E87" s="41"/>
      <c r="F87" s="41"/>
      <c r="G87" s="41"/>
      <c r="H87" s="41"/>
      <c r="I87" s="42"/>
      <c r="J87" s="41"/>
      <c r="K87" s="41"/>
      <c r="L87" s="41"/>
      <c r="M87" s="41"/>
      <c r="N87" s="41"/>
      <c r="O87" s="121"/>
      <c r="P87" s="121"/>
      <c r="Q87" s="41"/>
    </row>
    <row r="88" spans="2:17" s="38" customFormat="1" ht="9" x14ac:dyDescent="0.15">
      <c r="B88" s="41"/>
      <c r="C88" s="41"/>
      <c r="D88" s="41"/>
      <c r="E88" s="41"/>
      <c r="F88" s="41"/>
      <c r="G88" s="41"/>
      <c r="H88" s="41"/>
      <c r="I88" s="42"/>
      <c r="J88" s="41"/>
      <c r="K88" s="41"/>
      <c r="L88" s="41"/>
      <c r="M88" s="41"/>
      <c r="N88" s="41"/>
      <c r="O88" s="121"/>
      <c r="P88" s="121"/>
      <c r="Q88" s="41"/>
    </row>
    <row r="89" spans="2:17" s="38" customFormat="1" ht="9" x14ac:dyDescent="0.15">
      <c r="B89" s="41"/>
      <c r="C89" s="41"/>
      <c r="D89" s="41"/>
      <c r="E89" s="41"/>
      <c r="F89" s="41"/>
      <c r="G89" s="41"/>
      <c r="H89" s="41"/>
      <c r="I89" s="42"/>
      <c r="J89" s="41"/>
      <c r="K89" s="41"/>
      <c r="L89" s="41"/>
      <c r="M89" s="41"/>
      <c r="N89" s="41"/>
      <c r="O89" s="121"/>
      <c r="P89" s="121"/>
      <c r="Q89" s="41"/>
    </row>
    <row r="90" spans="2:17" s="38" customFormat="1" ht="9" x14ac:dyDescent="0.15">
      <c r="B90" s="41"/>
      <c r="C90" s="41"/>
      <c r="D90" s="41"/>
      <c r="E90" s="41"/>
      <c r="F90" s="41"/>
      <c r="G90" s="41"/>
      <c r="H90" s="41"/>
      <c r="I90" s="42"/>
      <c r="J90" s="41"/>
      <c r="K90" s="41"/>
      <c r="L90" s="41"/>
      <c r="M90" s="41"/>
      <c r="N90" s="41"/>
      <c r="O90" s="121"/>
      <c r="P90" s="121"/>
      <c r="Q90" s="41"/>
    </row>
    <row r="91" spans="2:17" s="38" customFormat="1" ht="9" x14ac:dyDescent="0.15">
      <c r="B91" s="41"/>
      <c r="C91" s="41"/>
      <c r="D91" s="41"/>
      <c r="E91" s="41"/>
      <c r="F91" s="41"/>
      <c r="G91" s="41"/>
      <c r="H91" s="41"/>
      <c r="I91" s="42"/>
      <c r="J91" s="41"/>
      <c r="K91" s="41"/>
      <c r="L91" s="41"/>
      <c r="M91" s="41"/>
      <c r="N91" s="41"/>
      <c r="O91" s="121"/>
      <c r="P91" s="121"/>
      <c r="Q91" s="41"/>
    </row>
    <row r="92" spans="2:17" s="38" customFormat="1" ht="9" x14ac:dyDescent="0.15">
      <c r="B92" s="41"/>
      <c r="C92" s="41"/>
      <c r="D92" s="41"/>
      <c r="E92" s="41"/>
      <c r="F92" s="41"/>
      <c r="G92" s="41"/>
      <c r="H92" s="41"/>
      <c r="I92" s="42"/>
      <c r="J92" s="41"/>
      <c r="K92" s="41"/>
      <c r="L92" s="41"/>
      <c r="M92" s="41"/>
      <c r="N92" s="41"/>
      <c r="O92" s="121"/>
      <c r="P92" s="121"/>
      <c r="Q92" s="41"/>
    </row>
    <row r="93" spans="2:17" s="38" customFormat="1" ht="9" x14ac:dyDescent="0.15">
      <c r="B93" s="41"/>
      <c r="C93" s="41"/>
      <c r="D93" s="41"/>
      <c r="E93" s="41"/>
      <c r="F93" s="41"/>
      <c r="G93" s="41"/>
      <c r="H93" s="41"/>
      <c r="I93" s="42"/>
      <c r="J93" s="41"/>
      <c r="K93" s="41"/>
      <c r="L93" s="41"/>
      <c r="M93" s="41"/>
      <c r="N93" s="41"/>
      <c r="O93" s="121"/>
      <c r="P93" s="121"/>
      <c r="Q93" s="41"/>
    </row>
    <row r="94" spans="2:17" s="38" customFormat="1" ht="9" x14ac:dyDescent="0.15">
      <c r="B94" s="41"/>
      <c r="C94" s="41"/>
      <c r="D94" s="41"/>
      <c r="E94" s="41"/>
      <c r="F94" s="41"/>
      <c r="G94" s="41"/>
      <c r="H94" s="41"/>
      <c r="I94" s="42"/>
      <c r="J94" s="41"/>
      <c r="K94" s="41"/>
      <c r="L94" s="41"/>
      <c r="M94" s="41"/>
      <c r="N94" s="41"/>
      <c r="O94" s="121"/>
      <c r="P94" s="121"/>
      <c r="Q94" s="41"/>
    </row>
    <row r="95" spans="2:17" s="38" customFormat="1" ht="9" x14ac:dyDescent="0.15">
      <c r="B95" s="41"/>
      <c r="C95" s="41"/>
      <c r="D95" s="41"/>
      <c r="E95" s="41"/>
      <c r="F95" s="41"/>
      <c r="G95" s="41"/>
      <c r="H95" s="41"/>
      <c r="I95" s="42"/>
      <c r="J95" s="41"/>
      <c r="K95" s="41"/>
      <c r="L95" s="41"/>
      <c r="M95" s="41"/>
      <c r="N95" s="41"/>
      <c r="O95" s="121"/>
      <c r="P95" s="121"/>
      <c r="Q95" s="41"/>
    </row>
    <row r="96" spans="2: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8" s="38" customFormat="1" ht="9" x14ac:dyDescent="0.15">
      <c r="B113" s="41"/>
      <c r="C113" s="41"/>
      <c r="D113" s="41"/>
      <c r="E113" s="41"/>
      <c r="F113" s="41"/>
      <c r="G113" s="41"/>
      <c r="H113" s="41"/>
      <c r="I113" s="42"/>
      <c r="J113" s="41"/>
      <c r="K113" s="41"/>
      <c r="L113" s="41"/>
      <c r="M113" s="41"/>
      <c r="N113" s="41"/>
      <c r="O113" s="121"/>
      <c r="P113" s="121"/>
      <c r="Q113" s="41"/>
    </row>
    <row r="114" spans="2:18" s="38" customFormat="1" ht="9" x14ac:dyDescent="0.15">
      <c r="B114" s="41"/>
      <c r="C114" s="41"/>
      <c r="D114" s="41"/>
      <c r="E114" s="41"/>
      <c r="F114" s="41"/>
      <c r="G114" s="41"/>
      <c r="H114" s="41"/>
      <c r="I114" s="42"/>
      <c r="J114" s="41"/>
      <c r="K114" s="41"/>
      <c r="L114" s="41"/>
      <c r="M114" s="41"/>
      <c r="N114" s="41"/>
      <c r="O114" s="121"/>
      <c r="P114" s="121"/>
      <c r="Q114" s="41"/>
    </row>
    <row r="115" spans="2:18" s="38" customFormat="1" ht="9" x14ac:dyDescent="0.15">
      <c r="B115" s="41"/>
      <c r="C115" s="41"/>
      <c r="D115" s="41"/>
      <c r="E115" s="41"/>
      <c r="F115" s="41"/>
      <c r="G115" s="41"/>
      <c r="H115" s="41"/>
      <c r="I115" s="42"/>
      <c r="J115" s="41"/>
      <c r="K115" s="41"/>
      <c r="L115" s="41"/>
      <c r="M115" s="41"/>
      <c r="N115" s="41"/>
      <c r="O115" s="121"/>
      <c r="P115" s="121"/>
      <c r="Q115" s="41"/>
    </row>
    <row r="116" spans="2:18" s="38" customFormat="1" ht="9" x14ac:dyDescent="0.15">
      <c r="B116" s="41"/>
      <c r="C116" s="41"/>
      <c r="D116" s="41"/>
      <c r="E116" s="41"/>
      <c r="F116" s="41"/>
      <c r="G116" s="41"/>
      <c r="H116" s="41"/>
      <c r="I116" s="42"/>
      <c r="J116" s="41"/>
      <c r="K116" s="41"/>
      <c r="L116" s="41"/>
      <c r="M116" s="41"/>
      <c r="N116" s="41"/>
      <c r="O116" s="121"/>
      <c r="P116" s="121"/>
      <c r="Q116" s="41"/>
    </row>
    <row r="117" spans="2:18" s="38" customFormat="1" ht="9" x14ac:dyDescent="0.15">
      <c r="B117" s="41"/>
      <c r="C117" s="41"/>
      <c r="D117" s="41"/>
      <c r="E117" s="41"/>
      <c r="F117" s="41"/>
      <c r="G117" s="41"/>
      <c r="H117" s="41"/>
      <c r="I117" s="42"/>
      <c r="J117" s="41"/>
      <c r="K117" s="41"/>
      <c r="L117" s="41"/>
      <c r="M117" s="41"/>
      <c r="N117" s="41"/>
      <c r="O117" s="121"/>
      <c r="P117" s="121"/>
      <c r="Q117" s="41"/>
    </row>
    <row r="118" spans="2:18" x14ac:dyDescent="0.2">
      <c r="Q118" s="41"/>
      <c r="R118" s="38"/>
    </row>
    <row r="119" spans="2:18" x14ac:dyDescent="0.2">
      <c r="Q119" s="41"/>
      <c r="R119" s="38"/>
    </row>
    <row r="120" spans="2:18" x14ac:dyDescent="0.2">
      <c r="Q120" s="41"/>
    </row>
  </sheetData>
  <mergeCells count="11">
    <mergeCell ref="A78:Q80"/>
    <mergeCell ref="A71:P71"/>
    <mergeCell ref="A72:P72"/>
    <mergeCell ref="A1:Q1"/>
    <mergeCell ref="A2:Q2"/>
    <mergeCell ref="A70:O70"/>
    <mergeCell ref="A69:O69"/>
    <mergeCell ref="J48:L48"/>
    <mergeCell ref="J65:L65"/>
    <mergeCell ref="J67:L67"/>
    <mergeCell ref="A73:Q73"/>
  </mergeCells>
  <phoneticPr fontId="9" type="noConversion"/>
  <pageMargins left="0.25" right="0.25" top="0.25" bottom="0.25" header="0.5" footer="0.5"/>
  <pageSetup scale="6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0.5703125" style="1" customWidth="1"/>
    <col min="2" max="2" width="8.85546875" style="5" bestFit="1" customWidth="1"/>
    <col min="3" max="3" width="8" style="5" hidden="1" customWidth="1"/>
    <col min="4" max="4" width="8.42578125" style="5" bestFit="1" customWidth="1"/>
    <col min="5" max="5" width="9.42578125" style="5" bestFit="1" customWidth="1"/>
    <col min="6" max="6" width="7.85546875" style="5" bestFit="1" customWidth="1"/>
    <col min="7" max="7" width="9.42578125" style="5" bestFit="1" customWidth="1"/>
    <col min="8" max="8" width="8.5703125" style="5" bestFit="1" customWidth="1"/>
    <col min="9" max="9" width="9.42578125" style="6" bestFit="1" customWidth="1"/>
    <col min="10" max="10" width="7.5703125" style="6" customWidth="1"/>
    <col min="11" max="11" width="5.85546875" style="6" bestFit="1" customWidth="1"/>
    <col min="12" max="12" width="8.5703125" style="6" customWidth="1"/>
    <col min="13" max="13" width="9" style="6" hidden="1" customWidth="1"/>
    <col min="14" max="14" width="8.42578125" style="5" bestFit="1" customWidth="1"/>
    <col min="15" max="15" width="6.42578125" style="1" bestFit="1" customWidth="1"/>
    <col min="16" max="16" width="7.5703125" style="1" customWidth="1"/>
    <col min="17" max="17" width="4" style="1" bestFit="1" customWidth="1"/>
    <col min="18" max="19" width="0" style="1" hidden="1" customWidth="1"/>
    <col min="20" max="16384" width="9.140625" style="1"/>
  </cols>
  <sheetData>
    <row r="1" spans="1:22" x14ac:dyDescent="0.2">
      <c r="A1" s="756" t="s">
        <v>186</v>
      </c>
      <c r="B1" s="756"/>
      <c r="C1" s="756"/>
      <c r="D1" s="756"/>
      <c r="E1" s="756"/>
      <c r="F1" s="756"/>
      <c r="G1" s="756"/>
      <c r="H1" s="756"/>
      <c r="I1" s="756"/>
      <c r="J1" s="756"/>
      <c r="K1" s="756"/>
      <c r="L1" s="756"/>
      <c r="M1" s="756"/>
      <c r="N1" s="756"/>
      <c r="O1" s="756"/>
      <c r="P1" s="756"/>
      <c r="Q1" s="756"/>
    </row>
    <row r="2" spans="1:22" x14ac:dyDescent="0.2">
      <c r="A2" s="757" t="s">
        <v>609</v>
      </c>
      <c r="B2" s="757"/>
      <c r="C2" s="757"/>
      <c r="D2" s="757"/>
      <c r="E2" s="757"/>
      <c r="F2" s="757"/>
      <c r="G2" s="757"/>
      <c r="H2" s="757"/>
      <c r="I2" s="757"/>
      <c r="J2" s="757"/>
      <c r="K2" s="757"/>
      <c r="L2" s="757"/>
      <c r="M2" s="757"/>
      <c r="N2" s="757"/>
      <c r="O2" s="757"/>
      <c r="P2" s="757"/>
      <c r="Q2" s="757"/>
    </row>
    <row r="3" spans="1:22" s="3" customFormat="1" ht="72" x14ac:dyDescent="0.15">
      <c r="A3" s="32" t="s">
        <v>280</v>
      </c>
      <c r="B3" s="32" t="s">
        <v>281</v>
      </c>
      <c r="C3" s="32" t="s">
        <v>308</v>
      </c>
      <c r="D3" s="32" t="s">
        <v>1</v>
      </c>
      <c r="E3" s="32" t="s">
        <v>87</v>
      </c>
      <c r="F3" s="32" t="s">
        <v>2</v>
      </c>
      <c r="G3" s="8" t="s">
        <v>148</v>
      </c>
      <c r="H3" s="32" t="s">
        <v>335</v>
      </c>
      <c r="I3" s="43" t="s">
        <v>336</v>
      </c>
      <c r="J3" s="70" t="s">
        <v>338</v>
      </c>
      <c r="K3" s="70" t="s">
        <v>339</v>
      </c>
      <c r="L3" s="70" t="s">
        <v>337</v>
      </c>
      <c r="M3" s="32" t="s">
        <v>279</v>
      </c>
      <c r="N3" s="32" t="s">
        <v>5</v>
      </c>
      <c r="O3" s="70" t="s">
        <v>89</v>
      </c>
      <c r="P3" s="70" t="s">
        <v>147</v>
      </c>
      <c r="Q3" s="106" t="s">
        <v>282</v>
      </c>
      <c r="R3" s="117" t="s">
        <v>225</v>
      </c>
      <c r="S3" s="117" t="s">
        <v>226</v>
      </c>
      <c r="T3" s="117"/>
    </row>
    <row r="4" spans="1:22" s="4" customFormat="1" ht="9" x14ac:dyDescent="0.15">
      <c r="A4" s="118" t="s">
        <v>284</v>
      </c>
      <c r="B4" s="103" t="s">
        <v>311</v>
      </c>
      <c r="C4" s="103"/>
      <c r="D4" s="105"/>
      <c r="E4" s="105"/>
      <c r="F4" s="105"/>
      <c r="G4" s="103"/>
      <c r="H4" s="103"/>
      <c r="I4" s="107"/>
      <c r="J4" s="103"/>
      <c r="K4" s="103"/>
      <c r="L4" s="103"/>
      <c r="M4" s="103"/>
      <c r="N4" s="105"/>
      <c r="O4" s="105"/>
      <c r="P4" s="105"/>
      <c r="Q4" s="143"/>
      <c r="R4" s="95"/>
      <c r="S4" s="95"/>
      <c r="T4" s="95"/>
    </row>
    <row r="5" spans="1:22" s="4" customFormat="1" ht="9" x14ac:dyDescent="0.15">
      <c r="A5" s="91" t="s">
        <v>285</v>
      </c>
      <c r="B5" s="31" t="s">
        <v>311</v>
      </c>
      <c r="C5" s="31"/>
      <c r="D5" s="37"/>
      <c r="E5" s="37"/>
      <c r="F5" s="37"/>
      <c r="G5" s="31"/>
      <c r="H5" s="31"/>
      <c r="I5" s="64"/>
      <c r="J5" s="31"/>
      <c r="K5" s="31"/>
      <c r="L5" s="31"/>
      <c r="M5" s="31"/>
      <c r="N5" s="37"/>
      <c r="O5" s="37"/>
      <c r="P5" s="37"/>
      <c r="Q5" s="66"/>
      <c r="R5" s="95"/>
      <c r="S5" s="95"/>
      <c r="T5" s="95"/>
    </row>
    <row r="6" spans="1:22" s="4" customFormat="1" ht="9" x14ac:dyDescent="0.15">
      <c r="A6" s="91" t="s">
        <v>286</v>
      </c>
      <c r="B6" s="31"/>
      <c r="C6" s="31"/>
      <c r="D6" s="37"/>
      <c r="E6" s="37"/>
      <c r="F6" s="37"/>
      <c r="G6" s="31"/>
      <c r="H6" s="31"/>
      <c r="I6" s="64"/>
      <c r="J6" s="31"/>
      <c r="K6" s="31"/>
      <c r="L6" s="31"/>
      <c r="M6" s="31"/>
      <c r="N6" s="37"/>
      <c r="O6" s="37"/>
      <c r="P6" s="37"/>
      <c r="Q6" s="66"/>
      <c r="R6" s="95"/>
      <c r="S6" s="95"/>
      <c r="T6" s="95"/>
    </row>
    <row r="7" spans="1:22" s="4" customFormat="1" ht="9" x14ac:dyDescent="0.15">
      <c r="A7" s="91" t="s">
        <v>287</v>
      </c>
      <c r="B7" s="31">
        <v>40</v>
      </c>
      <c r="C7" s="31"/>
      <c r="D7" s="37">
        <v>0</v>
      </c>
      <c r="E7" s="37">
        <v>0</v>
      </c>
      <c r="F7" s="37">
        <v>0</v>
      </c>
      <c r="G7" s="31">
        <v>1</v>
      </c>
      <c r="H7" s="31">
        <f>B7*G7</f>
        <v>40</v>
      </c>
      <c r="I7" s="63">
        <f>SUM('Base Data'!$H$16:$H$17,'Base Data'!$H$21:$H$22)</f>
        <v>5</v>
      </c>
      <c r="J7" s="63">
        <f>H7*I7</f>
        <v>200</v>
      </c>
      <c r="K7" s="63">
        <f>J7*0.1</f>
        <v>20</v>
      </c>
      <c r="L7" s="63">
        <f>J7*0.05</f>
        <v>10</v>
      </c>
      <c r="M7" s="31">
        <f>C7*G7*I7</f>
        <v>0</v>
      </c>
      <c r="N7" s="37">
        <f>(J7*'Base Data'!$C$5)+(K7*'Base Data'!$C$6)+(L7*'Base Data'!$C$7)</f>
        <v>25185.7</v>
      </c>
      <c r="O7" s="37">
        <f>(D7+E7+F7)*G7*I7</f>
        <v>0</v>
      </c>
      <c r="P7" s="64">
        <v>0</v>
      </c>
      <c r="Q7" s="66" t="s">
        <v>276</v>
      </c>
      <c r="R7" s="95"/>
      <c r="S7" s="95"/>
      <c r="T7" s="95"/>
    </row>
    <row r="8" spans="1:22" s="4" customFormat="1" ht="9" x14ac:dyDescent="0.15">
      <c r="A8" s="91" t="s">
        <v>288</v>
      </c>
      <c r="B8" s="31"/>
      <c r="C8" s="31"/>
      <c r="D8" s="37"/>
      <c r="E8" s="37"/>
      <c r="F8" s="37"/>
      <c r="G8" s="31"/>
      <c r="H8" s="31"/>
      <c r="I8" s="64"/>
      <c r="J8" s="31"/>
      <c r="K8" s="31"/>
      <c r="L8" s="31"/>
      <c r="M8" s="31"/>
      <c r="N8" s="37"/>
      <c r="O8" s="37"/>
      <c r="P8" s="64"/>
      <c r="Q8" s="66"/>
      <c r="R8" s="95"/>
      <c r="S8" s="95"/>
      <c r="T8" s="95"/>
    </row>
    <row r="9" spans="1:22" s="4" customFormat="1" ht="9" x14ac:dyDescent="0.15">
      <c r="A9" s="91" t="s">
        <v>302</v>
      </c>
      <c r="B9" s="31"/>
      <c r="C9" s="31"/>
      <c r="D9" s="67"/>
      <c r="E9" s="37"/>
      <c r="F9" s="37"/>
      <c r="G9" s="31"/>
      <c r="H9" s="31"/>
      <c r="I9" s="63"/>
      <c r="J9" s="64"/>
      <c r="K9" s="64"/>
      <c r="L9" s="64"/>
      <c r="M9" s="65"/>
      <c r="N9" s="37"/>
      <c r="O9" s="37"/>
      <c r="P9" s="64"/>
      <c r="Q9" s="66"/>
      <c r="R9" s="66"/>
      <c r="S9" s="95"/>
      <c r="T9" s="95"/>
      <c r="V9" s="20"/>
    </row>
    <row r="10" spans="1:22" s="4" customFormat="1" ht="9" x14ac:dyDescent="0.15">
      <c r="A10" s="90" t="s">
        <v>211</v>
      </c>
      <c r="B10" s="31">
        <v>20</v>
      </c>
      <c r="C10" s="31"/>
      <c r="D10" s="37">
        <v>854</v>
      </c>
      <c r="E10" s="37">
        <v>0</v>
      </c>
      <c r="F10" s="37">
        <v>0</v>
      </c>
      <c r="G10" s="31">
        <v>1</v>
      </c>
      <c r="H10" s="31">
        <f>B10*G10</f>
        <v>20</v>
      </c>
      <c r="I10" s="63">
        <v>0</v>
      </c>
      <c r="J10" s="64">
        <f>H10*I10</f>
        <v>0</v>
      </c>
      <c r="K10" s="64">
        <f>J10*0.1</f>
        <v>0</v>
      </c>
      <c r="L10" s="64">
        <f>J10*0.05</f>
        <v>0</v>
      </c>
      <c r="M10" s="65">
        <f>C10*G10*I10</f>
        <v>0</v>
      </c>
      <c r="N10" s="37">
        <f>(J10*'Base Data'!$C$5)+(K10*'Base Data'!$C$6)+(L10*'Base Data'!$C$7)</f>
        <v>0</v>
      </c>
      <c r="O10" s="37">
        <f>(D10+E10+F10)*G10*I10</f>
        <v>0</v>
      </c>
      <c r="P10" s="64">
        <v>0</v>
      </c>
      <c r="Q10" s="66" t="s">
        <v>391</v>
      </c>
      <c r="R10" s="66"/>
      <c r="S10" s="95"/>
      <c r="T10" s="95"/>
      <c r="V10" s="20"/>
    </row>
    <row r="11" spans="1:22" s="4"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391</v>
      </c>
      <c r="R11" s="66"/>
      <c r="S11" s="95"/>
      <c r="T11" s="95"/>
      <c r="V11" s="20"/>
    </row>
    <row r="12" spans="1:22" s="4" customFormat="1" ht="9" x14ac:dyDescent="0.15">
      <c r="A12" s="91" t="s">
        <v>199</v>
      </c>
      <c r="B12" s="31">
        <v>12</v>
      </c>
      <c r="C12" s="31"/>
      <c r="D12" s="37">
        <v>0</v>
      </c>
      <c r="E12" s="37">
        <v>2228</v>
      </c>
      <c r="F12" s="37">
        <v>0</v>
      </c>
      <c r="G12" s="31">
        <v>0.5</v>
      </c>
      <c r="H12" s="31">
        <f>B12*G12</f>
        <v>6</v>
      </c>
      <c r="I12" s="64">
        <v>0</v>
      </c>
      <c r="J12" s="63">
        <f>H12*I12</f>
        <v>0</v>
      </c>
      <c r="K12" s="63">
        <f>J12*0.1</f>
        <v>0</v>
      </c>
      <c r="L12" s="63">
        <f>J12*0.05</f>
        <v>0</v>
      </c>
      <c r="M12" s="64"/>
      <c r="N12" s="37">
        <f>(J12*'Base Data'!$C$5)+(K12*'Base Data'!$C$6)+(L12*'Base Data'!$C$7)</f>
        <v>0</v>
      </c>
      <c r="O12" s="37">
        <f>(D12+E12+F12)*I12</f>
        <v>0</v>
      </c>
      <c r="P12" s="64">
        <v>0</v>
      </c>
      <c r="Q12" s="66" t="s">
        <v>277</v>
      </c>
      <c r="R12" s="95"/>
      <c r="S12" s="95"/>
      <c r="T12" s="95"/>
    </row>
    <row r="13" spans="1:22" s="4" customFormat="1" ht="9" x14ac:dyDescent="0.15">
      <c r="A13" s="91" t="s">
        <v>294</v>
      </c>
      <c r="B13" s="31" t="s">
        <v>311</v>
      </c>
      <c r="C13" s="31"/>
      <c r="D13" s="37"/>
      <c r="E13" s="37"/>
      <c r="F13" s="37"/>
      <c r="G13" s="31"/>
      <c r="H13" s="31"/>
      <c r="I13" s="64"/>
      <c r="J13" s="31"/>
      <c r="K13" s="31"/>
      <c r="L13" s="31"/>
      <c r="M13" s="31"/>
      <c r="N13" s="37"/>
      <c r="O13" s="37"/>
      <c r="P13" s="64"/>
      <c r="Q13" s="66"/>
      <c r="R13" s="95"/>
      <c r="S13" s="95"/>
      <c r="T13" s="95"/>
    </row>
    <row r="14" spans="1:22" s="4" customFormat="1" ht="9" x14ac:dyDescent="0.15">
      <c r="A14" s="91" t="s">
        <v>295</v>
      </c>
      <c r="B14" s="31" t="s">
        <v>311</v>
      </c>
      <c r="C14" s="31"/>
      <c r="D14" s="37"/>
      <c r="E14" s="37"/>
      <c r="F14" s="37"/>
      <c r="G14" s="31"/>
      <c r="H14" s="31"/>
      <c r="I14" s="64"/>
      <c r="J14" s="31"/>
      <c r="K14" s="31"/>
      <c r="L14" s="31"/>
      <c r="M14" s="31"/>
      <c r="N14" s="37"/>
      <c r="O14" s="37"/>
      <c r="P14" s="64"/>
      <c r="Q14" s="66"/>
      <c r="R14" s="95"/>
      <c r="S14" s="95"/>
      <c r="T14" s="95"/>
    </row>
    <row r="15" spans="1:22" s="4" customFormat="1" ht="9" x14ac:dyDescent="0.15">
      <c r="A15" s="91" t="s">
        <v>296</v>
      </c>
      <c r="B15" s="31"/>
      <c r="C15" s="31"/>
      <c r="D15" s="37"/>
      <c r="E15" s="37"/>
      <c r="F15" s="37"/>
      <c r="G15" s="31"/>
      <c r="H15" s="31"/>
      <c r="I15" s="64"/>
      <c r="J15" s="31"/>
      <c r="K15" s="31"/>
      <c r="L15" s="31"/>
      <c r="M15" s="31"/>
      <c r="N15" s="37"/>
      <c r="O15" s="37"/>
      <c r="P15" s="64"/>
      <c r="Q15" s="66"/>
      <c r="R15" s="95"/>
      <c r="S15" s="95"/>
      <c r="T15" s="95"/>
    </row>
    <row r="16" spans="1:22" s="4" customFormat="1" ht="9" x14ac:dyDescent="0.15">
      <c r="A16" s="101" t="s">
        <v>312</v>
      </c>
      <c r="B16" s="31">
        <v>2</v>
      </c>
      <c r="C16" s="31"/>
      <c r="D16" s="37">
        <v>0</v>
      </c>
      <c r="E16" s="37">
        <v>0</v>
      </c>
      <c r="F16" s="37">
        <v>0</v>
      </c>
      <c r="G16" s="31">
        <v>1</v>
      </c>
      <c r="H16" s="31">
        <f>B16*G16</f>
        <v>2</v>
      </c>
      <c r="I16" s="63">
        <f>SUM('Base Data'!$H$16:$H$17,'Base Data'!$H$21:$H$22)</f>
        <v>5</v>
      </c>
      <c r="J16" s="63">
        <f>H16*I16</f>
        <v>10</v>
      </c>
      <c r="K16" s="63">
        <f>J16*0.1</f>
        <v>1</v>
      </c>
      <c r="L16" s="63">
        <f>J16*0.05</f>
        <v>0.5</v>
      </c>
      <c r="M16" s="31">
        <f>C16*G16*I16</f>
        <v>0</v>
      </c>
      <c r="N16" s="37">
        <f>(J16*'Base Data'!$C$5)+(K16*'Base Data'!$C$6)+(L16*'Base Data'!$C$7)</f>
        <v>1259.2849999999999</v>
      </c>
      <c r="O16" s="37">
        <f>(D16+E16+F16)*G16*I16</f>
        <v>0</v>
      </c>
      <c r="P16" s="64">
        <f>G16*I16</f>
        <v>5</v>
      </c>
      <c r="Q16" s="66" t="s">
        <v>276</v>
      </c>
      <c r="R16" s="95"/>
      <c r="S16" s="95"/>
      <c r="T16" s="95"/>
    </row>
    <row r="17" spans="1:20" s="4" customFormat="1" ht="9" x14ac:dyDescent="0.15">
      <c r="A17" s="101" t="s">
        <v>273</v>
      </c>
      <c r="B17" s="31">
        <v>8</v>
      </c>
      <c r="C17" s="31"/>
      <c r="D17" s="37">
        <v>0</v>
      </c>
      <c r="E17" s="37">
        <v>0</v>
      </c>
      <c r="F17" s="37">
        <v>0</v>
      </c>
      <c r="G17" s="31">
        <v>1</v>
      </c>
      <c r="H17" s="31">
        <f>B17*G17</f>
        <v>8</v>
      </c>
      <c r="I17" s="64">
        <v>0</v>
      </c>
      <c r="J17" s="63">
        <f>H17*I17</f>
        <v>0</v>
      </c>
      <c r="K17" s="63">
        <f>J17*0.1</f>
        <v>0</v>
      </c>
      <c r="L17" s="63">
        <f>J17*0.05</f>
        <v>0</v>
      </c>
      <c r="M17" s="31">
        <f>C17*G17*I17</f>
        <v>0</v>
      </c>
      <c r="N17" s="37">
        <f>(J17*'Base Data'!$C$5)+(K17*'Base Data'!$C$6)+(L17*'Base Data'!$C$7)</f>
        <v>0</v>
      </c>
      <c r="O17" s="37">
        <f>(D17+E17+F17)*G17*I17</f>
        <v>0</v>
      </c>
      <c r="P17" s="64">
        <f>G17*I17</f>
        <v>0</v>
      </c>
      <c r="Q17" s="66" t="s">
        <v>277</v>
      </c>
      <c r="R17" s="95"/>
      <c r="S17" s="95"/>
      <c r="T17" s="95"/>
    </row>
    <row r="18" spans="1:20" s="4" customFormat="1" ht="9" x14ac:dyDescent="0.15">
      <c r="A18" s="92" t="s">
        <v>198</v>
      </c>
      <c r="B18" s="31">
        <v>5</v>
      </c>
      <c r="C18" s="31"/>
      <c r="D18" s="37">
        <v>0</v>
      </c>
      <c r="E18" s="37">
        <v>0</v>
      </c>
      <c r="F18" s="37">
        <v>0</v>
      </c>
      <c r="G18" s="31">
        <v>0.5</v>
      </c>
      <c r="H18" s="31">
        <f>B18*G18</f>
        <v>2.5</v>
      </c>
      <c r="I18" s="63">
        <v>0</v>
      </c>
      <c r="J18" s="63">
        <f>H18*I18</f>
        <v>0</v>
      </c>
      <c r="K18" s="63">
        <f>J18*0.1</f>
        <v>0</v>
      </c>
      <c r="L18" s="63">
        <f>J18*0.05</f>
        <v>0</v>
      </c>
      <c r="M18" s="31">
        <f>C18*G18*I18</f>
        <v>0</v>
      </c>
      <c r="N18" s="37">
        <f>(J18*'Base Data'!$C$5)+(K18*'Base Data'!$C$6)+(L18*'Base Data'!$C$7)</f>
        <v>0</v>
      </c>
      <c r="O18" s="37">
        <f>(D18+E18+F18)*G18*I18</f>
        <v>0</v>
      </c>
      <c r="P18" s="64">
        <f>G18*I18</f>
        <v>0</v>
      </c>
      <c r="Q18" s="66" t="s">
        <v>210</v>
      </c>
      <c r="R18" s="95"/>
      <c r="S18" s="95"/>
      <c r="T18" s="95"/>
    </row>
    <row r="19" spans="1:20" s="4" customFormat="1" ht="9" x14ac:dyDescent="0.15">
      <c r="A19" s="101" t="s">
        <v>365</v>
      </c>
      <c r="B19" s="31">
        <v>5</v>
      </c>
      <c r="C19" s="13"/>
      <c r="D19" s="26">
        <v>0</v>
      </c>
      <c r="E19" s="26">
        <v>0</v>
      </c>
      <c r="F19" s="26">
        <v>0</v>
      </c>
      <c r="G19" s="13">
        <v>1</v>
      </c>
      <c r="H19" s="13">
        <f>B19*G19</f>
        <v>5</v>
      </c>
      <c r="I19" s="36">
        <v>0</v>
      </c>
      <c r="J19" s="14">
        <f>H19*I19</f>
        <v>0</v>
      </c>
      <c r="K19" s="14">
        <f>J19*0.1</f>
        <v>0</v>
      </c>
      <c r="L19" s="14">
        <f>J19*0.05</f>
        <v>0</v>
      </c>
      <c r="M19" s="13">
        <f>C19*G19*I19</f>
        <v>0</v>
      </c>
      <c r="N19" s="26">
        <f>(J19*'Base Data'!$C$5)+(K19*'Base Data'!$C$6)+(L19*'Base Data'!$C$7)</f>
        <v>0</v>
      </c>
      <c r="O19" s="26">
        <f>(D19+E19+F19)*G19*I19</f>
        <v>0</v>
      </c>
      <c r="P19" s="14">
        <f>G19*I19</f>
        <v>0</v>
      </c>
      <c r="Q19" s="19" t="s">
        <v>277</v>
      </c>
    </row>
    <row r="20" spans="1:20" s="4" customFormat="1" ht="9" x14ac:dyDescent="0.15">
      <c r="A20" s="96" t="s">
        <v>4</v>
      </c>
      <c r="B20" s="31"/>
      <c r="C20" s="31"/>
      <c r="D20" s="37"/>
      <c r="E20" s="37"/>
      <c r="F20" s="37"/>
      <c r="G20" s="31"/>
      <c r="H20" s="31"/>
      <c r="I20" s="64"/>
      <c r="J20" s="64">
        <f t="shared" ref="J20:O20" si="0">SUM(J7:J19)</f>
        <v>210</v>
      </c>
      <c r="K20" s="64">
        <f t="shared" si="0"/>
        <v>21</v>
      </c>
      <c r="L20" s="64">
        <f t="shared" si="0"/>
        <v>10.5</v>
      </c>
      <c r="M20" s="64">
        <f t="shared" si="0"/>
        <v>0</v>
      </c>
      <c r="N20" s="26">
        <f t="shared" si="0"/>
        <v>26444.985000000001</v>
      </c>
      <c r="O20" s="26">
        <f t="shared" si="0"/>
        <v>0</v>
      </c>
      <c r="P20" s="64">
        <f>ROUNDUP(SUM(P7:P19),0)</f>
        <v>5</v>
      </c>
      <c r="Q20" s="66"/>
      <c r="R20" s="97">
        <f>SUM(O7:O12)</f>
        <v>0</v>
      </c>
      <c r="S20" s="95">
        <f>0</f>
        <v>0</v>
      </c>
      <c r="T20" s="95"/>
    </row>
    <row r="21" spans="1:20" s="4" customFormat="1" ht="9" x14ac:dyDescent="0.15">
      <c r="A21" s="91" t="s">
        <v>309</v>
      </c>
      <c r="B21" s="31"/>
      <c r="C21" s="31"/>
      <c r="D21" s="37"/>
      <c r="E21" s="37"/>
      <c r="F21" s="37"/>
      <c r="G21" s="31"/>
      <c r="H21" s="31"/>
      <c r="I21" s="64"/>
      <c r="J21" s="31"/>
      <c r="K21" s="31"/>
      <c r="L21" s="31"/>
      <c r="M21" s="31"/>
      <c r="N21" s="37"/>
      <c r="O21" s="37"/>
      <c r="P21" s="64"/>
      <c r="Q21" s="66"/>
      <c r="R21" s="95"/>
      <c r="S21" s="95"/>
      <c r="T21" s="95"/>
    </row>
    <row r="22" spans="1:20" s="4" customFormat="1" ht="9" x14ac:dyDescent="0.15">
      <c r="A22" s="91" t="s">
        <v>297</v>
      </c>
      <c r="B22" s="31" t="s">
        <v>301</v>
      </c>
      <c r="C22" s="31"/>
      <c r="D22" s="37"/>
      <c r="E22" s="37"/>
      <c r="F22" s="37"/>
      <c r="G22" s="31"/>
      <c r="H22" s="31"/>
      <c r="I22" s="64"/>
      <c r="J22" s="31"/>
      <c r="K22" s="31"/>
      <c r="L22" s="31"/>
      <c r="M22" s="31"/>
      <c r="N22" s="37"/>
      <c r="O22" s="37"/>
      <c r="P22" s="64"/>
      <c r="Q22" s="66"/>
      <c r="R22" s="95"/>
      <c r="S22" s="95"/>
      <c r="T22" s="95"/>
    </row>
    <row r="23" spans="1:20" s="4" customFormat="1" ht="9" x14ac:dyDescent="0.15">
      <c r="A23" s="91" t="s">
        <v>298</v>
      </c>
      <c r="B23" s="31" t="s">
        <v>311</v>
      </c>
      <c r="C23" s="31"/>
      <c r="D23" s="37"/>
      <c r="E23" s="37"/>
      <c r="F23" s="37"/>
      <c r="G23" s="31"/>
      <c r="H23" s="31"/>
      <c r="I23" s="64"/>
      <c r="J23" s="31"/>
      <c r="K23" s="31"/>
      <c r="L23" s="31"/>
      <c r="M23" s="31"/>
      <c r="N23" s="37"/>
      <c r="O23" s="37"/>
      <c r="P23" s="64"/>
      <c r="Q23" s="66"/>
      <c r="R23" s="95"/>
      <c r="S23" s="95"/>
      <c r="T23" s="95"/>
    </row>
    <row r="24" spans="1:20" s="4" customFormat="1" ht="9" x14ac:dyDescent="0.15">
      <c r="A24" s="91" t="s">
        <v>299</v>
      </c>
      <c r="B24" s="31" t="s">
        <v>311</v>
      </c>
      <c r="C24" s="31"/>
      <c r="D24" s="37"/>
      <c r="E24" s="37"/>
      <c r="F24" s="37"/>
      <c r="G24" s="31"/>
      <c r="H24" s="31"/>
      <c r="I24" s="64"/>
      <c r="J24" s="31"/>
      <c r="K24" s="31"/>
      <c r="L24" s="31"/>
      <c r="M24" s="31"/>
      <c r="N24" s="37"/>
      <c r="O24" s="37"/>
      <c r="P24" s="64"/>
      <c r="Q24" s="66" t="s">
        <v>278</v>
      </c>
      <c r="R24" s="95"/>
      <c r="S24" s="95"/>
      <c r="T24" s="95"/>
    </row>
    <row r="25" spans="1:20" s="4" customFormat="1" ht="9" x14ac:dyDescent="0.15">
      <c r="A25" s="91" t="s">
        <v>300</v>
      </c>
      <c r="B25" s="31"/>
      <c r="C25" s="31"/>
      <c r="D25" s="37"/>
      <c r="E25" s="37"/>
      <c r="F25" s="37"/>
      <c r="G25" s="31"/>
      <c r="H25" s="31"/>
      <c r="I25" s="64"/>
      <c r="J25" s="31"/>
      <c r="K25" s="31"/>
      <c r="L25" s="31"/>
      <c r="M25" s="31"/>
      <c r="N25" s="37"/>
      <c r="O25" s="37"/>
      <c r="P25" s="64"/>
      <c r="Q25" s="66"/>
      <c r="R25" s="95"/>
      <c r="S25" s="95"/>
      <c r="T25" s="95"/>
    </row>
    <row r="26" spans="1:20" s="4" customFormat="1" ht="19.5" customHeight="1" x14ac:dyDescent="0.15">
      <c r="A26" s="101" t="s">
        <v>271</v>
      </c>
      <c r="B26" s="31">
        <v>2</v>
      </c>
      <c r="C26" s="31">
        <v>0</v>
      </c>
      <c r="D26" s="37">
        <v>0</v>
      </c>
      <c r="E26" s="37">
        <v>0</v>
      </c>
      <c r="F26" s="37">
        <v>0</v>
      </c>
      <c r="G26" s="31">
        <v>0.5</v>
      </c>
      <c r="H26" s="31">
        <f>B26*G26</f>
        <v>1</v>
      </c>
      <c r="I26" s="64">
        <v>0</v>
      </c>
      <c r="J26" s="63">
        <f>H26*I26</f>
        <v>0</v>
      </c>
      <c r="K26" s="63">
        <f>J26*0.1</f>
        <v>0</v>
      </c>
      <c r="L26" s="63">
        <f>J26*0.05</f>
        <v>0</v>
      </c>
      <c r="M26" s="31">
        <f>C26*G26*I26</f>
        <v>0</v>
      </c>
      <c r="N26" s="37">
        <f>(J26*'Base Data'!$C$5)+(K26*'Base Data'!$C$6)+(L26*'Base Data'!$C$7)</f>
        <v>0</v>
      </c>
      <c r="O26" s="37">
        <f>(D26+E26+F26)*G26*I26</f>
        <v>0</v>
      </c>
      <c r="P26" s="64">
        <v>0</v>
      </c>
      <c r="Q26" s="66" t="s">
        <v>277</v>
      </c>
      <c r="R26" s="95"/>
      <c r="S26" s="95"/>
      <c r="T26" s="95"/>
    </row>
    <row r="27" spans="1:20" s="4" customFormat="1" ht="18" x14ac:dyDescent="0.15">
      <c r="A27" s="101" t="s">
        <v>272</v>
      </c>
      <c r="B27" s="31">
        <v>15</v>
      </c>
      <c r="C27" s="31">
        <v>0</v>
      </c>
      <c r="D27" s="37">
        <v>0</v>
      </c>
      <c r="E27" s="37">
        <v>0</v>
      </c>
      <c r="F27" s="37">
        <v>0</v>
      </c>
      <c r="G27" s="31">
        <v>1</v>
      </c>
      <c r="H27" s="31">
        <f>B27*G27</f>
        <v>15</v>
      </c>
      <c r="I27" s="64">
        <v>0</v>
      </c>
      <c r="J27" s="63">
        <f>H27*I27</f>
        <v>0</v>
      </c>
      <c r="K27" s="63">
        <f>J27*0.1</f>
        <v>0</v>
      </c>
      <c r="L27" s="63">
        <f>J27*0.05</f>
        <v>0</v>
      </c>
      <c r="M27" s="31">
        <f>C27*G27*I27</f>
        <v>0</v>
      </c>
      <c r="N27" s="37">
        <f>(J27*'Base Data'!$C$5)+(K27*'Base Data'!$C$6)+(L27*'Base Data'!$C$7)</f>
        <v>0</v>
      </c>
      <c r="O27" s="37">
        <f>(D27+E27+F27)*G27*I27</f>
        <v>0</v>
      </c>
      <c r="P27" s="64">
        <v>0</v>
      </c>
      <c r="Q27" s="66" t="s">
        <v>65</v>
      </c>
      <c r="R27" s="95"/>
      <c r="S27" s="95"/>
      <c r="T27" s="95"/>
    </row>
    <row r="28" spans="1:20" s="4" customFormat="1" ht="9" x14ac:dyDescent="0.15">
      <c r="A28" s="101" t="s">
        <v>200</v>
      </c>
      <c r="B28" s="31">
        <v>0.5</v>
      </c>
      <c r="C28" s="31"/>
      <c r="D28" s="37">
        <v>0</v>
      </c>
      <c r="E28" s="37">
        <v>0</v>
      </c>
      <c r="F28" s="37">
        <v>0</v>
      </c>
      <c r="G28" s="31">
        <v>0.5</v>
      </c>
      <c r="H28" s="31">
        <f>B28*G28</f>
        <v>0.25</v>
      </c>
      <c r="I28" s="64">
        <v>0</v>
      </c>
      <c r="J28" s="63">
        <f>H28*I28</f>
        <v>0</v>
      </c>
      <c r="K28" s="63">
        <f>J28*0.1</f>
        <v>0</v>
      </c>
      <c r="L28" s="63">
        <f>J28*0.05</f>
        <v>0</v>
      </c>
      <c r="M28" s="31">
        <f>C28*G28*I28</f>
        <v>0</v>
      </c>
      <c r="N28" s="37">
        <f>(J28*'Base Data'!$C$5)+(K28*'Base Data'!$C$6)+(L28*'Base Data'!$C$7)</f>
        <v>0</v>
      </c>
      <c r="O28" s="37">
        <f>(D28+E28+F28)*G28*I28</f>
        <v>0</v>
      </c>
      <c r="P28" s="64">
        <v>0</v>
      </c>
      <c r="Q28" s="66" t="s">
        <v>277</v>
      </c>
      <c r="R28" s="95"/>
      <c r="S28" s="95"/>
      <c r="T28" s="95"/>
    </row>
    <row r="29" spans="1:20" s="4" customFormat="1" ht="9" x14ac:dyDescent="0.15">
      <c r="A29" s="90" t="s">
        <v>305</v>
      </c>
      <c r="B29" s="31">
        <v>40</v>
      </c>
      <c r="C29" s="13"/>
      <c r="D29" s="26">
        <v>0</v>
      </c>
      <c r="E29" s="26">
        <v>0</v>
      </c>
      <c r="F29" s="26">
        <v>0</v>
      </c>
      <c r="G29" s="13">
        <v>1</v>
      </c>
      <c r="H29" s="13">
        <f>B29*G29</f>
        <v>40</v>
      </c>
      <c r="I29" s="63">
        <v>0</v>
      </c>
      <c r="J29" s="14">
        <f>H29*I29</f>
        <v>0</v>
      </c>
      <c r="K29" s="14">
        <f>J29*0.1</f>
        <v>0</v>
      </c>
      <c r="L29" s="14">
        <f>J29*0.05</f>
        <v>0</v>
      </c>
      <c r="M29" s="13"/>
      <c r="N29" s="26">
        <f>(J29*'Base Data'!$C$5)+(K29*'Base Data'!$C$6)+(L29*'Base Data'!$C$7)</f>
        <v>0</v>
      </c>
      <c r="O29" s="26">
        <f>(D29+E29+F29)*G29*I29</f>
        <v>0</v>
      </c>
      <c r="P29" s="64">
        <v>0</v>
      </c>
      <c r="Q29" s="19" t="s">
        <v>74</v>
      </c>
    </row>
    <row r="30" spans="1:20" s="4" customFormat="1" ht="9" x14ac:dyDescent="0.15">
      <c r="A30" s="91" t="s">
        <v>306</v>
      </c>
      <c r="B30" s="31" t="s">
        <v>311</v>
      </c>
      <c r="C30" s="31"/>
      <c r="D30" s="37"/>
      <c r="E30" s="37"/>
      <c r="F30" s="37"/>
      <c r="G30" s="31"/>
      <c r="H30" s="31"/>
      <c r="I30" s="64"/>
      <c r="J30" s="31"/>
      <c r="K30" s="31"/>
      <c r="L30" s="31"/>
      <c r="M30" s="31"/>
      <c r="N30" s="37"/>
      <c r="O30" s="37"/>
      <c r="P30" s="64"/>
      <c r="Q30" s="66"/>
      <c r="R30" s="95"/>
      <c r="S30" s="95"/>
      <c r="T30" s="95"/>
    </row>
    <row r="31" spans="1:20" s="4" customFormat="1" ht="9" x14ac:dyDescent="0.15">
      <c r="A31" s="145" t="s">
        <v>23</v>
      </c>
      <c r="B31" s="139"/>
      <c r="C31" s="139"/>
      <c r="D31" s="140"/>
      <c r="E31" s="140"/>
      <c r="F31" s="140"/>
      <c r="G31" s="139"/>
      <c r="H31" s="139"/>
      <c r="I31" s="141"/>
      <c r="J31" s="139">
        <f t="shared" ref="J31:O31" si="1">SUM(J22:J30)</f>
        <v>0</v>
      </c>
      <c r="K31" s="139">
        <f t="shared" si="1"/>
        <v>0</v>
      </c>
      <c r="L31" s="139">
        <f t="shared" si="1"/>
        <v>0</v>
      </c>
      <c r="M31" s="139">
        <f t="shared" si="1"/>
        <v>0</v>
      </c>
      <c r="N31" s="140">
        <f t="shared" si="1"/>
        <v>0</v>
      </c>
      <c r="O31" s="140">
        <f t="shared" si="1"/>
        <v>0</v>
      </c>
      <c r="P31" s="141">
        <f>SUM(P22:P30)</f>
        <v>0</v>
      </c>
      <c r="Q31" s="142"/>
      <c r="R31" s="97">
        <f>SUM(O22:O31)</f>
        <v>0</v>
      </c>
      <c r="S31" s="95"/>
      <c r="T31" s="95"/>
    </row>
    <row r="32" spans="1:20" s="4" customFormat="1" x14ac:dyDescent="0.2">
      <c r="A32" s="15" t="s">
        <v>283</v>
      </c>
      <c r="B32" s="16"/>
      <c r="C32" s="16"/>
      <c r="D32" s="16"/>
      <c r="E32" s="16"/>
      <c r="F32" s="16"/>
      <c r="G32" s="16"/>
      <c r="H32" s="16"/>
      <c r="I32" s="17"/>
      <c r="J32" s="18">
        <f t="shared" ref="J32:P32" si="2">SUM(J20,J31)</f>
        <v>210</v>
      </c>
      <c r="K32" s="18">
        <f t="shared" si="2"/>
        <v>21</v>
      </c>
      <c r="L32" s="18">
        <f t="shared" si="2"/>
        <v>10.5</v>
      </c>
      <c r="M32" s="18">
        <f t="shared" si="2"/>
        <v>0</v>
      </c>
      <c r="N32" s="27">
        <f t="shared" si="2"/>
        <v>26444.985000000001</v>
      </c>
      <c r="O32" s="27">
        <f t="shared" si="2"/>
        <v>0</v>
      </c>
      <c r="P32" s="18">
        <f t="shared" si="2"/>
        <v>5</v>
      </c>
      <c r="Q32" s="33"/>
    </row>
    <row r="33" spans="1:17" s="4" customFormat="1" x14ac:dyDescent="0.2">
      <c r="A33" s="1"/>
      <c r="B33" s="5"/>
      <c r="C33" s="5"/>
      <c r="D33" s="5"/>
      <c r="E33" s="5"/>
      <c r="F33" s="5"/>
      <c r="G33" s="5"/>
      <c r="H33" s="5"/>
      <c r="I33" s="7"/>
      <c r="J33" s="5"/>
      <c r="K33" s="5"/>
      <c r="L33" s="5"/>
      <c r="M33" s="5"/>
      <c r="N33" s="5"/>
      <c r="O33" s="6"/>
      <c r="P33" s="6"/>
      <c r="Q33" s="5"/>
    </row>
    <row r="34" spans="1:17" s="4" customFormat="1" ht="9" x14ac:dyDescent="0.15">
      <c r="A34" s="38" t="s">
        <v>360</v>
      </c>
      <c r="B34" s="10"/>
      <c r="C34" s="10"/>
      <c r="D34" s="10"/>
      <c r="E34" s="10"/>
      <c r="F34" s="10"/>
      <c r="G34" s="10"/>
      <c r="H34" s="10"/>
      <c r="I34" s="11"/>
      <c r="J34" s="10"/>
      <c r="K34" s="10"/>
      <c r="L34" s="10"/>
      <c r="M34" s="10"/>
      <c r="N34" s="10"/>
      <c r="O34" s="12"/>
      <c r="P34" s="12"/>
      <c r="Q34" s="10"/>
    </row>
    <row r="35" spans="1:17" s="9" customFormat="1" ht="30.75" customHeight="1" x14ac:dyDescent="0.15">
      <c r="A35" s="758" t="s">
        <v>462</v>
      </c>
      <c r="B35" s="758"/>
      <c r="C35" s="758"/>
      <c r="D35" s="758"/>
      <c r="E35" s="758"/>
      <c r="F35" s="758"/>
      <c r="G35" s="758"/>
      <c r="H35" s="758"/>
      <c r="I35" s="758"/>
      <c r="J35" s="758"/>
      <c r="K35" s="758"/>
      <c r="L35" s="758"/>
      <c r="M35" s="758"/>
      <c r="N35" s="758"/>
      <c r="O35" s="758"/>
      <c r="P35" s="44"/>
      <c r="Q35" s="10"/>
    </row>
    <row r="36" spans="1:17" s="9" customFormat="1" ht="18" customHeight="1" x14ac:dyDescent="0.15">
      <c r="A36" s="758" t="s">
        <v>270</v>
      </c>
      <c r="B36" s="758"/>
      <c r="C36" s="758"/>
      <c r="D36" s="758"/>
      <c r="E36" s="758"/>
      <c r="F36" s="758"/>
      <c r="G36" s="758"/>
      <c r="H36" s="758"/>
      <c r="I36" s="758"/>
      <c r="J36" s="758"/>
      <c r="K36" s="758"/>
      <c r="L36" s="758"/>
      <c r="M36" s="758"/>
      <c r="N36" s="758"/>
      <c r="O36" s="758"/>
      <c r="P36" s="44"/>
      <c r="Q36" s="10"/>
    </row>
    <row r="37" spans="1:17" s="9" customFormat="1" ht="21.75" customHeight="1" x14ac:dyDescent="0.15">
      <c r="A37" s="682" t="s">
        <v>463</v>
      </c>
      <c r="B37" s="682"/>
      <c r="C37" s="682"/>
      <c r="D37" s="682"/>
      <c r="E37" s="682"/>
      <c r="F37" s="682"/>
      <c r="G37" s="682"/>
      <c r="H37" s="682"/>
      <c r="I37" s="682"/>
      <c r="J37" s="682"/>
      <c r="K37" s="682"/>
      <c r="L37" s="682"/>
      <c r="M37" s="682"/>
      <c r="N37" s="682"/>
      <c r="O37" s="682"/>
      <c r="P37" s="682"/>
      <c r="Q37" s="682"/>
    </row>
    <row r="38" spans="1:17" s="9" customFormat="1" ht="10.5" customHeight="1" x14ac:dyDescent="0.15">
      <c r="A38" s="38" t="s">
        <v>317</v>
      </c>
      <c r="B38" s="41"/>
      <c r="C38" s="41"/>
      <c r="D38" s="41"/>
      <c r="E38" s="41"/>
      <c r="F38" s="41"/>
      <c r="G38" s="41"/>
      <c r="H38" s="41"/>
      <c r="I38" s="42"/>
      <c r="J38" s="41"/>
      <c r="K38" s="41"/>
      <c r="L38" s="41"/>
      <c r="M38" s="41"/>
      <c r="N38" s="41"/>
      <c r="O38" s="121"/>
      <c r="P38" s="121"/>
      <c r="Q38" s="41"/>
    </row>
    <row r="39" spans="1:17" x14ac:dyDescent="0.2">
      <c r="A39" s="38" t="s">
        <v>412</v>
      </c>
      <c r="B39" s="39"/>
      <c r="C39" s="39"/>
      <c r="D39" s="39"/>
      <c r="E39" s="39"/>
      <c r="F39" s="39"/>
      <c r="G39" s="39"/>
      <c r="H39" s="39"/>
      <c r="I39" s="120"/>
      <c r="J39" s="120"/>
      <c r="K39" s="120"/>
      <c r="L39" s="120"/>
      <c r="M39" s="120"/>
      <c r="N39" s="39"/>
      <c r="O39" s="77"/>
      <c r="P39" s="77"/>
      <c r="Q39" s="77"/>
    </row>
    <row r="40" spans="1:17" x14ac:dyDescent="0.2">
      <c r="A40" s="38" t="s">
        <v>411</v>
      </c>
      <c r="B40" s="39"/>
      <c r="C40" s="39"/>
      <c r="D40" s="39"/>
      <c r="E40" s="39"/>
      <c r="F40" s="39"/>
      <c r="G40" s="39"/>
      <c r="H40" s="39"/>
      <c r="I40" s="120"/>
      <c r="J40" s="120"/>
      <c r="K40" s="120"/>
      <c r="L40" s="120"/>
      <c r="M40" s="120"/>
      <c r="N40" s="39"/>
      <c r="O40" s="77"/>
      <c r="P40" s="77"/>
      <c r="Q40" s="77"/>
    </row>
    <row r="41" spans="1:17" x14ac:dyDescent="0.2">
      <c r="A41" s="9" t="s">
        <v>410</v>
      </c>
      <c r="B41" s="39"/>
      <c r="C41" s="39"/>
      <c r="D41" s="39"/>
      <c r="E41" s="39"/>
      <c r="F41" s="39"/>
      <c r="G41" s="39"/>
      <c r="H41" s="39"/>
      <c r="I41" s="120"/>
      <c r="J41" s="120"/>
      <c r="K41" s="120"/>
      <c r="L41" s="120"/>
      <c r="M41" s="120"/>
      <c r="N41" s="39"/>
      <c r="O41" s="77"/>
      <c r="P41" s="77"/>
      <c r="Q41" s="77"/>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zoomScaleNormal="100" workbookViewId="0">
      <pane xSplit="1" ySplit="3" topLeftCell="D4" activePane="bottomRight" state="frozen"/>
      <selection activeCell="O55" sqref="O55"/>
      <selection pane="topRight" activeCell="O55" sqref="O55"/>
      <selection pane="bottomLeft" activeCell="O55" sqref="O55"/>
      <selection pane="bottomRight" activeCell="U14" sqref="U14"/>
    </sheetView>
  </sheetViews>
  <sheetFormatPr defaultColWidth="9.140625" defaultRowHeight="11.25" x14ac:dyDescent="0.2"/>
  <cols>
    <col min="1" max="1" width="30.5703125" style="77" customWidth="1"/>
    <col min="2" max="2" width="9.140625" style="39"/>
    <col min="3" max="3" width="8" style="39" hidden="1" customWidth="1"/>
    <col min="4" max="5" width="9.5703125" style="39" customWidth="1"/>
    <col min="6" max="6" width="9" style="39" customWidth="1"/>
    <col min="7" max="7" width="10.42578125" style="39" customWidth="1"/>
    <col min="8" max="8" width="9" style="39" customWidth="1"/>
    <col min="9" max="9" width="10.42578125" style="120" customWidth="1"/>
    <col min="10" max="10" width="7.5703125" style="120" customWidth="1"/>
    <col min="11" max="11" width="6.140625" style="120" customWidth="1"/>
    <col min="12" max="12" width="8.5703125" style="120" customWidth="1"/>
    <col min="13" max="13" width="9" style="120" hidden="1" customWidth="1"/>
    <col min="14" max="14" width="10" style="39" customWidth="1"/>
    <col min="15" max="15" width="6.5703125" style="77" customWidth="1"/>
    <col min="16" max="16" width="7.5703125" style="1" customWidth="1"/>
    <col min="17" max="17" width="4.42578125" style="77" customWidth="1"/>
    <col min="18" max="19" width="9.140625" style="77" hidden="1" customWidth="1"/>
    <col min="20" max="20" width="9.140625" style="77"/>
    <col min="21" max="21" width="6.85546875" style="77" customWidth="1"/>
    <col min="22" max="16384" width="9.140625" style="77"/>
  </cols>
  <sheetData>
    <row r="1" spans="1:22" x14ac:dyDescent="0.2">
      <c r="A1" s="684" t="s">
        <v>711</v>
      </c>
      <c r="B1" s="684"/>
      <c r="C1" s="684"/>
      <c r="D1" s="684"/>
      <c r="E1" s="684"/>
      <c r="F1" s="684"/>
      <c r="G1" s="684"/>
      <c r="H1" s="684"/>
      <c r="I1" s="684"/>
      <c r="J1" s="684"/>
      <c r="K1" s="684"/>
      <c r="L1" s="684"/>
      <c r="M1" s="684"/>
      <c r="N1" s="684"/>
      <c r="O1" s="684"/>
      <c r="P1" s="684"/>
      <c r="Q1" s="684"/>
    </row>
    <row r="2" spans="1:22" x14ac:dyDescent="0.2">
      <c r="A2" s="685" t="s">
        <v>594</v>
      </c>
      <c r="B2" s="685"/>
      <c r="C2" s="685"/>
      <c r="D2" s="685"/>
      <c r="E2" s="685"/>
      <c r="F2" s="685"/>
      <c r="G2" s="685"/>
      <c r="H2" s="685"/>
      <c r="I2" s="685"/>
      <c r="J2" s="685"/>
      <c r="K2" s="685"/>
      <c r="L2" s="685"/>
      <c r="M2" s="685"/>
      <c r="N2" s="685"/>
      <c r="O2" s="685"/>
      <c r="P2" s="685"/>
      <c r="Q2" s="685"/>
    </row>
    <row r="3" spans="1:22" s="117" customFormat="1" ht="72" x14ac:dyDescent="0.15">
      <c r="A3" s="32" t="s">
        <v>280</v>
      </c>
      <c r="B3" s="32" t="s">
        <v>281</v>
      </c>
      <c r="C3" s="32" t="s">
        <v>308</v>
      </c>
      <c r="D3" s="32" t="s">
        <v>1</v>
      </c>
      <c r="E3" s="32" t="s">
        <v>87</v>
      </c>
      <c r="F3" s="32" t="s">
        <v>2</v>
      </c>
      <c r="G3" s="8" t="s">
        <v>148</v>
      </c>
      <c r="H3" s="32" t="s">
        <v>335</v>
      </c>
      <c r="I3" s="43" t="s">
        <v>336</v>
      </c>
      <c r="J3" s="70" t="s">
        <v>623</v>
      </c>
      <c r="K3" s="70" t="s">
        <v>624</v>
      </c>
      <c r="L3" s="70" t="s">
        <v>625</v>
      </c>
      <c r="M3" s="32" t="s">
        <v>279</v>
      </c>
      <c r="N3" s="32" t="s">
        <v>5</v>
      </c>
      <c r="O3" s="70" t="s">
        <v>89</v>
      </c>
      <c r="P3" s="70" t="s">
        <v>147</v>
      </c>
      <c r="Q3" s="106" t="s">
        <v>282</v>
      </c>
      <c r="R3" s="117" t="s">
        <v>225</v>
      </c>
      <c r="S3" s="117" t="s">
        <v>226</v>
      </c>
      <c r="U3" s="349"/>
    </row>
    <row r="4" spans="1:22" s="95" customFormat="1" ht="9" x14ac:dyDescent="0.15">
      <c r="A4" s="118" t="s">
        <v>284</v>
      </c>
      <c r="B4" s="103" t="s">
        <v>311</v>
      </c>
      <c r="C4" s="103"/>
      <c r="D4" s="105"/>
      <c r="E4" s="105"/>
      <c r="F4" s="105"/>
      <c r="G4" s="103"/>
      <c r="H4" s="103"/>
      <c r="I4" s="107"/>
      <c r="J4" s="103"/>
      <c r="K4" s="103"/>
      <c r="L4" s="103"/>
      <c r="M4" s="103"/>
      <c r="N4" s="105"/>
      <c r="O4" s="105"/>
      <c r="P4" s="105"/>
      <c r="Q4" s="143"/>
      <c r="U4" s="250"/>
    </row>
    <row r="5" spans="1:22" s="95" customFormat="1" ht="9" x14ac:dyDescent="0.15">
      <c r="A5" s="91" t="s">
        <v>285</v>
      </c>
      <c r="B5" s="31" t="s">
        <v>311</v>
      </c>
      <c r="C5" s="31"/>
      <c r="D5" s="37"/>
      <c r="E5" s="37"/>
      <c r="F5" s="37"/>
      <c r="G5" s="31"/>
      <c r="H5" s="31"/>
      <c r="I5" s="64"/>
      <c r="J5" s="31"/>
      <c r="K5" s="31"/>
      <c r="L5" s="31"/>
      <c r="M5" s="31"/>
      <c r="N5" s="37"/>
      <c r="O5" s="37"/>
      <c r="P5" s="37"/>
      <c r="Q5" s="66"/>
      <c r="U5" s="250"/>
    </row>
    <row r="6" spans="1:22" s="95" customFormat="1" ht="9" x14ac:dyDescent="0.15">
      <c r="A6" s="91" t="s">
        <v>286</v>
      </c>
      <c r="B6" s="31"/>
      <c r="C6" s="31"/>
      <c r="D6" s="37"/>
      <c r="E6" s="37"/>
      <c r="F6" s="37"/>
      <c r="G6" s="31"/>
      <c r="H6" s="31"/>
      <c r="I6" s="64"/>
      <c r="J6" s="31"/>
      <c r="K6" s="31"/>
      <c r="L6" s="31"/>
      <c r="M6" s="31"/>
      <c r="N6" s="37"/>
      <c r="O6" s="37"/>
      <c r="P6" s="37"/>
      <c r="Q6" s="66"/>
      <c r="U6" s="250"/>
    </row>
    <row r="7" spans="1:22" s="95" customFormat="1" ht="9" x14ac:dyDescent="0.15">
      <c r="A7" s="91" t="s">
        <v>626</v>
      </c>
      <c r="B7" s="31">
        <v>5</v>
      </c>
      <c r="C7" s="31"/>
      <c r="D7" s="37">
        <v>0</v>
      </c>
      <c r="E7" s="37">
        <v>0</v>
      </c>
      <c r="F7" s="37">
        <v>0</v>
      </c>
      <c r="G7" s="31">
        <v>1</v>
      </c>
      <c r="H7" s="31">
        <f>B7*G7</f>
        <v>5</v>
      </c>
      <c r="I7" s="63">
        <v>5</v>
      </c>
      <c r="J7" s="63">
        <f>H7*I7</f>
        <v>25</v>
      </c>
      <c r="K7" s="63">
        <f>J7*0.1</f>
        <v>2.5</v>
      </c>
      <c r="L7" s="63">
        <f>J7*0.05</f>
        <v>1.25</v>
      </c>
      <c r="M7" s="31">
        <f>C7*G7*I7</f>
        <v>0</v>
      </c>
      <c r="N7" s="37">
        <f>(J7*'Base Data'!$C$5)+(K7*'Base Data'!$C$6)+(L7*'Base Data'!$C$7)</f>
        <v>3148.2125000000001</v>
      </c>
      <c r="O7" s="37">
        <f>(D7+E7+F7)*G7*I7</f>
        <v>0</v>
      </c>
      <c r="P7" s="64">
        <v>0</v>
      </c>
      <c r="Q7" s="66" t="s">
        <v>276</v>
      </c>
      <c r="U7" s="250"/>
      <c r="V7" s="95" t="s">
        <v>782</v>
      </c>
    </row>
    <row r="8" spans="1:22" s="95" customFormat="1" ht="9" x14ac:dyDescent="0.15">
      <c r="A8" s="91" t="s">
        <v>288</v>
      </c>
      <c r="B8" s="31"/>
      <c r="C8" s="31"/>
      <c r="D8" s="37"/>
      <c r="E8" s="37"/>
      <c r="F8" s="37"/>
      <c r="G8" s="31"/>
      <c r="H8" s="31"/>
      <c r="I8" s="64"/>
      <c r="J8" s="31"/>
      <c r="K8" s="31"/>
      <c r="L8" s="31"/>
      <c r="M8" s="31"/>
      <c r="N8" s="37"/>
      <c r="O8" s="37"/>
      <c r="P8" s="64"/>
      <c r="Q8" s="66"/>
      <c r="U8" s="250"/>
    </row>
    <row r="9" spans="1:22" s="95" customFormat="1" ht="9" x14ac:dyDescent="0.15">
      <c r="A9" s="91" t="s">
        <v>302</v>
      </c>
      <c r="B9" s="31"/>
      <c r="C9" s="31"/>
      <c r="D9" s="365"/>
      <c r="E9" s="37"/>
      <c r="F9" s="37"/>
      <c r="G9" s="31"/>
      <c r="H9" s="31"/>
      <c r="I9" s="63"/>
      <c r="J9" s="64"/>
      <c r="K9" s="64"/>
      <c r="L9" s="64"/>
      <c r="M9" s="65"/>
      <c r="N9" s="37"/>
      <c r="O9" s="37"/>
      <c r="P9" s="64"/>
      <c r="Q9" s="66"/>
      <c r="R9" s="66"/>
      <c r="U9" s="250"/>
    </row>
    <row r="10" spans="1:22" s="95" customFormat="1" ht="9" x14ac:dyDescent="0.15">
      <c r="A10" s="90" t="s">
        <v>211</v>
      </c>
      <c r="B10" s="31">
        <v>20</v>
      </c>
      <c r="C10" s="31"/>
      <c r="D10" s="37">
        <v>854</v>
      </c>
      <c r="E10" s="37">
        <v>0</v>
      </c>
      <c r="F10" s="37">
        <v>0</v>
      </c>
      <c r="G10" s="31">
        <v>1</v>
      </c>
      <c r="H10" s="31">
        <f>B10*G10</f>
        <v>20</v>
      </c>
      <c r="I10" s="63">
        <f>ROUND('Testing Costs'!$C$22*(SUM('Base Data'!$H$16:$H$17,'Base Data'!$H$21:$H$22)/2),0)</f>
        <v>0</v>
      </c>
      <c r="J10" s="64">
        <f>H10*I10</f>
        <v>0</v>
      </c>
      <c r="K10" s="64">
        <f>J10*0.1</f>
        <v>0</v>
      </c>
      <c r="L10" s="64">
        <f>J10*0.05</f>
        <v>0</v>
      </c>
      <c r="M10" s="65">
        <f>C10*G10*I10</f>
        <v>0</v>
      </c>
      <c r="N10" s="37">
        <f>(J10*'Base Data'!$C$5)+(K10*'Base Data'!$C$6)+(L10*'Base Data'!$C$7)</f>
        <v>0</v>
      </c>
      <c r="O10" s="37">
        <f>(D10+E10+F10)*G10*I10</f>
        <v>0</v>
      </c>
      <c r="P10" s="64">
        <v>0</v>
      </c>
      <c r="Q10" s="66" t="s">
        <v>391</v>
      </c>
      <c r="R10" s="66"/>
      <c r="U10" s="250"/>
    </row>
    <row r="11" spans="1:22" s="95"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391</v>
      </c>
      <c r="R11" s="66"/>
      <c r="U11" s="250"/>
    </row>
    <row r="12" spans="1:22" s="95" customFormat="1" ht="9" x14ac:dyDescent="0.15">
      <c r="A12" s="91" t="s">
        <v>199</v>
      </c>
      <c r="B12" s="31">
        <v>12</v>
      </c>
      <c r="C12" s="31"/>
      <c r="D12" s="37">
        <v>0</v>
      </c>
      <c r="E12" s="37">
        <v>2228</v>
      </c>
      <c r="F12" s="37">
        <v>0</v>
      </c>
      <c r="G12" s="31">
        <v>0.5</v>
      </c>
      <c r="H12" s="31">
        <f>B12*G12</f>
        <v>6</v>
      </c>
      <c r="I12" s="63">
        <f>SUM('Base Data'!$D$16:$D$17,'Base Data'!$D$21:$D$22,'Base Data'!$D$62,'Base Data'!$D$66)</f>
        <v>44</v>
      </c>
      <c r="J12" s="63">
        <f>H12*I12</f>
        <v>264</v>
      </c>
      <c r="K12" s="454">
        <f>J12*0.1</f>
        <v>26.400000000000002</v>
      </c>
      <c r="L12" s="454">
        <f>J12*0.05</f>
        <v>13.200000000000001</v>
      </c>
      <c r="M12" s="64"/>
      <c r="N12" s="37">
        <f>(J12*'Base Data'!$C$5)+(K12*'Base Data'!$C$6)+(L12*'Base Data'!$C$7)</f>
        <v>33245.124000000003</v>
      </c>
      <c r="O12" s="37">
        <f>(D12+E12+F12)*I12</f>
        <v>98032</v>
      </c>
      <c r="P12" s="64">
        <v>0</v>
      </c>
      <c r="Q12" s="66" t="s">
        <v>265</v>
      </c>
      <c r="U12" s="250"/>
    </row>
    <row r="13" spans="1:22" s="95" customFormat="1" ht="9" x14ac:dyDescent="0.15">
      <c r="A13" s="91" t="s">
        <v>294</v>
      </c>
      <c r="B13" s="31" t="s">
        <v>311</v>
      </c>
      <c r="C13" s="31"/>
      <c r="D13" s="37"/>
      <c r="E13" s="37"/>
      <c r="F13" s="37"/>
      <c r="G13" s="31"/>
      <c r="H13" s="31"/>
      <c r="I13" s="64"/>
      <c r="J13" s="31"/>
      <c r="K13" s="31"/>
      <c r="L13" s="31"/>
      <c r="M13" s="31"/>
      <c r="N13" s="37"/>
      <c r="O13" s="37"/>
      <c r="P13" s="64"/>
      <c r="Q13" s="66"/>
      <c r="U13" s="250"/>
    </row>
    <row r="14" spans="1:22" s="95" customFormat="1" ht="9" x14ac:dyDescent="0.15">
      <c r="A14" s="91" t="s">
        <v>295</v>
      </c>
      <c r="B14" s="31" t="s">
        <v>311</v>
      </c>
      <c r="C14" s="31"/>
      <c r="D14" s="37"/>
      <c r="E14" s="37"/>
      <c r="F14" s="37"/>
      <c r="G14" s="31"/>
      <c r="H14" s="31"/>
      <c r="I14" s="64"/>
      <c r="J14" s="31"/>
      <c r="K14" s="31"/>
      <c r="L14" s="31"/>
      <c r="M14" s="31"/>
      <c r="N14" s="37"/>
      <c r="O14" s="37"/>
      <c r="P14" s="64"/>
      <c r="Q14" s="66"/>
      <c r="U14" s="250"/>
    </row>
    <row r="15" spans="1:22" s="95" customFormat="1" ht="9" x14ac:dyDescent="0.15">
      <c r="A15" s="91" t="s">
        <v>296</v>
      </c>
      <c r="B15" s="31"/>
      <c r="C15" s="31"/>
      <c r="D15" s="37"/>
      <c r="E15" s="37"/>
      <c r="F15" s="37"/>
      <c r="G15" s="31"/>
      <c r="H15" s="31"/>
      <c r="I15" s="64"/>
      <c r="J15" s="31"/>
      <c r="K15" s="31"/>
      <c r="L15" s="31"/>
      <c r="M15" s="31"/>
      <c r="N15" s="37"/>
      <c r="O15" s="37"/>
      <c r="P15" s="64"/>
      <c r="Q15" s="66"/>
      <c r="U15" s="250"/>
    </row>
    <row r="16" spans="1:22" s="95" customFormat="1" ht="9" x14ac:dyDescent="0.15">
      <c r="A16" s="101" t="s">
        <v>312</v>
      </c>
      <c r="B16" s="31">
        <v>2</v>
      </c>
      <c r="C16" s="31"/>
      <c r="D16" s="37">
        <v>0</v>
      </c>
      <c r="E16" s="37">
        <v>0</v>
      </c>
      <c r="F16" s="37">
        <v>0</v>
      </c>
      <c r="G16" s="31">
        <v>1</v>
      </c>
      <c r="H16" s="31">
        <f>B16*G16</f>
        <v>2</v>
      </c>
      <c r="I16" s="63">
        <v>0</v>
      </c>
      <c r="J16" s="63">
        <f>H16*I16</f>
        <v>0</v>
      </c>
      <c r="K16" s="63">
        <f>J16*0.1</f>
        <v>0</v>
      </c>
      <c r="L16" s="63">
        <f>J16*0.05</f>
        <v>0</v>
      </c>
      <c r="M16" s="31">
        <f>C16*G16*I16</f>
        <v>0</v>
      </c>
      <c r="N16" s="37">
        <f>(J16*'Base Data'!$C$5)+(K16*'Base Data'!$C$6)+(L16*'Base Data'!$C$7)</f>
        <v>0</v>
      </c>
      <c r="O16" s="37">
        <f>(D16+E16+F16)*G16*I16</f>
        <v>0</v>
      </c>
      <c r="P16" s="64">
        <f>G16*I16</f>
        <v>0</v>
      </c>
      <c r="Q16" s="66" t="s">
        <v>276</v>
      </c>
      <c r="U16" s="250"/>
    </row>
    <row r="17" spans="1:21" s="95" customFormat="1" ht="9" x14ac:dyDescent="0.15">
      <c r="A17" s="101" t="s">
        <v>273</v>
      </c>
      <c r="B17" s="31">
        <v>8</v>
      </c>
      <c r="C17" s="31"/>
      <c r="D17" s="37">
        <v>0</v>
      </c>
      <c r="E17" s="37">
        <v>0</v>
      </c>
      <c r="F17" s="37">
        <v>0</v>
      </c>
      <c r="G17" s="31">
        <v>1</v>
      </c>
      <c r="H17" s="31">
        <f>B17*G17</f>
        <v>8</v>
      </c>
      <c r="I17" s="63">
        <v>0</v>
      </c>
      <c r="J17" s="63">
        <f>H17*I17</f>
        <v>0</v>
      </c>
      <c r="K17" s="63">
        <f>J17*0.1</f>
        <v>0</v>
      </c>
      <c r="L17" s="63">
        <f>J17*0.05</f>
        <v>0</v>
      </c>
      <c r="M17" s="31">
        <f>C17*G17*I17</f>
        <v>0</v>
      </c>
      <c r="N17" s="37">
        <f>(J17*'Base Data'!$C$5)+(K17*'Base Data'!$C$6)+(L17*'Base Data'!$C$7)</f>
        <v>0</v>
      </c>
      <c r="O17" s="37">
        <f>(D17+E17+F17)*G17*I17</f>
        <v>0</v>
      </c>
      <c r="P17" s="64">
        <f>G17*I17</f>
        <v>0</v>
      </c>
      <c r="Q17" s="66" t="s">
        <v>277</v>
      </c>
      <c r="U17" s="250"/>
    </row>
    <row r="18" spans="1:21" s="95" customFormat="1" ht="9" x14ac:dyDescent="0.15">
      <c r="A18" s="92" t="s">
        <v>198</v>
      </c>
      <c r="B18" s="31">
        <v>5</v>
      </c>
      <c r="C18" s="31"/>
      <c r="D18" s="37">
        <v>0</v>
      </c>
      <c r="E18" s="37">
        <v>0</v>
      </c>
      <c r="F18" s="37">
        <v>0</v>
      </c>
      <c r="G18" s="31">
        <v>0.5</v>
      </c>
      <c r="H18" s="31">
        <f>B18*G18</f>
        <v>2.5</v>
      </c>
      <c r="I18" s="63">
        <v>5</v>
      </c>
      <c r="J18" s="63">
        <f>H18*I18</f>
        <v>12.5</v>
      </c>
      <c r="K18" s="455">
        <f>J18*0.1</f>
        <v>1.25</v>
      </c>
      <c r="L18" s="455">
        <f>J18*0.05</f>
        <v>0.625</v>
      </c>
      <c r="M18" s="31">
        <f>C18*G18*I18</f>
        <v>0</v>
      </c>
      <c r="N18" s="37">
        <f>(J18*'Base Data'!$C$5)+(K18*'Base Data'!$C$6)+(L18*'Base Data'!$C$7)</f>
        <v>1574.10625</v>
      </c>
      <c r="O18" s="37">
        <f>(D18+E18+F18)*G18*I18</f>
        <v>0</v>
      </c>
      <c r="P18" s="64">
        <f>G18*I18</f>
        <v>2.5</v>
      </c>
      <c r="Q18" s="66" t="s">
        <v>210</v>
      </c>
      <c r="U18" s="250"/>
    </row>
    <row r="19" spans="1:21" s="4" customFormat="1" ht="9" x14ac:dyDescent="0.15">
      <c r="A19" s="101" t="s">
        <v>365</v>
      </c>
      <c r="B19" s="31">
        <v>5</v>
      </c>
      <c r="C19" s="31"/>
      <c r="D19" s="37">
        <v>0</v>
      </c>
      <c r="E19" s="37">
        <v>0</v>
      </c>
      <c r="F19" s="37">
        <v>0</v>
      </c>
      <c r="G19" s="31">
        <v>1</v>
      </c>
      <c r="H19" s="31">
        <f>B19*G19</f>
        <v>5</v>
      </c>
      <c r="I19" s="63">
        <v>0</v>
      </c>
      <c r="J19" s="64">
        <f>H19*I19</f>
        <v>0</v>
      </c>
      <c r="K19" s="458">
        <f>J19*0.1</f>
        <v>0</v>
      </c>
      <c r="L19" s="458">
        <f>J19*0.05</f>
        <v>0</v>
      </c>
      <c r="M19" s="31">
        <f>C19*G19*I19</f>
        <v>0</v>
      </c>
      <c r="N19" s="37">
        <f>(J19*'Base Data'!$C$5)+(K19*'Base Data'!$C$6)+(L19*'Base Data'!$C$7)</f>
        <v>0</v>
      </c>
      <c r="O19" s="37">
        <f>(D19+E19+F19)*G19*I19</f>
        <v>0</v>
      </c>
      <c r="P19" s="64">
        <f>G19*I19</f>
        <v>0</v>
      </c>
      <c r="Q19" s="19" t="s">
        <v>277</v>
      </c>
      <c r="U19" s="185"/>
    </row>
    <row r="20" spans="1:21" s="4" customFormat="1" ht="15.75" customHeight="1" x14ac:dyDescent="0.15">
      <c r="A20" s="101"/>
      <c r="B20" s="31"/>
      <c r="C20" s="31"/>
      <c r="D20" s="37"/>
      <c r="E20" s="37"/>
      <c r="F20" s="37"/>
      <c r="G20" s="31"/>
      <c r="H20" s="31"/>
      <c r="I20" s="63"/>
      <c r="J20" s="367">
        <f>SUM(J7:J19)</f>
        <v>301.5</v>
      </c>
      <c r="K20" s="367">
        <f>SUM(K7:K19)</f>
        <v>30.150000000000002</v>
      </c>
      <c r="L20" s="367">
        <f>SUM(L7:L19)</f>
        <v>15.075000000000001</v>
      </c>
      <c r="M20" s="31"/>
      <c r="N20" s="37"/>
      <c r="O20" s="37"/>
      <c r="P20" s="64"/>
      <c r="Q20" s="19"/>
      <c r="U20" s="185"/>
    </row>
    <row r="21" spans="1:21" s="371" customFormat="1" ht="9" x14ac:dyDescent="0.15">
      <c r="A21" s="376" t="s">
        <v>4</v>
      </c>
      <c r="B21" s="364"/>
      <c r="C21" s="364"/>
      <c r="D21" s="365"/>
      <c r="E21" s="365"/>
      <c r="F21" s="365"/>
      <c r="G21" s="364"/>
      <c r="H21" s="364"/>
      <c r="I21" s="367"/>
      <c r="J21" s="727">
        <f>J20+K20+L20</f>
        <v>346.72499999999997</v>
      </c>
      <c r="K21" s="750"/>
      <c r="L21" s="751"/>
      <c r="M21" s="367">
        <f>SUM(M7:M19)</f>
        <v>0</v>
      </c>
      <c r="N21" s="365">
        <f>SUM(N7:N19)</f>
        <v>37967.442750000002</v>
      </c>
      <c r="O21" s="365">
        <f>SUM(O7:O19)</f>
        <v>98032</v>
      </c>
      <c r="P21" s="367">
        <f>ROUNDUP(SUM(P7:P19),0)</f>
        <v>3</v>
      </c>
      <c r="Q21" s="368"/>
      <c r="R21" s="370">
        <f>SUM(O7:O12)</f>
        <v>98032</v>
      </c>
      <c r="U21" s="378"/>
    </row>
    <row r="22" spans="1:21" s="95" customFormat="1" ht="9" x14ac:dyDescent="0.15">
      <c r="A22" s="91" t="s">
        <v>309</v>
      </c>
      <c r="B22" s="31"/>
      <c r="C22" s="31"/>
      <c r="D22" s="37"/>
      <c r="E22" s="37"/>
      <c r="F22" s="37"/>
      <c r="G22" s="31"/>
      <c r="H22" s="31"/>
      <c r="I22" s="64"/>
      <c r="J22" s="31"/>
      <c r="K22" s="31"/>
      <c r="L22" s="31"/>
      <c r="M22" s="31"/>
      <c r="N22" s="37"/>
      <c r="O22" s="37"/>
      <c r="P22" s="64"/>
      <c r="Q22" s="66"/>
      <c r="S22" s="95">
        <f>0</f>
        <v>0</v>
      </c>
      <c r="U22" s="250"/>
    </row>
    <row r="23" spans="1:21" s="95" customFormat="1" ht="9" x14ac:dyDescent="0.15">
      <c r="A23" s="91" t="s">
        <v>626</v>
      </c>
      <c r="B23" s="31" t="s">
        <v>301</v>
      </c>
      <c r="C23" s="31"/>
      <c r="D23" s="37"/>
      <c r="E23" s="37"/>
      <c r="F23" s="37"/>
      <c r="G23" s="31"/>
      <c r="H23" s="31"/>
      <c r="I23" s="64"/>
      <c r="J23" s="31"/>
      <c r="K23" s="31"/>
      <c r="L23" s="31"/>
      <c r="M23" s="31"/>
      <c r="N23" s="37"/>
      <c r="O23" s="37"/>
      <c r="P23" s="64"/>
      <c r="Q23" s="66"/>
      <c r="U23" s="250"/>
    </row>
    <row r="24" spans="1:21" s="95" customFormat="1" ht="9" x14ac:dyDescent="0.15">
      <c r="A24" s="91" t="s">
        <v>298</v>
      </c>
      <c r="B24" s="31" t="s">
        <v>311</v>
      </c>
      <c r="C24" s="31"/>
      <c r="D24" s="37"/>
      <c r="E24" s="37"/>
      <c r="F24" s="37"/>
      <c r="G24" s="31"/>
      <c r="H24" s="31"/>
      <c r="I24" s="64"/>
      <c r="J24" s="31"/>
      <c r="K24" s="31"/>
      <c r="L24" s="31"/>
      <c r="M24" s="31"/>
      <c r="N24" s="37"/>
      <c r="O24" s="37"/>
      <c r="P24" s="64"/>
      <c r="Q24" s="66"/>
      <c r="U24" s="250"/>
    </row>
    <row r="25" spans="1:21" s="95" customFormat="1" ht="9" x14ac:dyDescent="0.15">
      <c r="A25" s="91" t="s">
        <v>299</v>
      </c>
      <c r="B25" s="31" t="s">
        <v>311</v>
      </c>
      <c r="C25" s="31"/>
      <c r="D25" s="37"/>
      <c r="E25" s="37"/>
      <c r="F25" s="37"/>
      <c r="G25" s="31"/>
      <c r="H25" s="31"/>
      <c r="I25" s="64"/>
      <c r="J25" s="31"/>
      <c r="K25" s="31"/>
      <c r="L25" s="31"/>
      <c r="M25" s="31"/>
      <c r="N25" s="37"/>
      <c r="O25" s="37"/>
      <c r="P25" s="64"/>
      <c r="Q25" s="66" t="s">
        <v>278</v>
      </c>
      <c r="U25" s="250"/>
    </row>
    <row r="26" spans="1:21" s="95" customFormat="1" ht="9" x14ac:dyDescent="0.15">
      <c r="A26" s="91" t="s">
        <v>300</v>
      </c>
      <c r="B26" s="31"/>
      <c r="C26" s="31"/>
      <c r="D26" s="37"/>
      <c r="E26" s="37"/>
      <c r="F26" s="37"/>
      <c r="G26" s="31"/>
      <c r="H26" s="31"/>
      <c r="I26" s="64"/>
      <c r="J26" s="31"/>
      <c r="K26" s="31"/>
      <c r="L26" s="31"/>
      <c r="M26" s="31"/>
      <c r="N26" s="37"/>
      <c r="O26" s="37"/>
      <c r="P26" s="64"/>
      <c r="Q26" s="66"/>
      <c r="U26" s="250"/>
    </row>
    <row r="27" spans="1:21" s="95" customFormat="1" ht="19.5" customHeight="1" x14ac:dyDescent="0.15">
      <c r="A27" s="101" t="s">
        <v>271</v>
      </c>
      <c r="B27" s="31">
        <v>2</v>
      </c>
      <c r="C27" s="31">
        <v>0</v>
      </c>
      <c r="D27" s="37">
        <v>0</v>
      </c>
      <c r="E27" s="37">
        <v>0</v>
      </c>
      <c r="F27" s="37">
        <v>0</v>
      </c>
      <c r="G27" s="31">
        <v>0.5</v>
      </c>
      <c r="H27" s="31">
        <f>B27*G27</f>
        <v>1</v>
      </c>
      <c r="I27" s="63">
        <f>I18</f>
        <v>5</v>
      </c>
      <c r="J27" s="63">
        <f>H27*I27</f>
        <v>5</v>
      </c>
      <c r="K27" s="455">
        <f>J27*0.1</f>
        <v>0.5</v>
      </c>
      <c r="L27" s="455">
        <f>J27*0.05</f>
        <v>0.25</v>
      </c>
      <c r="M27" s="31">
        <f>C27*G27*I27</f>
        <v>0</v>
      </c>
      <c r="N27" s="37">
        <f>(J27*'Base Data'!$C$5)+(K27*'Base Data'!$C$6)+(L27*'Base Data'!$C$7)</f>
        <v>629.64249999999993</v>
      </c>
      <c r="O27" s="37">
        <f>(D27+E27+F27)*G27*I27</f>
        <v>0</v>
      </c>
      <c r="P27" s="64">
        <v>0</v>
      </c>
      <c r="Q27" s="66" t="s">
        <v>277</v>
      </c>
      <c r="U27" s="250"/>
    </row>
    <row r="28" spans="1:21" s="95" customFormat="1" ht="18" x14ac:dyDescent="0.15">
      <c r="A28" s="101" t="s">
        <v>272</v>
      </c>
      <c r="B28" s="31">
        <v>15</v>
      </c>
      <c r="C28" s="31">
        <v>0</v>
      </c>
      <c r="D28" s="37">
        <v>0</v>
      </c>
      <c r="E28" s="37">
        <v>0</v>
      </c>
      <c r="F28" s="37">
        <v>0</v>
      </c>
      <c r="G28" s="31">
        <v>1</v>
      </c>
      <c r="H28" s="31">
        <f>B28*G28</f>
        <v>15</v>
      </c>
      <c r="I28" s="63">
        <v>0</v>
      </c>
      <c r="J28" s="63">
        <f>H28*I28</f>
        <v>0</v>
      </c>
      <c r="K28" s="63">
        <f>J28*0.1</f>
        <v>0</v>
      </c>
      <c r="L28" s="63">
        <f>J28*0.05</f>
        <v>0</v>
      </c>
      <c r="M28" s="31">
        <f>C28*G28*I28</f>
        <v>0</v>
      </c>
      <c r="N28" s="37">
        <f>(J28*'Base Data'!$C$5)+(K28*'Base Data'!$C$6)+(L28*'Base Data'!$C$7)</f>
        <v>0</v>
      </c>
      <c r="O28" s="37">
        <f>(D28+E28+F28)*G28*I28</f>
        <v>0</v>
      </c>
      <c r="P28" s="64">
        <v>0</v>
      </c>
      <c r="Q28" s="66" t="s">
        <v>65</v>
      </c>
      <c r="U28" s="250"/>
    </row>
    <row r="29" spans="1:21" s="95" customFormat="1" ht="9" x14ac:dyDescent="0.15">
      <c r="A29" s="101" t="s">
        <v>200</v>
      </c>
      <c r="B29" s="31">
        <v>0.5</v>
      </c>
      <c r="C29" s="31"/>
      <c r="D29" s="37">
        <v>0</v>
      </c>
      <c r="E29" s="37">
        <v>0</v>
      </c>
      <c r="F29" s="37">
        <v>0</v>
      </c>
      <c r="G29" s="31">
        <v>0.5</v>
      </c>
      <c r="H29" s="31">
        <f>B29*G29</f>
        <v>0.25</v>
      </c>
      <c r="I29" s="63">
        <f>SUM('Base Data'!$D$16:$D$17,'Base Data'!$D$21:$D$22,'Base Data'!$D$62,'Base Data'!$D$66)</f>
        <v>44</v>
      </c>
      <c r="J29" s="63">
        <f>H29*I29</f>
        <v>11</v>
      </c>
      <c r="K29" s="455">
        <f>J29*0.1</f>
        <v>1.1000000000000001</v>
      </c>
      <c r="L29" s="455">
        <f>J29*0.05</f>
        <v>0.55000000000000004</v>
      </c>
      <c r="M29" s="31">
        <f>C29*G29*I29</f>
        <v>0</v>
      </c>
      <c r="N29" s="37">
        <f>(J29*'Base Data'!$C$5)+(K29*'Base Data'!$C$6)+(L29*'Base Data'!$C$7)</f>
        <v>1385.2134999999998</v>
      </c>
      <c r="O29" s="37">
        <f>(D29+E29+F29)*G29*I29</f>
        <v>0</v>
      </c>
      <c r="P29" s="64">
        <v>0</v>
      </c>
      <c r="Q29" s="66" t="s">
        <v>277</v>
      </c>
      <c r="U29" s="250"/>
    </row>
    <row r="30" spans="1:21" s="4" customFormat="1" ht="9" x14ac:dyDescent="0.15">
      <c r="A30" s="90" t="s">
        <v>305</v>
      </c>
      <c r="B30" s="31">
        <v>40</v>
      </c>
      <c r="C30" s="31"/>
      <c r="D30" s="37">
        <v>0</v>
      </c>
      <c r="E30" s="37">
        <v>0</v>
      </c>
      <c r="F30" s="37">
        <v>0</v>
      </c>
      <c r="G30" s="31">
        <v>1</v>
      </c>
      <c r="H30" s="31">
        <f>B30*G30</f>
        <v>40</v>
      </c>
      <c r="I30" s="63">
        <f>ROUND(SUM('Base Data'!$H$16:$H$17,'Base Data'!$H$21:$H$22,'Base Data'!$H$62,'Base Data'!$H$66)/2,0)</f>
        <v>3</v>
      </c>
      <c r="J30" s="64">
        <f>H30*I30</f>
        <v>120</v>
      </c>
      <c r="K30" s="64">
        <f>J30*0.1</f>
        <v>12</v>
      </c>
      <c r="L30" s="64">
        <f>J30*0.05</f>
        <v>6</v>
      </c>
      <c r="M30" s="31"/>
      <c r="N30" s="37">
        <f>(J30*'Base Data'!$C$5)+(K30*'Base Data'!$C$6)+(L30*'Base Data'!$C$7)</f>
        <v>15111.42</v>
      </c>
      <c r="O30" s="37">
        <f>(D30+E30+F30)*G30*I30</f>
        <v>0</v>
      </c>
      <c r="P30" s="64">
        <v>0</v>
      </c>
      <c r="Q30" s="19" t="s">
        <v>74</v>
      </c>
      <c r="U30" s="185"/>
    </row>
    <row r="31" spans="1:21" s="95" customFormat="1" ht="9" x14ac:dyDescent="0.15">
      <c r="A31" s="91" t="s">
        <v>306</v>
      </c>
      <c r="B31" s="31" t="s">
        <v>311</v>
      </c>
      <c r="C31" s="31"/>
      <c r="D31" s="37"/>
      <c r="E31" s="37"/>
      <c r="F31" s="37"/>
      <c r="G31" s="31"/>
      <c r="H31" s="31"/>
      <c r="I31" s="64"/>
      <c r="J31" s="31"/>
      <c r="K31" s="31"/>
      <c r="L31" s="31"/>
      <c r="M31" s="31"/>
      <c r="N31" s="37"/>
      <c r="O31" s="37"/>
      <c r="P31" s="64"/>
      <c r="Q31" s="66"/>
      <c r="U31" s="250"/>
    </row>
    <row r="32" spans="1:21" s="95" customFormat="1" ht="9" hidden="1" x14ac:dyDescent="0.15">
      <c r="A32" s="450"/>
      <c r="B32" s="437"/>
      <c r="C32" s="437"/>
      <c r="D32" s="438"/>
      <c r="E32" s="438"/>
      <c r="F32" s="438"/>
      <c r="G32" s="437"/>
      <c r="H32" s="437"/>
      <c r="I32" s="439"/>
      <c r="J32" s="372">
        <f>SUM(J23:J31)</f>
        <v>136</v>
      </c>
      <c r="K32" s="372">
        <f>SUM(K23:K31)</f>
        <v>13.6</v>
      </c>
      <c r="L32" s="372">
        <f>SUM(L23:L31)</f>
        <v>6.8</v>
      </c>
      <c r="M32" s="437"/>
      <c r="N32" s="438"/>
      <c r="O32" s="438"/>
      <c r="P32" s="439"/>
      <c r="Q32" s="440"/>
      <c r="U32" s="250"/>
    </row>
    <row r="33" spans="1:21" s="371" customFormat="1" ht="9" x14ac:dyDescent="0.15">
      <c r="A33" s="377" t="s">
        <v>23</v>
      </c>
      <c r="B33" s="372"/>
      <c r="C33" s="372"/>
      <c r="D33" s="373"/>
      <c r="E33" s="373"/>
      <c r="F33" s="373"/>
      <c r="G33" s="372"/>
      <c r="H33" s="372"/>
      <c r="I33" s="374"/>
      <c r="J33" s="759">
        <f>J32+K32+L32</f>
        <v>156.4</v>
      </c>
      <c r="K33" s="760"/>
      <c r="L33" s="761"/>
      <c r="M33" s="372">
        <f>SUM(M23:M31)</f>
        <v>0</v>
      </c>
      <c r="N33" s="373">
        <f>SUM(N23:N31)</f>
        <v>17126.275999999998</v>
      </c>
      <c r="O33" s="373">
        <f>SUM(O23:O31)</f>
        <v>0</v>
      </c>
      <c r="P33" s="374">
        <f>SUM(P23:P31)</f>
        <v>0</v>
      </c>
      <c r="Q33" s="375"/>
      <c r="R33" s="370">
        <f>SUM(O23:O33)</f>
        <v>0</v>
      </c>
      <c r="U33" s="378"/>
    </row>
    <row r="34" spans="1:21" s="371" customFormat="1" ht="9" hidden="1" x14ac:dyDescent="0.15">
      <c r="A34" s="453"/>
      <c r="B34" s="429"/>
      <c r="C34" s="429"/>
      <c r="D34" s="430"/>
      <c r="E34" s="430"/>
      <c r="F34" s="430"/>
      <c r="G34" s="429"/>
      <c r="H34" s="429"/>
      <c r="I34" s="431"/>
      <c r="J34" s="114">
        <f>SUM(J20,J32)</f>
        <v>437.5</v>
      </c>
      <c r="K34" s="114">
        <f>SUM(K20,K32)</f>
        <v>43.75</v>
      </c>
      <c r="L34" s="114">
        <f>SUM(L20,L32)</f>
        <v>21.875</v>
      </c>
      <c r="M34" s="429"/>
      <c r="N34" s="430"/>
      <c r="O34" s="430"/>
      <c r="P34" s="431"/>
      <c r="Q34" s="432"/>
      <c r="R34" s="370"/>
    </row>
    <row r="35" spans="1:21" s="95" customFormat="1" x14ac:dyDescent="0.2">
      <c r="A35" s="110" t="s">
        <v>283</v>
      </c>
      <c r="B35" s="111"/>
      <c r="C35" s="111"/>
      <c r="D35" s="111"/>
      <c r="E35" s="111"/>
      <c r="F35" s="111"/>
      <c r="G35" s="111"/>
      <c r="H35" s="111"/>
      <c r="I35" s="441"/>
      <c r="J35" s="754">
        <f>J34+K34+L34</f>
        <v>503.125</v>
      </c>
      <c r="K35" s="752"/>
      <c r="L35" s="755"/>
      <c r="M35" s="554">
        <f>SUM(M21,M33)</f>
        <v>0</v>
      </c>
      <c r="N35" s="115">
        <f>SUM(N21,N33)</f>
        <v>55093.71875</v>
      </c>
      <c r="O35" s="115">
        <f>SUM(O21,O33)</f>
        <v>98032</v>
      </c>
      <c r="P35" s="114">
        <f>SUM(P21,P33)</f>
        <v>3</v>
      </c>
      <c r="Q35" s="116"/>
    </row>
    <row r="36" spans="1:21" s="95" customFormat="1" x14ac:dyDescent="0.2">
      <c r="A36" s="77"/>
      <c r="B36" s="39"/>
      <c r="C36" s="39"/>
      <c r="D36" s="39"/>
      <c r="E36" s="39"/>
      <c r="F36" s="39"/>
      <c r="G36" s="39"/>
      <c r="H36" s="39"/>
      <c r="I36" s="40"/>
      <c r="J36" s="39"/>
      <c r="K36" s="39"/>
      <c r="L36" s="39"/>
      <c r="M36" s="39"/>
      <c r="N36" s="39"/>
      <c r="O36" s="120"/>
      <c r="P36" s="6"/>
      <c r="Q36" s="39"/>
    </row>
    <row r="37" spans="1:21" s="95" customFormat="1" ht="11.25" customHeight="1" x14ac:dyDescent="0.15">
      <c r="A37" s="682" t="s">
        <v>734</v>
      </c>
      <c r="B37" s="682"/>
      <c r="C37" s="682"/>
      <c r="D37" s="682"/>
      <c r="E37" s="682"/>
      <c r="F37" s="682"/>
      <c r="G37" s="682"/>
      <c r="H37" s="682"/>
      <c r="I37" s="682"/>
      <c r="J37" s="682"/>
      <c r="K37" s="682"/>
      <c r="L37" s="682"/>
      <c r="M37" s="682"/>
      <c r="N37" s="682"/>
      <c r="O37" s="682"/>
      <c r="P37" s="682"/>
      <c r="Q37" s="682"/>
    </row>
    <row r="38" spans="1:21" s="38" customFormat="1" ht="30.75" customHeight="1" x14ac:dyDescent="0.15">
      <c r="A38" s="758" t="s">
        <v>462</v>
      </c>
      <c r="B38" s="758"/>
      <c r="C38" s="758"/>
      <c r="D38" s="758"/>
      <c r="E38" s="758"/>
      <c r="F38" s="758"/>
      <c r="G38" s="758"/>
      <c r="H38" s="758"/>
      <c r="I38" s="758"/>
      <c r="J38" s="758"/>
      <c r="K38" s="758"/>
      <c r="L38" s="758"/>
      <c r="M38" s="758"/>
      <c r="N38" s="758"/>
      <c r="O38" s="758"/>
      <c r="P38" s="195"/>
      <c r="Q38" s="41"/>
    </row>
    <row r="39" spans="1:21" s="38" customFormat="1" ht="38.25" customHeight="1" x14ac:dyDescent="0.2">
      <c r="A39" s="726" t="s">
        <v>735</v>
      </c>
      <c r="B39" s="726"/>
      <c r="C39" s="726"/>
      <c r="D39" s="726"/>
      <c r="E39" s="726"/>
      <c r="F39" s="726"/>
      <c r="G39" s="726"/>
      <c r="H39" s="726"/>
      <c r="I39" s="726"/>
      <c r="J39" s="726"/>
      <c r="K39" s="726"/>
      <c r="L39" s="726"/>
      <c r="M39" s="726"/>
      <c r="N39" s="726"/>
      <c r="O39" s="726"/>
      <c r="P39" s="552"/>
      <c r="Q39" s="39"/>
    </row>
    <row r="40" spans="1:21" s="38" customFormat="1" ht="20.25" customHeight="1" x14ac:dyDescent="0.15">
      <c r="A40" s="682" t="s">
        <v>463</v>
      </c>
      <c r="B40" s="682"/>
      <c r="C40" s="682"/>
      <c r="D40" s="682"/>
      <c r="E40" s="682"/>
      <c r="F40" s="682"/>
      <c r="G40" s="682"/>
      <c r="H40" s="682"/>
      <c r="I40" s="682"/>
      <c r="J40" s="682"/>
      <c r="K40" s="682"/>
      <c r="L40" s="682"/>
      <c r="M40" s="682"/>
      <c r="N40" s="682"/>
      <c r="O40" s="682"/>
      <c r="P40" s="682"/>
      <c r="Q40" s="682"/>
      <c r="S40" s="81"/>
    </row>
    <row r="41" spans="1:21" s="38" customFormat="1" ht="10.5" customHeight="1" x14ac:dyDescent="0.15">
      <c r="A41" s="38" t="s">
        <v>317</v>
      </c>
      <c r="B41" s="41"/>
      <c r="C41" s="41"/>
      <c r="D41" s="41"/>
      <c r="E41" s="41"/>
      <c r="F41" s="41"/>
      <c r="G41" s="41"/>
      <c r="H41" s="42"/>
      <c r="I41" s="41"/>
      <c r="J41" s="41"/>
      <c r="K41" s="41"/>
      <c r="L41" s="41"/>
      <c r="M41" s="41"/>
      <c r="N41" s="41"/>
      <c r="O41" s="121"/>
      <c r="P41" s="121"/>
      <c r="Q41" s="41"/>
    </row>
    <row r="42" spans="1:21" x14ac:dyDescent="0.2">
      <c r="A42" s="38" t="s">
        <v>412</v>
      </c>
      <c r="P42" s="77"/>
    </row>
    <row r="43" spans="1:21" x14ac:dyDescent="0.2">
      <c r="A43" s="38" t="s">
        <v>411</v>
      </c>
      <c r="P43" s="77"/>
    </row>
    <row r="44" spans="1:21" x14ac:dyDescent="0.2">
      <c r="A44" s="9" t="s">
        <v>781</v>
      </c>
      <c r="P44" s="77"/>
    </row>
    <row r="45" spans="1:21" ht="11.25" customHeight="1" x14ac:dyDescent="0.2">
      <c r="A45" s="749" t="s">
        <v>736</v>
      </c>
      <c r="B45" s="749"/>
      <c r="C45" s="749"/>
      <c r="D45" s="749"/>
      <c r="E45" s="749"/>
      <c r="F45" s="749"/>
      <c r="G45" s="749"/>
      <c r="H45" s="749"/>
      <c r="I45" s="749"/>
      <c r="J45" s="749"/>
      <c r="K45" s="749"/>
      <c r="L45" s="749"/>
      <c r="M45" s="749"/>
      <c r="N45" s="749"/>
      <c r="O45" s="749"/>
      <c r="P45" s="749"/>
      <c r="Q45" s="749"/>
    </row>
    <row r="46" spans="1:21" x14ac:dyDescent="0.2">
      <c r="A46" s="749"/>
      <c r="B46" s="749"/>
      <c r="C46" s="749"/>
      <c r="D46" s="749"/>
      <c r="E46" s="749"/>
      <c r="F46" s="749"/>
      <c r="G46" s="749"/>
      <c r="H46" s="749"/>
      <c r="I46" s="749"/>
      <c r="J46" s="749"/>
      <c r="K46" s="749"/>
      <c r="L46" s="749"/>
      <c r="M46" s="749"/>
      <c r="N46" s="749"/>
      <c r="O46" s="749"/>
      <c r="P46" s="749"/>
      <c r="Q46" s="749"/>
    </row>
  </sheetData>
  <mergeCells count="10">
    <mergeCell ref="A45:Q46"/>
    <mergeCell ref="A40:Q40"/>
    <mergeCell ref="A1:Q1"/>
    <mergeCell ref="A2:Q2"/>
    <mergeCell ref="A38:O38"/>
    <mergeCell ref="A39:O39"/>
    <mergeCell ref="A37:Q37"/>
    <mergeCell ref="J21:L21"/>
    <mergeCell ref="J33:L33"/>
    <mergeCell ref="J35:L35"/>
  </mergeCells>
  <phoneticPr fontId="9" type="noConversion"/>
  <printOptions horizontalCentered="1"/>
  <pageMargins left="0.25" right="0.25" top="0.5" bottom="0.5" header="0.5" footer="0.5"/>
  <pageSetup scale="8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0.42578125" style="77" customWidth="1"/>
    <col min="2" max="2" width="8.85546875" style="39" bestFit="1" customWidth="1"/>
    <col min="3" max="3" width="8" style="39" hidden="1" customWidth="1"/>
    <col min="4" max="4" width="8.42578125" style="39" bestFit="1" customWidth="1"/>
    <col min="5" max="5" width="9.42578125" style="39" bestFit="1" customWidth="1"/>
    <col min="6" max="6" width="7.85546875" style="39" bestFit="1" customWidth="1"/>
    <col min="7" max="7" width="9.42578125" style="39" bestFit="1" customWidth="1"/>
    <col min="8" max="8" width="8.5703125" style="39" bestFit="1" customWidth="1"/>
    <col min="9" max="9" width="9.42578125" style="120" bestFit="1" customWidth="1"/>
    <col min="10" max="10" width="7.5703125" style="120" bestFit="1" customWidth="1"/>
    <col min="11" max="11" width="6.85546875" style="120" bestFit="1" customWidth="1"/>
    <col min="12" max="12" width="8.85546875" style="120" customWidth="1"/>
    <col min="13" max="13" width="9" style="120" hidden="1" customWidth="1"/>
    <col min="14" max="14" width="8.42578125" style="39" bestFit="1" customWidth="1"/>
    <col min="15" max="15" width="8.5703125" style="77" customWidth="1"/>
    <col min="16" max="16" width="8.5703125" style="77" bestFit="1" customWidth="1"/>
    <col min="17" max="17" width="4.42578125" style="77" bestFit="1" customWidth="1"/>
    <col min="18" max="19" width="0" style="77" hidden="1" customWidth="1"/>
    <col min="20" max="16384" width="9.140625" style="77"/>
  </cols>
  <sheetData>
    <row r="1" spans="1:19" x14ac:dyDescent="0.2">
      <c r="A1" s="684" t="s">
        <v>187</v>
      </c>
      <c r="B1" s="684"/>
      <c r="C1" s="684"/>
      <c r="D1" s="684"/>
      <c r="E1" s="684"/>
      <c r="F1" s="684"/>
      <c r="G1" s="684"/>
      <c r="H1" s="684"/>
      <c r="I1" s="684"/>
      <c r="J1" s="684"/>
      <c r="K1" s="684"/>
      <c r="L1" s="684"/>
      <c r="M1" s="684"/>
      <c r="N1" s="684"/>
      <c r="O1" s="684"/>
      <c r="P1" s="684"/>
      <c r="Q1" s="684"/>
    </row>
    <row r="2" spans="1:19" x14ac:dyDescent="0.2">
      <c r="A2" s="685" t="s">
        <v>608</v>
      </c>
      <c r="B2" s="685"/>
      <c r="C2" s="685"/>
      <c r="D2" s="685"/>
      <c r="E2" s="685"/>
      <c r="F2" s="685"/>
      <c r="G2" s="685"/>
      <c r="H2" s="685"/>
      <c r="I2" s="685"/>
      <c r="J2" s="685"/>
      <c r="K2" s="685"/>
      <c r="L2" s="685"/>
      <c r="M2" s="685"/>
      <c r="N2" s="685"/>
      <c r="O2" s="685"/>
      <c r="P2" s="685"/>
      <c r="Q2" s="685"/>
    </row>
    <row r="3" spans="1:19" s="117" customFormat="1" ht="60.75" customHeight="1" x14ac:dyDescent="0.15">
      <c r="A3" s="32" t="s">
        <v>280</v>
      </c>
      <c r="B3" s="32" t="s">
        <v>281</v>
      </c>
      <c r="C3" s="32" t="s">
        <v>308</v>
      </c>
      <c r="D3" s="32" t="s">
        <v>1</v>
      </c>
      <c r="E3" s="32" t="s">
        <v>87</v>
      </c>
      <c r="F3" s="32" t="s">
        <v>2</v>
      </c>
      <c r="G3" s="8" t="s">
        <v>148</v>
      </c>
      <c r="H3" s="32" t="s">
        <v>335</v>
      </c>
      <c r="I3" s="43" t="s">
        <v>336</v>
      </c>
      <c r="J3" s="70" t="s">
        <v>338</v>
      </c>
      <c r="K3" s="70" t="s">
        <v>339</v>
      </c>
      <c r="L3" s="70" t="s">
        <v>337</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f>'Base Data'!$H$42+'Base Data'!$H$41</f>
        <v>45</v>
      </c>
      <c r="J7" s="63">
        <f>H7*I7</f>
        <v>1800</v>
      </c>
      <c r="K7" s="63">
        <f>J7*0.1</f>
        <v>180</v>
      </c>
      <c r="L7" s="63">
        <f>J7*0.05</f>
        <v>90</v>
      </c>
      <c r="M7" s="31">
        <f>C7*G7*I7</f>
        <v>0</v>
      </c>
      <c r="N7" s="37">
        <f>(J7*'Base Data'!$C$5)+(K7*'Base Data'!$C$6)+(L7*'Base Data'!$C$7)</f>
        <v>226671.3</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302</v>
      </c>
      <c r="B9" s="31"/>
      <c r="C9" s="31"/>
      <c r="D9" s="67"/>
      <c r="E9" s="37"/>
      <c r="F9" s="37"/>
      <c r="G9" s="31"/>
      <c r="H9" s="31"/>
      <c r="I9" s="64"/>
      <c r="J9" s="63"/>
      <c r="K9" s="63"/>
      <c r="L9" s="63"/>
      <c r="M9" s="65"/>
      <c r="N9" s="37"/>
      <c r="O9" s="37"/>
      <c r="P9" s="64"/>
      <c r="Q9" s="66"/>
      <c r="R9" s="66"/>
    </row>
    <row r="10" spans="1:19" s="95" customFormat="1" ht="9" x14ac:dyDescent="0.15">
      <c r="A10" s="90" t="s">
        <v>211</v>
      </c>
      <c r="B10" s="31">
        <v>20</v>
      </c>
      <c r="C10" s="31"/>
      <c r="D10" s="37">
        <v>854</v>
      </c>
      <c r="E10" s="37">
        <v>0</v>
      </c>
      <c r="F10" s="37">
        <v>0</v>
      </c>
      <c r="G10" s="31">
        <v>1</v>
      </c>
      <c r="H10" s="31">
        <f>B10*G10</f>
        <v>20</v>
      </c>
      <c r="I10" s="64">
        <v>0</v>
      </c>
      <c r="J10" s="64">
        <f>H10*I10</f>
        <v>0</v>
      </c>
      <c r="K10" s="64">
        <f>J10*0.1</f>
        <v>0</v>
      </c>
      <c r="L10" s="64">
        <f>J10*0.05</f>
        <v>0</v>
      </c>
      <c r="M10" s="65">
        <f>C10*G10*I10</f>
        <v>0</v>
      </c>
      <c r="N10" s="37">
        <f>(J10*'Base Data'!$C$5)+(K10*'Base Data'!$C$6)+(L10*'Base Data'!$C$7)</f>
        <v>0</v>
      </c>
      <c r="O10" s="37">
        <f>(D10+E10+F10)*G10*I10</f>
        <v>0</v>
      </c>
      <c r="P10" s="64">
        <v>0</v>
      </c>
      <c r="Q10" s="66" t="s">
        <v>316</v>
      </c>
      <c r="R10" s="66"/>
    </row>
    <row r="11" spans="1:19" s="95" customFormat="1" ht="9" x14ac:dyDescent="0.15">
      <c r="A11" s="90" t="s">
        <v>212</v>
      </c>
      <c r="B11" s="31">
        <v>20</v>
      </c>
      <c r="C11" s="31"/>
      <c r="D11" s="37">
        <v>18292</v>
      </c>
      <c r="E11" s="37">
        <v>0</v>
      </c>
      <c r="F11" s="37">
        <v>0</v>
      </c>
      <c r="G11" s="31">
        <v>1</v>
      </c>
      <c r="H11" s="31">
        <f>B11*G11</f>
        <v>20</v>
      </c>
      <c r="I11" s="64">
        <v>0</v>
      </c>
      <c r="J11" s="64">
        <f>H11*I11</f>
        <v>0</v>
      </c>
      <c r="K11" s="64">
        <f>J11*0.1</f>
        <v>0</v>
      </c>
      <c r="L11" s="64">
        <f>J11*0.05</f>
        <v>0</v>
      </c>
      <c r="M11" s="65">
        <f>C11*G11*I11</f>
        <v>0</v>
      </c>
      <c r="N11" s="37">
        <f>(J11*'Base Data'!$C$5)+(K11*'Base Data'!$C$6)+(L11*'Base Data'!$C$7)</f>
        <v>0</v>
      </c>
      <c r="O11" s="37">
        <f>(D11+E11+F11)*G11*I11</f>
        <v>0</v>
      </c>
      <c r="P11" s="64">
        <v>0</v>
      </c>
      <c r="Q11" s="66" t="s">
        <v>316</v>
      </c>
      <c r="R11" s="66"/>
    </row>
    <row r="12" spans="1:19" s="95" customFormat="1" ht="9" x14ac:dyDescent="0.15">
      <c r="A12" s="91" t="s">
        <v>199</v>
      </c>
      <c r="B12" s="31">
        <v>12</v>
      </c>
      <c r="C12" s="31"/>
      <c r="D12" s="37">
        <v>0</v>
      </c>
      <c r="E12" s="37">
        <v>2228</v>
      </c>
      <c r="F12" s="37">
        <v>0</v>
      </c>
      <c r="G12" s="31">
        <v>0.5</v>
      </c>
      <c r="H12" s="31">
        <f>B12*G12</f>
        <v>6</v>
      </c>
      <c r="I12" s="64">
        <v>0</v>
      </c>
      <c r="J12" s="63">
        <f>H12*I12</f>
        <v>0</v>
      </c>
      <c r="K12" s="63">
        <f>J12*0.1</f>
        <v>0</v>
      </c>
      <c r="L12" s="63">
        <f>J12*0.05</f>
        <v>0</v>
      </c>
      <c r="M12" s="64"/>
      <c r="N12" s="37">
        <f>(J12*'Base Data'!$C$5)+(K12*'Base Data'!$C$6)+(L12*'Base Data'!$C$7)</f>
        <v>0</v>
      </c>
      <c r="O12" s="37">
        <f>(D12+E12+F12)*I12</f>
        <v>0</v>
      </c>
      <c r="P12" s="64">
        <v>0</v>
      </c>
      <c r="Q12" s="66" t="s">
        <v>9</v>
      </c>
    </row>
    <row r="13" spans="1:19" s="95" customFormat="1" ht="9" x14ac:dyDescent="0.15">
      <c r="A13" s="91" t="s">
        <v>294</v>
      </c>
      <c r="B13" s="31" t="s">
        <v>311</v>
      </c>
      <c r="C13" s="31"/>
      <c r="D13" s="37"/>
      <c r="E13" s="37"/>
      <c r="F13" s="37"/>
      <c r="G13" s="31"/>
      <c r="H13" s="31"/>
      <c r="I13" s="64"/>
      <c r="J13" s="31"/>
      <c r="K13" s="31"/>
      <c r="L13" s="31"/>
      <c r="M13" s="31"/>
      <c r="N13" s="37"/>
      <c r="O13" s="37"/>
      <c r="P13" s="64"/>
      <c r="Q13" s="66"/>
    </row>
    <row r="14" spans="1:19" s="95" customFormat="1" ht="9" x14ac:dyDescent="0.15">
      <c r="A14" s="91" t="s">
        <v>295</v>
      </c>
      <c r="B14" s="31" t="s">
        <v>311</v>
      </c>
      <c r="C14" s="31"/>
      <c r="D14" s="37"/>
      <c r="E14" s="37"/>
      <c r="F14" s="37"/>
      <c r="G14" s="31"/>
      <c r="H14" s="31"/>
      <c r="I14" s="64"/>
      <c r="J14" s="31"/>
      <c r="K14" s="31"/>
      <c r="L14" s="31"/>
      <c r="M14" s="31"/>
      <c r="N14" s="37"/>
      <c r="O14" s="37"/>
      <c r="P14" s="64"/>
      <c r="Q14" s="66"/>
    </row>
    <row r="15" spans="1:19" s="95" customFormat="1" ht="9" x14ac:dyDescent="0.15">
      <c r="A15" s="91" t="s">
        <v>296</v>
      </c>
      <c r="B15" s="31"/>
      <c r="C15" s="31"/>
      <c r="D15" s="37"/>
      <c r="E15" s="37"/>
      <c r="F15" s="37"/>
      <c r="G15" s="31"/>
      <c r="H15" s="31"/>
      <c r="I15" s="64"/>
      <c r="J15" s="31"/>
      <c r="K15" s="31"/>
      <c r="L15" s="31"/>
      <c r="M15" s="31"/>
      <c r="N15" s="37"/>
      <c r="O15" s="37"/>
      <c r="P15" s="64"/>
      <c r="Q15" s="66"/>
    </row>
    <row r="16" spans="1:19" s="95" customFormat="1" ht="9" x14ac:dyDescent="0.15">
      <c r="A16" s="101" t="s">
        <v>312</v>
      </c>
      <c r="B16" s="31">
        <v>2</v>
      </c>
      <c r="C16" s="31"/>
      <c r="D16" s="37">
        <v>0</v>
      </c>
      <c r="E16" s="37">
        <v>0</v>
      </c>
      <c r="F16" s="37">
        <v>0</v>
      </c>
      <c r="G16" s="31">
        <v>1</v>
      </c>
      <c r="H16" s="31">
        <f>B16*G16</f>
        <v>2</v>
      </c>
      <c r="I16" s="63">
        <f>'Base Data'!$H$42+'Base Data'!$H$41</f>
        <v>45</v>
      </c>
      <c r="J16" s="63">
        <f>H16*I16</f>
        <v>90</v>
      </c>
      <c r="K16" s="63">
        <f>J16*0.1</f>
        <v>9</v>
      </c>
      <c r="L16" s="63">
        <f>J16*0.05</f>
        <v>4.5</v>
      </c>
      <c r="M16" s="31">
        <f>C16*G16*I16</f>
        <v>0</v>
      </c>
      <c r="N16" s="37">
        <f>(J16*'Base Data'!$C$5)+(K16*'Base Data'!$C$6)+(L16*'Base Data'!$C$7)</f>
        <v>11333.565000000002</v>
      </c>
      <c r="O16" s="37">
        <f>(D16+E16+F16)*G16*I16</f>
        <v>0</v>
      </c>
      <c r="P16" s="64">
        <f>G16*I16</f>
        <v>45</v>
      </c>
      <c r="Q16" s="66" t="s">
        <v>276</v>
      </c>
    </row>
    <row r="17" spans="1:19" s="95" customFormat="1" ht="9" x14ac:dyDescent="0.15">
      <c r="A17" s="101" t="s">
        <v>273</v>
      </c>
      <c r="B17" s="31">
        <v>8</v>
      </c>
      <c r="C17" s="31"/>
      <c r="D17" s="37">
        <v>0</v>
      </c>
      <c r="E17" s="37">
        <v>0</v>
      </c>
      <c r="F17" s="37">
        <v>0</v>
      </c>
      <c r="G17" s="31">
        <v>1</v>
      </c>
      <c r="H17" s="31">
        <f>B17*G17</f>
        <v>8</v>
      </c>
      <c r="I17" s="64">
        <v>0</v>
      </c>
      <c r="J17" s="63">
        <f>H17*I17</f>
        <v>0</v>
      </c>
      <c r="K17" s="63">
        <f>J17*0.1</f>
        <v>0</v>
      </c>
      <c r="L17" s="63">
        <f>J17*0.05</f>
        <v>0</v>
      </c>
      <c r="M17" s="31">
        <f>C17*G17*I17</f>
        <v>0</v>
      </c>
      <c r="N17" s="37">
        <f>(J17*'Base Data'!$C$5)+(K17*'Base Data'!$C$6)+(L17*'Base Data'!$C$7)</f>
        <v>0</v>
      </c>
      <c r="O17" s="37">
        <f>(D17+E17+F17)*G17*I17</f>
        <v>0</v>
      </c>
      <c r="P17" s="64">
        <f>G17*I17</f>
        <v>0</v>
      </c>
      <c r="Q17" s="66" t="s">
        <v>277</v>
      </c>
    </row>
    <row r="18" spans="1:19" s="95" customFormat="1" ht="9" x14ac:dyDescent="0.15">
      <c r="A18" s="92" t="s">
        <v>198</v>
      </c>
      <c r="B18" s="31">
        <v>5</v>
      </c>
      <c r="C18" s="31"/>
      <c r="D18" s="37">
        <v>0</v>
      </c>
      <c r="E18" s="37">
        <v>0</v>
      </c>
      <c r="F18" s="37">
        <v>0</v>
      </c>
      <c r="G18" s="31">
        <v>0.5</v>
      </c>
      <c r="H18" s="31">
        <f>B18*G18</f>
        <v>2.5</v>
      </c>
      <c r="I18" s="64">
        <v>0</v>
      </c>
      <c r="J18" s="63">
        <f>H18*I18</f>
        <v>0</v>
      </c>
      <c r="K18" s="63">
        <f>J18*0.1</f>
        <v>0</v>
      </c>
      <c r="L18" s="63">
        <f>J18*0.05</f>
        <v>0</v>
      </c>
      <c r="M18" s="31">
        <f>C18*G18*I18</f>
        <v>0</v>
      </c>
      <c r="N18" s="37">
        <f>(J18*'Base Data'!$C$5)+(K18*'Base Data'!$C$6)+(L18*'Base Data'!$C$7)</f>
        <v>0</v>
      </c>
      <c r="O18" s="37">
        <f>(D18+E18+F18)*G18*I18</f>
        <v>0</v>
      </c>
      <c r="P18" s="64">
        <f>G18*I18</f>
        <v>0</v>
      </c>
      <c r="Q18" s="66" t="s">
        <v>9</v>
      </c>
    </row>
    <row r="19" spans="1:19" s="4" customFormat="1" ht="9" x14ac:dyDescent="0.15">
      <c r="A19" s="101" t="s">
        <v>365</v>
      </c>
      <c r="B19" s="31">
        <v>5</v>
      </c>
      <c r="C19" s="13"/>
      <c r="D19" s="26">
        <v>0</v>
      </c>
      <c r="E19" s="26">
        <v>0</v>
      </c>
      <c r="F19" s="26">
        <v>0</v>
      </c>
      <c r="G19" s="13">
        <v>1</v>
      </c>
      <c r="H19" s="13">
        <f>B19*G19</f>
        <v>5</v>
      </c>
      <c r="I19" s="36">
        <v>0</v>
      </c>
      <c r="J19" s="14">
        <f>H19*I19</f>
        <v>0</v>
      </c>
      <c r="K19" s="14">
        <f>J19*0.1</f>
        <v>0</v>
      </c>
      <c r="L19" s="14">
        <f>J19*0.05</f>
        <v>0</v>
      </c>
      <c r="M19" s="13">
        <f>C19*G19*I19</f>
        <v>0</v>
      </c>
      <c r="N19" s="26">
        <f>(J19*'Base Data'!$C$5)+(K19*'Base Data'!$C$6)+(L19*'Base Data'!$C$7)</f>
        <v>0</v>
      </c>
      <c r="O19" s="26">
        <f>(D19+E19+F19)*G19*I19</f>
        <v>0</v>
      </c>
      <c r="P19" s="14">
        <f>G19*I19</f>
        <v>0</v>
      </c>
      <c r="Q19" s="19" t="s">
        <v>277</v>
      </c>
    </row>
    <row r="20" spans="1:19" s="95" customFormat="1" ht="9" x14ac:dyDescent="0.15">
      <c r="A20" s="96" t="s">
        <v>4</v>
      </c>
      <c r="B20" s="31"/>
      <c r="C20" s="31"/>
      <c r="D20" s="37"/>
      <c r="E20" s="37"/>
      <c r="F20" s="37"/>
      <c r="G20" s="31"/>
      <c r="H20" s="31"/>
      <c r="I20" s="64"/>
      <c r="J20" s="64">
        <f t="shared" ref="J20:O20" si="0">SUM(J7:J19)</f>
        <v>1890</v>
      </c>
      <c r="K20" s="64">
        <f t="shared" si="0"/>
        <v>189</v>
      </c>
      <c r="L20" s="64">
        <f t="shared" si="0"/>
        <v>94.5</v>
      </c>
      <c r="M20" s="64">
        <f t="shared" si="0"/>
        <v>0</v>
      </c>
      <c r="N20" s="37">
        <f t="shared" si="0"/>
        <v>238004.86499999999</v>
      </c>
      <c r="O20" s="37">
        <f t="shared" si="0"/>
        <v>0</v>
      </c>
      <c r="P20" s="64">
        <f>ROUNDUP(SUM(P7:P19),0)</f>
        <v>45</v>
      </c>
      <c r="Q20" s="66"/>
      <c r="R20" s="97">
        <f>SUM(O7:O12)</f>
        <v>0</v>
      </c>
      <c r="S20" s="95">
        <f>0</f>
        <v>0</v>
      </c>
    </row>
    <row r="21" spans="1:19" s="95" customFormat="1" ht="9" x14ac:dyDescent="0.15">
      <c r="A21" s="91" t="s">
        <v>309</v>
      </c>
      <c r="B21" s="31"/>
      <c r="C21" s="31"/>
      <c r="D21" s="37"/>
      <c r="E21" s="37"/>
      <c r="F21" s="37"/>
      <c r="G21" s="31"/>
      <c r="H21" s="31"/>
      <c r="I21" s="64"/>
      <c r="J21" s="31"/>
      <c r="K21" s="31"/>
      <c r="L21" s="31"/>
      <c r="M21" s="31"/>
      <c r="N21" s="37"/>
      <c r="O21" s="37"/>
      <c r="P21" s="64"/>
      <c r="Q21" s="66"/>
    </row>
    <row r="22" spans="1:19" s="95" customFormat="1" ht="9" x14ac:dyDescent="0.15">
      <c r="A22" s="91" t="s">
        <v>297</v>
      </c>
      <c r="B22" s="31" t="s">
        <v>301</v>
      </c>
      <c r="C22" s="31"/>
      <c r="D22" s="37"/>
      <c r="E22" s="37"/>
      <c r="F22" s="37"/>
      <c r="G22" s="31"/>
      <c r="H22" s="31"/>
      <c r="I22" s="64"/>
      <c r="J22" s="31"/>
      <c r="K22" s="31"/>
      <c r="L22" s="31"/>
      <c r="M22" s="31"/>
      <c r="N22" s="37"/>
      <c r="O22" s="37"/>
      <c r="P22" s="64"/>
      <c r="Q22" s="66"/>
    </row>
    <row r="23" spans="1:19" s="95" customFormat="1" ht="9" x14ac:dyDescent="0.15">
      <c r="A23" s="91" t="s">
        <v>298</v>
      </c>
      <c r="B23" s="31" t="s">
        <v>311</v>
      </c>
      <c r="C23" s="31"/>
      <c r="D23" s="37"/>
      <c r="E23" s="37"/>
      <c r="F23" s="37"/>
      <c r="G23" s="31"/>
      <c r="H23" s="31"/>
      <c r="I23" s="64"/>
      <c r="J23" s="31"/>
      <c r="K23" s="31"/>
      <c r="L23" s="31"/>
      <c r="M23" s="31"/>
      <c r="N23" s="37"/>
      <c r="O23" s="37"/>
      <c r="P23" s="64"/>
      <c r="Q23" s="66"/>
    </row>
    <row r="24" spans="1:19" s="95" customFormat="1" ht="9" x14ac:dyDescent="0.15">
      <c r="A24" s="91" t="s">
        <v>299</v>
      </c>
      <c r="B24" s="31" t="s">
        <v>311</v>
      </c>
      <c r="C24" s="31"/>
      <c r="D24" s="37"/>
      <c r="E24" s="37"/>
      <c r="F24" s="37"/>
      <c r="G24" s="31"/>
      <c r="H24" s="31"/>
      <c r="I24" s="64"/>
      <c r="J24" s="31"/>
      <c r="K24" s="31"/>
      <c r="L24" s="31"/>
      <c r="M24" s="31"/>
      <c r="N24" s="37"/>
      <c r="O24" s="37"/>
      <c r="P24" s="64"/>
      <c r="Q24" s="66" t="s">
        <v>278</v>
      </c>
    </row>
    <row r="25" spans="1:19" s="95" customFormat="1" ht="9" x14ac:dyDescent="0.15">
      <c r="A25" s="91" t="s">
        <v>300</v>
      </c>
      <c r="B25" s="31"/>
      <c r="C25" s="31"/>
      <c r="D25" s="37"/>
      <c r="E25" s="37"/>
      <c r="F25" s="37"/>
      <c r="G25" s="31"/>
      <c r="H25" s="31"/>
      <c r="I25" s="64"/>
      <c r="J25" s="31"/>
      <c r="K25" s="31"/>
      <c r="L25" s="31"/>
      <c r="M25" s="31"/>
      <c r="N25" s="37"/>
      <c r="O25" s="37"/>
      <c r="P25" s="64"/>
      <c r="Q25" s="66"/>
    </row>
    <row r="26" spans="1:19" s="95" customFormat="1" ht="19.5" customHeight="1" x14ac:dyDescent="0.15">
      <c r="A26" s="101" t="s">
        <v>271</v>
      </c>
      <c r="B26" s="31">
        <v>2</v>
      </c>
      <c r="C26" s="31">
        <v>0</v>
      </c>
      <c r="D26" s="37">
        <v>0</v>
      </c>
      <c r="E26" s="37">
        <v>0</v>
      </c>
      <c r="F26" s="37">
        <v>0</v>
      </c>
      <c r="G26" s="31">
        <v>0.5</v>
      </c>
      <c r="H26" s="31">
        <f>B26*G26</f>
        <v>1</v>
      </c>
      <c r="I26" s="64">
        <v>0</v>
      </c>
      <c r="J26" s="63">
        <f>H26*I26</f>
        <v>0</v>
      </c>
      <c r="K26" s="63">
        <f>J26*0.1</f>
        <v>0</v>
      </c>
      <c r="L26" s="63">
        <f>J26*0.05</f>
        <v>0</v>
      </c>
      <c r="M26" s="31">
        <f>C26*G26*I26</f>
        <v>0</v>
      </c>
      <c r="N26" s="37">
        <f>(J26*'Base Data'!$C$5)+(K26*'Base Data'!$C$6)+(L26*'Base Data'!$C$7)</f>
        <v>0</v>
      </c>
      <c r="O26" s="37">
        <f>(D26+E26+F26)*G26*I26</f>
        <v>0</v>
      </c>
      <c r="P26" s="64">
        <v>0</v>
      </c>
      <c r="Q26" s="66" t="s">
        <v>277</v>
      </c>
    </row>
    <row r="27" spans="1:19" s="95" customFormat="1" ht="18" x14ac:dyDescent="0.15">
      <c r="A27" s="101" t="s">
        <v>272</v>
      </c>
      <c r="B27" s="31">
        <v>15</v>
      </c>
      <c r="C27" s="31">
        <v>0</v>
      </c>
      <c r="D27" s="37">
        <v>0</v>
      </c>
      <c r="E27" s="37">
        <v>0</v>
      </c>
      <c r="F27" s="37">
        <v>0</v>
      </c>
      <c r="G27" s="31">
        <v>1</v>
      </c>
      <c r="H27" s="31">
        <f>B27*G27</f>
        <v>15</v>
      </c>
      <c r="I27" s="64">
        <v>0</v>
      </c>
      <c r="J27" s="63">
        <f>H27*I27</f>
        <v>0</v>
      </c>
      <c r="K27" s="63">
        <f>J27*0.1</f>
        <v>0</v>
      </c>
      <c r="L27" s="63">
        <f>J27*0.05</f>
        <v>0</v>
      </c>
      <c r="M27" s="31">
        <f>C27*G27*I27</f>
        <v>0</v>
      </c>
      <c r="N27" s="37">
        <f>(J27*'Base Data'!$C$5)+(K27*'Base Data'!$C$6)+(L27*'Base Data'!$C$7)</f>
        <v>0</v>
      </c>
      <c r="O27" s="37">
        <f>(D27+E27+F27)*G27*I27</f>
        <v>0</v>
      </c>
      <c r="P27" s="64">
        <v>0</v>
      </c>
      <c r="Q27" s="66" t="s">
        <v>10</v>
      </c>
    </row>
    <row r="28" spans="1:19" s="95" customFormat="1" ht="9" x14ac:dyDescent="0.15">
      <c r="A28" s="101" t="s">
        <v>200</v>
      </c>
      <c r="B28" s="31">
        <v>0.5</v>
      </c>
      <c r="C28" s="31"/>
      <c r="D28" s="37">
        <v>0</v>
      </c>
      <c r="E28" s="37">
        <v>0</v>
      </c>
      <c r="F28" s="37">
        <v>0</v>
      </c>
      <c r="G28" s="31">
        <v>0.5</v>
      </c>
      <c r="H28" s="31">
        <f>B28*G28</f>
        <v>0.25</v>
      </c>
      <c r="I28" s="64">
        <v>0</v>
      </c>
      <c r="J28" s="63">
        <f>H28*I28</f>
        <v>0</v>
      </c>
      <c r="K28" s="63">
        <f>J28*0.1</f>
        <v>0</v>
      </c>
      <c r="L28" s="63">
        <f>J28*0.05</f>
        <v>0</v>
      </c>
      <c r="M28" s="31">
        <f>C28*G28*I28</f>
        <v>0</v>
      </c>
      <c r="N28" s="37">
        <f>(J28*'Base Data'!$C$5)+(K28*'Base Data'!$C$6)+(L28*'Base Data'!$C$7)</f>
        <v>0</v>
      </c>
      <c r="O28" s="37">
        <f>(D28+E28+F28)*G28*I28</f>
        <v>0</v>
      </c>
      <c r="P28" s="64">
        <v>0</v>
      </c>
      <c r="Q28" s="66" t="s">
        <v>9</v>
      </c>
    </row>
    <row r="29" spans="1:19" s="4" customFormat="1" ht="9" x14ac:dyDescent="0.15">
      <c r="A29" s="90" t="s">
        <v>305</v>
      </c>
      <c r="B29" s="31">
        <v>40</v>
      </c>
      <c r="C29" s="13"/>
      <c r="D29" s="26">
        <v>0</v>
      </c>
      <c r="E29" s="26">
        <v>0</v>
      </c>
      <c r="F29" s="26">
        <v>0</v>
      </c>
      <c r="G29" s="13">
        <v>1</v>
      </c>
      <c r="H29" s="13">
        <f>B29*G29</f>
        <v>40</v>
      </c>
      <c r="I29" s="63">
        <v>0</v>
      </c>
      <c r="J29" s="14">
        <f>H29*I29</f>
        <v>0</v>
      </c>
      <c r="K29" s="14">
        <f>J29*0.1</f>
        <v>0</v>
      </c>
      <c r="L29" s="14">
        <f>J29*0.05</f>
        <v>0</v>
      </c>
      <c r="M29" s="13"/>
      <c r="N29" s="26">
        <f>(J29*'Base Data'!$C$5)+(K29*'Base Data'!$C$6)+(L29*'Base Data'!$C$7)</f>
        <v>0</v>
      </c>
      <c r="O29" s="26">
        <f>(D29+E29+F29)*G29*I29</f>
        <v>0</v>
      </c>
      <c r="P29" s="64">
        <v>0</v>
      </c>
      <c r="Q29" s="19" t="s">
        <v>74</v>
      </c>
    </row>
    <row r="30" spans="1:19" s="95" customFormat="1" ht="9" x14ac:dyDescent="0.15">
      <c r="A30" s="91" t="s">
        <v>306</v>
      </c>
      <c r="B30" s="31" t="s">
        <v>311</v>
      </c>
      <c r="C30" s="31"/>
      <c r="D30" s="37"/>
      <c r="E30" s="37"/>
      <c r="F30" s="37"/>
      <c r="G30" s="31"/>
      <c r="H30" s="31"/>
      <c r="I30" s="64"/>
      <c r="J30" s="31"/>
      <c r="K30" s="31"/>
      <c r="L30" s="31"/>
      <c r="M30" s="31"/>
      <c r="N30" s="37"/>
      <c r="O30" s="37"/>
      <c r="P30" s="64"/>
      <c r="Q30" s="66"/>
    </row>
    <row r="31" spans="1:19" s="95" customFormat="1" ht="9" x14ac:dyDescent="0.15">
      <c r="A31" s="145" t="s">
        <v>23</v>
      </c>
      <c r="B31" s="139"/>
      <c r="C31" s="139"/>
      <c r="D31" s="140"/>
      <c r="E31" s="140"/>
      <c r="F31" s="140"/>
      <c r="G31" s="139"/>
      <c r="H31" s="139"/>
      <c r="I31" s="141"/>
      <c r="J31" s="139">
        <f t="shared" ref="J31:P31" si="1">SUM(J22:J30)</f>
        <v>0</v>
      </c>
      <c r="K31" s="139">
        <f t="shared" si="1"/>
        <v>0</v>
      </c>
      <c r="L31" s="139">
        <f t="shared" si="1"/>
        <v>0</v>
      </c>
      <c r="M31" s="139">
        <f t="shared" si="1"/>
        <v>0</v>
      </c>
      <c r="N31" s="140">
        <f t="shared" si="1"/>
        <v>0</v>
      </c>
      <c r="O31" s="140">
        <f t="shared" si="1"/>
        <v>0</v>
      </c>
      <c r="P31" s="141">
        <f t="shared" si="1"/>
        <v>0</v>
      </c>
      <c r="Q31" s="142"/>
      <c r="R31" s="97">
        <f>SUM(O22:O31)</f>
        <v>0</v>
      </c>
    </row>
    <row r="32" spans="1:19" s="95" customFormat="1" x14ac:dyDescent="0.2">
      <c r="A32" s="110" t="s">
        <v>283</v>
      </c>
      <c r="B32" s="111"/>
      <c r="C32" s="111"/>
      <c r="D32" s="111"/>
      <c r="E32" s="111"/>
      <c r="F32" s="111"/>
      <c r="G32" s="111"/>
      <c r="H32" s="111"/>
      <c r="I32" s="113"/>
      <c r="J32" s="114">
        <f t="shared" ref="J32:P32" si="2">SUM(J20,J31)</f>
        <v>1890</v>
      </c>
      <c r="K32" s="114">
        <f t="shared" si="2"/>
        <v>189</v>
      </c>
      <c r="L32" s="114">
        <f t="shared" si="2"/>
        <v>94.5</v>
      </c>
      <c r="M32" s="114">
        <f t="shared" si="2"/>
        <v>0</v>
      </c>
      <c r="N32" s="115">
        <f t="shared" si="2"/>
        <v>238004.86499999999</v>
      </c>
      <c r="O32" s="115">
        <f t="shared" si="2"/>
        <v>0</v>
      </c>
      <c r="P32" s="114">
        <f t="shared" si="2"/>
        <v>45</v>
      </c>
      <c r="Q32" s="116"/>
    </row>
    <row r="33" spans="1:17" s="95" customFormat="1" x14ac:dyDescent="0.2">
      <c r="A33" s="77"/>
      <c r="B33" s="39"/>
      <c r="C33" s="39"/>
      <c r="D33" s="39"/>
      <c r="E33" s="39"/>
      <c r="F33" s="39"/>
      <c r="G33" s="39"/>
      <c r="H33" s="39"/>
      <c r="I33" s="40"/>
      <c r="J33" s="39"/>
      <c r="K33" s="39"/>
      <c r="L33" s="39"/>
      <c r="M33" s="39"/>
      <c r="N33" s="39"/>
      <c r="O33" s="120"/>
      <c r="P33" s="120"/>
      <c r="Q33" s="39"/>
    </row>
    <row r="34" spans="1:17" s="95" customFormat="1" ht="9" x14ac:dyDescent="0.15">
      <c r="A34" s="38" t="s">
        <v>361</v>
      </c>
      <c r="B34" s="41"/>
      <c r="C34" s="41"/>
      <c r="D34" s="41"/>
      <c r="E34" s="41"/>
      <c r="F34" s="41"/>
      <c r="G34" s="41"/>
      <c r="H34" s="41"/>
      <c r="I34" s="42"/>
      <c r="J34" s="41"/>
      <c r="K34" s="41"/>
      <c r="L34" s="41"/>
      <c r="M34" s="41"/>
      <c r="N34" s="41"/>
      <c r="O34" s="121"/>
      <c r="P34" s="121"/>
      <c r="Q34" s="41"/>
    </row>
    <row r="35" spans="1:17" s="38" customFormat="1" ht="21" customHeight="1" x14ac:dyDescent="0.15">
      <c r="A35" s="682" t="s">
        <v>450</v>
      </c>
      <c r="B35" s="682"/>
      <c r="C35" s="682"/>
      <c r="D35" s="682"/>
      <c r="E35" s="682"/>
      <c r="F35" s="682"/>
      <c r="G35" s="682"/>
      <c r="H35" s="682"/>
      <c r="I35" s="682"/>
      <c r="J35" s="682"/>
      <c r="K35" s="682"/>
      <c r="L35" s="682"/>
      <c r="M35" s="682"/>
      <c r="N35" s="682"/>
      <c r="O35" s="682"/>
      <c r="P35" s="99"/>
      <c r="Q35" s="41"/>
    </row>
    <row r="36" spans="1:17" s="38" customFormat="1" ht="18.75" customHeight="1" x14ac:dyDescent="0.15">
      <c r="A36" s="682" t="s">
        <v>270</v>
      </c>
      <c r="B36" s="682"/>
      <c r="C36" s="682"/>
      <c r="D36" s="682"/>
      <c r="E36" s="682"/>
      <c r="F36" s="682"/>
      <c r="G36" s="682"/>
      <c r="H36" s="682"/>
      <c r="I36" s="682"/>
      <c r="J36" s="682"/>
      <c r="K36" s="682"/>
      <c r="L36" s="682"/>
      <c r="M36" s="682"/>
      <c r="N36" s="682"/>
      <c r="O36" s="682"/>
      <c r="P36" s="99"/>
      <c r="Q36" s="41"/>
    </row>
    <row r="37" spans="1:17" s="38" customFormat="1" ht="18.75" customHeight="1" x14ac:dyDescent="0.15">
      <c r="A37" s="682" t="s">
        <v>88</v>
      </c>
      <c r="B37" s="682"/>
      <c r="C37" s="682"/>
      <c r="D37" s="682"/>
      <c r="E37" s="682"/>
      <c r="F37" s="682"/>
      <c r="G37" s="682"/>
      <c r="H37" s="682"/>
      <c r="I37" s="682"/>
      <c r="J37" s="682"/>
      <c r="K37" s="682"/>
      <c r="L37" s="682"/>
      <c r="M37" s="682"/>
      <c r="N37" s="682"/>
      <c r="O37" s="682"/>
      <c r="P37" s="682"/>
      <c r="Q37" s="682"/>
    </row>
    <row r="38" spans="1:17" s="38" customFormat="1" ht="10.5" customHeight="1" x14ac:dyDescent="0.15">
      <c r="A38" s="38" t="s">
        <v>317</v>
      </c>
      <c r="B38" s="41"/>
      <c r="C38" s="41"/>
      <c r="D38" s="41"/>
      <c r="E38" s="41"/>
      <c r="F38" s="41"/>
      <c r="G38" s="41"/>
      <c r="H38" s="41"/>
      <c r="I38" s="42"/>
      <c r="J38" s="41"/>
      <c r="K38" s="41"/>
      <c r="L38" s="41"/>
      <c r="M38" s="41"/>
      <c r="N38" s="41"/>
      <c r="O38" s="121"/>
      <c r="P38" s="121"/>
      <c r="Q38" s="41"/>
    </row>
    <row r="39" spans="1:17" x14ac:dyDescent="0.2">
      <c r="A39" s="38" t="s">
        <v>412</v>
      </c>
    </row>
    <row r="40" spans="1:17" x14ac:dyDescent="0.2">
      <c r="A40" s="38" t="s">
        <v>411</v>
      </c>
    </row>
    <row r="41" spans="1:17" x14ac:dyDescent="0.2">
      <c r="A41" s="9" t="s">
        <v>410</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Normal="100" workbookViewId="0">
      <pane xSplit="1" ySplit="3" topLeftCell="E7" activePane="bottomRight" state="frozen"/>
      <selection activeCell="O55" sqref="O55"/>
      <selection pane="topRight" activeCell="O55" sqref="O55"/>
      <selection pane="bottomLeft" activeCell="O55" sqref="O55"/>
      <selection pane="bottomRight" activeCell="A23" sqref="A23"/>
    </sheetView>
  </sheetViews>
  <sheetFormatPr defaultColWidth="9.140625" defaultRowHeight="11.25" x14ac:dyDescent="0.2"/>
  <cols>
    <col min="1" max="1" width="30.140625" style="77" customWidth="1"/>
    <col min="2" max="2" width="8.85546875" style="39" bestFit="1" customWidth="1"/>
    <col min="3" max="3" width="8" style="39" hidden="1" customWidth="1"/>
    <col min="4" max="4" width="8.42578125" style="39" bestFit="1" customWidth="1"/>
    <col min="5" max="5" width="9.42578125" style="39" bestFit="1" customWidth="1"/>
    <col min="6" max="6" width="7.85546875" style="39" bestFit="1" customWidth="1"/>
    <col min="7" max="7" width="9.42578125" style="39" bestFit="1" customWidth="1"/>
    <col min="8" max="8" width="8.5703125" style="39" bestFit="1" customWidth="1"/>
    <col min="9" max="9" width="9.42578125" style="120" bestFit="1" customWidth="1"/>
    <col min="10" max="10" width="7.5703125" style="120" customWidth="1"/>
    <col min="11" max="11" width="6.85546875" style="120" bestFit="1" customWidth="1"/>
    <col min="12" max="12" width="9" style="120" customWidth="1"/>
    <col min="13" max="13" width="9" style="120" hidden="1" customWidth="1"/>
    <col min="14" max="14" width="10.140625" style="39" bestFit="1" customWidth="1"/>
    <col min="15" max="15" width="8.85546875" style="77" customWidth="1"/>
    <col min="16" max="16" width="8.5703125" style="77" bestFit="1" customWidth="1"/>
    <col min="17" max="17" width="4.42578125" style="77" bestFit="1" customWidth="1"/>
    <col min="18" max="19" width="0" style="77" hidden="1" customWidth="1"/>
    <col min="20" max="16384" width="9.140625" style="77"/>
  </cols>
  <sheetData>
    <row r="1" spans="1:21" x14ac:dyDescent="0.2">
      <c r="A1" s="684" t="s">
        <v>710</v>
      </c>
      <c r="B1" s="684"/>
      <c r="C1" s="684"/>
      <c r="D1" s="684"/>
      <c r="E1" s="684"/>
      <c r="F1" s="684"/>
      <c r="G1" s="684"/>
      <c r="H1" s="684"/>
      <c r="I1" s="684"/>
      <c r="J1" s="684"/>
      <c r="K1" s="684"/>
      <c r="L1" s="684"/>
      <c r="M1" s="684"/>
      <c r="N1" s="684"/>
      <c r="O1" s="684"/>
      <c r="P1" s="684"/>
      <c r="Q1" s="684"/>
    </row>
    <row r="2" spans="1:21" x14ac:dyDescent="0.2">
      <c r="A2" s="685" t="s">
        <v>595</v>
      </c>
      <c r="B2" s="685"/>
      <c r="C2" s="685"/>
      <c r="D2" s="685"/>
      <c r="E2" s="685"/>
      <c r="F2" s="685"/>
      <c r="G2" s="685"/>
      <c r="H2" s="685"/>
      <c r="I2" s="685"/>
      <c r="J2" s="685"/>
      <c r="K2" s="685"/>
      <c r="L2" s="685"/>
      <c r="M2" s="685"/>
      <c r="N2" s="685"/>
      <c r="O2" s="685"/>
      <c r="P2" s="685"/>
      <c r="Q2" s="685"/>
    </row>
    <row r="3" spans="1:21" s="117" customFormat="1" ht="54" x14ac:dyDescent="0.15">
      <c r="A3" s="32" t="s">
        <v>280</v>
      </c>
      <c r="B3" s="32" t="s">
        <v>281</v>
      </c>
      <c r="C3" s="32" t="s">
        <v>308</v>
      </c>
      <c r="D3" s="32" t="s">
        <v>1</v>
      </c>
      <c r="E3" s="32" t="s">
        <v>87</v>
      </c>
      <c r="F3" s="32" t="s">
        <v>2</v>
      </c>
      <c r="G3" s="32" t="s">
        <v>148</v>
      </c>
      <c r="H3" s="32" t="s">
        <v>335</v>
      </c>
      <c r="I3" s="43" t="s">
        <v>336</v>
      </c>
      <c r="J3" s="70" t="s">
        <v>623</v>
      </c>
      <c r="K3" s="70" t="s">
        <v>624</v>
      </c>
      <c r="L3" s="70" t="s">
        <v>625</v>
      </c>
      <c r="M3" s="32" t="s">
        <v>279</v>
      </c>
      <c r="N3" s="32" t="s">
        <v>5</v>
      </c>
      <c r="O3" s="70" t="s">
        <v>89</v>
      </c>
      <c r="P3" s="70" t="s">
        <v>147</v>
      </c>
      <c r="Q3" s="106" t="s">
        <v>282</v>
      </c>
      <c r="R3" s="117" t="s">
        <v>225</v>
      </c>
      <c r="S3" s="117" t="s">
        <v>226</v>
      </c>
      <c r="U3" s="349"/>
    </row>
    <row r="4" spans="1:21" s="95" customFormat="1" ht="9" x14ac:dyDescent="0.15">
      <c r="A4" s="118" t="s">
        <v>284</v>
      </c>
      <c r="B4" s="103" t="s">
        <v>311</v>
      </c>
      <c r="C4" s="103"/>
      <c r="D4" s="105"/>
      <c r="E4" s="105"/>
      <c r="F4" s="105"/>
      <c r="G4" s="103"/>
      <c r="H4" s="103"/>
      <c r="I4" s="107"/>
      <c r="J4" s="103"/>
      <c r="K4" s="103"/>
      <c r="L4" s="103"/>
      <c r="M4" s="103"/>
      <c r="N4" s="105"/>
      <c r="O4" s="105"/>
      <c r="P4" s="105"/>
      <c r="Q4" s="143"/>
      <c r="U4" s="250"/>
    </row>
    <row r="5" spans="1:21" s="95" customFormat="1" ht="9" x14ac:dyDescent="0.15">
      <c r="A5" s="91" t="s">
        <v>285</v>
      </c>
      <c r="B5" s="31" t="s">
        <v>311</v>
      </c>
      <c r="C5" s="31"/>
      <c r="D5" s="37"/>
      <c r="E5" s="37"/>
      <c r="F5" s="37"/>
      <c r="G5" s="31"/>
      <c r="H5" s="31"/>
      <c r="I5" s="64"/>
      <c r="J5" s="31"/>
      <c r="K5" s="31"/>
      <c r="L5" s="31"/>
      <c r="M5" s="31"/>
      <c r="N5" s="37"/>
      <c r="O5" s="37"/>
      <c r="P5" s="37"/>
      <c r="Q5" s="66"/>
      <c r="U5" s="250"/>
    </row>
    <row r="6" spans="1:21" s="95" customFormat="1" ht="9" x14ac:dyDescent="0.15">
      <c r="A6" s="91" t="s">
        <v>286</v>
      </c>
      <c r="B6" s="31"/>
      <c r="C6" s="31"/>
      <c r="D6" s="37"/>
      <c r="E6" s="37"/>
      <c r="F6" s="37"/>
      <c r="G6" s="31"/>
      <c r="H6" s="31"/>
      <c r="I6" s="64"/>
      <c r="J6" s="31"/>
      <c r="K6" s="31"/>
      <c r="L6" s="31"/>
      <c r="M6" s="31"/>
      <c r="N6" s="37"/>
      <c r="O6" s="37"/>
      <c r="P6" s="37"/>
      <c r="Q6" s="66"/>
      <c r="U6" s="250"/>
    </row>
    <row r="7" spans="1:21" s="95" customFormat="1" ht="9" x14ac:dyDescent="0.15">
      <c r="A7" s="91" t="s">
        <v>626</v>
      </c>
      <c r="B7" s="31">
        <v>5</v>
      </c>
      <c r="C7" s="31"/>
      <c r="D7" s="37">
        <v>0</v>
      </c>
      <c r="E7" s="37">
        <v>0</v>
      </c>
      <c r="F7" s="37">
        <v>0</v>
      </c>
      <c r="G7" s="31">
        <v>1</v>
      </c>
      <c r="H7" s="31">
        <f>B7*G7</f>
        <v>5</v>
      </c>
      <c r="I7" s="63">
        <f>'Base Data'!$H$42+'Base Data'!$H$41+SUM('Base Data'!$H$78/3)</f>
        <v>45</v>
      </c>
      <c r="J7" s="63">
        <f>H7*I7</f>
        <v>225</v>
      </c>
      <c r="K7" s="63">
        <f>J7*0.1</f>
        <v>22.5</v>
      </c>
      <c r="L7" s="63">
        <f>J7*0.05</f>
        <v>11.25</v>
      </c>
      <c r="M7" s="31">
        <f>C7*G7*I7</f>
        <v>0</v>
      </c>
      <c r="N7" s="37">
        <f>(J7*'Base Data'!$C$5)+(K7*'Base Data'!$C$6)+(L7*'Base Data'!$C$7)</f>
        <v>28333.912499999999</v>
      </c>
      <c r="O7" s="37">
        <f>(D7+E7+F7)*G7*I7</f>
        <v>0</v>
      </c>
      <c r="P7" s="64">
        <v>0</v>
      </c>
      <c r="Q7" s="66" t="s">
        <v>276</v>
      </c>
      <c r="U7" s="250"/>
    </row>
    <row r="8" spans="1:21" s="95" customFormat="1" ht="9" x14ac:dyDescent="0.15">
      <c r="A8" s="91" t="s">
        <v>288</v>
      </c>
      <c r="B8" s="31"/>
      <c r="C8" s="31"/>
      <c r="D8" s="37"/>
      <c r="E8" s="37"/>
      <c r="F8" s="37"/>
      <c r="G8" s="31"/>
      <c r="H8" s="31"/>
      <c r="I8" s="64"/>
      <c r="J8" s="31"/>
      <c r="K8" s="31"/>
      <c r="L8" s="31"/>
      <c r="M8" s="31"/>
      <c r="N8" s="37"/>
      <c r="O8" s="37"/>
      <c r="P8" s="64"/>
      <c r="Q8" s="66"/>
      <c r="U8" s="250"/>
    </row>
    <row r="9" spans="1:21" s="95" customFormat="1" ht="9" x14ac:dyDescent="0.15">
      <c r="A9" s="91" t="s">
        <v>302</v>
      </c>
      <c r="B9" s="31"/>
      <c r="C9" s="31"/>
      <c r="D9" s="365"/>
      <c r="E9" s="37"/>
      <c r="F9" s="37"/>
      <c r="G9" s="31"/>
      <c r="H9" s="31"/>
      <c r="I9" s="63"/>
      <c r="J9" s="63"/>
      <c r="K9" s="63"/>
      <c r="L9" s="63"/>
      <c r="M9" s="65"/>
      <c r="N9" s="37"/>
      <c r="O9" s="37"/>
      <c r="P9" s="64"/>
      <c r="Q9" s="66"/>
      <c r="R9" s="66"/>
      <c r="U9" s="250"/>
    </row>
    <row r="10" spans="1:21" s="95" customFormat="1" ht="9" x14ac:dyDescent="0.15">
      <c r="A10" s="90" t="s">
        <v>211</v>
      </c>
      <c r="B10" s="31">
        <v>20</v>
      </c>
      <c r="C10" s="31"/>
      <c r="D10" s="37">
        <v>854</v>
      </c>
      <c r="E10" s="37">
        <v>0</v>
      </c>
      <c r="F10" s="37">
        <v>0</v>
      </c>
      <c r="G10" s="31">
        <v>1</v>
      </c>
      <c r="H10" s="31">
        <f>B10*G10</f>
        <v>20</v>
      </c>
      <c r="I10" s="63">
        <v>0</v>
      </c>
      <c r="J10" s="64">
        <f>H10*I10</f>
        <v>0</v>
      </c>
      <c r="K10" s="64">
        <f>J10*0.1</f>
        <v>0</v>
      </c>
      <c r="L10" s="64">
        <f>J10*0.05</f>
        <v>0</v>
      </c>
      <c r="M10" s="65">
        <f>C10*G10*I10</f>
        <v>0</v>
      </c>
      <c r="N10" s="37">
        <f>(J10*'Base Data'!$C$5)+(K10*'Base Data'!$C$6)+(L10*'Base Data'!$C$7)</f>
        <v>0</v>
      </c>
      <c r="O10" s="37">
        <f>(D10+E10+F10)*G10*I10</f>
        <v>0</v>
      </c>
      <c r="P10" s="64">
        <v>0</v>
      </c>
      <c r="Q10" s="66" t="s">
        <v>316</v>
      </c>
      <c r="R10" s="66"/>
      <c r="U10" s="250"/>
    </row>
    <row r="11" spans="1:21" s="95"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316</v>
      </c>
      <c r="R11" s="66"/>
      <c r="U11" s="250"/>
    </row>
    <row r="12" spans="1:21" s="95" customFormat="1" ht="9" x14ac:dyDescent="0.15">
      <c r="A12" s="91" t="s">
        <v>199</v>
      </c>
      <c r="B12" s="31">
        <v>12</v>
      </c>
      <c r="C12" s="31"/>
      <c r="D12" s="37">
        <v>0</v>
      </c>
      <c r="E12" s="37">
        <v>2228</v>
      </c>
      <c r="F12" s="37">
        <v>0</v>
      </c>
      <c r="G12" s="31">
        <v>0.5</v>
      </c>
      <c r="H12" s="31">
        <f>B12*G12</f>
        <v>6</v>
      </c>
      <c r="I12" s="63">
        <f>('Base Data'!$D$42+'Base Data'!$D$41+SUM('Base Data'!$D$78/3))</f>
        <v>385</v>
      </c>
      <c r="J12" s="63">
        <f>H12*I12</f>
        <v>2310</v>
      </c>
      <c r="K12" s="454">
        <f>J12*0.1</f>
        <v>231</v>
      </c>
      <c r="L12" s="454">
        <f>J12*0.05</f>
        <v>115.5</v>
      </c>
      <c r="M12" s="64"/>
      <c r="N12" s="37">
        <f>(J12*'Base Data'!$C$5)+(K12*'Base Data'!$C$6)+(L12*'Base Data'!$C$7)</f>
        <v>290894.83500000002</v>
      </c>
      <c r="O12" s="37">
        <f>(D12+E12+F12)*I12</f>
        <v>857780</v>
      </c>
      <c r="P12" s="64">
        <v>0</v>
      </c>
      <c r="Q12" s="66" t="s">
        <v>551</v>
      </c>
      <c r="U12" s="250"/>
    </row>
    <row r="13" spans="1:21" s="95" customFormat="1" ht="9" x14ac:dyDescent="0.15">
      <c r="A13" s="91" t="s">
        <v>294</v>
      </c>
      <c r="B13" s="31" t="s">
        <v>311</v>
      </c>
      <c r="C13" s="31"/>
      <c r="D13" s="37"/>
      <c r="E13" s="37"/>
      <c r="F13" s="37"/>
      <c r="G13" s="31"/>
      <c r="H13" s="31"/>
      <c r="I13" s="64"/>
      <c r="J13" s="31"/>
      <c r="K13" s="31"/>
      <c r="L13" s="31"/>
      <c r="M13" s="31"/>
      <c r="N13" s="37"/>
      <c r="O13" s="37"/>
      <c r="P13" s="64"/>
      <c r="Q13" s="66"/>
      <c r="U13" s="250"/>
    </row>
    <row r="14" spans="1:21" s="95" customFormat="1" ht="9" x14ac:dyDescent="0.15">
      <c r="A14" s="91" t="s">
        <v>295</v>
      </c>
      <c r="B14" s="31" t="s">
        <v>311</v>
      </c>
      <c r="C14" s="31"/>
      <c r="D14" s="37"/>
      <c r="E14" s="37"/>
      <c r="F14" s="37"/>
      <c r="G14" s="31"/>
      <c r="H14" s="31"/>
      <c r="I14" s="64"/>
      <c r="J14" s="31"/>
      <c r="K14" s="31"/>
      <c r="L14" s="31"/>
      <c r="M14" s="31"/>
      <c r="N14" s="37"/>
      <c r="O14" s="37"/>
      <c r="P14" s="64"/>
      <c r="Q14" s="66"/>
      <c r="U14" s="250"/>
    </row>
    <row r="15" spans="1:21" s="95" customFormat="1" ht="9" x14ac:dyDescent="0.15">
      <c r="A15" s="91" t="s">
        <v>296</v>
      </c>
      <c r="B15" s="31"/>
      <c r="C15" s="31"/>
      <c r="D15" s="37"/>
      <c r="E15" s="37"/>
      <c r="F15" s="37"/>
      <c r="G15" s="31"/>
      <c r="H15" s="31"/>
      <c r="I15" s="64"/>
      <c r="J15" s="31"/>
      <c r="K15" s="31"/>
      <c r="L15" s="31"/>
      <c r="M15" s="31"/>
      <c r="N15" s="37"/>
      <c r="O15" s="37"/>
      <c r="P15" s="64"/>
      <c r="Q15" s="66"/>
      <c r="U15" s="250"/>
    </row>
    <row r="16" spans="1:21" s="95" customFormat="1" ht="9" x14ac:dyDescent="0.15">
      <c r="A16" s="101" t="s">
        <v>312</v>
      </c>
      <c r="B16" s="31">
        <v>2</v>
      </c>
      <c r="C16" s="31"/>
      <c r="D16" s="37">
        <v>0</v>
      </c>
      <c r="E16" s="37">
        <v>0</v>
      </c>
      <c r="F16" s="37">
        <v>0</v>
      </c>
      <c r="G16" s="31">
        <v>1</v>
      </c>
      <c r="H16" s="31">
        <f>B16*G16</f>
        <v>2</v>
      </c>
      <c r="I16" s="63">
        <v>0</v>
      </c>
      <c r="J16" s="63">
        <f>H16*I16</f>
        <v>0</v>
      </c>
      <c r="K16" s="63">
        <f>J16*0.1</f>
        <v>0</v>
      </c>
      <c r="L16" s="63">
        <f>J16*0.05</f>
        <v>0</v>
      </c>
      <c r="M16" s="31">
        <f>C16*G16*I16</f>
        <v>0</v>
      </c>
      <c r="N16" s="37">
        <f>(J16*'Base Data'!$C$5)+(K16*'Base Data'!$C$6)+(L16*'Base Data'!$C$7)</f>
        <v>0</v>
      </c>
      <c r="O16" s="37">
        <f>(D16+E16+F16)*G16*I16</f>
        <v>0</v>
      </c>
      <c r="P16" s="64">
        <f>G16*I16</f>
        <v>0</v>
      </c>
      <c r="Q16" s="66" t="s">
        <v>276</v>
      </c>
      <c r="U16" s="250"/>
    </row>
    <row r="17" spans="1:21" s="95" customFormat="1" ht="9" x14ac:dyDescent="0.15">
      <c r="A17" s="101" t="s">
        <v>273</v>
      </c>
      <c r="B17" s="31">
        <v>8</v>
      </c>
      <c r="C17" s="31"/>
      <c r="D17" s="37">
        <v>0</v>
      </c>
      <c r="E17" s="37">
        <v>0</v>
      </c>
      <c r="F17" s="37">
        <v>0</v>
      </c>
      <c r="G17" s="31">
        <v>1</v>
      </c>
      <c r="H17" s="31">
        <f>B17*G17</f>
        <v>8</v>
      </c>
      <c r="I17" s="63">
        <v>0</v>
      </c>
      <c r="J17" s="63">
        <f>H17*I17</f>
        <v>0</v>
      </c>
      <c r="K17" s="454">
        <f>J17*0.1</f>
        <v>0</v>
      </c>
      <c r="L17" s="454">
        <f>J17*0.05</f>
        <v>0</v>
      </c>
      <c r="M17" s="31">
        <f>C17*G17*I17</f>
        <v>0</v>
      </c>
      <c r="N17" s="37">
        <f>(J17*'Base Data'!$C$5)+(K17*'Base Data'!$C$6)+(L17*'Base Data'!$C$7)</f>
        <v>0</v>
      </c>
      <c r="O17" s="37">
        <f>(D17+E17+F17)*G17*I17</f>
        <v>0</v>
      </c>
      <c r="P17" s="64">
        <f>G17*I17</f>
        <v>0</v>
      </c>
      <c r="Q17" s="66" t="s">
        <v>277</v>
      </c>
      <c r="U17" s="250"/>
    </row>
    <row r="18" spans="1:21" s="95" customFormat="1" ht="9" x14ac:dyDescent="0.15">
      <c r="A18" s="92" t="s">
        <v>198</v>
      </c>
      <c r="B18" s="31">
        <v>5</v>
      </c>
      <c r="C18" s="31"/>
      <c r="D18" s="37">
        <v>0</v>
      </c>
      <c r="E18" s="37">
        <v>0</v>
      </c>
      <c r="F18" s="37">
        <v>0</v>
      </c>
      <c r="G18" s="31">
        <v>0.5</v>
      </c>
      <c r="H18" s="31">
        <f>B18*G18</f>
        <v>2.5</v>
      </c>
      <c r="I18" s="63">
        <f>'Base Data'!$H$42+'Base Data'!$H$41+SUM('Base Data'!$H$78/3)</f>
        <v>45</v>
      </c>
      <c r="J18" s="63">
        <f>H18*I18</f>
        <v>112.5</v>
      </c>
      <c r="K18" s="454">
        <f>J18*0.1</f>
        <v>11.25</v>
      </c>
      <c r="L18" s="454">
        <f>J18*0.05</f>
        <v>5.625</v>
      </c>
      <c r="M18" s="31">
        <f>C18*G18*I18</f>
        <v>0</v>
      </c>
      <c r="N18" s="37">
        <f>(J18*'Base Data'!$C$5)+(K18*'Base Data'!$C$6)+(L18*'Base Data'!$C$7)</f>
        <v>14166.956249999999</v>
      </c>
      <c r="O18" s="37">
        <f>(D18+E18+F18)*G18*I18</f>
        <v>0</v>
      </c>
      <c r="P18" s="64">
        <f>G18*I18</f>
        <v>22.5</v>
      </c>
      <c r="Q18" s="66" t="s">
        <v>9</v>
      </c>
      <c r="U18" s="250"/>
    </row>
    <row r="19" spans="1:21" s="4" customFormat="1" ht="9" x14ac:dyDescent="0.15">
      <c r="A19" s="101" t="s">
        <v>365</v>
      </c>
      <c r="B19" s="31">
        <v>5</v>
      </c>
      <c r="C19" s="31"/>
      <c r="D19" s="37">
        <v>0</v>
      </c>
      <c r="E19" s="37">
        <v>0</v>
      </c>
      <c r="F19" s="37">
        <v>0</v>
      </c>
      <c r="G19" s="31">
        <v>1</v>
      </c>
      <c r="H19" s="31">
        <f>B19*G19</f>
        <v>5</v>
      </c>
      <c r="I19" s="63">
        <v>0</v>
      </c>
      <c r="J19" s="64">
        <f>H19*I19</f>
        <v>0</v>
      </c>
      <c r="K19" s="64">
        <f>J19*0.1</f>
        <v>0</v>
      </c>
      <c r="L19" s="457">
        <f>J19*0.05</f>
        <v>0</v>
      </c>
      <c r="M19" s="31">
        <f>C19*G19*I19</f>
        <v>0</v>
      </c>
      <c r="N19" s="37">
        <f>(J19*'Base Data'!$C$5)+(K19*'Base Data'!$C$6)+(L19*'Base Data'!$C$7)</f>
        <v>0</v>
      </c>
      <c r="O19" s="37">
        <f>(D19+E19+F19)*G19*I19</f>
        <v>0</v>
      </c>
      <c r="P19" s="64">
        <f>G19*I19</f>
        <v>0</v>
      </c>
      <c r="Q19" s="66" t="s">
        <v>277</v>
      </c>
      <c r="U19" s="185"/>
    </row>
    <row r="20" spans="1:21" s="4" customFormat="1" ht="9" hidden="1" x14ac:dyDescent="0.15">
      <c r="A20" s="101"/>
      <c r="B20" s="31"/>
      <c r="C20" s="31"/>
      <c r="D20" s="37"/>
      <c r="E20" s="37"/>
      <c r="F20" s="37"/>
      <c r="G20" s="31"/>
      <c r="H20" s="31"/>
      <c r="I20" s="63"/>
      <c r="J20" s="367">
        <f>SUM(J7:J19)</f>
        <v>2647.5</v>
      </c>
      <c r="K20" s="367">
        <f>SUM(K7:K19)</f>
        <v>264.75</v>
      </c>
      <c r="L20" s="367">
        <f>SUM(L7:L19)</f>
        <v>132.375</v>
      </c>
      <c r="M20" s="31"/>
      <c r="N20" s="37"/>
      <c r="O20" s="37"/>
      <c r="P20" s="64"/>
      <c r="Q20" s="66"/>
      <c r="U20" s="185"/>
    </row>
    <row r="21" spans="1:21" s="371" customFormat="1" ht="9" x14ac:dyDescent="0.15">
      <c r="A21" s="376" t="s">
        <v>4</v>
      </c>
      <c r="B21" s="364"/>
      <c r="C21" s="364"/>
      <c r="D21" s="365"/>
      <c r="E21" s="365"/>
      <c r="F21" s="365"/>
      <c r="G21" s="364"/>
      <c r="H21" s="364"/>
      <c r="I21" s="367"/>
      <c r="J21" s="727">
        <f>J20+K20+L20</f>
        <v>3044.625</v>
      </c>
      <c r="K21" s="750"/>
      <c r="L21" s="751"/>
      <c r="M21" s="367">
        <f>SUM(M7:M19)</f>
        <v>0</v>
      </c>
      <c r="N21" s="365">
        <f>SUM(N7:N19)</f>
        <v>333395.70374999999</v>
      </c>
      <c r="O21" s="365">
        <f>SUM(O7:O19)</f>
        <v>857780</v>
      </c>
      <c r="P21" s="367">
        <f>ROUNDUP(SUM(P7:P19),0)</f>
        <v>23</v>
      </c>
      <c r="Q21" s="368"/>
      <c r="R21" s="370">
        <f>SUM(O7:O12)</f>
        <v>857780</v>
      </c>
      <c r="S21" s="371">
        <f>0</f>
        <v>0</v>
      </c>
      <c r="U21" s="378"/>
    </row>
    <row r="22" spans="1:21" s="95" customFormat="1" ht="9" x14ac:dyDescent="0.15">
      <c r="A22" s="91" t="s">
        <v>309</v>
      </c>
      <c r="B22" s="31"/>
      <c r="C22" s="31"/>
      <c r="D22" s="37"/>
      <c r="E22" s="37"/>
      <c r="F22" s="37"/>
      <c r="G22" s="31"/>
      <c r="H22" s="31"/>
      <c r="I22" s="64"/>
      <c r="J22" s="31"/>
      <c r="K22" s="31"/>
      <c r="L22" s="31"/>
      <c r="M22" s="31"/>
      <c r="N22" s="37"/>
      <c r="O22" s="37"/>
      <c r="P22" s="64"/>
      <c r="Q22" s="66"/>
      <c r="U22" s="250"/>
    </row>
    <row r="23" spans="1:21" s="95" customFormat="1" ht="9" x14ac:dyDescent="0.15">
      <c r="A23" s="91" t="s">
        <v>626</v>
      </c>
      <c r="B23" s="31" t="s">
        <v>301</v>
      </c>
      <c r="C23" s="31"/>
      <c r="D23" s="37"/>
      <c r="E23" s="37"/>
      <c r="F23" s="37"/>
      <c r="G23" s="31"/>
      <c r="H23" s="31"/>
      <c r="I23" s="64"/>
      <c r="J23" s="31"/>
      <c r="K23" s="31"/>
      <c r="L23" s="31"/>
      <c r="M23" s="31"/>
      <c r="N23" s="37"/>
      <c r="O23" s="37"/>
      <c r="P23" s="64"/>
      <c r="Q23" s="66"/>
      <c r="U23" s="250"/>
    </row>
    <row r="24" spans="1:21" s="95" customFormat="1" ht="9" x14ac:dyDescent="0.15">
      <c r="A24" s="91" t="s">
        <v>298</v>
      </c>
      <c r="B24" s="31" t="s">
        <v>311</v>
      </c>
      <c r="C24" s="31"/>
      <c r="D24" s="37"/>
      <c r="E24" s="37"/>
      <c r="F24" s="37"/>
      <c r="G24" s="31"/>
      <c r="H24" s="31"/>
      <c r="I24" s="64"/>
      <c r="J24" s="31"/>
      <c r="K24" s="31"/>
      <c r="L24" s="31"/>
      <c r="M24" s="31"/>
      <c r="N24" s="37"/>
      <c r="O24" s="37"/>
      <c r="P24" s="64"/>
      <c r="Q24" s="66"/>
      <c r="U24" s="250"/>
    </row>
    <row r="25" spans="1:21" s="95" customFormat="1" ht="9" x14ac:dyDescent="0.15">
      <c r="A25" s="91" t="s">
        <v>299</v>
      </c>
      <c r="B25" s="31" t="s">
        <v>311</v>
      </c>
      <c r="C25" s="31"/>
      <c r="D25" s="37"/>
      <c r="E25" s="37"/>
      <c r="F25" s="37"/>
      <c r="G25" s="31"/>
      <c r="H25" s="31"/>
      <c r="I25" s="64"/>
      <c r="J25" s="31"/>
      <c r="K25" s="31"/>
      <c r="L25" s="31"/>
      <c r="M25" s="31"/>
      <c r="N25" s="37"/>
      <c r="O25" s="37"/>
      <c r="P25" s="64"/>
      <c r="Q25" s="66" t="s">
        <v>278</v>
      </c>
      <c r="U25" s="250"/>
    </row>
    <row r="26" spans="1:21" s="95" customFormat="1" ht="9" x14ac:dyDescent="0.15">
      <c r="A26" s="91" t="s">
        <v>300</v>
      </c>
      <c r="B26" s="31"/>
      <c r="C26" s="31"/>
      <c r="D26" s="37"/>
      <c r="E26" s="37"/>
      <c r="F26" s="37"/>
      <c r="G26" s="31"/>
      <c r="H26" s="31"/>
      <c r="I26" s="64"/>
      <c r="J26" s="31"/>
      <c r="K26" s="31"/>
      <c r="L26" s="31"/>
      <c r="M26" s="31"/>
      <c r="N26" s="37"/>
      <c r="O26" s="37"/>
      <c r="P26" s="64"/>
      <c r="Q26" s="66"/>
      <c r="U26" s="250"/>
    </row>
    <row r="27" spans="1:21" s="95" customFormat="1" ht="19.5" customHeight="1" x14ac:dyDescent="0.15">
      <c r="A27" s="101" t="s">
        <v>271</v>
      </c>
      <c r="B27" s="31">
        <v>2</v>
      </c>
      <c r="C27" s="31">
        <v>0</v>
      </c>
      <c r="D27" s="37">
        <v>0</v>
      </c>
      <c r="E27" s="37">
        <v>0</v>
      </c>
      <c r="F27" s="37">
        <v>0</v>
      </c>
      <c r="G27" s="31">
        <v>0.5</v>
      </c>
      <c r="H27" s="31">
        <f>B27*G27</f>
        <v>1</v>
      </c>
      <c r="I27" s="63">
        <f>I18</f>
        <v>45</v>
      </c>
      <c r="J27" s="63">
        <f>H27*I27</f>
        <v>45</v>
      </c>
      <c r="K27" s="454">
        <f>J27*0.1</f>
        <v>4.5</v>
      </c>
      <c r="L27" s="454">
        <f>J27*0.05</f>
        <v>2.25</v>
      </c>
      <c r="M27" s="31">
        <f>C27*G27*I27</f>
        <v>0</v>
      </c>
      <c r="N27" s="37">
        <f>(J27*'Base Data'!$C$5)+(K27*'Base Data'!$C$6)+(L27*'Base Data'!$C$7)</f>
        <v>5666.7825000000012</v>
      </c>
      <c r="O27" s="37">
        <f>(D27+E27+F27)*G27*I27</f>
        <v>0</v>
      </c>
      <c r="P27" s="64">
        <v>0</v>
      </c>
      <c r="Q27" s="66" t="s">
        <v>277</v>
      </c>
      <c r="U27" s="250"/>
    </row>
    <row r="28" spans="1:21" s="95" customFormat="1" ht="18" x14ac:dyDescent="0.15">
      <c r="A28" s="101" t="s">
        <v>272</v>
      </c>
      <c r="B28" s="31">
        <v>15</v>
      </c>
      <c r="C28" s="31">
        <v>0</v>
      </c>
      <c r="D28" s="37">
        <v>0</v>
      </c>
      <c r="E28" s="37">
        <v>0</v>
      </c>
      <c r="F28" s="37">
        <v>0</v>
      </c>
      <c r="G28" s="31">
        <v>1</v>
      </c>
      <c r="H28" s="31">
        <f>B28*G28</f>
        <v>15</v>
      </c>
      <c r="I28" s="63">
        <v>0</v>
      </c>
      <c r="J28" s="63">
        <f>H28*I28</f>
        <v>0</v>
      </c>
      <c r="K28" s="63">
        <f>J28*0.1</f>
        <v>0</v>
      </c>
      <c r="L28" s="63">
        <f>J28*0.05</f>
        <v>0</v>
      </c>
      <c r="M28" s="31">
        <f>C28*G28*I28</f>
        <v>0</v>
      </c>
      <c r="N28" s="37">
        <f>(J28*'Base Data'!$C$5)+(K28*'Base Data'!$C$6)+(L28*'Base Data'!$C$7)</f>
        <v>0</v>
      </c>
      <c r="O28" s="37">
        <f>(D28+E28+F28)*G28*I28</f>
        <v>0</v>
      </c>
      <c r="P28" s="64">
        <v>0</v>
      </c>
      <c r="Q28" s="66" t="s">
        <v>10</v>
      </c>
      <c r="U28" s="250"/>
    </row>
    <row r="29" spans="1:21" s="95" customFormat="1" ht="9" x14ac:dyDescent="0.15">
      <c r="A29" s="101" t="s">
        <v>200</v>
      </c>
      <c r="B29" s="31">
        <v>0.5</v>
      </c>
      <c r="C29" s="31"/>
      <c r="D29" s="37">
        <v>0</v>
      </c>
      <c r="E29" s="37">
        <v>0</v>
      </c>
      <c r="F29" s="37">
        <v>0</v>
      </c>
      <c r="G29" s="31">
        <v>0.5</v>
      </c>
      <c r="H29" s="31">
        <f>B29*G29</f>
        <v>0.25</v>
      </c>
      <c r="I29" s="63">
        <f>I12</f>
        <v>385</v>
      </c>
      <c r="J29" s="63">
        <f>H29*I29</f>
        <v>96.25</v>
      </c>
      <c r="K29" s="454">
        <f>J29*0.1</f>
        <v>9.625</v>
      </c>
      <c r="L29" s="454">
        <f>J29*0.05</f>
        <v>4.8125</v>
      </c>
      <c r="M29" s="31">
        <f>C29*G29*I29</f>
        <v>0</v>
      </c>
      <c r="N29" s="37">
        <f>(J29*'Base Data'!$C$5)+(K29*'Base Data'!$C$6)+(L29*'Base Data'!$C$7)</f>
        <v>12120.618125000001</v>
      </c>
      <c r="O29" s="37">
        <f>(D29+E29+F29)*G29*I29</f>
        <v>0</v>
      </c>
      <c r="P29" s="64">
        <v>0</v>
      </c>
      <c r="Q29" s="66" t="s">
        <v>9</v>
      </c>
      <c r="U29" s="250"/>
    </row>
    <row r="30" spans="1:21" s="4" customFormat="1" ht="9" x14ac:dyDescent="0.15">
      <c r="A30" s="90" t="s">
        <v>305</v>
      </c>
      <c r="B30" s="31">
        <v>40</v>
      </c>
      <c r="C30" s="31"/>
      <c r="D30" s="37">
        <v>0</v>
      </c>
      <c r="E30" s="37">
        <v>0</v>
      </c>
      <c r="F30" s="37">
        <v>0</v>
      </c>
      <c r="G30" s="31">
        <v>1</v>
      </c>
      <c r="H30" s="31">
        <f>B30*G30</f>
        <v>40</v>
      </c>
      <c r="I30" s="63">
        <f>ROUND(('Base Data'!$H$42+'Base Data'!$H$41+SUM('Base Data'!$H$78/3))/2,0)</f>
        <v>23</v>
      </c>
      <c r="J30" s="64">
        <f>H30*I30</f>
        <v>920</v>
      </c>
      <c r="K30" s="64">
        <f>J30*0.1</f>
        <v>92</v>
      </c>
      <c r="L30" s="64">
        <f>J30*0.05</f>
        <v>46</v>
      </c>
      <c r="M30" s="31"/>
      <c r="N30" s="37">
        <f>(J30*'Base Data'!$C$5)+(K30*'Base Data'!$C$6)+(L30*'Base Data'!$C$7)</f>
        <v>115854.22000000002</v>
      </c>
      <c r="O30" s="37">
        <f>(D30+E30+F30)*G30*I30</f>
        <v>0</v>
      </c>
      <c r="P30" s="64">
        <v>0</v>
      </c>
      <c r="Q30" s="66" t="s">
        <v>74</v>
      </c>
      <c r="U30" s="185"/>
    </row>
    <row r="31" spans="1:21" s="95" customFormat="1" ht="9" x14ac:dyDescent="0.15">
      <c r="A31" s="91" t="s">
        <v>306</v>
      </c>
      <c r="B31" s="31" t="s">
        <v>311</v>
      </c>
      <c r="C31" s="31"/>
      <c r="D31" s="37"/>
      <c r="E31" s="37"/>
      <c r="F31" s="37"/>
      <c r="G31" s="31"/>
      <c r="H31" s="31"/>
      <c r="I31" s="64"/>
      <c r="J31" s="31"/>
      <c r="K31" s="31"/>
      <c r="L31" s="31"/>
      <c r="M31" s="31"/>
      <c r="N31" s="37"/>
      <c r="O31" s="37"/>
      <c r="P31" s="64"/>
      <c r="Q31" s="66"/>
      <c r="U31" s="250"/>
    </row>
    <row r="32" spans="1:21" s="95" customFormat="1" ht="9" hidden="1" x14ac:dyDescent="0.15">
      <c r="A32" s="450"/>
      <c r="B32" s="437"/>
      <c r="C32" s="437"/>
      <c r="D32" s="438"/>
      <c r="E32" s="438"/>
      <c r="F32" s="438"/>
      <c r="G32" s="437"/>
      <c r="H32" s="437"/>
      <c r="I32" s="439"/>
      <c r="J32" s="372">
        <f>SUM(J23:J31)</f>
        <v>1061.25</v>
      </c>
      <c r="K32" s="372">
        <f>SUM(K23:K31)</f>
        <v>106.125</v>
      </c>
      <c r="L32" s="372">
        <f>SUM(L23:L31)</f>
        <v>53.0625</v>
      </c>
      <c r="M32" s="437"/>
      <c r="N32" s="438"/>
      <c r="O32" s="438"/>
      <c r="P32" s="64"/>
      <c r="Q32" s="440"/>
      <c r="U32" s="250"/>
    </row>
    <row r="33" spans="1:21" s="371" customFormat="1" ht="9" x14ac:dyDescent="0.15">
      <c r="A33" s="377" t="s">
        <v>23</v>
      </c>
      <c r="B33" s="372"/>
      <c r="C33" s="372"/>
      <c r="D33" s="373"/>
      <c r="E33" s="373"/>
      <c r="F33" s="373"/>
      <c r="G33" s="372"/>
      <c r="H33" s="372"/>
      <c r="I33" s="374"/>
      <c r="J33" s="759">
        <f>J32+K32+L32</f>
        <v>1220.4375</v>
      </c>
      <c r="K33" s="760"/>
      <c r="L33" s="761"/>
      <c r="M33" s="372">
        <f>SUM(M23:M31)</f>
        <v>0</v>
      </c>
      <c r="N33" s="373">
        <f>SUM(N23:N31)</f>
        <v>133641.62062500001</v>
      </c>
      <c r="O33" s="373">
        <f>SUM(O23:O31)</f>
        <v>0</v>
      </c>
      <c r="P33" s="367">
        <f>SUM(P23:P31)</f>
        <v>0</v>
      </c>
      <c r="Q33" s="375"/>
      <c r="R33" s="370">
        <f>SUM(O23:O33)</f>
        <v>0</v>
      </c>
      <c r="U33" s="378"/>
    </row>
    <row r="34" spans="1:21" s="371" customFormat="1" ht="9" hidden="1" x14ac:dyDescent="0.15">
      <c r="A34" s="453"/>
      <c r="B34" s="429"/>
      <c r="C34" s="429"/>
      <c r="D34" s="430"/>
      <c r="E34" s="430"/>
      <c r="F34" s="430"/>
      <c r="G34" s="429"/>
      <c r="H34" s="429"/>
      <c r="I34" s="431"/>
      <c r="J34" s="114">
        <f>SUM(J20,J32)</f>
        <v>3708.75</v>
      </c>
      <c r="K34" s="114">
        <f>SUM(K20,K32)</f>
        <v>370.875</v>
      </c>
      <c r="L34" s="114">
        <f>SUM(L20,L32)</f>
        <v>185.4375</v>
      </c>
      <c r="M34" s="429"/>
      <c r="N34" s="430"/>
      <c r="O34" s="430"/>
      <c r="P34" s="449"/>
      <c r="Q34" s="432"/>
      <c r="R34" s="370"/>
    </row>
    <row r="35" spans="1:21" s="95" customFormat="1" x14ac:dyDescent="0.2">
      <c r="A35" s="110" t="s">
        <v>283</v>
      </c>
      <c r="B35" s="111"/>
      <c r="C35" s="111"/>
      <c r="D35" s="111"/>
      <c r="E35" s="111"/>
      <c r="F35" s="111"/>
      <c r="G35" s="111"/>
      <c r="H35" s="111"/>
      <c r="I35" s="441"/>
      <c r="J35" s="754">
        <f>J34+K34+L34</f>
        <v>4265.0625</v>
      </c>
      <c r="K35" s="752"/>
      <c r="L35" s="755"/>
      <c r="M35" s="554">
        <f>SUM(M21,M33)</f>
        <v>0</v>
      </c>
      <c r="N35" s="115">
        <f>SUM(N21,N33)</f>
        <v>467037.32437499997</v>
      </c>
      <c r="O35" s="115">
        <f>SUM(O21,O33)</f>
        <v>857780</v>
      </c>
      <c r="P35" s="114">
        <f>SUM(P21,P33)</f>
        <v>23</v>
      </c>
      <c r="Q35" s="555"/>
    </row>
    <row r="36" spans="1:21" s="95" customFormat="1" x14ac:dyDescent="0.2">
      <c r="A36" s="77"/>
      <c r="B36" s="39"/>
      <c r="C36" s="39"/>
      <c r="D36" s="39"/>
      <c r="E36" s="39"/>
      <c r="F36" s="39"/>
      <c r="G36" s="39"/>
      <c r="H36" s="39"/>
      <c r="I36" s="40"/>
      <c r="J36" s="39"/>
      <c r="K36" s="39"/>
      <c r="L36" s="39"/>
      <c r="M36" s="39"/>
      <c r="N36" s="39"/>
      <c r="O36" s="120"/>
      <c r="P36" s="120"/>
      <c r="Q36" s="39"/>
    </row>
    <row r="37" spans="1:21" s="95" customFormat="1" ht="9" customHeight="1" x14ac:dyDescent="0.15">
      <c r="A37" s="682" t="s">
        <v>734</v>
      </c>
      <c r="B37" s="682"/>
      <c r="C37" s="682"/>
      <c r="D37" s="682"/>
      <c r="E37" s="682"/>
      <c r="F37" s="682"/>
      <c r="G37" s="682"/>
      <c r="H37" s="682"/>
      <c r="I37" s="682"/>
      <c r="J37" s="682"/>
      <c r="K37" s="682"/>
      <c r="L37" s="682"/>
      <c r="M37" s="682"/>
      <c r="N37" s="682"/>
      <c r="O37" s="682"/>
      <c r="P37" s="682"/>
      <c r="Q37" s="682"/>
    </row>
    <row r="38" spans="1:21" s="38" customFormat="1" ht="20.25" customHeight="1" x14ac:dyDescent="0.15">
      <c r="A38" s="682" t="s">
        <v>450</v>
      </c>
      <c r="B38" s="682"/>
      <c r="C38" s="682"/>
      <c r="D38" s="682"/>
      <c r="E38" s="682"/>
      <c r="F38" s="682"/>
      <c r="G38" s="682"/>
      <c r="H38" s="682"/>
      <c r="I38" s="682"/>
      <c r="J38" s="682"/>
      <c r="K38" s="682"/>
      <c r="L38" s="682"/>
      <c r="M38" s="682"/>
      <c r="N38" s="682"/>
      <c r="O38" s="682"/>
      <c r="P38" s="552"/>
      <c r="Q38" s="41"/>
    </row>
    <row r="39" spans="1:21" s="38" customFormat="1" ht="43.5" customHeight="1" x14ac:dyDescent="0.2">
      <c r="A39" s="726" t="s">
        <v>735</v>
      </c>
      <c r="B39" s="726"/>
      <c r="C39" s="726"/>
      <c r="D39" s="726"/>
      <c r="E39" s="726"/>
      <c r="F39" s="726"/>
      <c r="G39" s="726"/>
      <c r="H39" s="726"/>
      <c r="I39" s="726"/>
      <c r="J39" s="726"/>
      <c r="K39" s="726"/>
      <c r="L39" s="726"/>
      <c r="M39" s="726"/>
      <c r="N39" s="726"/>
      <c r="O39" s="726"/>
      <c r="P39" s="552"/>
      <c r="Q39" s="39"/>
    </row>
    <row r="40" spans="1:21" s="38" customFormat="1" ht="18.75" customHeight="1" x14ac:dyDescent="0.15">
      <c r="A40" s="682" t="s">
        <v>88</v>
      </c>
      <c r="B40" s="682"/>
      <c r="C40" s="682"/>
      <c r="D40" s="682"/>
      <c r="E40" s="682"/>
      <c r="F40" s="682"/>
      <c r="G40" s="682"/>
      <c r="H40" s="682"/>
      <c r="I40" s="682"/>
      <c r="J40" s="682"/>
      <c r="K40" s="682"/>
      <c r="L40" s="682"/>
      <c r="M40" s="682"/>
      <c r="N40" s="682"/>
      <c r="O40" s="682"/>
      <c r="P40" s="682"/>
      <c r="Q40" s="682"/>
    </row>
    <row r="41" spans="1:21" s="38" customFormat="1" ht="10.5" customHeight="1" x14ac:dyDescent="0.15">
      <c r="A41" s="38" t="s">
        <v>317</v>
      </c>
      <c r="B41" s="41"/>
      <c r="C41" s="41"/>
      <c r="D41" s="41"/>
      <c r="E41" s="41"/>
      <c r="F41" s="41"/>
      <c r="G41" s="41"/>
      <c r="H41" s="42"/>
      <c r="I41" s="41"/>
      <c r="J41" s="41"/>
      <c r="K41" s="41"/>
      <c r="L41" s="41"/>
      <c r="M41" s="41"/>
      <c r="N41" s="41"/>
      <c r="O41" s="121"/>
      <c r="P41" s="121"/>
      <c r="Q41" s="41"/>
    </row>
    <row r="42" spans="1:21" x14ac:dyDescent="0.2">
      <c r="A42" s="38" t="s">
        <v>412</v>
      </c>
    </row>
    <row r="43" spans="1:21" x14ac:dyDescent="0.2">
      <c r="A43" s="38" t="s">
        <v>411</v>
      </c>
    </row>
    <row r="44" spans="1:21" x14ac:dyDescent="0.2">
      <c r="A44" s="38" t="s">
        <v>781</v>
      </c>
      <c r="U44" s="77" t="s">
        <v>773</v>
      </c>
    </row>
    <row r="45" spans="1:21" ht="11.25" customHeight="1" x14ac:dyDescent="0.2">
      <c r="A45" s="749" t="s">
        <v>736</v>
      </c>
      <c r="B45" s="749"/>
      <c r="C45" s="749"/>
      <c r="D45" s="749"/>
      <c r="E45" s="749"/>
      <c r="F45" s="749"/>
      <c r="G45" s="749"/>
      <c r="H45" s="749"/>
      <c r="I45" s="749"/>
      <c r="J45" s="749"/>
      <c r="K45" s="749"/>
      <c r="L45" s="749"/>
      <c r="M45" s="749"/>
      <c r="N45" s="749"/>
      <c r="O45" s="749"/>
      <c r="P45" s="749"/>
      <c r="Q45" s="749"/>
    </row>
    <row r="46" spans="1:21" x14ac:dyDescent="0.2">
      <c r="A46" s="749"/>
      <c r="B46" s="749"/>
      <c r="C46" s="749"/>
      <c r="D46" s="749"/>
      <c r="E46" s="749"/>
      <c r="F46" s="749"/>
      <c r="G46" s="749"/>
      <c r="H46" s="749"/>
      <c r="I46" s="749"/>
      <c r="J46" s="749"/>
      <c r="K46" s="749"/>
      <c r="L46" s="749"/>
      <c r="M46" s="749"/>
      <c r="N46" s="749"/>
      <c r="O46" s="749"/>
      <c r="P46" s="749"/>
      <c r="Q46" s="749"/>
    </row>
  </sheetData>
  <mergeCells count="10">
    <mergeCell ref="A45:Q46"/>
    <mergeCell ref="A40:Q40"/>
    <mergeCell ref="A1:Q1"/>
    <mergeCell ref="A2:Q2"/>
    <mergeCell ref="A38:O38"/>
    <mergeCell ref="A39:O39"/>
    <mergeCell ref="A37:Q37"/>
    <mergeCell ref="J21:L21"/>
    <mergeCell ref="J33:L33"/>
    <mergeCell ref="J35:L35"/>
  </mergeCells>
  <phoneticPr fontId="9" type="noConversion"/>
  <printOptions horizontalCentered="1"/>
  <pageMargins left="0.25" right="0.25" top="0.5" bottom="0.5" header="0.5" footer="0.5"/>
  <pageSetup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1" sqref="B1"/>
    </sheetView>
  </sheetViews>
  <sheetFormatPr defaultRowHeight="12.75" x14ac:dyDescent="0.2"/>
  <cols>
    <col min="1" max="1" width="17.5703125" customWidth="1"/>
  </cols>
  <sheetData>
    <row r="1" spans="1:2" x14ac:dyDescent="0.2">
      <c r="A1" s="238" t="s">
        <v>582</v>
      </c>
      <c r="B1" s="355" t="s">
        <v>568</v>
      </c>
    </row>
    <row r="3" spans="1:2" x14ac:dyDescent="0.2">
      <c r="A3" s="238" t="s">
        <v>581</v>
      </c>
    </row>
  </sheetData>
  <hyperlinks>
    <hyperlink ref="B1" r:id="rId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0.42578125" style="77" customWidth="1"/>
    <col min="2" max="2" width="8.85546875" style="39" bestFit="1" customWidth="1"/>
    <col min="3" max="3" width="8" style="39" hidden="1" customWidth="1"/>
    <col min="4" max="4" width="8.42578125" style="39" bestFit="1" customWidth="1"/>
    <col min="5" max="5" width="9.42578125" style="39" bestFit="1" customWidth="1"/>
    <col min="6" max="6" width="7.85546875" style="39" bestFit="1" customWidth="1"/>
    <col min="7" max="7" width="9.42578125" style="39" bestFit="1" customWidth="1"/>
    <col min="8" max="8" width="8.5703125" style="39" bestFit="1" customWidth="1"/>
    <col min="9" max="9" width="9.42578125" style="120" bestFit="1" customWidth="1"/>
    <col min="10" max="10" width="7.5703125" style="120" bestFit="1" customWidth="1"/>
    <col min="11" max="11" width="6.85546875" style="120" bestFit="1" customWidth="1"/>
    <col min="12" max="12" width="8.85546875" style="120" customWidth="1"/>
    <col min="13" max="13" width="9" style="120" hidden="1" customWidth="1"/>
    <col min="14" max="14" width="9.42578125" style="39" bestFit="1" customWidth="1"/>
    <col min="15" max="15" width="9.85546875" style="77" bestFit="1" customWidth="1"/>
    <col min="16" max="16" width="8.5703125" style="77" bestFit="1" customWidth="1"/>
    <col min="17" max="17" width="4.42578125" style="77" bestFit="1" customWidth="1"/>
    <col min="18" max="19" width="0" style="77" hidden="1" customWidth="1"/>
    <col min="20" max="16384" width="9.140625" style="77"/>
  </cols>
  <sheetData>
    <row r="1" spans="1:19" x14ac:dyDescent="0.2">
      <c r="A1" s="684" t="s">
        <v>201</v>
      </c>
      <c r="B1" s="684"/>
      <c r="C1" s="684"/>
      <c r="D1" s="684"/>
      <c r="E1" s="684"/>
      <c r="F1" s="684"/>
      <c r="G1" s="684"/>
      <c r="H1" s="684"/>
      <c r="I1" s="684"/>
      <c r="J1" s="684"/>
      <c r="K1" s="684"/>
      <c r="L1" s="684"/>
      <c r="M1" s="684"/>
      <c r="N1" s="684"/>
      <c r="O1" s="684"/>
      <c r="P1" s="684"/>
      <c r="Q1" s="684"/>
    </row>
    <row r="2" spans="1:19" x14ac:dyDescent="0.2">
      <c r="A2" s="685" t="s">
        <v>607</v>
      </c>
      <c r="B2" s="685"/>
      <c r="C2" s="685"/>
      <c r="D2" s="685"/>
      <c r="E2" s="685"/>
      <c r="F2" s="685"/>
      <c r="G2" s="685"/>
      <c r="H2" s="685"/>
      <c r="I2" s="685"/>
      <c r="J2" s="685"/>
      <c r="K2" s="685"/>
      <c r="L2" s="685"/>
      <c r="M2" s="685"/>
      <c r="N2" s="685"/>
      <c r="O2" s="685"/>
      <c r="P2" s="685"/>
      <c r="Q2" s="685"/>
    </row>
    <row r="3" spans="1:19" s="117" customFormat="1" ht="54" x14ac:dyDescent="0.15">
      <c r="A3" s="32" t="s">
        <v>280</v>
      </c>
      <c r="B3" s="32" t="s">
        <v>281</v>
      </c>
      <c r="C3" s="32" t="s">
        <v>308</v>
      </c>
      <c r="D3" s="32" t="s">
        <v>1</v>
      </c>
      <c r="E3" s="32" t="s">
        <v>87</v>
      </c>
      <c r="F3" s="32" t="s">
        <v>2</v>
      </c>
      <c r="G3" s="8" t="s">
        <v>148</v>
      </c>
      <c r="H3" s="32" t="s">
        <v>335</v>
      </c>
      <c r="I3" s="43" t="s">
        <v>336</v>
      </c>
      <c r="J3" s="70" t="s">
        <v>338</v>
      </c>
      <c r="K3" s="70" t="s">
        <v>339</v>
      </c>
      <c r="L3" s="70" t="s">
        <v>337</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f>SUM('Base Data'!$H$26:$H$27,'Base Data'!$H$31:$H$32,'Base Data'!$H$36:$H$37)</f>
        <v>986</v>
      </c>
      <c r="J7" s="63">
        <f>H7*I7</f>
        <v>39440</v>
      </c>
      <c r="K7" s="63">
        <f>J7*0.1</f>
        <v>3944</v>
      </c>
      <c r="L7" s="63">
        <f>J7*0.05</f>
        <v>1972</v>
      </c>
      <c r="M7" s="31">
        <f>C7*G7*I7</f>
        <v>0</v>
      </c>
      <c r="N7" s="37">
        <f>(J7*'Base Data'!$C$5)+(K7*'Base Data'!$C$6)+(L7*'Base Data'!$C$7)</f>
        <v>4966620.04</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302</v>
      </c>
      <c r="B9" s="31"/>
      <c r="C9" s="31"/>
      <c r="D9" s="67"/>
      <c r="E9" s="37"/>
      <c r="F9" s="37"/>
      <c r="G9" s="31"/>
      <c r="H9" s="31"/>
      <c r="I9" s="64"/>
      <c r="J9" s="63"/>
      <c r="K9" s="63"/>
      <c r="L9" s="63"/>
      <c r="M9" s="65"/>
      <c r="N9" s="37"/>
      <c r="O9" s="37"/>
      <c r="P9" s="64"/>
      <c r="Q9" s="66"/>
      <c r="R9" s="66"/>
    </row>
    <row r="10" spans="1:19" s="95" customFormat="1" ht="9" x14ac:dyDescent="0.15">
      <c r="A10" s="90" t="s">
        <v>211</v>
      </c>
      <c r="B10" s="31">
        <v>20</v>
      </c>
      <c r="C10" s="31"/>
      <c r="D10" s="37">
        <v>854</v>
      </c>
      <c r="E10" s="37">
        <v>0</v>
      </c>
      <c r="F10" s="37">
        <v>0</v>
      </c>
      <c r="G10" s="31">
        <v>1</v>
      </c>
      <c r="H10" s="31">
        <f>B10*G10</f>
        <v>20</v>
      </c>
      <c r="I10" s="63">
        <v>0</v>
      </c>
      <c r="J10" s="64">
        <f>H10*I10</f>
        <v>0</v>
      </c>
      <c r="K10" s="64">
        <f>J10*0.1</f>
        <v>0</v>
      </c>
      <c r="L10" s="64">
        <f>J10*0.05</f>
        <v>0</v>
      </c>
      <c r="M10" s="65">
        <f>C10*G10*I10</f>
        <v>0</v>
      </c>
      <c r="N10" s="37">
        <f>(J10*'Base Data'!$C$5)+(K10*'Base Data'!$C$6)+(L10*'Base Data'!$C$7)</f>
        <v>0</v>
      </c>
      <c r="O10" s="37">
        <f>(D10+E10+F10)*G10*I10</f>
        <v>0</v>
      </c>
      <c r="P10" s="64">
        <v>0</v>
      </c>
      <c r="Q10" s="66" t="s">
        <v>316</v>
      </c>
      <c r="R10" s="66"/>
    </row>
    <row r="11" spans="1:19" s="95" customFormat="1" ht="9" x14ac:dyDescent="0.15">
      <c r="A11" s="90" t="s">
        <v>212</v>
      </c>
      <c r="B11" s="31">
        <v>20</v>
      </c>
      <c r="C11" s="31"/>
      <c r="D11" s="37">
        <v>18292</v>
      </c>
      <c r="E11" s="37">
        <v>0</v>
      </c>
      <c r="F11" s="37">
        <v>0</v>
      </c>
      <c r="G11" s="31">
        <v>1</v>
      </c>
      <c r="H11" s="31">
        <f>B11*G11</f>
        <v>20</v>
      </c>
      <c r="I11" s="63">
        <v>0</v>
      </c>
      <c r="J11" s="64">
        <f>H11*I11</f>
        <v>0</v>
      </c>
      <c r="K11" s="64">
        <f>J11*0.1</f>
        <v>0</v>
      </c>
      <c r="L11" s="64">
        <f>J11*0.05</f>
        <v>0</v>
      </c>
      <c r="M11" s="65">
        <f>C11*G11*I11</f>
        <v>0</v>
      </c>
      <c r="N11" s="37">
        <f>(J11*'Base Data'!$C$5)+(K11*'Base Data'!$C$6)+(L11*'Base Data'!$C$7)</f>
        <v>0</v>
      </c>
      <c r="O11" s="37">
        <f>(D11+E11+F11)*G11*I11</f>
        <v>0</v>
      </c>
      <c r="P11" s="64">
        <v>0</v>
      </c>
      <c r="Q11" s="66" t="s">
        <v>316</v>
      </c>
      <c r="R11" s="66"/>
    </row>
    <row r="12" spans="1:19" s="95" customFormat="1" ht="9" x14ac:dyDescent="0.15">
      <c r="A12" s="91" t="s">
        <v>7</v>
      </c>
      <c r="B12" s="31">
        <v>12</v>
      </c>
      <c r="C12" s="31"/>
      <c r="D12" s="37">
        <v>0</v>
      </c>
      <c r="E12" s="37">
        <v>2228</v>
      </c>
      <c r="F12" s="37">
        <v>0</v>
      </c>
      <c r="G12" s="31">
        <v>0.5</v>
      </c>
      <c r="H12" s="31">
        <f>B12*G12</f>
        <v>6</v>
      </c>
      <c r="I12" s="63">
        <v>0</v>
      </c>
      <c r="J12" s="63">
        <f>H12*I12</f>
        <v>0</v>
      </c>
      <c r="K12" s="63">
        <f>J12*0.1</f>
        <v>0</v>
      </c>
      <c r="L12" s="63">
        <f>J12*0.05</f>
        <v>0</v>
      </c>
      <c r="M12" s="64"/>
      <c r="N12" s="37">
        <f>(J12*'Base Data'!$C$5)+(K12*'Base Data'!$C$6)+(L12*'Base Data'!$C$7)</f>
        <v>0</v>
      </c>
      <c r="O12" s="37">
        <f>(D12+E12+F12)*I12</f>
        <v>0</v>
      </c>
      <c r="P12" s="64">
        <v>0</v>
      </c>
      <c r="Q12" s="66" t="s">
        <v>9</v>
      </c>
    </row>
    <row r="13" spans="1:19" s="95" customFormat="1" ht="9" x14ac:dyDescent="0.15">
      <c r="A13" s="91" t="s">
        <v>294</v>
      </c>
      <c r="B13" s="31" t="s">
        <v>311</v>
      </c>
      <c r="C13" s="31"/>
      <c r="D13" s="37"/>
      <c r="E13" s="37"/>
      <c r="F13" s="37"/>
      <c r="G13" s="31"/>
      <c r="H13" s="31"/>
      <c r="I13" s="64"/>
      <c r="J13" s="31"/>
      <c r="K13" s="31"/>
      <c r="L13" s="31"/>
      <c r="M13" s="31"/>
      <c r="N13" s="37"/>
      <c r="O13" s="37"/>
      <c r="P13" s="64"/>
      <c r="Q13" s="66"/>
    </row>
    <row r="14" spans="1:19" s="95" customFormat="1" ht="9" x14ac:dyDescent="0.15">
      <c r="A14" s="91" t="s">
        <v>295</v>
      </c>
      <c r="B14" s="31" t="s">
        <v>311</v>
      </c>
      <c r="C14" s="31"/>
      <c r="D14" s="37"/>
      <c r="E14" s="37"/>
      <c r="F14" s="37"/>
      <c r="G14" s="31"/>
      <c r="H14" s="31"/>
      <c r="I14" s="64"/>
      <c r="J14" s="31"/>
      <c r="K14" s="31"/>
      <c r="L14" s="31"/>
      <c r="M14" s="31"/>
      <c r="N14" s="37"/>
      <c r="O14" s="37"/>
      <c r="P14" s="64"/>
      <c r="Q14" s="66"/>
    </row>
    <row r="15" spans="1:19" s="95" customFormat="1" ht="9" x14ac:dyDescent="0.15">
      <c r="A15" s="91" t="s">
        <v>296</v>
      </c>
      <c r="B15" s="31"/>
      <c r="C15" s="31"/>
      <c r="D15" s="37"/>
      <c r="E15" s="37"/>
      <c r="F15" s="37"/>
      <c r="G15" s="31"/>
      <c r="H15" s="31"/>
      <c r="I15" s="64"/>
      <c r="J15" s="31"/>
      <c r="K15" s="31"/>
      <c r="L15" s="31"/>
      <c r="M15" s="31"/>
      <c r="N15" s="37"/>
      <c r="O15" s="37"/>
      <c r="P15" s="64"/>
      <c r="Q15" s="66"/>
    </row>
    <row r="16" spans="1:19" s="95" customFormat="1" ht="9" x14ac:dyDescent="0.15">
      <c r="A16" s="101" t="s">
        <v>312</v>
      </c>
      <c r="B16" s="31">
        <v>2</v>
      </c>
      <c r="C16" s="31"/>
      <c r="D16" s="37">
        <v>0</v>
      </c>
      <c r="E16" s="37">
        <v>0</v>
      </c>
      <c r="F16" s="37">
        <v>0</v>
      </c>
      <c r="G16" s="31">
        <v>1</v>
      </c>
      <c r="H16" s="31">
        <f>B16*G16</f>
        <v>2</v>
      </c>
      <c r="I16" s="63">
        <f>SUM('Base Data'!$H$26:$H$27,'Base Data'!$H$31:$H$32,'Base Data'!$H$36:$H$37)</f>
        <v>986</v>
      </c>
      <c r="J16" s="63">
        <f>H16*I16</f>
        <v>1972</v>
      </c>
      <c r="K16" s="63">
        <f>J16*0.1</f>
        <v>197.20000000000002</v>
      </c>
      <c r="L16" s="63">
        <f>J16*0.05</f>
        <v>98.600000000000009</v>
      </c>
      <c r="M16" s="31">
        <f>C16*G16*I16</f>
        <v>0</v>
      </c>
      <c r="N16" s="37">
        <f>(J16*'Base Data'!$C$5)+(K16*'Base Data'!$C$6)+(L16*'Base Data'!$C$7)</f>
        <v>248331.00200000001</v>
      </c>
      <c r="O16" s="37">
        <f>(D16+E16+F16)*G16*I16</f>
        <v>0</v>
      </c>
      <c r="P16" s="64">
        <f>G16*I16</f>
        <v>986</v>
      </c>
      <c r="Q16" s="66" t="s">
        <v>276</v>
      </c>
    </row>
    <row r="17" spans="1:19" s="95" customFormat="1" ht="9" x14ac:dyDescent="0.15">
      <c r="A17" s="101" t="s">
        <v>273</v>
      </c>
      <c r="B17" s="31">
        <v>8</v>
      </c>
      <c r="C17" s="31"/>
      <c r="D17" s="37">
        <v>0</v>
      </c>
      <c r="E17" s="37">
        <v>0</v>
      </c>
      <c r="F17" s="37">
        <v>0</v>
      </c>
      <c r="G17" s="31">
        <v>1</v>
      </c>
      <c r="H17" s="31">
        <f>B17*G17</f>
        <v>8</v>
      </c>
      <c r="I17" s="64">
        <v>0</v>
      </c>
      <c r="J17" s="63">
        <f>H17*I17</f>
        <v>0</v>
      </c>
      <c r="K17" s="63">
        <f>J17*0.1</f>
        <v>0</v>
      </c>
      <c r="L17" s="63">
        <f>J17*0.05</f>
        <v>0</v>
      </c>
      <c r="M17" s="31">
        <f>C17*G17*I17</f>
        <v>0</v>
      </c>
      <c r="N17" s="37">
        <f>(J17*'Base Data'!$C$5)+(K17*'Base Data'!$C$6)+(L17*'Base Data'!$C$7)</f>
        <v>0</v>
      </c>
      <c r="O17" s="37">
        <f>(D17+E17+F17)*G17*I17</f>
        <v>0</v>
      </c>
      <c r="P17" s="64">
        <f>G17*I17</f>
        <v>0</v>
      </c>
      <c r="Q17" s="66" t="s">
        <v>277</v>
      </c>
    </row>
    <row r="18" spans="1:19" s="95" customFormat="1" ht="9" x14ac:dyDescent="0.15">
      <c r="A18" s="101" t="s">
        <v>8</v>
      </c>
      <c r="B18" s="31">
        <v>5</v>
      </c>
      <c r="C18" s="31"/>
      <c r="D18" s="37">
        <v>0</v>
      </c>
      <c r="E18" s="37">
        <v>0</v>
      </c>
      <c r="F18" s="37">
        <v>0</v>
      </c>
      <c r="G18" s="31">
        <v>0.5</v>
      </c>
      <c r="H18" s="31">
        <f>B18*G18</f>
        <v>2.5</v>
      </c>
      <c r="I18" s="64">
        <v>0</v>
      </c>
      <c r="J18" s="63">
        <f>H18*I18</f>
        <v>0</v>
      </c>
      <c r="K18" s="63">
        <f>J18*0.1</f>
        <v>0</v>
      </c>
      <c r="L18" s="63">
        <f>J18*0.05</f>
        <v>0</v>
      </c>
      <c r="M18" s="31">
        <f>C18*G18*I18</f>
        <v>0</v>
      </c>
      <c r="N18" s="37">
        <f>(J18*'Base Data'!$C$5)+(K18*'Base Data'!$C$6)+(L18*'Base Data'!$C$7)</f>
        <v>0</v>
      </c>
      <c r="O18" s="37">
        <f>(D18+E18+F18)*G18*I18</f>
        <v>0</v>
      </c>
      <c r="P18" s="64">
        <f>G18*I18</f>
        <v>0</v>
      </c>
      <c r="Q18" s="66" t="s">
        <v>9</v>
      </c>
    </row>
    <row r="19" spans="1:19" s="4" customFormat="1" ht="9" x14ac:dyDescent="0.15">
      <c r="A19" s="101" t="s">
        <v>365</v>
      </c>
      <c r="B19" s="31">
        <v>5</v>
      </c>
      <c r="C19" s="13"/>
      <c r="D19" s="26">
        <v>0</v>
      </c>
      <c r="E19" s="26">
        <v>0</v>
      </c>
      <c r="F19" s="26">
        <v>0</v>
      </c>
      <c r="G19" s="13">
        <v>1</v>
      </c>
      <c r="H19" s="13">
        <f>B19*G19</f>
        <v>5</v>
      </c>
      <c r="I19" s="36">
        <v>0</v>
      </c>
      <c r="J19" s="14">
        <f>H19*I19</f>
        <v>0</v>
      </c>
      <c r="K19" s="14">
        <f>J19*0.1</f>
        <v>0</v>
      </c>
      <c r="L19" s="14">
        <f>J19*0.05</f>
        <v>0</v>
      </c>
      <c r="M19" s="13">
        <f>C19*G19*I19</f>
        <v>0</v>
      </c>
      <c r="N19" s="26">
        <f>(J19*'Base Data'!$C$5)+(K19*'Base Data'!$C$6)+(L19*'Base Data'!$C$7)</f>
        <v>0</v>
      </c>
      <c r="O19" s="26">
        <f>(D19+E19+F19)*G19*I19</f>
        <v>0</v>
      </c>
      <c r="P19" s="14">
        <f>G19*I19</f>
        <v>0</v>
      </c>
      <c r="Q19" s="19" t="s">
        <v>277</v>
      </c>
    </row>
    <row r="20" spans="1:19" s="95" customFormat="1" ht="9" x14ac:dyDescent="0.15">
      <c r="A20" s="96" t="s">
        <v>4</v>
      </c>
      <c r="B20" s="31"/>
      <c r="C20" s="31"/>
      <c r="D20" s="37"/>
      <c r="E20" s="37"/>
      <c r="F20" s="37"/>
      <c r="G20" s="31"/>
      <c r="H20" s="31"/>
      <c r="I20" s="64"/>
      <c r="J20" s="64">
        <f t="shared" ref="J20:O20" si="0">SUM(J7:J19)</f>
        <v>41412</v>
      </c>
      <c r="K20" s="64">
        <f t="shared" si="0"/>
        <v>4141.2</v>
      </c>
      <c r="L20" s="64">
        <f t="shared" si="0"/>
        <v>2070.6</v>
      </c>
      <c r="M20" s="64">
        <f t="shared" si="0"/>
        <v>0</v>
      </c>
      <c r="N20" s="26">
        <f t="shared" si="0"/>
        <v>5214951.0420000004</v>
      </c>
      <c r="O20" s="26">
        <f t="shared" si="0"/>
        <v>0</v>
      </c>
      <c r="P20" s="64">
        <f>ROUNDUP(SUM(P7:P19),0)</f>
        <v>986</v>
      </c>
      <c r="Q20" s="66"/>
      <c r="R20" s="97">
        <f>SUM(O7:O12)</f>
        <v>0</v>
      </c>
      <c r="S20" s="95">
        <f>0</f>
        <v>0</v>
      </c>
    </row>
    <row r="21" spans="1:19" s="95" customFormat="1" ht="9" x14ac:dyDescent="0.15">
      <c r="A21" s="91" t="s">
        <v>309</v>
      </c>
      <c r="B21" s="31"/>
      <c r="C21" s="31"/>
      <c r="D21" s="37"/>
      <c r="E21" s="37"/>
      <c r="F21" s="37"/>
      <c r="G21" s="31"/>
      <c r="H21" s="31"/>
      <c r="I21" s="64"/>
      <c r="J21" s="31"/>
      <c r="K21" s="31"/>
      <c r="L21" s="31"/>
      <c r="M21" s="31"/>
      <c r="N21" s="37"/>
      <c r="O21" s="37"/>
      <c r="P21" s="64"/>
      <c r="Q21" s="66"/>
    </row>
    <row r="22" spans="1:19" s="95" customFormat="1" ht="9" x14ac:dyDescent="0.15">
      <c r="A22" s="91" t="s">
        <v>297</v>
      </c>
      <c r="B22" s="31" t="s">
        <v>301</v>
      </c>
      <c r="C22" s="31"/>
      <c r="D22" s="37"/>
      <c r="E22" s="37"/>
      <c r="F22" s="37"/>
      <c r="G22" s="31"/>
      <c r="H22" s="31"/>
      <c r="I22" s="64"/>
      <c r="J22" s="31"/>
      <c r="K22" s="31"/>
      <c r="L22" s="31"/>
      <c r="M22" s="31"/>
      <c r="N22" s="37"/>
      <c r="O22" s="37"/>
      <c r="P22" s="64"/>
      <c r="Q22" s="66"/>
    </row>
    <row r="23" spans="1:19" s="95" customFormat="1" ht="9" x14ac:dyDescent="0.15">
      <c r="A23" s="91" t="s">
        <v>298</v>
      </c>
      <c r="B23" s="31" t="s">
        <v>311</v>
      </c>
      <c r="C23" s="31"/>
      <c r="D23" s="37"/>
      <c r="E23" s="37"/>
      <c r="F23" s="37"/>
      <c r="G23" s="31"/>
      <c r="H23" s="31"/>
      <c r="I23" s="64"/>
      <c r="J23" s="31"/>
      <c r="K23" s="31"/>
      <c r="L23" s="31"/>
      <c r="M23" s="31"/>
      <c r="N23" s="37"/>
      <c r="O23" s="37"/>
      <c r="P23" s="64"/>
      <c r="Q23" s="66"/>
    </row>
    <row r="24" spans="1:19" s="95" customFormat="1" ht="9" x14ac:dyDescent="0.15">
      <c r="A24" s="91" t="s">
        <v>299</v>
      </c>
      <c r="B24" s="31" t="s">
        <v>311</v>
      </c>
      <c r="C24" s="31"/>
      <c r="D24" s="37"/>
      <c r="E24" s="37"/>
      <c r="F24" s="37"/>
      <c r="G24" s="31"/>
      <c r="H24" s="31"/>
      <c r="I24" s="64"/>
      <c r="J24" s="31"/>
      <c r="K24" s="31"/>
      <c r="L24" s="31"/>
      <c r="M24" s="31"/>
      <c r="N24" s="37"/>
      <c r="O24" s="37"/>
      <c r="P24" s="64"/>
      <c r="Q24" s="66" t="s">
        <v>278</v>
      </c>
    </row>
    <row r="25" spans="1:19" s="95" customFormat="1" ht="9" x14ac:dyDescent="0.15">
      <c r="A25" s="91" t="s">
        <v>300</v>
      </c>
      <c r="B25" s="31"/>
      <c r="C25" s="31"/>
      <c r="D25" s="37"/>
      <c r="E25" s="37"/>
      <c r="F25" s="37"/>
      <c r="G25" s="31"/>
      <c r="H25" s="31"/>
      <c r="I25" s="64"/>
      <c r="J25" s="31"/>
      <c r="K25" s="31"/>
      <c r="L25" s="31"/>
      <c r="M25" s="31"/>
      <c r="N25" s="37"/>
      <c r="O25" s="37"/>
      <c r="P25" s="64"/>
      <c r="Q25" s="66"/>
    </row>
    <row r="26" spans="1:19" s="95" customFormat="1" ht="19.5" customHeight="1" x14ac:dyDescent="0.15">
      <c r="A26" s="101" t="s">
        <v>271</v>
      </c>
      <c r="B26" s="31">
        <v>2</v>
      </c>
      <c r="C26" s="31">
        <v>0</v>
      </c>
      <c r="D26" s="37">
        <v>0</v>
      </c>
      <c r="E26" s="37">
        <v>0</v>
      </c>
      <c r="F26" s="37">
        <v>0</v>
      </c>
      <c r="G26" s="31">
        <v>0.5</v>
      </c>
      <c r="H26" s="31">
        <f>B26*G26</f>
        <v>1</v>
      </c>
      <c r="I26" s="64">
        <v>0</v>
      </c>
      <c r="J26" s="63">
        <f>H26*I26</f>
        <v>0</v>
      </c>
      <c r="K26" s="63">
        <f>J26*0.1</f>
        <v>0</v>
      </c>
      <c r="L26" s="63">
        <f>J26*0.05</f>
        <v>0</v>
      </c>
      <c r="M26" s="31">
        <f>C26*G26*I26</f>
        <v>0</v>
      </c>
      <c r="N26" s="37">
        <f>(J26*'Base Data'!$C$5)+(K26*'Base Data'!$C$6)+(L26*'Base Data'!$C$7)</f>
        <v>0</v>
      </c>
      <c r="O26" s="37">
        <f>(D26+E26+F26)*G26*I26</f>
        <v>0</v>
      </c>
      <c r="P26" s="64">
        <f>G26*I26</f>
        <v>0</v>
      </c>
      <c r="Q26" s="66" t="s">
        <v>277</v>
      </c>
    </row>
    <row r="27" spans="1:19" s="95" customFormat="1" ht="18" x14ac:dyDescent="0.15">
      <c r="A27" s="101" t="s">
        <v>272</v>
      </c>
      <c r="B27" s="31">
        <v>15</v>
      </c>
      <c r="C27" s="31">
        <v>0</v>
      </c>
      <c r="D27" s="37">
        <v>0</v>
      </c>
      <c r="E27" s="37">
        <v>0</v>
      </c>
      <c r="F27" s="37">
        <v>0</v>
      </c>
      <c r="G27" s="31">
        <v>1</v>
      </c>
      <c r="H27" s="31">
        <f>B27*G27</f>
        <v>15</v>
      </c>
      <c r="I27" s="64">
        <v>0</v>
      </c>
      <c r="J27" s="63">
        <f>H27*I27</f>
        <v>0</v>
      </c>
      <c r="K27" s="63">
        <f>J27*0.1</f>
        <v>0</v>
      </c>
      <c r="L27" s="63">
        <f>J27*0.05</f>
        <v>0</v>
      </c>
      <c r="M27" s="31">
        <f>C27*G27*I27</f>
        <v>0</v>
      </c>
      <c r="N27" s="37">
        <f>(J27*'Base Data'!$C$5)+(K27*'Base Data'!$C$6)+(L27*'Base Data'!$C$7)</f>
        <v>0</v>
      </c>
      <c r="O27" s="37">
        <f>(D27+E27+F27)*G27*I27</f>
        <v>0</v>
      </c>
      <c r="P27" s="64">
        <f>G27*I27</f>
        <v>0</v>
      </c>
      <c r="Q27" s="66" t="s">
        <v>10</v>
      </c>
    </row>
    <row r="28" spans="1:19" s="95" customFormat="1" ht="9" x14ac:dyDescent="0.15">
      <c r="A28" s="101" t="s">
        <v>200</v>
      </c>
      <c r="B28" s="31">
        <v>0.5</v>
      </c>
      <c r="C28" s="31"/>
      <c r="D28" s="37">
        <v>0</v>
      </c>
      <c r="E28" s="37">
        <v>0</v>
      </c>
      <c r="F28" s="37">
        <v>0</v>
      </c>
      <c r="G28" s="31">
        <v>0.5</v>
      </c>
      <c r="H28" s="31">
        <f>B28*G28</f>
        <v>0.25</v>
      </c>
      <c r="I28" s="64">
        <v>0</v>
      </c>
      <c r="J28" s="63">
        <f>H28*I28</f>
        <v>0</v>
      </c>
      <c r="K28" s="63">
        <f>J28*0.1</f>
        <v>0</v>
      </c>
      <c r="L28" s="63">
        <f>J28*0.05</f>
        <v>0</v>
      </c>
      <c r="M28" s="31">
        <f>C28*G28*I28</f>
        <v>0</v>
      </c>
      <c r="N28" s="37">
        <f>(J28*'Base Data'!$C$5)+(K28*'Base Data'!$C$6)+(L28*'Base Data'!$C$7)</f>
        <v>0</v>
      </c>
      <c r="O28" s="37">
        <f>(D28+E28+F28)*G28*I28</f>
        <v>0</v>
      </c>
      <c r="P28" s="64">
        <f>G28*I28</f>
        <v>0</v>
      </c>
      <c r="Q28" s="66" t="s">
        <v>9</v>
      </c>
    </row>
    <row r="29" spans="1:19" s="4" customFormat="1" ht="9" x14ac:dyDescent="0.15">
      <c r="A29" s="90" t="s">
        <v>305</v>
      </c>
      <c r="B29" s="31">
        <v>40</v>
      </c>
      <c r="C29" s="13"/>
      <c r="D29" s="26">
        <v>0</v>
      </c>
      <c r="E29" s="26">
        <v>0</v>
      </c>
      <c r="F29" s="26">
        <v>0</v>
      </c>
      <c r="G29" s="13">
        <v>1</v>
      </c>
      <c r="H29" s="13">
        <f>B29*G29</f>
        <v>40</v>
      </c>
      <c r="I29" s="63">
        <v>0</v>
      </c>
      <c r="J29" s="14">
        <f>H29*I29</f>
        <v>0</v>
      </c>
      <c r="K29" s="14">
        <f>J29*0.1</f>
        <v>0</v>
      </c>
      <c r="L29" s="14">
        <f>J29*0.05</f>
        <v>0</v>
      </c>
      <c r="M29" s="13"/>
      <c r="N29" s="26">
        <f>(J29*'Base Data'!$C$5)+(K29*'Base Data'!$C$6)+(L29*'Base Data'!$C$7)</f>
        <v>0</v>
      </c>
      <c r="O29" s="26">
        <f>(D29+E29+F29)*G29*I29</f>
        <v>0</v>
      </c>
      <c r="P29" s="64">
        <f>G29*I29</f>
        <v>0</v>
      </c>
      <c r="Q29" s="19" t="s">
        <v>74</v>
      </c>
    </row>
    <row r="30" spans="1:19" s="95" customFormat="1" ht="9" x14ac:dyDescent="0.15">
      <c r="A30" s="91" t="s">
        <v>306</v>
      </c>
      <c r="B30" s="31" t="s">
        <v>311</v>
      </c>
      <c r="C30" s="31"/>
      <c r="D30" s="37"/>
      <c r="E30" s="37"/>
      <c r="F30" s="37"/>
      <c r="G30" s="31"/>
      <c r="H30" s="31"/>
      <c r="I30" s="64"/>
      <c r="J30" s="31"/>
      <c r="K30" s="31"/>
      <c r="L30" s="31"/>
      <c r="M30" s="31"/>
      <c r="N30" s="37"/>
      <c r="O30" s="37"/>
      <c r="P30" s="64"/>
      <c r="Q30" s="66"/>
    </row>
    <row r="31" spans="1:19" s="95" customFormat="1" ht="9" x14ac:dyDescent="0.15">
      <c r="A31" s="145" t="s">
        <v>23</v>
      </c>
      <c r="B31" s="139"/>
      <c r="C31" s="139"/>
      <c r="D31" s="140"/>
      <c r="E31" s="140"/>
      <c r="F31" s="140"/>
      <c r="G31" s="139"/>
      <c r="H31" s="139"/>
      <c r="I31" s="141"/>
      <c r="J31" s="139">
        <f t="shared" ref="J31:O31" si="1">SUM(J22:J30)</f>
        <v>0</v>
      </c>
      <c r="K31" s="139">
        <f t="shared" si="1"/>
        <v>0</v>
      </c>
      <c r="L31" s="139">
        <f t="shared" si="1"/>
        <v>0</v>
      </c>
      <c r="M31" s="139">
        <f t="shared" si="1"/>
        <v>0</v>
      </c>
      <c r="N31" s="140">
        <f t="shared" si="1"/>
        <v>0</v>
      </c>
      <c r="O31" s="140">
        <f t="shared" si="1"/>
        <v>0</v>
      </c>
      <c r="P31" s="141">
        <f>SUM(P22:P30)</f>
        <v>0</v>
      </c>
      <c r="Q31" s="142"/>
      <c r="R31" s="97">
        <f>SUM(O22:O31)</f>
        <v>0</v>
      </c>
    </row>
    <row r="32" spans="1:19" s="95" customFormat="1" x14ac:dyDescent="0.2">
      <c r="A32" s="110" t="s">
        <v>283</v>
      </c>
      <c r="B32" s="111"/>
      <c r="C32" s="111"/>
      <c r="D32" s="111"/>
      <c r="E32" s="111"/>
      <c r="F32" s="111"/>
      <c r="G32" s="111"/>
      <c r="H32" s="111"/>
      <c r="I32" s="113"/>
      <c r="J32" s="114">
        <f t="shared" ref="J32:O32" si="2">SUM(J20,J31)</f>
        <v>41412</v>
      </c>
      <c r="K32" s="114">
        <f t="shared" si="2"/>
        <v>4141.2</v>
      </c>
      <c r="L32" s="114">
        <f t="shared" si="2"/>
        <v>2070.6</v>
      </c>
      <c r="M32" s="114">
        <f t="shared" si="2"/>
        <v>0</v>
      </c>
      <c r="N32" s="115">
        <f t="shared" si="2"/>
        <v>5214951.0420000004</v>
      </c>
      <c r="O32" s="115">
        <f t="shared" si="2"/>
        <v>0</v>
      </c>
      <c r="P32" s="114">
        <f>SUM(P20,P31)</f>
        <v>986</v>
      </c>
      <c r="Q32" s="116"/>
    </row>
    <row r="33" spans="1:17" s="95" customFormat="1" x14ac:dyDescent="0.2">
      <c r="A33" s="77"/>
      <c r="B33" s="39"/>
      <c r="C33" s="39"/>
      <c r="D33" s="39"/>
      <c r="E33" s="39"/>
      <c r="F33" s="39"/>
      <c r="G33" s="39"/>
      <c r="H33" s="39"/>
      <c r="I33" s="40"/>
      <c r="J33" s="39"/>
      <c r="K33" s="39"/>
      <c r="L33" s="39"/>
      <c r="M33" s="39"/>
      <c r="N33" s="39"/>
      <c r="O33" s="120"/>
      <c r="P33" s="120"/>
      <c r="Q33" s="39"/>
    </row>
    <row r="34" spans="1:17" s="95" customFormat="1" ht="9" x14ac:dyDescent="0.15">
      <c r="A34" s="38" t="s">
        <v>362</v>
      </c>
      <c r="B34" s="41"/>
      <c r="C34" s="41"/>
      <c r="D34" s="41"/>
      <c r="E34" s="41"/>
      <c r="F34" s="41"/>
      <c r="G34" s="41"/>
      <c r="H34" s="41"/>
      <c r="I34" s="42"/>
      <c r="J34" s="41"/>
      <c r="K34" s="41"/>
      <c r="L34" s="41"/>
      <c r="M34" s="41"/>
      <c r="N34" s="41"/>
      <c r="O34" s="121"/>
      <c r="P34" s="121"/>
      <c r="Q34" s="41"/>
    </row>
    <row r="35" spans="1:17" s="38" customFormat="1" ht="23.25" customHeight="1" x14ac:dyDescent="0.15">
      <c r="A35" s="682" t="s">
        <v>450</v>
      </c>
      <c r="B35" s="682"/>
      <c r="C35" s="682"/>
      <c r="D35" s="682"/>
      <c r="E35" s="682"/>
      <c r="F35" s="682"/>
      <c r="G35" s="682"/>
      <c r="H35" s="682"/>
      <c r="I35" s="682"/>
      <c r="J35" s="682"/>
      <c r="K35" s="682"/>
      <c r="L35" s="682"/>
      <c r="M35" s="682"/>
      <c r="N35" s="682"/>
      <c r="O35" s="682"/>
      <c r="P35" s="99"/>
      <c r="Q35" s="41"/>
    </row>
    <row r="36" spans="1:17" s="38" customFormat="1" ht="21" customHeight="1" x14ac:dyDescent="0.15">
      <c r="A36" s="682" t="s">
        <v>270</v>
      </c>
      <c r="B36" s="682"/>
      <c r="C36" s="682"/>
      <c r="D36" s="682"/>
      <c r="E36" s="682"/>
      <c r="F36" s="682"/>
      <c r="G36" s="682"/>
      <c r="H36" s="682"/>
      <c r="I36" s="682"/>
      <c r="J36" s="682"/>
      <c r="K36" s="682"/>
      <c r="L36" s="682"/>
      <c r="M36" s="682"/>
      <c r="N36" s="682"/>
      <c r="O36" s="682"/>
      <c r="P36" s="99"/>
      <c r="Q36" s="41"/>
    </row>
    <row r="37" spans="1:17" s="38" customFormat="1" ht="18.75" customHeight="1" x14ac:dyDescent="0.15">
      <c r="A37" s="682" t="s">
        <v>88</v>
      </c>
      <c r="B37" s="682"/>
      <c r="C37" s="682"/>
      <c r="D37" s="682"/>
      <c r="E37" s="682"/>
      <c r="F37" s="682"/>
      <c r="G37" s="682"/>
      <c r="H37" s="682"/>
      <c r="I37" s="682"/>
      <c r="J37" s="682"/>
      <c r="K37" s="682"/>
      <c r="L37" s="682"/>
      <c r="M37" s="682"/>
      <c r="N37" s="682"/>
      <c r="O37" s="682"/>
      <c r="P37" s="682"/>
      <c r="Q37" s="682"/>
    </row>
    <row r="38" spans="1:17" s="38" customFormat="1" ht="10.5" customHeight="1" x14ac:dyDescent="0.15">
      <c r="A38" s="38" t="s">
        <v>317</v>
      </c>
      <c r="B38" s="41"/>
      <c r="C38" s="41"/>
      <c r="D38" s="41"/>
      <c r="E38" s="41"/>
      <c r="F38" s="41"/>
      <c r="G38" s="41"/>
      <c r="H38" s="41"/>
      <c r="I38" s="42"/>
      <c r="J38" s="41"/>
      <c r="K38" s="41"/>
      <c r="L38" s="41"/>
      <c r="M38" s="41"/>
      <c r="N38" s="41"/>
      <c r="O38" s="121"/>
      <c r="P38" s="121"/>
      <c r="Q38" s="41"/>
    </row>
    <row r="39" spans="1:17" x14ac:dyDescent="0.2">
      <c r="A39" s="38" t="s">
        <v>412</v>
      </c>
      <c r="B39" s="41"/>
      <c r="C39" s="41"/>
      <c r="D39" s="41"/>
      <c r="E39" s="41"/>
      <c r="F39" s="41"/>
      <c r="G39" s="41"/>
      <c r="H39" s="41"/>
      <c r="I39" s="121"/>
      <c r="J39" s="121"/>
      <c r="K39" s="121"/>
      <c r="L39" s="121"/>
      <c r="M39" s="121"/>
      <c r="N39" s="41"/>
      <c r="O39" s="38"/>
      <c r="P39" s="38"/>
      <c r="Q39" s="38"/>
    </row>
    <row r="40" spans="1:17" x14ac:dyDescent="0.2">
      <c r="A40" s="38" t="s">
        <v>411</v>
      </c>
      <c r="B40" s="41"/>
      <c r="C40" s="41"/>
      <c r="D40" s="41"/>
      <c r="E40" s="41"/>
      <c r="F40" s="41"/>
      <c r="G40" s="41"/>
      <c r="H40" s="41"/>
      <c r="I40" s="121"/>
      <c r="J40" s="121"/>
      <c r="K40" s="121"/>
      <c r="L40" s="121"/>
      <c r="M40" s="121"/>
      <c r="N40" s="41"/>
      <c r="O40" s="38"/>
      <c r="P40" s="38"/>
      <c r="Q40" s="38"/>
    </row>
    <row r="41" spans="1:17" x14ac:dyDescent="0.2">
      <c r="A41" s="9" t="s">
        <v>410</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7" sqref="I7"/>
    </sheetView>
  </sheetViews>
  <sheetFormatPr defaultColWidth="9.140625" defaultRowHeight="11.25" x14ac:dyDescent="0.2"/>
  <cols>
    <col min="1" max="1" width="30.42578125" style="77" customWidth="1"/>
    <col min="2" max="2" width="8.85546875" style="39" bestFit="1" customWidth="1"/>
    <col min="3" max="3" width="7.85546875" style="39" bestFit="1" customWidth="1"/>
    <col min="4" max="4" width="8.42578125" style="39" bestFit="1" customWidth="1"/>
    <col min="5" max="5" width="9.42578125" style="39" bestFit="1" customWidth="1"/>
    <col min="6" max="6" width="7.85546875" style="39" bestFit="1" customWidth="1"/>
    <col min="7" max="7" width="9.42578125" style="39" bestFit="1" customWidth="1"/>
    <col min="8" max="8" width="8.5703125" style="39" bestFit="1" customWidth="1"/>
    <col min="9" max="9" width="9.42578125" style="120" bestFit="1" customWidth="1"/>
    <col min="10" max="10" width="7.5703125" style="120" bestFit="1" customWidth="1"/>
    <col min="11" max="11" width="6.85546875" style="120" bestFit="1" customWidth="1"/>
    <col min="12" max="12" width="9.42578125" style="120" customWidth="1"/>
    <col min="13" max="13" width="9" style="120" hidden="1" customWidth="1"/>
    <col min="14" max="14" width="9.140625" style="39" bestFit="1" customWidth="1"/>
    <col min="15" max="15" width="10.140625" style="77" bestFit="1" customWidth="1"/>
    <col min="16" max="16" width="8.5703125" style="77" bestFit="1" customWidth="1"/>
    <col min="17" max="17" width="4.42578125" style="77" customWidth="1"/>
    <col min="18" max="19" width="0" style="77" hidden="1" customWidth="1"/>
    <col min="20" max="20" width="9.140625" style="77"/>
    <col min="21" max="21" width="0" style="276" hidden="1" customWidth="1"/>
    <col min="22" max="16384" width="9.140625" style="77"/>
  </cols>
  <sheetData>
    <row r="1" spans="1:21" x14ac:dyDescent="0.2">
      <c r="A1" s="684" t="s">
        <v>709</v>
      </c>
      <c r="B1" s="684"/>
      <c r="C1" s="684"/>
      <c r="D1" s="684"/>
      <c r="E1" s="684"/>
      <c r="F1" s="684"/>
      <c r="G1" s="684"/>
      <c r="H1" s="684"/>
      <c r="I1" s="684"/>
      <c r="J1" s="684"/>
      <c r="K1" s="684"/>
      <c r="L1" s="684"/>
      <c r="M1" s="684"/>
      <c r="N1" s="684"/>
      <c r="O1" s="684"/>
      <c r="P1" s="684"/>
      <c r="Q1" s="684"/>
    </row>
    <row r="2" spans="1:21" x14ac:dyDescent="0.2">
      <c r="A2" s="685" t="s">
        <v>596</v>
      </c>
      <c r="B2" s="685"/>
      <c r="C2" s="685"/>
      <c r="D2" s="685"/>
      <c r="E2" s="685"/>
      <c r="F2" s="685"/>
      <c r="G2" s="685"/>
      <c r="H2" s="685"/>
      <c r="I2" s="685"/>
      <c r="J2" s="685"/>
      <c r="K2" s="685"/>
      <c r="L2" s="685"/>
      <c r="M2" s="685"/>
      <c r="N2" s="685"/>
      <c r="O2" s="685"/>
      <c r="P2" s="685"/>
      <c r="Q2" s="685"/>
    </row>
    <row r="3" spans="1:21" s="117" customFormat="1" ht="54" x14ac:dyDescent="0.15">
      <c r="A3" s="32" t="s">
        <v>280</v>
      </c>
      <c r="B3" s="32" t="s">
        <v>281</v>
      </c>
      <c r="C3" s="32" t="s">
        <v>308</v>
      </c>
      <c r="D3" s="32" t="s">
        <v>1</v>
      </c>
      <c r="E3" s="32" t="s">
        <v>87</v>
      </c>
      <c r="F3" s="32" t="s">
        <v>2</v>
      </c>
      <c r="G3" s="8" t="s">
        <v>148</v>
      </c>
      <c r="H3" s="32" t="s">
        <v>335</v>
      </c>
      <c r="I3" s="43" t="s">
        <v>336</v>
      </c>
      <c r="J3" s="70" t="s">
        <v>623</v>
      </c>
      <c r="K3" s="70" t="s">
        <v>624</v>
      </c>
      <c r="L3" s="70" t="s">
        <v>625</v>
      </c>
      <c r="M3" s="32" t="s">
        <v>279</v>
      </c>
      <c r="N3" s="32" t="s">
        <v>5</v>
      </c>
      <c r="O3" s="70" t="s">
        <v>89</v>
      </c>
      <c r="P3" s="70" t="s">
        <v>147</v>
      </c>
      <c r="Q3" s="106" t="s">
        <v>282</v>
      </c>
      <c r="R3" s="117" t="s">
        <v>225</v>
      </c>
      <c r="S3" s="117" t="s">
        <v>226</v>
      </c>
      <c r="U3" s="349" t="s">
        <v>665</v>
      </c>
    </row>
    <row r="4" spans="1:21" s="95" customFormat="1" ht="9" x14ac:dyDescent="0.15">
      <c r="A4" s="118" t="s">
        <v>284</v>
      </c>
      <c r="B4" s="103" t="s">
        <v>311</v>
      </c>
      <c r="C4" s="103"/>
      <c r="D4" s="105"/>
      <c r="E4" s="105"/>
      <c r="F4" s="105"/>
      <c r="G4" s="103"/>
      <c r="H4" s="103"/>
      <c r="I4" s="107"/>
      <c r="J4" s="103"/>
      <c r="K4" s="103"/>
      <c r="L4" s="103"/>
      <c r="M4" s="103"/>
      <c r="N4" s="105"/>
      <c r="O4" s="105"/>
      <c r="P4" s="105"/>
      <c r="Q4" s="143"/>
      <c r="U4" s="250"/>
    </row>
    <row r="5" spans="1:21" s="95" customFormat="1" ht="9" x14ac:dyDescent="0.15">
      <c r="A5" s="91" t="s">
        <v>285</v>
      </c>
      <c r="B5" s="31" t="s">
        <v>311</v>
      </c>
      <c r="C5" s="31"/>
      <c r="D5" s="37"/>
      <c r="E5" s="37"/>
      <c r="F5" s="37"/>
      <c r="G5" s="31"/>
      <c r="H5" s="31"/>
      <c r="I5" s="64"/>
      <c r="J5" s="31"/>
      <c r="K5" s="31"/>
      <c r="L5" s="31"/>
      <c r="M5" s="31"/>
      <c r="N5" s="37"/>
      <c r="O5" s="37"/>
      <c r="P5" s="37"/>
      <c r="Q5" s="66"/>
      <c r="U5" s="250"/>
    </row>
    <row r="6" spans="1:21" s="95" customFormat="1" ht="9" x14ac:dyDescent="0.15">
      <c r="A6" s="91" t="s">
        <v>286</v>
      </c>
      <c r="B6" s="31"/>
      <c r="C6" s="31"/>
      <c r="D6" s="37"/>
      <c r="E6" s="37"/>
      <c r="F6" s="37"/>
      <c r="G6" s="31"/>
      <c r="H6" s="31"/>
      <c r="I6" s="64"/>
      <c r="J6" s="31"/>
      <c r="K6" s="31"/>
      <c r="L6" s="31"/>
      <c r="M6" s="31"/>
      <c r="N6" s="37"/>
      <c r="O6" s="37"/>
      <c r="P6" s="37"/>
      <c r="Q6" s="66"/>
      <c r="U6" s="250"/>
    </row>
    <row r="7" spans="1:21" s="95" customFormat="1" ht="9" x14ac:dyDescent="0.15">
      <c r="A7" s="91" t="s">
        <v>626</v>
      </c>
      <c r="B7" s="31">
        <v>5</v>
      </c>
      <c r="C7" s="31"/>
      <c r="D7" s="37">
        <v>0</v>
      </c>
      <c r="E7" s="37">
        <v>0</v>
      </c>
      <c r="F7" s="37">
        <v>0</v>
      </c>
      <c r="G7" s="31">
        <v>1</v>
      </c>
      <c r="H7" s="31">
        <f>B7*G7</f>
        <v>5</v>
      </c>
      <c r="I7" s="63">
        <f>ROUND(SUM('Base Data'!$H$26:$H$27,'Base Data'!$H$31:$H$32,'Base Data'!$H$36:$H$37, (SUM('Base Data'!$H$70,'Base Data'!$H$74)/3)),0)</f>
        <v>1027</v>
      </c>
      <c r="J7" s="63">
        <f>H7*I7</f>
        <v>5135</v>
      </c>
      <c r="K7" s="63">
        <f>J7*0.1</f>
        <v>513.5</v>
      </c>
      <c r="L7" s="63">
        <f>J7*0.05</f>
        <v>256.75</v>
      </c>
      <c r="M7" s="31">
        <f>C7*G7*I7</f>
        <v>0</v>
      </c>
      <c r="N7" s="37">
        <f>(J7*'Base Data'!$C$5)+(K7*'Base Data'!$C$6)+(L7*'Base Data'!$C$7)</f>
        <v>646642.84750000015</v>
      </c>
      <c r="O7" s="37">
        <f>(D7+E7+F7)*G7*I7</f>
        <v>0</v>
      </c>
      <c r="P7" s="64">
        <v>0</v>
      </c>
      <c r="Q7" s="66" t="s">
        <v>276</v>
      </c>
      <c r="U7" s="250">
        <v>0</v>
      </c>
    </row>
    <row r="8" spans="1:21" s="95" customFormat="1" ht="9" x14ac:dyDescent="0.15">
      <c r="A8" s="91" t="s">
        <v>288</v>
      </c>
      <c r="B8" s="31"/>
      <c r="C8" s="31"/>
      <c r="D8" s="37"/>
      <c r="E8" s="37"/>
      <c r="F8" s="37"/>
      <c r="G8" s="31"/>
      <c r="H8" s="31"/>
      <c r="I8" s="64"/>
      <c r="J8" s="31"/>
      <c r="K8" s="31"/>
      <c r="L8" s="31"/>
      <c r="M8" s="31"/>
      <c r="N8" s="37"/>
      <c r="O8" s="37"/>
      <c r="P8" s="64"/>
      <c r="Q8" s="66"/>
      <c r="U8" s="250"/>
    </row>
    <row r="9" spans="1:21" s="95" customFormat="1" ht="9" x14ac:dyDescent="0.15">
      <c r="A9" s="91" t="s">
        <v>302</v>
      </c>
      <c r="B9" s="31"/>
      <c r="C9" s="31"/>
      <c r="D9" s="365"/>
      <c r="E9" s="37"/>
      <c r="F9" s="37"/>
      <c r="G9" s="31"/>
      <c r="H9" s="31"/>
      <c r="I9" s="63"/>
      <c r="J9" s="63"/>
      <c r="K9" s="63"/>
      <c r="L9" s="63"/>
      <c r="M9" s="65"/>
      <c r="N9" s="37"/>
      <c r="O9" s="37"/>
      <c r="P9" s="64"/>
      <c r="Q9" s="66"/>
      <c r="R9" s="66"/>
      <c r="U9" s="250"/>
    </row>
    <row r="10" spans="1:21" s="95" customFormat="1" ht="9" x14ac:dyDescent="0.15">
      <c r="A10" s="90" t="s">
        <v>211</v>
      </c>
      <c r="B10" s="31">
        <v>20</v>
      </c>
      <c r="C10" s="31"/>
      <c r="D10" s="37">
        <v>854</v>
      </c>
      <c r="E10" s="37">
        <v>0</v>
      </c>
      <c r="F10" s="37">
        <v>0</v>
      </c>
      <c r="G10" s="31">
        <v>1</v>
      </c>
      <c r="H10" s="31">
        <f>B10*G10</f>
        <v>20</v>
      </c>
      <c r="I10" s="63">
        <v>0</v>
      </c>
      <c r="J10" s="64">
        <f>H10*I10</f>
        <v>0</v>
      </c>
      <c r="K10" s="458">
        <f>J10*0.1</f>
        <v>0</v>
      </c>
      <c r="L10" s="458">
        <f>J10*0.05</f>
        <v>0</v>
      </c>
      <c r="M10" s="65">
        <f>C10*G10*I10</f>
        <v>0</v>
      </c>
      <c r="N10" s="37">
        <f>(J10*'Base Data'!$C$5)+(K10*'Base Data'!$C$6)+(L10*'Base Data'!$C$7)</f>
        <v>0</v>
      </c>
      <c r="O10" s="37">
        <f>(D10+E10+F10)*G10*I10</f>
        <v>0</v>
      </c>
      <c r="P10" s="64">
        <v>0</v>
      </c>
      <c r="Q10" s="66" t="s">
        <v>550</v>
      </c>
      <c r="R10" s="66"/>
      <c r="U10" s="250">
        <v>59.16</v>
      </c>
    </row>
    <row r="11" spans="1:21" s="95" customFormat="1" ht="9" x14ac:dyDescent="0.15">
      <c r="A11" s="90" t="s">
        <v>212</v>
      </c>
      <c r="B11" s="31">
        <v>20</v>
      </c>
      <c r="C11" s="31"/>
      <c r="D11" s="37">
        <v>18292</v>
      </c>
      <c r="E11" s="37">
        <v>0</v>
      </c>
      <c r="F11" s="37">
        <v>0</v>
      </c>
      <c r="G11" s="31">
        <v>1</v>
      </c>
      <c r="H11" s="31">
        <f>B11*G11</f>
        <v>20</v>
      </c>
      <c r="I11" s="63">
        <v>0</v>
      </c>
      <c r="J11" s="64">
        <f>H11*I11</f>
        <v>0</v>
      </c>
      <c r="K11" s="458">
        <f>J11*0.1</f>
        <v>0</v>
      </c>
      <c r="L11" s="458">
        <f>J11*0.05</f>
        <v>0</v>
      </c>
      <c r="M11" s="65">
        <f>C11*G11*I11</f>
        <v>0</v>
      </c>
      <c r="N11" s="37">
        <f>(J11*'Base Data'!$C$5)+(K11*'Base Data'!$C$6)+(L11*'Base Data'!$C$7)</f>
        <v>0</v>
      </c>
      <c r="O11" s="37">
        <f>(D11+E11+F11)*G11*I11</f>
        <v>0</v>
      </c>
      <c r="P11" s="64">
        <v>0</v>
      </c>
      <c r="Q11" s="66" t="s">
        <v>550</v>
      </c>
      <c r="R11" s="66"/>
      <c r="U11" s="250">
        <v>433.84</v>
      </c>
    </row>
    <row r="12" spans="1:21" s="95" customFormat="1" ht="9" x14ac:dyDescent="0.15">
      <c r="A12" s="91" t="s">
        <v>7</v>
      </c>
      <c r="B12" s="31">
        <v>12</v>
      </c>
      <c r="C12" s="31"/>
      <c r="D12" s="37">
        <v>0</v>
      </c>
      <c r="E12" s="37">
        <v>1580</v>
      </c>
      <c r="F12" s="37">
        <v>0</v>
      </c>
      <c r="G12" s="31">
        <v>0.5</v>
      </c>
      <c r="H12" s="31">
        <f>B12*G12</f>
        <v>6</v>
      </c>
      <c r="I12" s="63">
        <f>SUM('Base Data'!$D$26:$D$27,'Base Data'!$D$31:$D$32,'Base Data'!$D$36:$D$37,(SUM('Base Data'!$D$70,'Base Data'!$D$74)/3))</f>
        <v>8811</v>
      </c>
      <c r="J12" s="63">
        <f>H12*I12</f>
        <v>52866</v>
      </c>
      <c r="K12" s="454">
        <f>J12*0.1</f>
        <v>5286.6</v>
      </c>
      <c r="L12" s="454">
        <f>J12*0.05</f>
        <v>2643.3</v>
      </c>
      <c r="M12" s="64"/>
      <c r="N12" s="37">
        <f>(J12*'Base Data'!$C$5)+(K12*'Base Data'!$C$6)+(L12*'Base Data'!$C$7)</f>
        <v>6657336.0810000012</v>
      </c>
      <c r="O12" s="37">
        <f>(D12+E12+F12)*I12</f>
        <v>13921380</v>
      </c>
      <c r="P12" s="64">
        <v>0</v>
      </c>
      <c r="Q12" s="66" t="s">
        <v>549</v>
      </c>
      <c r="U12" s="250">
        <v>4242</v>
      </c>
    </row>
    <row r="13" spans="1:21" s="95" customFormat="1" ht="9" x14ac:dyDescent="0.15">
      <c r="A13" s="91" t="s">
        <v>294</v>
      </c>
      <c r="B13" s="31" t="s">
        <v>311</v>
      </c>
      <c r="C13" s="31"/>
      <c r="D13" s="37"/>
      <c r="E13" s="37"/>
      <c r="F13" s="37"/>
      <c r="G13" s="31"/>
      <c r="H13" s="31"/>
      <c r="I13" s="64"/>
      <c r="J13" s="31"/>
      <c r="K13" s="31"/>
      <c r="L13" s="31"/>
      <c r="M13" s="31"/>
      <c r="N13" s="37"/>
      <c r="O13" s="37"/>
      <c r="P13" s="64"/>
      <c r="Q13" s="66"/>
      <c r="U13" s="250"/>
    </row>
    <row r="14" spans="1:21" s="95" customFormat="1" ht="9" x14ac:dyDescent="0.15">
      <c r="A14" s="91" t="s">
        <v>295</v>
      </c>
      <c r="B14" s="31" t="s">
        <v>311</v>
      </c>
      <c r="C14" s="31"/>
      <c r="D14" s="37"/>
      <c r="E14" s="37"/>
      <c r="F14" s="37"/>
      <c r="G14" s="31"/>
      <c r="H14" s="31"/>
      <c r="I14" s="64"/>
      <c r="J14" s="31"/>
      <c r="K14" s="31"/>
      <c r="L14" s="31"/>
      <c r="M14" s="31"/>
      <c r="N14" s="37"/>
      <c r="O14" s="37"/>
      <c r="P14" s="64"/>
      <c r="Q14" s="66"/>
      <c r="U14" s="250"/>
    </row>
    <row r="15" spans="1:21" s="95" customFormat="1" ht="9" x14ac:dyDescent="0.15">
      <c r="A15" s="91" t="s">
        <v>296</v>
      </c>
      <c r="B15" s="31"/>
      <c r="C15" s="31"/>
      <c r="D15" s="37"/>
      <c r="E15" s="37"/>
      <c r="F15" s="37"/>
      <c r="G15" s="31"/>
      <c r="H15" s="31"/>
      <c r="I15" s="64"/>
      <c r="J15" s="31"/>
      <c r="K15" s="31"/>
      <c r="L15" s="31"/>
      <c r="M15" s="31"/>
      <c r="N15" s="37"/>
      <c r="O15" s="37"/>
      <c r="P15" s="64"/>
      <c r="Q15" s="66"/>
      <c r="U15" s="250"/>
    </row>
    <row r="16" spans="1:21" s="95" customFormat="1" ht="9" x14ac:dyDescent="0.15">
      <c r="A16" s="101" t="s">
        <v>312</v>
      </c>
      <c r="B16" s="31">
        <v>2</v>
      </c>
      <c r="C16" s="31"/>
      <c r="D16" s="37">
        <v>0</v>
      </c>
      <c r="E16" s="37">
        <v>0</v>
      </c>
      <c r="F16" s="37">
        <v>0</v>
      </c>
      <c r="G16" s="31">
        <v>1</v>
      </c>
      <c r="H16" s="31">
        <f>B16*G16</f>
        <v>2</v>
      </c>
      <c r="I16" s="63">
        <v>0</v>
      </c>
      <c r="J16" s="63">
        <f>H16*I16</f>
        <v>0</v>
      </c>
      <c r="K16" s="63">
        <f>J16*0.1</f>
        <v>0</v>
      </c>
      <c r="L16" s="63">
        <f>J16*0.05</f>
        <v>0</v>
      </c>
      <c r="M16" s="31">
        <f>C16*G16*I16</f>
        <v>0</v>
      </c>
      <c r="N16" s="37">
        <f>(J16*'Base Data'!$C$5)+(K16*'Base Data'!$C$6)+(L16*'Base Data'!$C$7)</f>
        <v>0</v>
      </c>
      <c r="O16" s="37">
        <f>(D16+E16+F16)*G16*I16</f>
        <v>0</v>
      </c>
      <c r="P16" s="64">
        <f>G16*I16</f>
        <v>0</v>
      </c>
      <c r="Q16" s="66" t="s">
        <v>276</v>
      </c>
      <c r="U16" s="250">
        <v>0</v>
      </c>
    </row>
    <row r="17" spans="1:21" s="95" customFormat="1" ht="9" x14ac:dyDescent="0.15">
      <c r="A17" s="101" t="s">
        <v>273</v>
      </c>
      <c r="B17" s="31">
        <v>8</v>
      </c>
      <c r="C17" s="31"/>
      <c r="D17" s="37">
        <v>0</v>
      </c>
      <c r="E17" s="37">
        <v>0</v>
      </c>
      <c r="F17" s="37">
        <v>0</v>
      </c>
      <c r="G17" s="31">
        <v>1</v>
      </c>
      <c r="H17" s="31">
        <f>B17*G17</f>
        <v>8</v>
      </c>
      <c r="I17" s="63">
        <v>0</v>
      </c>
      <c r="J17" s="63">
        <f>H17*I17</f>
        <v>0</v>
      </c>
      <c r="K17" s="455">
        <f>J17*0.1</f>
        <v>0</v>
      </c>
      <c r="L17" s="455">
        <f>J17*0.05</f>
        <v>0</v>
      </c>
      <c r="M17" s="31">
        <f>C17*G17*I17</f>
        <v>0</v>
      </c>
      <c r="N17" s="37">
        <f>(J17*'Base Data'!$C$5)+(K17*'Base Data'!$C$6)+(L17*'Base Data'!$C$7)</f>
        <v>0</v>
      </c>
      <c r="O17" s="37">
        <f>(D17+E17+F17)*G17*I17</f>
        <v>0</v>
      </c>
      <c r="P17" s="64">
        <f>G17*I17</f>
        <v>0</v>
      </c>
      <c r="Q17" s="66" t="s">
        <v>277</v>
      </c>
      <c r="U17" s="250">
        <v>986</v>
      </c>
    </row>
    <row r="18" spans="1:21" s="95" customFormat="1" ht="9" x14ac:dyDescent="0.15">
      <c r="A18" s="101" t="s">
        <v>8</v>
      </c>
      <c r="B18" s="31">
        <v>5</v>
      </c>
      <c r="C18" s="31"/>
      <c r="D18" s="37">
        <v>0</v>
      </c>
      <c r="E18" s="37">
        <v>0</v>
      </c>
      <c r="F18" s="37">
        <v>0</v>
      </c>
      <c r="G18" s="31">
        <v>0.5</v>
      </c>
      <c r="H18" s="31">
        <f>B18*G18</f>
        <v>2.5</v>
      </c>
      <c r="I18" s="64">
        <f>SUM('Base Data'!$H$26:$H$27,'Base Data'!$H$31:$H$32,'Base Data'!$H$36:$H$37, (SUM('Base Data'!$H$70,'Base Data'!$H$74)/3))</f>
        <v>1027</v>
      </c>
      <c r="J18" s="63">
        <f>H18*I18</f>
        <v>2567.5</v>
      </c>
      <c r="K18" s="455">
        <f>J18*0.1</f>
        <v>256.75</v>
      </c>
      <c r="L18" s="455">
        <f>J18*0.05</f>
        <v>128.375</v>
      </c>
      <c r="M18" s="31">
        <f>C18*G18*I18</f>
        <v>0</v>
      </c>
      <c r="N18" s="37">
        <f>(J18*'Base Data'!$C$5)+(K18*'Base Data'!$C$6)+(L18*'Base Data'!$C$7)</f>
        <v>323321.42375000007</v>
      </c>
      <c r="O18" s="37">
        <f>(D18+E18+F18)*G18*I18</f>
        <v>0</v>
      </c>
      <c r="P18" s="64">
        <f>G18*I18</f>
        <v>513.5</v>
      </c>
      <c r="Q18" s="66" t="s">
        <v>86</v>
      </c>
      <c r="U18" s="250">
        <v>986</v>
      </c>
    </row>
    <row r="19" spans="1:21" s="4" customFormat="1" ht="9" x14ac:dyDescent="0.15">
      <c r="A19" s="101" t="s">
        <v>365</v>
      </c>
      <c r="B19" s="31">
        <v>5</v>
      </c>
      <c r="C19" s="31"/>
      <c r="D19" s="37">
        <v>0</v>
      </c>
      <c r="E19" s="37">
        <v>0</v>
      </c>
      <c r="F19" s="37">
        <v>0</v>
      </c>
      <c r="G19" s="31">
        <v>1</v>
      </c>
      <c r="H19" s="31">
        <f>B19*G19</f>
        <v>5</v>
      </c>
      <c r="I19" s="63">
        <v>0</v>
      </c>
      <c r="J19" s="64">
        <f>H19*I19</f>
        <v>0</v>
      </c>
      <c r="K19" s="458">
        <f>J19*0.1</f>
        <v>0</v>
      </c>
      <c r="L19" s="458">
        <f>J19*0.05</f>
        <v>0</v>
      </c>
      <c r="M19" s="31">
        <f>C19*G19*I19</f>
        <v>0</v>
      </c>
      <c r="N19" s="37">
        <f>(J19*'Base Data'!$C$5)+(K19*'Base Data'!$C$6)+(L19*'Base Data'!$C$7)</f>
        <v>0</v>
      </c>
      <c r="O19" s="37">
        <f>(D19+E19+F19)*G19*I19</f>
        <v>0</v>
      </c>
      <c r="P19" s="64">
        <f>G19*I19</f>
        <v>0</v>
      </c>
      <c r="Q19" s="66" t="s">
        <v>277</v>
      </c>
      <c r="U19" s="185">
        <v>986</v>
      </c>
    </row>
    <row r="20" spans="1:21" s="4" customFormat="1" ht="9" hidden="1" x14ac:dyDescent="0.15">
      <c r="A20" s="101"/>
      <c r="B20" s="31"/>
      <c r="C20" s="31"/>
      <c r="D20" s="37"/>
      <c r="E20" s="37"/>
      <c r="F20" s="37"/>
      <c r="G20" s="31"/>
      <c r="H20" s="31"/>
      <c r="I20" s="63"/>
      <c r="J20" s="367">
        <f>SUM(J7:J19)</f>
        <v>60568.5</v>
      </c>
      <c r="K20" s="367">
        <f>SUM(K7:K19)</f>
        <v>6056.85</v>
      </c>
      <c r="L20" s="367">
        <f>SUM(L7:L19)</f>
        <v>3028.4250000000002</v>
      </c>
      <c r="M20" s="31"/>
      <c r="N20" s="37"/>
      <c r="O20" s="37"/>
      <c r="P20" s="64"/>
      <c r="Q20" s="66"/>
      <c r="U20" s="185"/>
    </row>
    <row r="21" spans="1:21" s="371" customFormat="1" ht="9" x14ac:dyDescent="0.15">
      <c r="A21" s="376" t="s">
        <v>4</v>
      </c>
      <c r="B21" s="364"/>
      <c r="C21" s="364"/>
      <c r="D21" s="365"/>
      <c r="E21" s="365"/>
      <c r="F21" s="365"/>
      <c r="G21" s="364"/>
      <c r="H21" s="364"/>
      <c r="I21" s="367"/>
      <c r="J21" s="727">
        <f>J20+K20+L20</f>
        <v>69653.775000000009</v>
      </c>
      <c r="K21" s="750"/>
      <c r="L21" s="751"/>
      <c r="M21" s="367">
        <f>SUM(M7:M19)</f>
        <v>0</v>
      </c>
      <c r="N21" s="365">
        <f>SUM(N7:N19)</f>
        <v>7627300.3522500014</v>
      </c>
      <c r="O21" s="365">
        <f>SUM(O7:O19)</f>
        <v>13921380</v>
      </c>
      <c r="P21" s="367">
        <f>ROUNDUP(SUM(P7:P19),0)</f>
        <v>514</v>
      </c>
      <c r="Q21" s="368"/>
      <c r="R21" s="370">
        <f>SUM(O7:O12)</f>
        <v>13921380</v>
      </c>
      <c r="S21" s="371">
        <f>0</f>
        <v>0</v>
      </c>
      <c r="U21" s="378"/>
    </row>
    <row r="22" spans="1:21" s="95" customFormat="1" ht="9" x14ac:dyDescent="0.15">
      <c r="A22" s="91" t="s">
        <v>309</v>
      </c>
      <c r="B22" s="31"/>
      <c r="C22" s="31"/>
      <c r="D22" s="37"/>
      <c r="E22" s="37"/>
      <c r="F22" s="37"/>
      <c r="G22" s="31"/>
      <c r="H22" s="31"/>
      <c r="I22" s="64"/>
      <c r="J22" s="31"/>
      <c r="K22" s="31"/>
      <c r="L22" s="31"/>
      <c r="M22" s="31"/>
      <c r="N22" s="37"/>
      <c r="O22" s="37"/>
      <c r="P22" s="64"/>
      <c r="Q22" s="66"/>
      <c r="U22" s="250"/>
    </row>
    <row r="23" spans="1:21" s="95" customFormat="1" ht="9" x14ac:dyDescent="0.15">
      <c r="A23" s="91" t="s">
        <v>626</v>
      </c>
      <c r="B23" s="31" t="s">
        <v>301</v>
      </c>
      <c r="C23" s="31"/>
      <c r="D23" s="37"/>
      <c r="E23" s="37"/>
      <c r="F23" s="37"/>
      <c r="G23" s="31"/>
      <c r="H23" s="31"/>
      <c r="I23" s="64"/>
      <c r="J23" s="31"/>
      <c r="K23" s="31"/>
      <c r="L23" s="31"/>
      <c r="M23" s="31"/>
      <c r="N23" s="37"/>
      <c r="O23" s="37"/>
      <c r="P23" s="64"/>
      <c r="Q23" s="66"/>
      <c r="U23" s="250"/>
    </row>
    <row r="24" spans="1:21" s="95" customFormat="1" ht="9" x14ac:dyDescent="0.15">
      <c r="A24" s="91" t="s">
        <v>298</v>
      </c>
      <c r="B24" s="31" t="s">
        <v>311</v>
      </c>
      <c r="C24" s="31"/>
      <c r="D24" s="37"/>
      <c r="E24" s="37"/>
      <c r="F24" s="37"/>
      <c r="G24" s="31"/>
      <c r="H24" s="31"/>
      <c r="I24" s="64"/>
      <c r="J24" s="31"/>
      <c r="K24" s="31"/>
      <c r="L24" s="31"/>
      <c r="M24" s="31"/>
      <c r="N24" s="37"/>
      <c r="O24" s="37"/>
      <c r="P24" s="64"/>
      <c r="Q24" s="66"/>
      <c r="U24" s="250"/>
    </row>
    <row r="25" spans="1:21" s="95" customFormat="1" ht="9" x14ac:dyDescent="0.15">
      <c r="A25" s="91" t="s">
        <v>299</v>
      </c>
      <c r="B25" s="31" t="s">
        <v>311</v>
      </c>
      <c r="C25" s="31"/>
      <c r="D25" s="37"/>
      <c r="E25" s="37"/>
      <c r="F25" s="37"/>
      <c r="G25" s="31"/>
      <c r="H25" s="31"/>
      <c r="I25" s="64"/>
      <c r="J25" s="31"/>
      <c r="K25" s="31"/>
      <c r="L25" s="31"/>
      <c r="M25" s="31"/>
      <c r="N25" s="37"/>
      <c r="O25" s="37"/>
      <c r="P25" s="64"/>
      <c r="Q25" s="66" t="s">
        <v>278</v>
      </c>
      <c r="U25" s="250"/>
    </row>
    <row r="26" spans="1:21" s="95" customFormat="1" ht="9" x14ac:dyDescent="0.15">
      <c r="A26" s="91" t="s">
        <v>300</v>
      </c>
      <c r="B26" s="31"/>
      <c r="C26" s="31"/>
      <c r="D26" s="37"/>
      <c r="E26" s="37"/>
      <c r="F26" s="37"/>
      <c r="G26" s="31"/>
      <c r="H26" s="31"/>
      <c r="I26" s="64"/>
      <c r="J26" s="31"/>
      <c r="K26" s="31"/>
      <c r="L26" s="31"/>
      <c r="M26" s="31"/>
      <c r="N26" s="37"/>
      <c r="O26" s="37"/>
      <c r="P26" s="64"/>
      <c r="Q26" s="66"/>
      <c r="U26" s="250"/>
    </row>
    <row r="27" spans="1:21" s="95" customFormat="1" ht="19.5" customHeight="1" x14ac:dyDescent="0.15">
      <c r="A27" s="101" t="s">
        <v>271</v>
      </c>
      <c r="B27" s="31">
        <v>2</v>
      </c>
      <c r="C27" s="31">
        <v>0</v>
      </c>
      <c r="D27" s="37">
        <v>0</v>
      </c>
      <c r="E27" s="37">
        <v>0</v>
      </c>
      <c r="F27" s="37">
        <v>0</v>
      </c>
      <c r="G27" s="31">
        <v>0.5</v>
      </c>
      <c r="H27" s="31">
        <f>B27*G27</f>
        <v>1</v>
      </c>
      <c r="I27" s="63">
        <f>I18</f>
        <v>1027</v>
      </c>
      <c r="J27" s="63">
        <f>H27*I27</f>
        <v>1027</v>
      </c>
      <c r="K27" s="455">
        <f>J27*0.1</f>
        <v>102.7</v>
      </c>
      <c r="L27" s="455">
        <f>J27*0.05</f>
        <v>51.35</v>
      </c>
      <c r="M27" s="31">
        <f>C27*G27*I27</f>
        <v>0</v>
      </c>
      <c r="N27" s="37">
        <f>(J27*'Base Data'!$C$5)+(K27*'Base Data'!$C$6)+(L27*'Base Data'!$C$7)</f>
        <v>129328.5695</v>
      </c>
      <c r="O27" s="37">
        <f>(D27+E27+F27)*G27*I27</f>
        <v>0</v>
      </c>
      <c r="P27" s="64">
        <v>0</v>
      </c>
      <c r="Q27" s="66" t="s">
        <v>277</v>
      </c>
      <c r="U27" s="250">
        <v>986</v>
      </c>
    </row>
    <row r="28" spans="1:21" s="95" customFormat="1" ht="18" x14ac:dyDescent="0.15">
      <c r="A28" s="101" t="s">
        <v>272</v>
      </c>
      <c r="B28" s="31">
        <v>15</v>
      </c>
      <c r="C28" s="31">
        <v>0</v>
      </c>
      <c r="D28" s="37">
        <v>0</v>
      </c>
      <c r="E28" s="37">
        <v>0</v>
      </c>
      <c r="F28" s="37">
        <v>0</v>
      </c>
      <c r="G28" s="31">
        <v>1</v>
      </c>
      <c r="H28" s="31">
        <f>B28*G28</f>
        <v>15</v>
      </c>
      <c r="I28" s="63">
        <v>0</v>
      </c>
      <c r="J28" s="63">
        <f>H28*I28</f>
        <v>0</v>
      </c>
      <c r="K28" s="63">
        <f>J28*0.1</f>
        <v>0</v>
      </c>
      <c r="L28" s="63">
        <f>J28*0.05</f>
        <v>0</v>
      </c>
      <c r="M28" s="31">
        <f>C28*G28*I28</f>
        <v>0</v>
      </c>
      <c r="N28" s="37">
        <f>(J28*'Base Data'!$C$5)+(K28*'Base Data'!$C$6)+(L28*'Base Data'!$C$7)</f>
        <v>0</v>
      </c>
      <c r="O28" s="37">
        <f>(D28+E28+F28)*G28*I28</f>
        <v>0</v>
      </c>
      <c r="P28" s="64">
        <v>0</v>
      </c>
      <c r="Q28" s="66" t="s">
        <v>84</v>
      </c>
      <c r="U28" s="250">
        <v>0</v>
      </c>
    </row>
    <row r="29" spans="1:21" s="95" customFormat="1" ht="9" x14ac:dyDescent="0.15">
      <c r="A29" s="101" t="s">
        <v>200</v>
      </c>
      <c r="B29" s="31">
        <v>0.5</v>
      </c>
      <c r="C29" s="31"/>
      <c r="D29" s="37">
        <v>0</v>
      </c>
      <c r="E29" s="37">
        <v>0</v>
      </c>
      <c r="F29" s="37">
        <v>0</v>
      </c>
      <c r="G29" s="31">
        <v>0.5</v>
      </c>
      <c r="H29" s="31">
        <f>B29*G29</f>
        <v>0.25</v>
      </c>
      <c r="I29" s="64">
        <f>SUM('Base Data'!$D$26:$D$27,'Base Data'!$D$31:$D$32,'Base Data'!$D$36:$D$37,(SUM('Base Data'!$D$70,'Base Data'!$D$74)/3))</f>
        <v>8811</v>
      </c>
      <c r="J29" s="63">
        <f>H29*I29</f>
        <v>2202.75</v>
      </c>
      <c r="K29" s="455">
        <f>J29*0.1</f>
        <v>220.27500000000001</v>
      </c>
      <c r="L29" s="455">
        <f>J29*0.05</f>
        <v>110.1375</v>
      </c>
      <c r="M29" s="31">
        <f>C29*G29*I29</f>
        <v>0</v>
      </c>
      <c r="N29" s="37">
        <f>(J29*'Base Data'!$C$5)+(K29*'Base Data'!$C$6)+(L29*'Base Data'!$C$7)</f>
        <v>277389.00337500003</v>
      </c>
      <c r="O29" s="37">
        <f>(D29+E29+F29)*G29*I29</f>
        <v>0</v>
      </c>
      <c r="P29" s="64">
        <v>0</v>
      </c>
      <c r="Q29" s="66" t="s">
        <v>86</v>
      </c>
      <c r="U29" s="250">
        <v>8485</v>
      </c>
    </row>
    <row r="30" spans="1:21" s="4" customFormat="1" ht="9" x14ac:dyDescent="0.15">
      <c r="A30" s="90" t="s">
        <v>305</v>
      </c>
      <c r="B30" s="31">
        <v>40</v>
      </c>
      <c r="C30" s="31"/>
      <c r="D30" s="37">
        <v>0</v>
      </c>
      <c r="E30" s="37">
        <v>0</v>
      </c>
      <c r="F30" s="37">
        <v>0</v>
      </c>
      <c r="G30" s="31">
        <v>1</v>
      </c>
      <c r="H30" s="31">
        <f>B30*G30</f>
        <v>40</v>
      </c>
      <c r="I30" s="63">
        <f>ROUND(SUM('Base Data'!$H$26:$H$27,'Base Data'!$H$31:$H$32,'Base Data'!$H$36:$H$37,(SUM('Base Data'!$H$70,'Base Data'!$H$74)/3))/2,0)</f>
        <v>514</v>
      </c>
      <c r="J30" s="64">
        <f>H30*I30</f>
        <v>20560</v>
      </c>
      <c r="K30" s="64">
        <f>J30*0.1</f>
        <v>2056</v>
      </c>
      <c r="L30" s="64">
        <f>J30*0.05</f>
        <v>1028</v>
      </c>
      <c r="M30" s="31"/>
      <c r="N30" s="37">
        <f>(J30*'Base Data'!$C$5)+(K30*'Base Data'!$C$6)+(L30*'Base Data'!$C$7)</f>
        <v>2589089.96</v>
      </c>
      <c r="O30" s="37">
        <f>(D30+E30+F30)*G30*I30</f>
        <v>0</v>
      </c>
      <c r="P30" s="64">
        <v>0</v>
      </c>
      <c r="Q30" s="66" t="s">
        <v>74</v>
      </c>
      <c r="U30" s="185">
        <v>493</v>
      </c>
    </row>
    <row r="31" spans="1:21" s="95" customFormat="1" ht="9" x14ac:dyDescent="0.15">
      <c r="A31" s="91" t="s">
        <v>306</v>
      </c>
      <c r="B31" s="31" t="s">
        <v>311</v>
      </c>
      <c r="C31" s="31"/>
      <c r="D31" s="37"/>
      <c r="E31" s="37"/>
      <c r="F31" s="37"/>
      <c r="G31" s="31"/>
      <c r="H31" s="31"/>
      <c r="I31" s="64"/>
      <c r="J31" s="31"/>
      <c r="K31" s="31"/>
      <c r="L31" s="31"/>
      <c r="M31" s="31"/>
      <c r="N31" s="37"/>
      <c r="O31" s="37"/>
      <c r="P31" s="64"/>
      <c r="Q31" s="66"/>
      <c r="U31" s="250"/>
    </row>
    <row r="32" spans="1:21" s="95" customFormat="1" ht="9" hidden="1" x14ac:dyDescent="0.15">
      <c r="A32" s="450"/>
      <c r="B32" s="437"/>
      <c r="C32" s="437"/>
      <c r="D32" s="438"/>
      <c r="E32" s="438"/>
      <c r="F32" s="438"/>
      <c r="G32" s="437"/>
      <c r="H32" s="437"/>
      <c r="I32" s="439"/>
      <c r="J32" s="372">
        <f>SUM(J23:J31)</f>
        <v>23789.75</v>
      </c>
      <c r="K32" s="372">
        <f>SUM(K23:K31)</f>
        <v>2378.9749999999999</v>
      </c>
      <c r="L32" s="372">
        <f>SUM(L23:L31)</f>
        <v>1189.4875</v>
      </c>
      <c r="M32" s="437"/>
      <c r="N32" s="438"/>
      <c r="O32" s="438"/>
      <c r="P32" s="64"/>
      <c r="Q32" s="440"/>
      <c r="U32" s="250"/>
    </row>
    <row r="33" spans="1:22" s="371" customFormat="1" ht="9" x14ac:dyDescent="0.15">
      <c r="A33" s="377" t="s">
        <v>23</v>
      </c>
      <c r="B33" s="372"/>
      <c r="C33" s="372"/>
      <c r="D33" s="373"/>
      <c r="E33" s="373"/>
      <c r="F33" s="373"/>
      <c r="G33" s="372"/>
      <c r="H33" s="372"/>
      <c r="I33" s="374"/>
      <c r="J33" s="759">
        <f>J32+K32+L32</f>
        <v>27358.212499999998</v>
      </c>
      <c r="K33" s="760"/>
      <c r="L33" s="761"/>
      <c r="M33" s="372">
        <f>SUM(M23:M31)</f>
        <v>0</v>
      </c>
      <c r="N33" s="373">
        <f>SUM(N23:N31)</f>
        <v>2995807.532875</v>
      </c>
      <c r="O33" s="373">
        <f>SUM(O23:O31)</f>
        <v>0</v>
      </c>
      <c r="P33" s="367">
        <f>SUM(P23:P31)</f>
        <v>0</v>
      </c>
      <c r="Q33" s="375"/>
      <c r="R33" s="370">
        <f>SUM(O23:O33)</f>
        <v>0</v>
      </c>
      <c r="U33" s="378"/>
    </row>
    <row r="34" spans="1:22" s="371" customFormat="1" ht="9" hidden="1" x14ac:dyDescent="0.15">
      <c r="A34" s="453"/>
      <c r="B34" s="429"/>
      <c r="C34" s="429"/>
      <c r="D34" s="430"/>
      <c r="E34" s="430"/>
      <c r="F34" s="430"/>
      <c r="G34" s="429"/>
      <c r="H34" s="429"/>
      <c r="I34" s="431"/>
      <c r="J34" s="114">
        <f>SUM(J20,J32)</f>
        <v>84358.25</v>
      </c>
      <c r="K34" s="114">
        <f>SUM(K20,K32)</f>
        <v>8435.8250000000007</v>
      </c>
      <c r="L34" s="114">
        <f>SUM(L20,L32)</f>
        <v>4217.9125000000004</v>
      </c>
      <c r="M34" s="429"/>
      <c r="N34" s="430"/>
      <c r="O34" s="430"/>
      <c r="P34" s="449"/>
      <c r="Q34" s="432"/>
      <c r="R34" s="370"/>
      <c r="U34" s="378"/>
    </row>
    <row r="35" spans="1:22" s="95" customFormat="1" x14ac:dyDescent="0.2">
      <c r="A35" s="110" t="s">
        <v>283</v>
      </c>
      <c r="B35" s="111"/>
      <c r="C35" s="111"/>
      <c r="D35" s="111"/>
      <c r="E35" s="111"/>
      <c r="F35" s="111"/>
      <c r="G35" s="111"/>
      <c r="H35" s="111"/>
      <c r="I35" s="441"/>
      <c r="J35" s="754">
        <f>J34+K34+L34</f>
        <v>97011.987500000003</v>
      </c>
      <c r="K35" s="752"/>
      <c r="L35" s="755"/>
      <c r="M35" s="554">
        <f>SUM(M21,M33)</f>
        <v>0</v>
      </c>
      <c r="N35" s="115">
        <f>SUM(N21,N33)</f>
        <v>10623107.885125002</v>
      </c>
      <c r="O35" s="115">
        <f>SUM(O21,O33)</f>
        <v>13921380</v>
      </c>
      <c r="P35" s="114">
        <f>SUM(P21,P33)</f>
        <v>514</v>
      </c>
      <c r="Q35" s="555"/>
      <c r="U35" s="250"/>
    </row>
    <row r="36" spans="1:22" s="95" customFormat="1" x14ac:dyDescent="0.2">
      <c r="A36" s="77"/>
      <c r="B36" s="39"/>
      <c r="C36" s="39"/>
      <c r="D36" s="39"/>
      <c r="E36" s="39"/>
      <c r="F36" s="39"/>
      <c r="G36" s="39"/>
      <c r="H36" s="39"/>
      <c r="I36" s="40"/>
      <c r="J36" s="39"/>
      <c r="K36" s="39"/>
      <c r="L36" s="39"/>
      <c r="M36" s="39"/>
      <c r="N36" s="39"/>
      <c r="O36" s="120"/>
      <c r="P36" s="120"/>
      <c r="Q36" s="39"/>
      <c r="U36" s="250"/>
    </row>
    <row r="37" spans="1:22" s="95" customFormat="1" ht="9" customHeight="1" x14ac:dyDescent="0.15">
      <c r="A37" s="682" t="s">
        <v>737</v>
      </c>
      <c r="B37" s="682"/>
      <c r="C37" s="682"/>
      <c r="D37" s="682"/>
      <c r="E37" s="682"/>
      <c r="F37" s="682"/>
      <c r="G37" s="682"/>
      <c r="H37" s="682"/>
      <c r="I37" s="682"/>
      <c r="J37" s="682"/>
      <c r="K37" s="682"/>
      <c r="L37" s="682"/>
      <c r="M37" s="682"/>
      <c r="N37" s="682"/>
      <c r="O37" s="682"/>
      <c r="P37" s="682"/>
      <c r="Q37" s="682"/>
      <c r="U37" s="250"/>
    </row>
    <row r="38" spans="1:22" s="38" customFormat="1" ht="19.5" customHeight="1" x14ac:dyDescent="0.15">
      <c r="A38" s="682" t="s">
        <v>450</v>
      </c>
      <c r="B38" s="682"/>
      <c r="C38" s="682"/>
      <c r="D38" s="682"/>
      <c r="E38" s="682"/>
      <c r="F38" s="682"/>
      <c r="G38" s="682"/>
      <c r="H38" s="682"/>
      <c r="I38" s="682"/>
      <c r="J38" s="682"/>
      <c r="K38" s="682"/>
      <c r="L38" s="682"/>
      <c r="M38" s="682"/>
      <c r="N38" s="682"/>
      <c r="O38" s="682"/>
      <c r="P38" s="552"/>
      <c r="Q38" s="41"/>
      <c r="U38" s="350"/>
    </row>
    <row r="39" spans="1:22" s="38" customFormat="1" ht="44.25" customHeight="1" x14ac:dyDescent="0.15">
      <c r="A39" s="726" t="s">
        <v>735</v>
      </c>
      <c r="B39" s="726"/>
      <c r="C39" s="726"/>
      <c r="D39" s="726"/>
      <c r="E39" s="726"/>
      <c r="F39" s="726"/>
      <c r="G39" s="726"/>
      <c r="H39" s="726"/>
      <c r="I39" s="726"/>
      <c r="J39" s="726"/>
      <c r="K39" s="726"/>
      <c r="L39" s="726"/>
      <c r="M39" s="726"/>
      <c r="N39" s="726"/>
      <c r="O39" s="726"/>
      <c r="P39" s="552"/>
      <c r="Q39" s="41"/>
      <c r="U39" s="350"/>
    </row>
    <row r="40" spans="1:22" s="38" customFormat="1" ht="18.75" customHeight="1" x14ac:dyDescent="0.15">
      <c r="A40" s="682" t="s">
        <v>88</v>
      </c>
      <c r="B40" s="682"/>
      <c r="C40" s="682"/>
      <c r="D40" s="682"/>
      <c r="E40" s="682"/>
      <c r="F40" s="682"/>
      <c r="G40" s="682"/>
      <c r="H40" s="682"/>
      <c r="I40" s="682"/>
      <c r="J40" s="682"/>
      <c r="K40" s="682"/>
      <c r="L40" s="682"/>
      <c r="M40" s="682"/>
      <c r="N40" s="682"/>
      <c r="O40" s="682"/>
      <c r="P40" s="682"/>
      <c r="Q40" s="682"/>
      <c r="U40" s="350"/>
    </row>
    <row r="41" spans="1:22" s="38" customFormat="1" ht="10.5" customHeight="1" x14ac:dyDescent="0.15">
      <c r="A41" s="38" t="s">
        <v>317</v>
      </c>
      <c r="B41" s="41"/>
      <c r="C41" s="41"/>
      <c r="D41" s="41"/>
      <c r="E41" s="41"/>
      <c r="F41" s="41"/>
      <c r="G41" s="41"/>
      <c r="H41" s="41"/>
      <c r="I41" s="42"/>
      <c r="J41" s="41"/>
      <c r="K41" s="41"/>
      <c r="L41" s="41"/>
      <c r="M41" s="41"/>
      <c r="N41" s="41"/>
      <c r="O41" s="121"/>
      <c r="P41" s="121"/>
      <c r="Q41" s="41"/>
      <c r="U41" s="350"/>
    </row>
    <row r="42" spans="1:22" x14ac:dyDescent="0.2">
      <c r="A42" s="38" t="s">
        <v>412</v>
      </c>
      <c r="Q42" s="38"/>
    </row>
    <row r="43" spans="1:22" x14ac:dyDescent="0.2">
      <c r="A43" s="38" t="s">
        <v>411</v>
      </c>
      <c r="Q43" s="38"/>
    </row>
    <row r="44" spans="1:22" x14ac:dyDescent="0.2">
      <c r="A44" s="38" t="s">
        <v>781</v>
      </c>
      <c r="V44" s="77" t="s">
        <v>773</v>
      </c>
    </row>
    <row r="45" spans="1:22" ht="11.25" customHeight="1" x14ac:dyDescent="0.2">
      <c r="A45" s="749" t="s">
        <v>736</v>
      </c>
      <c r="B45" s="749"/>
      <c r="C45" s="749"/>
      <c r="D45" s="749"/>
      <c r="E45" s="749"/>
      <c r="F45" s="749"/>
      <c r="G45" s="749"/>
      <c r="H45" s="749"/>
      <c r="I45" s="749"/>
      <c r="J45" s="749"/>
      <c r="K45" s="749"/>
      <c r="L45" s="749"/>
      <c r="M45" s="749"/>
      <c r="N45" s="749"/>
      <c r="O45" s="749"/>
      <c r="P45" s="749"/>
      <c r="Q45" s="749"/>
    </row>
    <row r="46" spans="1:22" x14ac:dyDescent="0.2">
      <c r="A46" s="749"/>
      <c r="B46" s="749"/>
      <c r="C46" s="749"/>
      <c r="D46" s="749"/>
      <c r="E46" s="749"/>
      <c r="F46" s="749"/>
      <c r="G46" s="749"/>
      <c r="H46" s="749"/>
      <c r="I46" s="749"/>
      <c r="J46" s="749"/>
      <c r="K46" s="749"/>
      <c r="L46" s="749"/>
      <c r="M46" s="749"/>
      <c r="N46" s="749"/>
      <c r="O46" s="749"/>
      <c r="P46" s="749"/>
      <c r="Q46" s="749"/>
    </row>
  </sheetData>
  <mergeCells count="10">
    <mergeCell ref="A45:Q46"/>
    <mergeCell ref="A40:Q40"/>
    <mergeCell ref="A1:Q1"/>
    <mergeCell ref="A2:Q2"/>
    <mergeCell ref="A38:O38"/>
    <mergeCell ref="A39:O39"/>
    <mergeCell ref="A37:Q37"/>
    <mergeCell ref="J33:L33"/>
    <mergeCell ref="J35:L35"/>
    <mergeCell ref="J21:L21"/>
  </mergeCells>
  <phoneticPr fontId="9" type="noConversion"/>
  <printOptions horizontalCentered="1"/>
  <pageMargins left="0.25" right="0.25" top="0.5" bottom="0.5" header="0.5" footer="0.5"/>
  <pageSetup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24" sqref="I24"/>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9.42578125" style="39" bestFit="1" customWidth="1"/>
    <col min="6" max="6" width="8.42578125" style="39" customWidth="1"/>
    <col min="7" max="7" width="9.42578125" style="39" bestFit="1" customWidth="1"/>
    <col min="8" max="8" width="8.42578125" style="39" customWidth="1"/>
    <col min="9" max="9" width="9.42578125" style="40" bestFit="1" customWidth="1"/>
    <col min="10" max="11" width="6.85546875" style="39" bestFit="1" customWidth="1"/>
    <col min="12" max="12" width="9.42578125" style="39" customWidth="1"/>
    <col min="13" max="13" width="7.85546875" style="39" hidden="1" customWidth="1"/>
    <col min="14" max="14" width="8.42578125" style="39" bestFit="1" customWidth="1"/>
    <col min="15" max="15" width="8.85546875" style="120" customWidth="1"/>
    <col min="16" max="16" width="8.5703125" style="120" bestFit="1" customWidth="1"/>
    <col min="17" max="17" width="3.85546875" style="39" customWidth="1"/>
    <col min="18" max="19" width="9.140625" style="77" hidden="1" customWidth="1"/>
    <col min="20" max="20" width="11.140625" style="77" customWidth="1"/>
    <col min="21" max="21" width="8.5703125" style="77" customWidth="1"/>
    <col min="22" max="16384" width="9.140625" style="77"/>
  </cols>
  <sheetData>
    <row r="1" spans="1:19" x14ac:dyDescent="0.2">
      <c r="A1" s="684" t="s">
        <v>224</v>
      </c>
      <c r="B1" s="684"/>
      <c r="C1" s="684"/>
      <c r="D1" s="684"/>
      <c r="E1" s="684"/>
      <c r="F1" s="684"/>
      <c r="G1" s="684"/>
      <c r="H1" s="684"/>
      <c r="I1" s="684"/>
      <c r="J1" s="684"/>
      <c r="K1" s="684"/>
      <c r="L1" s="684"/>
      <c r="M1" s="684"/>
      <c r="N1" s="684"/>
      <c r="O1" s="684"/>
      <c r="P1" s="684"/>
      <c r="Q1" s="684"/>
    </row>
    <row r="2" spans="1:19" x14ac:dyDescent="0.2">
      <c r="A2" s="685" t="s">
        <v>606</v>
      </c>
      <c r="B2" s="685"/>
      <c r="C2" s="685"/>
      <c r="D2" s="685"/>
      <c r="E2" s="685"/>
      <c r="F2" s="685"/>
      <c r="G2" s="685"/>
      <c r="H2" s="685"/>
      <c r="I2" s="685"/>
      <c r="J2" s="685"/>
      <c r="K2" s="685"/>
      <c r="L2" s="685"/>
      <c r="M2" s="685"/>
      <c r="N2" s="685"/>
      <c r="O2" s="685"/>
      <c r="P2" s="685"/>
      <c r="Q2" s="685"/>
    </row>
    <row r="3" spans="1:19" s="117" customFormat="1" ht="63" x14ac:dyDescent="0.15">
      <c r="A3" s="32" t="s">
        <v>280</v>
      </c>
      <c r="B3" s="32" t="s">
        <v>281</v>
      </c>
      <c r="C3" s="32" t="s">
        <v>308</v>
      </c>
      <c r="D3" s="32" t="s">
        <v>1</v>
      </c>
      <c r="E3" s="32" t="s">
        <v>87</v>
      </c>
      <c r="F3" s="32" t="s">
        <v>2</v>
      </c>
      <c r="G3" s="32" t="s">
        <v>148</v>
      </c>
      <c r="H3" s="32" t="s">
        <v>335</v>
      </c>
      <c r="I3" s="43" t="s">
        <v>336</v>
      </c>
      <c r="J3" s="70" t="s">
        <v>338</v>
      </c>
      <c r="K3" s="70" t="s">
        <v>339</v>
      </c>
      <c r="L3" s="70" t="s">
        <v>337</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f>'Base Data'!$H$62</f>
        <v>1</v>
      </c>
      <c r="J7" s="63">
        <f>H7*I7</f>
        <v>40</v>
      </c>
      <c r="K7" s="63">
        <f>J7*0.1</f>
        <v>4</v>
      </c>
      <c r="L7" s="63">
        <f>J7*0.05</f>
        <v>2</v>
      </c>
      <c r="M7" s="31">
        <f>C7*G7*I7</f>
        <v>0</v>
      </c>
      <c r="N7" s="37">
        <f>(J7*'Base Data'!$C$5)+(K7*'Base Data'!$C$6)+(L7*'Base Data'!$C$7)</f>
        <v>5037.1399999999994</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363</v>
      </c>
      <c r="B9" s="31">
        <v>12</v>
      </c>
      <c r="C9" s="31"/>
      <c r="D9" s="37">
        <v>0</v>
      </c>
      <c r="E9" s="37">
        <v>2228</v>
      </c>
      <c r="F9" s="37">
        <v>0</v>
      </c>
      <c r="G9" s="31">
        <v>0.5</v>
      </c>
      <c r="H9" s="31">
        <f>B9*G9</f>
        <v>6</v>
      </c>
      <c r="I9" s="63">
        <f>'Base Data'!D62</f>
        <v>4</v>
      </c>
      <c r="J9" s="63">
        <f>H9*I9</f>
        <v>24</v>
      </c>
      <c r="K9" s="63">
        <f>J9*0.1</f>
        <v>2.4000000000000004</v>
      </c>
      <c r="L9" s="63">
        <f>J9*0.05</f>
        <v>1.2000000000000002</v>
      </c>
      <c r="M9" s="64"/>
      <c r="N9" s="37">
        <f>(J9*'Base Data'!$C$5)+(K9*'Base Data'!$C$6)+(L9*'Base Data'!$C$7)</f>
        <v>3022.2839999999997</v>
      </c>
      <c r="O9" s="37">
        <f>(D9+E9+F9)*I9</f>
        <v>8912</v>
      </c>
      <c r="P9" s="64">
        <v>0</v>
      </c>
      <c r="Q9" s="66" t="s">
        <v>276</v>
      </c>
    </row>
    <row r="10" spans="1:19" s="95" customFormat="1" ht="9" x14ac:dyDescent="0.15">
      <c r="A10" s="91" t="s">
        <v>294</v>
      </c>
      <c r="B10" s="31" t="s">
        <v>311</v>
      </c>
      <c r="C10" s="31"/>
      <c r="D10" s="37"/>
      <c r="E10" s="37"/>
      <c r="F10" s="37"/>
      <c r="G10" s="31"/>
      <c r="H10" s="31"/>
      <c r="I10" s="64"/>
      <c r="J10" s="31"/>
      <c r="K10" s="31"/>
      <c r="L10" s="31"/>
      <c r="M10" s="31"/>
      <c r="N10" s="37"/>
      <c r="O10" s="37"/>
      <c r="P10" s="64"/>
      <c r="Q10" s="66"/>
    </row>
    <row r="11" spans="1:19" s="95" customFormat="1" ht="9" x14ac:dyDescent="0.15">
      <c r="A11" s="91" t="s">
        <v>295</v>
      </c>
      <c r="B11" s="31" t="s">
        <v>311</v>
      </c>
      <c r="C11" s="31"/>
      <c r="D11" s="37"/>
      <c r="E11" s="37"/>
      <c r="F11" s="37"/>
      <c r="G11" s="31"/>
      <c r="H11" s="31"/>
      <c r="I11" s="64"/>
      <c r="J11" s="31"/>
      <c r="K11" s="31"/>
      <c r="L11" s="31"/>
      <c r="M11" s="31"/>
      <c r="N11" s="37"/>
      <c r="O11" s="37"/>
      <c r="P11" s="64"/>
      <c r="Q11" s="66"/>
    </row>
    <row r="12" spans="1:19" s="95" customFormat="1" ht="9" x14ac:dyDescent="0.15">
      <c r="A12" s="91" t="s">
        <v>296</v>
      </c>
      <c r="B12" s="31"/>
      <c r="C12" s="31"/>
      <c r="D12" s="37"/>
      <c r="E12" s="37"/>
      <c r="F12" s="37"/>
      <c r="G12" s="31"/>
      <c r="H12" s="31"/>
      <c r="I12" s="64"/>
      <c r="J12" s="31"/>
      <c r="K12" s="31"/>
      <c r="L12" s="31"/>
      <c r="M12" s="31"/>
      <c r="N12" s="37"/>
      <c r="O12" s="37"/>
      <c r="P12" s="64"/>
      <c r="Q12" s="66"/>
    </row>
    <row r="13" spans="1:19" s="95" customFormat="1" ht="9" x14ac:dyDescent="0.15">
      <c r="A13" s="101" t="s">
        <v>312</v>
      </c>
      <c r="B13" s="31">
        <v>2</v>
      </c>
      <c r="C13" s="31"/>
      <c r="D13" s="37">
        <v>0</v>
      </c>
      <c r="E13" s="37">
        <v>0</v>
      </c>
      <c r="F13" s="37">
        <v>0</v>
      </c>
      <c r="G13" s="31">
        <v>1</v>
      </c>
      <c r="H13" s="31">
        <f>B13*G13</f>
        <v>2</v>
      </c>
      <c r="I13" s="63">
        <f>$I$7</f>
        <v>1</v>
      </c>
      <c r="J13" s="63">
        <f>H13*I13</f>
        <v>2</v>
      </c>
      <c r="K13" s="63">
        <f>J13*0.1</f>
        <v>0.2</v>
      </c>
      <c r="L13" s="63">
        <f>J13*0.05</f>
        <v>0.1</v>
      </c>
      <c r="M13" s="31">
        <f>C13*G13*I13</f>
        <v>0</v>
      </c>
      <c r="N13" s="37">
        <f>(J13*'Base Data'!$C$5)+(K13*'Base Data'!$C$6)+(L13*'Base Data'!$C$7)</f>
        <v>251.857</v>
      </c>
      <c r="O13" s="37">
        <f>(D13+E13+F13)*G13*I13</f>
        <v>0</v>
      </c>
      <c r="P13" s="64">
        <f>G13*I13</f>
        <v>1</v>
      </c>
      <c r="Q13" s="66" t="s">
        <v>276</v>
      </c>
    </row>
    <row r="14" spans="1:19" s="95" customFormat="1" ht="9" x14ac:dyDescent="0.15">
      <c r="A14" s="101" t="s">
        <v>273</v>
      </c>
      <c r="B14" s="31">
        <v>8</v>
      </c>
      <c r="C14" s="31"/>
      <c r="D14" s="37">
        <v>0</v>
      </c>
      <c r="E14" s="37">
        <v>0</v>
      </c>
      <c r="F14" s="37">
        <v>0</v>
      </c>
      <c r="G14" s="31">
        <v>1</v>
      </c>
      <c r="H14" s="31">
        <f>B14*G14</f>
        <v>8</v>
      </c>
      <c r="I14" s="63">
        <f>$I$7</f>
        <v>1</v>
      </c>
      <c r="J14" s="63">
        <f>H14*I14</f>
        <v>8</v>
      </c>
      <c r="K14" s="63">
        <f>J14*0.1</f>
        <v>0.8</v>
      </c>
      <c r="L14" s="63">
        <f>J14*0.05</f>
        <v>0.4</v>
      </c>
      <c r="M14" s="31">
        <f>C14*G14*I14</f>
        <v>0</v>
      </c>
      <c r="N14" s="37">
        <f>(J14*'Base Data'!$C$5)+(K14*'Base Data'!$C$6)+(L14*'Base Data'!$C$7)</f>
        <v>1007.428</v>
      </c>
      <c r="O14" s="37">
        <f>(D14+E14+F14)*G14*I14</f>
        <v>0</v>
      </c>
      <c r="P14" s="64">
        <f>G14*I14</f>
        <v>1</v>
      </c>
      <c r="Q14" s="66" t="s">
        <v>276</v>
      </c>
    </row>
    <row r="15" spans="1:19" s="95" customFormat="1" ht="9" x14ac:dyDescent="0.15">
      <c r="A15" s="101" t="s">
        <v>8</v>
      </c>
      <c r="B15" s="31">
        <v>5</v>
      </c>
      <c r="C15" s="31"/>
      <c r="D15" s="37">
        <v>0</v>
      </c>
      <c r="E15" s="37">
        <v>0</v>
      </c>
      <c r="F15" s="37">
        <v>0</v>
      </c>
      <c r="G15" s="31">
        <v>0.5</v>
      </c>
      <c r="H15" s="31">
        <f>B15*G15</f>
        <v>2.5</v>
      </c>
      <c r="I15" s="63">
        <f>$I$7</f>
        <v>1</v>
      </c>
      <c r="J15" s="63">
        <f>H15*I15</f>
        <v>2.5</v>
      </c>
      <c r="K15" s="63">
        <f>J15*0.1</f>
        <v>0.25</v>
      </c>
      <c r="L15" s="63">
        <f>J15*0.05</f>
        <v>0.125</v>
      </c>
      <c r="M15" s="31">
        <f>C15*G15*I15</f>
        <v>0</v>
      </c>
      <c r="N15" s="37">
        <f>(J15*'Base Data'!$C$5)+(K15*'Base Data'!$C$6)+(L15*'Base Data'!$C$7)</f>
        <v>314.82124999999996</v>
      </c>
      <c r="O15" s="37">
        <f>(D15+E15+F15)*G15*I15</f>
        <v>0</v>
      </c>
      <c r="P15" s="64">
        <f>ROUND(G15*I15,0)</f>
        <v>1</v>
      </c>
      <c r="Q15" s="66" t="s">
        <v>465</v>
      </c>
    </row>
    <row r="16" spans="1:19" s="95" customFormat="1" ht="9" x14ac:dyDescent="0.15">
      <c r="A16" s="96" t="s">
        <v>4</v>
      </c>
      <c r="B16" s="31"/>
      <c r="C16" s="31"/>
      <c r="D16" s="37"/>
      <c r="E16" s="37"/>
      <c r="F16" s="37"/>
      <c r="G16" s="31"/>
      <c r="H16" s="31"/>
      <c r="I16" s="64"/>
      <c r="J16" s="64">
        <f t="shared" ref="J16:O16" si="0">SUM(J7:J15)</f>
        <v>76.5</v>
      </c>
      <c r="K16" s="64">
        <f t="shared" si="0"/>
        <v>7.65</v>
      </c>
      <c r="L16" s="64">
        <f t="shared" si="0"/>
        <v>3.8250000000000002</v>
      </c>
      <c r="M16" s="64">
        <f t="shared" si="0"/>
        <v>0</v>
      </c>
      <c r="N16" s="64">
        <f t="shared" si="0"/>
        <v>9633.5302499999998</v>
      </c>
      <c r="O16" s="64">
        <f t="shared" si="0"/>
        <v>8912</v>
      </c>
      <c r="P16" s="64">
        <f>ROUNDUP(SUM(P13:P15),0)</f>
        <v>3</v>
      </c>
      <c r="Q16" s="66"/>
      <c r="R16" s="97">
        <f>SUM(O7:O9)</f>
        <v>8912</v>
      </c>
      <c r="S16" s="95">
        <f>0</f>
        <v>0</v>
      </c>
    </row>
    <row r="17" spans="1:18" s="95" customFormat="1" ht="9" x14ac:dyDescent="0.15">
      <c r="A17" s="91" t="s">
        <v>309</v>
      </c>
      <c r="B17" s="31"/>
      <c r="C17" s="31"/>
      <c r="D17" s="37"/>
      <c r="E17" s="37"/>
      <c r="F17" s="37"/>
      <c r="G17" s="31"/>
      <c r="H17" s="31"/>
      <c r="I17" s="64"/>
      <c r="J17" s="31"/>
      <c r="K17" s="31"/>
      <c r="L17" s="31"/>
      <c r="M17" s="31"/>
      <c r="N17" s="37"/>
      <c r="O17" s="37"/>
      <c r="P17" s="64"/>
      <c r="Q17" s="66"/>
    </row>
    <row r="18" spans="1:18" s="95" customFormat="1" ht="9" x14ac:dyDescent="0.15">
      <c r="A18" s="91" t="s">
        <v>297</v>
      </c>
      <c r="B18" s="31" t="s">
        <v>301</v>
      </c>
      <c r="C18" s="31"/>
      <c r="D18" s="37"/>
      <c r="E18" s="37"/>
      <c r="F18" s="37"/>
      <c r="G18" s="31"/>
      <c r="H18" s="31"/>
      <c r="I18" s="64"/>
      <c r="J18" s="31"/>
      <c r="K18" s="31"/>
      <c r="L18" s="31"/>
      <c r="M18" s="31"/>
      <c r="N18" s="37"/>
      <c r="O18" s="37"/>
      <c r="P18" s="64"/>
      <c r="Q18" s="66"/>
    </row>
    <row r="19" spans="1:18" s="95" customFormat="1" ht="9" x14ac:dyDescent="0.15">
      <c r="A19" s="91" t="s">
        <v>298</v>
      </c>
      <c r="B19" s="31" t="s">
        <v>311</v>
      </c>
      <c r="C19" s="31"/>
      <c r="D19" s="37"/>
      <c r="E19" s="37"/>
      <c r="F19" s="37"/>
      <c r="G19" s="31"/>
      <c r="H19" s="31"/>
      <c r="I19" s="64"/>
      <c r="J19" s="31"/>
      <c r="K19" s="31"/>
      <c r="L19" s="31"/>
      <c r="M19" s="31"/>
      <c r="N19" s="37"/>
      <c r="O19" s="37"/>
      <c r="P19" s="64"/>
      <c r="Q19" s="66"/>
    </row>
    <row r="20" spans="1:18" s="95" customFormat="1" ht="9" x14ac:dyDescent="0.15">
      <c r="A20" s="91" t="s">
        <v>299</v>
      </c>
      <c r="B20" s="31" t="s">
        <v>311</v>
      </c>
      <c r="C20" s="31"/>
      <c r="D20" s="37"/>
      <c r="E20" s="37"/>
      <c r="F20" s="37"/>
      <c r="G20" s="31"/>
      <c r="H20" s="31"/>
      <c r="I20" s="64"/>
      <c r="J20" s="31"/>
      <c r="K20" s="31"/>
      <c r="L20" s="31"/>
      <c r="M20" s="31"/>
      <c r="N20" s="37"/>
      <c r="O20" s="37"/>
      <c r="P20" s="64"/>
      <c r="Q20" s="66" t="s">
        <v>108</v>
      </c>
    </row>
    <row r="21" spans="1:18" s="95" customFormat="1" ht="9" x14ac:dyDescent="0.15">
      <c r="A21" s="91" t="s">
        <v>300</v>
      </c>
      <c r="B21" s="31"/>
      <c r="C21" s="31"/>
      <c r="D21" s="37"/>
      <c r="E21" s="37"/>
      <c r="F21" s="37"/>
      <c r="G21" s="31"/>
      <c r="H21" s="31"/>
      <c r="I21" s="64"/>
      <c r="J21" s="31"/>
      <c r="K21" s="31"/>
      <c r="L21" s="31"/>
      <c r="M21" s="31"/>
      <c r="N21" s="37"/>
      <c r="O21" s="37"/>
      <c r="P21" s="64"/>
      <c r="Q21" s="66"/>
    </row>
    <row r="22" spans="1:18" s="95" customFormat="1" ht="19.5" customHeight="1" x14ac:dyDescent="0.15">
      <c r="A22" s="101" t="s">
        <v>271</v>
      </c>
      <c r="B22" s="31">
        <v>2</v>
      </c>
      <c r="C22" s="31">
        <v>0</v>
      </c>
      <c r="D22" s="37">
        <v>0</v>
      </c>
      <c r="E22" s="37">
        <v>0</v>
      </c>
      <c r="F22" s="37">
        <v>0</v>
      </c>
      <c r="G22" s="31">
        <v>0.5</v>
      </c>
      <c r="H22" s="31">
        <f>B22*G22</f>
        <v>1</v>
      </c>
      <c r="I22" s="64">
        <f>I15</f>
        <v>1</v>
      </c>
      <c r="J22" s="63">
        <f>H22*I22</f>
        <v>1</v>
      </c>
      <c r="K22" s="63">
        <f>J22*0.1</f>
        <v>0.1</v>
      </c>
      <c r="L22" s="63">
        <f>J22*0.05</f>
        <v>0.05</v>
      </c>
      <c r="M22" s="31">
        <f>C22*G22*I22</f>
        <v>0</v>
      </c>
      <c r="N22" s="37">
        <f>(J22*'Base Data'!$C$5)+(K22*'Base Data'!$C$6)+(L22*'Base Data'!$C$7)</f>
        <v>125.9285</v>
      </c>
      <c r="O22" s="37">
        <f>(D22+E22+F22)*G22*I22</f>
        <v>0</v>
      </c>
      <c r="P22" s="64">
        <v>0</v>
      </c>
      <c r="Q22" s="66" t="s">
        <v>276</v>
      </c>
    </row>
    <row r="23" spans="1:18" s="95" customFormat="1" ht="9" x14ac:dyDescent="0.15">
      <c r="A23" s="101" t="s">
        <v>364</v>
      </c>
      <c r="B23" s="31">
        <v>0.5</v>
      </c>
      <c r="C23" s="31"/>
      <c r="D23" s="37">
        <v>0</v>
      </c>
      <c r="E23" s="37">
        <v>0</v>
      </c>
      <c r="F23" s="37">
        <v>0</v>
      </c>
      <c r="G23" s="31">
        <v>0.5</v>
      </c>
      <c r="H23" s="31">
        <f>B23*G23</f>
        <v>0.25</v>
      </c>
      <c r="I23" s="64">
        <f>I9</f>
        <v>4</v>
      </c>
      <c r="J23" s="63">
        <f>H23*I23</f>
        <v>1</v>
      </c>
      <c r="K23" s="63">
        <f>J23*0.1</f>
        <v>0.1</v>
      </c>
      <c r="L23" s="63">
        <f>J23*0.05</f>
        <v>0.05</v>
      </c>
      <c r="M23" s="31">
        <f>C23*G23*I23</f>
        <v>0</v>
      </c>
      <c r="N23" s="37">
        <f>(J23*'Base Data'!$C$5)+(K23*'Base Data'!$C$6)+(L23*'Base Data'!$C$7)</f>
        <v>125.9285</v>
      </c>
      <c r="O23" s="37">
        <f>(D23+E23+F23)*G23*I23</f>
        <v>0</v>
      </c>
      <c r="P23" s="64">
        <v>0</v>
      </c>
      <c r="Q23" s="66" t="s">
        <v>408</v>
      </c>
    </row>
    <row r="24" spans="1:18" s="95" customFormat="1" ht="9" x14ac:dyDescent="0.15">
      <c r="A24" s="90" t="s">
        <v>305</v>
      </c>
      <c r="B24" s="31">
        <v>40</v>
      </c>
      <c r="C24" s="31"/>
      <c r="D24" s="37">
        <v>0</v>
      </c>
      <c r="E24" s="37">
        <v>0</v>
      </c>
      <c r="F24" s="37">
        <v>0</v>
      </c>
      <c r="G24" s="31">
        <v>1</v>
      </c>
      <c r="H24" s="31">
        <f>B24*G24</f>
        <v>40</v>
      </c>
      <c r="I24" s="63">
        <f>I7</f>
        <v>1</v>
      </c>
      <c r="J24" s="64">
        <f>H24*I24</f>
        <v>40</v>
      </c>
      <c r="K24" s="64">
        <f>J24*0.1</f>
        <v>4</v>
      </c>
      <c r="L24" s="64">
        <f>J24*0.05</f>
        <v>2</v>
      </c>
      <c r="M24" s="31"/>
      <c r="N24" s="37">
        <f>(J24*'Base Data'!$C$5)+(K24*'Base Data'!$C$6)+(L24*'Base Data'!$C$7)</f>
        <v>5037.1399999999994</v>
      </c>
      <c r="O24" s="37">
        <f>(D24+E24+F24)*G24*I24</f>
        <v>0</v>
      </c>
      <c r="P24" s="37"/>
      <c r="Q24" s="66" t="s">
        <v>277</v>
      </c>
    </row>
    <row r="25" spans="1:18" s="95" customFormat="1" ht="9" x14ac:dyDescent="0.15">
      <c r="A25" s="91" t="s">
        <v>306</v>
      </c>
      <c r="B25" s="31" t="s">
        <v>311</v>
      </c>
      <c r="C25" s="31"/>
      <c r="D25" s="37"/>
      <c r="E25" s="37"/>
      <c r="F25" s="37"/>
      <c r="G25" s="31"/>
      <c r="H25" s="31"/>
      <c r="I25" s="64"/>
      <c r="J25" s="31"/>
      <c r="K25" s="31"/>
      <c r="L25" s="31"/>
      <c r="M25" s="31"/>
      <c r="N25" s="37"/>
      <c r="O25" s="37"/>
      <c r="P25" s="64"/>
      <c r="Q25" s="66"/>
    </row>
    <row r="26" spans="1:18" s="95" customFormat="1" ht="9" x14ac:dyDescent="0.15">
      <c r="A26" s="145" t="s">
        <v>23</v>
      </c>
      <c r="B26" s="139"/>
      <c r="C26" s="139"/>
      <c r="D26" s="140"/>
      <c r="E26" s="140"/>
      <c r="F26" s="140"/>
      <c r="G26" s="139"/>
      <c r="H26" s="139"/>
      <c r="I26" s="141"/>
      <c r="J26" s="139">
        <f t="shared" ref="J26:O26" si="1">SUM(J18:J25)</f>
        <v>42</v>
      </c>
      <c r="K26" s="139">
        <f t="shared" si="1"/>
        <v>4.2</v>
      </c>
      <c r="L26" s="139">
        <f t="shared" si="1"/>
        <v>2.1</v>
      </c>
      <c r="M26" s="139">
        <f t="shared" si="1"/>
        <v>0</v>
      </c>
      <c r="N26" s="140">
        <f t="shared" si="1"/>
        <v>5288.9969999999994</v>
      </c>
      <c r="O26" s="140">
        <f t="shared" si="1"/>
        <v>0</v>
      </c>
      <c r="P26" s="141">
        <f>SUM(P18:P25)</f>
        <v>0</v>
      </c>
      <c r="Q26" s="142"/>
      <c r="R26" s="97">
        <f>SUM(O18:O26)</f>
        <v>0</v>
      </c>
    </row>
    <row r="27" spans="1:18" s="95" customFormat="1" x14ac:dyDescent="0.2">
      <c r="A27" s="110" t="s">
        <v>283</v>
      </c>
      <c r="B27" s="111"/>
      <c r="C27" s="111"/>
      <c r="D27" s="111"/>
      <c r="E27" s="111"/>
      <c r="F27" s="111"/>
      <c r="G27" s="111"/>
      <c r="H27" s="111"/>
      <c r="I27" s="113"/>
      <c r="J27" s="114">
        <f t="shared" ref="J27:O27" si="2">SUM(J16,J26)</f>
        <v>118.5</v>
      </c>
      <c r="K27" s="114">
        <f t="shared" si="2"/>
        <v>11.850000000000001</v>
      </c>
      <c r="L27" s="114">
        <f t="shared" si="2"/>
        <v>5.9250000000000007</v>
      </c>
      <c r="M27" s="114">
        <f t="shared" si="2"/>
        <v>0</v>
      </c>
      <c r="N27" s="115">
        <f t="shared" si="2"/>
        <v>14922.527249999999</v>
      </c>
      <c r="O27" s="115">
        <f t="shared" si="2"/>
        <v>8912</v>
      </c>
      <c r="P27" s="114">
        <f>ROUNDUP(SUM(P16,P26),0)</f>
        <v>3</v>
      </c>
      <c r="Q27" s="116"/>
    </row>
    <row r="28" spans="1:18" s="95" customFormat="1" x14ac:dyDescent="0.2">
      <c r="A28" s="77"/>
      <c r="B28" s="39"/>
      <c r="C28" s="39"/>
      <c r="D28" s="39"/>
      <c r="E28" s="39"/>
      <c r="F28" s="39"/>
      <c r="G28" s="39"/>
      <c r="H28" s="39"/>
      <c r="I28" s="40"/>
      <c r="J28" s="39"/>
      <c r="K28" s="39"/>
      <c r="L28" s="39"/>
      <c r="M28" s="39"/>
      <c r="N28" s="39"/>
      <c r="O28" s="120"/>
      <c r="P28" s="120"/>
      <c r="Q28" s="39"/>
    </row>
    <row r="29" spans="1:18" s="267" customFormat="1" x14ac:dyDescent="0.15">
      <c r="A29" s="748" t="s">
        <v>546</v>
      </c>
      <c r="B29" s="748"/>
      <c r="C29" s="748"/>
      <c r="D29" s="748"/>
      <c r="E29" s="748"/>
      <c r="F29" s="748"/>
      <c r="G29" s="748"/>
      <c r="H29" s="748"/>
      <c r="I29" s="748"/>
      <c r="J29" s="748"/>
      <c r="K29" s="748"/>
      <c r="L29" s="748"/>
      <c r="M29" s="748"/>
      <c r="N29" s="748"/>
      <c r="O29" s="748"/>
    </row>
    <row r="30" spans="1:18" s="267" customFormat="1" x14ac:dyDescent="0.2">
      <c r="A30" s="749" t="s">
        <v>107</v>
      </c>
      <c r="B30" s="749"/>
      <c r="C30" s="749"/>
      <c r="D30" s="749"/>
      <c r="E30" s="749"/>
      <c r="F30" s="749"/>
      <c r="G30" s="749"/>
      <c r="H30" s="749"/>
      <c r="I30" s="749"/>
      <c r="J30" s="749"/>
      <c r="K30" s="749"/>
      <c r="L30" s="749"/>
      <c r="M30" s="749"/>
      <c r="N30" s="749"/>
      <c r="O30" s="749"/>
    </row>
    <row r="31" spans="1:18" s="267" customFormat="1" x14ac:dyDescent="0.2">
      <c r="A31" s="271" t="s">
        <v>413</v>
      </c>
      <c r="B31" s="268"/>
      <c r="C31" s="268"/>
      <c r="D31" s="268"/>
      <c r="E31" s="268"/>
      <c r="F31" s="268"/>
      <c r="G31" s="268"/>
      <c r="H31" s="268"/>
      <c r="I31" s="268"/>
      <c r="J31" s="268"/>
      <c r="K31" s="268"/>
      <c r="L31" s="268"/>
      <c r="M31" s="268"/>
      <c r="N31" s="268"/>
      <c r="O31" s="268"/>
    </row>
    <row r="32" spans="1:18" s="267" customFormat="1" x14ac:dyDescent="0.2">
      <c r="A32" s="749" t="s">
        <v>545</v>
      </c>
      <c r="B32" s="749"/>
      <c r="C32" s="749"/>
      <c r="D32" s="749"/>
      <c r="E32" s="749"/>
      <c r="F32" s="749"/>
      <c r="G32" s="749"/>
      <c r="H32" s="749"/>
      <c r="I32" s="749"/>
      <c r="J32" s="749"/>
      <c r="K32" s="749"/>
      <c r="L32" s="749"/>
      <c r="M32" s="749"/>
      <c r="N32" s="749"/>
      <c r="O32" s="749"/>
    </row>
    <row r="33" spans="1:17" s="267" customFormat="1" x14ac:dyDescent="0.2">
      <c r="A33" s="271"/>
      <c r="B33" s="269"/>
      <c r="C33" s="269"/>
      <c r="D33" s="269"/>
      <c r="E33" s="269"/>
      <c r="F33" s="269"/>
      <c r="G33" s="269"/>
      <c r="H33" s="269"/>
      <c r="I33" s="270"/>
      <c r="J33" s="270"/>
      <c r="K33" s="270"/>
      <c r="L33" s="270"/>
      <c r="M33" s="270"/>
      <c r="N33" s="269"/>
    </row>
    <row r="34" spans="1:17" s="267" customFormat="1" x14ac:dyDescent="0.2">
      <c r="B34" s="269"/>
      <c r="C34" s="269"/>
      <c r="D34" s="269"/>
      <c r="E34" s="269"/>
      <c r="F34" s="269"/>
      <c r="G34" s="269"/>
      <c r="H34" s="269"/>
      <c r="I34" s="270"/>
      <c r="J34" s="270"/>
      <c r="K34" s="270"/>
      <c r="L34" s="270"/>
      <c r="M34" s="270"/>
      <c r="N34" s="269"/>
    </row>
    <row r="35" spans="1:17" s="267" customFormat="1" x14ac:dyDescent="0.2">
      <c r="A35" s="271"/>
      <c r="B35" s="264"/>
      <c r="C35" s="264"/>
      <c r="D35" s="264"/>
      <c r="E35" s="264"/>
      <c r="F35" s="264"/>
      <c r="G35" s="264"/>
      <c r="H35" s="264"/>
      <c r="I35" s="319"/>
      <c r="J35" s="264"/>
      <c r="K35" s="264"/>
      <c r="L35" s="264"/>
      <c r="M35" s="264"/>
      <c r="N35" s="264"/>
      <c r="O35" s="320"/>
      <c r="P35" s="320"/>
      <c r="Q35" s="264"/>
    </row>
    <row r="36" spans="1:17" x14ac:dyDescent="0.2">
      <c r="I36" s="120"/>
      <c r="J36" s="120"/>
      <c r="K36" s="120"/>
      <c r="L36" s="120"/>
      <c r="M36" s="120"/>
      <c r="O36" s="77"/>
      <c r="P36" s="77"/>
      <c r="Q36" s="77"/>
    </row>
    <row r="37" spans="1:17" x14ac:dyDescent="0.2">
      <c r="I37" s="120"/>
      <c r="J37" s="120"/>
      <c r="K37" s="120"/>
      <c r="L37" s="120"/>
      <c r="M37" s="120"/>
      <c r="O37" s="77"/>
      <c r="P37" s="77"/>
      <c r="Q37" s="77"/>
    </row>
    <row r="38" spans="1:17" x14ac:dyDescent="0.2">
      <c r="I38" s="120"/>
      <c r="J38" s="120"/>
      <c r="K38" s="120"/>
      <c r="L38" s="120"/>
      <c r="M38" s="120"/>
      <c r="O38" s="77"/>
      <c r="P38" s="77"/>
      <c r="Q38" s="77"/>
    </row>
    <row r="39" spans="1:17" x14ac:dyDescent="0.2">
      <c r="I39" s="120"/>
      <c r="J39" s="120"/>
      <c r="K39" s="120"/>
      <c r="L39" s="120"/>
      <c r="M39" s="120"/>
      <c r="O39" s="77"/>
      <c r="P39" s="77"/>
      <c r="Q39" s="77"/>
    </row>
    <row r="40" spans="1:17" x14ac:dyDescent="0.2">
      <c r="I40" s="120"/>
      <c r="J40" s="120"/>
      <c r="K40" s="120"/>
      <c r="L40" s="120"/>
      <c r="M40" s="120"/>
      <c r="O40" s="77"/>
      <c r="P40" s="77"/>
      <c r="Q40" s="77"/>
    </row>
    <row r="41" spans="1:17" x14ac:dyDescent="0.2">
      <c r="I41" s="120"/>
      <c r="J41" s="120"/>
      <c r="K41" s="120"/>
      <c r="L41" s="120"/>
      <c r="M41" s="120"/>
      <c r="O41" s="77"/>
      <c r="P41" s="77"/>
      <c r="Q41" s="77"/>
    </row>
    <row r="42" spans="1:17" x14ac:dyDescent="0.2">
      <c r="I42" s="120"/>
      <c r="J42" s="120"/>
      <c r="K42" s="120"/>
      <c r="L42" s="120"/>
      <c r="M42" s="120"/>
      <c r="O42" s="77"/>
      <c r="P42" s="77"/>
      <c r="Q42" s="77"/>
    </row>
    <row r="43" spans="1:17" x14ac:dyDescent="0.2">
      <c r="I43" s="120"/>
      <c r="J43" s="120"/>
      <c r="K43" s="120"/>
      <c r="L43" s="120"/>
      <c r="M43" s="120"/>
      <c r="O43" s="77"/>
      <c r="P43" s="77"/>
      <c r="Q43" s="77"/>
    </row>
    <row r="44" spans="1:17" s="38" customFormat="1" ht="9" x14ac:dyDescent="0.15">
      <c r="B44" s="41"/>
      <c r="C44" s="41"/>
      <c r="D44" s="41"/>
      <c r="E44" s="41"/>
      <c r="F44" s="41"/>
      <c r="G44" s="41"/>
      <c r="H44" s="41"/>
      <c r="I44" s="42"/>
      <c r="J44" s="41"/>
      <c r="K44" s="41"/>
      <c r="L44" s="41"/>
      <c r="M44" s="41"/>
      <c r="N44" s="41"/>
      <c r="O44" s="121"/>
      <c r="P44" s="121"/>
      <c r="Q44" s="41"/>
    </row>
    <row r="45" spans="1:17" s="38" customFormat="1" ht="9" x14ac:dyDescent="0.15">
      <c r="B45" s="41"/>
      <c r="C45" s="41"/>
      <c r="D45" s="41"/>
      <c r="E45" s="41"/>
      <c r="F45" s="41"/>
      <c r="G45" s="41"/>
      <c r="H45" s="41"/>
      <c r="I45" s="42"/>
      <c r="J45" s="41"/>
      <c r="K45" s="41"/>
      <c r="L45" s="41"/>
      <c r="M45" s="41"/>
      <c r="N45" s="41"/>
      <c r="O45" s="121"/>
      <c r="P45" s="121"/>
      <c r="Q45" s="41"/>
    </row>
    <row r="46" spans="1:17" s="38" customFormat="1" ht="9" x14ac:dyDescent="0.15">
      <c r="B46" s="41"/>
      <c r="C46" s="41"/>
      <c r="D46" s="41"/>
      <c r="E46" s="41"/>
      <c r="F46" s="41"/>
      <c r="G46" s="41"/>
      <c r="H46" s="41"/>
      <c r="I46" s="42"/>
      <c r="J46" s="41"/>
      <c r="K46" s="41"/>
      <c r="L46" s="41"/>
      <c r="M46" s="41"/>
      <c r="N46" s="41"/>
      <c r="O46" s="121"/>
      <c r="P46" s="121"/>
      <c r="Q46" s="41"/>
    </row>
    <row r="47" spans="1:17" s="38" customFormat="1" ht="9" x14ac:dyDescent="0.15">
      <c r="B47" s="41"/>
      <c r="C47" s="41"/>
      <c r="D47" s="41"/>
      <c r="E47" s="41"/>
      <c r="F47" s="41"/>
      <c r="G47" s="41"/>
      <c r="H47" s="41"/>
      <c r="I47" s="42"/>
      <c r="J47" s="41"/>
      <c r="K47" s="41"/>
      <c r="L47" s="41"/>
      <c r="M47" s="41"/>
      <c r="N47" s="41"/>
      <c r="O47" s="121"/>
      <c r="P47" s="121"/>
      <c r="Q47" s="41"/>
    </row>
    <row r="48" spans="1:17" s="38" customFormat="1" ht="9" x14ac:dyDescent="0.15">
      <c r="B48" s="41"/>
      <c r="C48" s="41"/>
      <c r="D48" s="41"/>
      <c r="E48" s="41"/>
      <c r="F48" s="41"/>
      <c r="G48" s="41"/>
      <c r="H48" s="41"/>
      <c r="I48" s="42"/>
      <c r="J48" s="41"/>
      <c r="K48" s="41"/>
      <c r="L48" s="41"/>
      <c r="M48" s="41"/>
      <c r="N48" s="41"/>
      <c r="O48" s="121"/>
      <c r="P48" s="121"/>
      <c r="Q48" s="41"/>
    </row>
    <row r="49" spans="2:17" s="38" customFormat="1" ht="9" x14ac:dyDescent="0.15">
      <c r="B49" s="41"/>
      <c r="C49" s="41"/>
      <c r="D49" s="41"/>
      <c r="E49" s="41"/>
      <c r="F49" s="41"/>
      <c r="G49" s="41"/>
      <c r="H49" s="41"/>
      <c r="I49" s="42"/>
      <c r="J49" s="41"/>
      <c r="K49" s="41"/>
      <c r="L49" s="41"/>
      <c r="M49" s="41"/>
      <c r="N49" s="41"/>
      <c r="O49" s="121"/>
      <c r="P49" s="121"/>
      <c r="Q49" s="41"/>
    </row>
    <row r="50" spans="2:17" s="38" customFormat="1" ht="9" x14ac:dyDescent="0.15">
      <c r="B50" s="41"/>
      <c r="C50" s="41"/>
      <c r="D50" s="41"/>
      <c r="E50" s="41"/>
      <c r="F50" s="41"/>
      <c r="G50" s="41"/>
      <c r="H50" s="41"/>
      <c r="I50" s="42"/>
      <c r="J50" s="41"/>
      <c r="K50" s="41"/>
      <c r="L50" s="41"/>
      <c r="M50" s="41"/>
      <c r="N50" s="41"/>
      <c r="O50" s="121"/>
      <c r="P50" s="121"/>
      <c r="Q50" s="41"/>
    </row>
    <row r="51" spans="2:17" s="38" customFormat="1" ht="9" x14ac:dyDescent="0.15">
      <c r="B51" s="41"/>
      <c r="C51" s="41"/>
      <c r="D51" s="41"/>
      <c r="E51" s="41"/>
      <c r="F51" s="41"/>
      <c r="G51" s="41"/>
      <c r="H51" s="41"/>
      <c r="I51" s="42"/>
      <c r="J51" s="41"/>
      <c r="K51" s="41"/>
      <c r="L51" s="41"/>
      <c r="M51" s="41"/>
      <c r="N51" s="41"/>
      <c r="O51" s="121"/>
      <c r="P51" s="121"/>
      <c r="Q51" s="41"/>
    </row>
    <row r="52" spans="2:17" s="38" customFormat="1" ht="9" x14ac:dyDescent="0.15">
      <c r="B52" s="41"/>
      <c r="C52" s="41"/>
      <c r="D52" s="41"/>
      <c r="E52" s="41"/>
      <c r="F52" s="41"/>
      <c r="G52" s="41"/>
      <c r="H52" s="41"/>
      <c r="I52" s="42"/>
      <c r="J52" s="41"/>
      <c r="K52" s="41"/>
      <c r="L52" s="41"/>
      <c r="M52" s="41"/>
      <c r="N52" s="41"/>
      <c r="O52" s="121"/>
      <c r="P52" s="121"/>
      <c r="Q52" s="41"/>
    </row>
    <row r="53" spans="2:17" s="38" customFormat="1" ht="9" x14ac:dyDescent="0.15">
      <c r="B53" s="41"/>
      <c r="C53" s="41"/>
      <c r="D53" s="41"/>
      <c r="E53" s="41"/>
      <c r="F53" s="41"/>
      <c r="G53" s="41"/>
      <c r="H53" s="41"/>
      <c r="I53" s="42"/>
      <c r="J53" s="41"/>
      <c r="K53" s="41"/>
      <c r="L53" s="41"/>
      <c r="M53" s="41"/>
      <c r="N53" s="41"/>
      <c r="O53" s="121"/>
      <c r="P53" s="121"/>
      <c r="Q53" s="41"/>
    </row>
    <row r="54" spans="2:17" s="38" customFormat="1" ht="9" x14ac:dyDescent="0.15">
      <c r="B54" s="41"/>
      <c r="C54" s="41"/>
      <c r="D54" s="41"/>
      <c r="E54" s="41"/>
      <c r="F54" s="41"/>
      <c r="G54" s="41"/>
      <c r="H54" s="41"/>
      <c r="I54" s="42"/>
      <c r="J54" s="41"/>
      <c r="K54" s="41"/>
      <c r="L54" s="41"/>
      <c r="M54" s="41"/>
      <c r="N54" s="41"/>
      <c r="O54" s="121"/>
      <c r="P54" s="121"/>
      <c r="Q54" s="41"/>
    </row>
    <row r="55" spans="2:17" s="38" customFormat="1" ht="9" x14ac:dyDescent="0.15">
      <c r="B55" s="41"/>
      <c r="C55" s="41"/>
      <c r="D55" s="41"/>
      <c r="E55" s="41"/>
      <c r="F55" s="41"/>
      <c r="G55" s="41"/>
      <c r="H55" s="41"/>
      <c r="I55" s="42"/>
      <c r="J55" s="41"/>
      <c r="K55" s="41"/>
      <c r="L55" s="41"/>
      <c r="M55" s="41"/>
      <c r="N55" s="41"/>
      <c r="O55" s="121"/>
      <c r="P55" s="121"/>
      <c r="Q55" s="41"/>
    </row>
    <row r="56" spans="2:17" s="38" customFormat="1" ht="9" x14ac:dyDescent="0.15">
      <c r="B56" s="41"/>
      <c r="C56" s="41"/>
      <c r="D56" s="41"/>
      <c r="E56" s="41"/>
      <c r="F56" s="41"/>
      <c r="G56" s="41"/>
      <c r="H56" s="41"/>
      <c r="I56" s="42"/>
      <c r="J56" s="41"/>
      <c r="K56" s="41"/>
      <c r="L56" s="41"/>
      <c r="M56" s="41"/>
      <c r="N56" s="41"/>
      <c r="O56" s="121"/>
      <c r="P56" s="121"/>
      <c r="Q56" s="41"/>
    </row>
    <row r="57" spans="2:17" s="38" customFormat="1" ht="9" x14ac:dyDescent="0.15">
      <c r="B57" s="41"/>
      <c r="C57" s="41"/>
      <c r="D57" s="41"/>
      <c r="E57" s="41"/>
      <c r="F57" s="41"/>
      <c r="G57" s="41"/>
      <c r="H57" s="41"/>
      <c r="I57" s="42"/>
      <c r="J57" s="41"/>
      <c r="K57" s="41"/>
      <c r="L57" s="41"/>
      <c r="M57" s="41"/>
      <c r="N57" s="41"/>
      <c r="O57" s="121"/>
      <c r="P57" s="121"/>
      <c r="Q57" s="41"/>
    </row>
    <row r="58" spans="2:17" s="38" customFormat="1" ht="9" x14ac:dyDescent="0.15">
      <c r="B58" s="41"/>
      <c r="C58" s="41"/>
      <c r="D58" s="41"/>
      <c r="E58" s="41"/>
      <c r="F58" s="41"/>
      <c r="G58" s="41"/>
      <c r="H58" s="41"/>
      <c r="I58" s="42"/>
      <c r="J58" s="41"/>
      <c r="K58" s="41"/>
      <c r="L58" s="41"/>
      <c r="M58" s="41"/>
      <c r="N58" s="41"/>
      <c r="O58" s="121"/>
      <c r="P58" s="121"/>
      <c r="Q58" s="41"/>
    </row>
    <row r="59" spans="2:17" s="38" customFormat="1" ht="9" x14ac:dyDescent="0.15">
      <c r="B59" s="41"/>
      <c r="C59" s="41"/>
      <c r="D59" s="41"/>
      <c r="E59" s="41"/>
      <c r="F59" s="41"/>
      <c r="G59" s="41"/>
      <c r="H59" s="41"/>
      <c r="I59" s="42"/>
      <c r="J59" s="41"/>
      <c r="K59" s="41"/>
      <c r="L59" s="41"/>
      <c r="M59" s="41"/>
      <c r="N59" s="41"/>
      <c r="O59" s="121"/>
      <c r="P59" s="121"/>
      <c r="Q59" s="41"/>
    </row>
    <row r="60" spans="2:17" s="38" customFormat="1" ht="9" x14ac:dyDescent="0.15">
      <c r="B60" s="41"/>
      <c r="C60" s="41"/>
      <c r="D60" s="41"/>
      <c r="E60" s="41"/>
      <c r="F60" s="41"/>
      <c r="G60" s="41"/>
      <c r="H60" s="41"/>
      <c r="I60" s="42"/>
      <c r="J60" s="41"/>
      <c r="K60" s="41"/>
      <c r="L60" s="41"/>
      <c r="M60" s="41"/>
      <c r="N60" s="41"/>
      <c r="O60" s="121"/>
      <c r="P60" s="121"/>
      <c r="Q60" s="41"/>
    </row>
    <row r="61" spans="2:17" s="38" customFormat="1" ht="9" x14ac:dyDescent="0.15">
      <c r="B61" s="41"/>
      <c r="C61" s="41"/>
      <c r="D61" s="41"/>
      <c r="E61" s="41"/>
      <c r="F61" s="41"/>
      <c r="G61" s="41"/>
      <c r="H61" s="41"/>
      <c r="I61" s="42"/>
      <c r="J61" s="41"/>
      <c r="K61" s="41"/>
      <c r="L61" s="41"/>
      <c r="M61" s="41"/>
      <c r="N61" s="41"/>
      <c r="O61" s="121"/>
      <c r="P61" s="121"/>
      <c r="Q61" s="41"/>
    </row>
    <row r="62" spans="2:17" s="38" customFormat="1" ht="9" x14ac:dyDescent="0.15">
      <c r="B62" s="41"/>
      <c r="C62" s="41"/>
      <c r="D62" s="41"/>
      <c r="E62" s="41"/>
      <c r="F62" s="41"/>
      <c r="G62" s="41"/>
      <c r="H62" s="41"/>
      <c r="I62" s="42"/>
      <c r="J62" s="41"/>
      <c r="K62" s="41"/>
      <c r="L62" s="41"/>
      <c r="M62" s="41"/>
      <c r="N62" s="41"/>
      <c r="O62" s="121"/>
      <c r="P62" s="121"/>
      <c r="Q62" s="41"/>
    </row>
    <row r="63" spans="2:17" s="38" customFormat="1" ht="9" x14ac:dyDescent="0.15">
      <c r="B63" s="41"/>
      <c r="C63" s="41"/>
      <c r="D63" s="41"/>
      <c r="E63" s="41"/>
      <c r="F63" s="41"/>
      <c r="G63" s="41"/>
      <c r="H63" s="41"/>
      <c r="I63" s="42"/>
      <c r="J63" s="41"/>
      <c r="K63" s="41"/>
      <c r="L63" s="41"/>
      <c r="M63" s="41"/>
      <c r="N63" s="41"/>
      <c r="O63" s="121"/>
      <c r="P63" s="121"/>
      <c r="Q63" s="41"/>
    </row>
    <row r="64" spans="2:17" s="38" customFormat="1" ht="9" x14ac:dyDescent="0.15">
      <c r="B64" s="41"/>
      <c r="C64" s="41"/>
      <c r="D64" s="41"/>
      <c r="E64" s="41"/>
      <c r="F64" s="41"/>
      <c r="G64" s="41"/>
      <c r="H64" s="41"/>
      <c r="I64" s="42"/>
      <c r="J64" s="41"/>
      <c r="K64" s="41"/>
      <c r="L64" s="41"/>
      <c r="M64" s="41"/>
      <c r="N64" s="41"/>
      <c r="O64" s="121"/>
      <c r="P64" s="121"/>
      <c r="Q64" s="41"/>
    </row>
    <row r="65" spans="2:18" s="38" customFormat="1" ht="9" x14ac:dyDescent="0.15">
      <c r="P65" s="121"/>
      <c r="Q65" s="41"/>
    </row>
    <row r="66" spans="2:18" s="38" customFormat="1" ht="9" x14ac:dyDescent="0.15">
      <c r="B66" s="41"/>
      <c r="C66" s="41"/>
      <c r="D66" s="41"/>
      <c r="E66" s="41"/>
      <c r="F66" s="41"/>
      <c r="G66" s="41"/>
      <c r="H66" s="41"/>
      <c r="I66" s="42"/>
      <c r="J66" s="41"/>
      <c r="K66" s="41"/>
      <c r="L66" s="41"/>
      <c r="M66" s="41"/>
      <c r="N66" s="41"/>
      <c r="O66" s="121"/>
      <c r="P66" s="121"/>
      <c r="Q66" s="41"/>
    </row>
    <row r="67" spans="2:18" s="38" customFormat="1" ht="9" x14ac:dyDescent="0.15">
      <c r="B67" s="41"/>
      <c r="C67" s="41"/>
      <c r="D67" s="41"/>
      <c r="E67" s="41"/>
      <c r="F67" s="41"/>
      <c r="G67" s="41"/>
      <c r="H67" s="41"/>
      <c r="I67" s="42"/>
      <c r="J67" s="41"/>
      <c r="K67" s="41"/>
      <c r="L67" s="41"/>
      <c r="M67" s="41"/>
      <c r="N67" s="41"/>
      <c r="O67" s="121"/>
      <c r="P67" s="121"/>
      <c r="Q67" s="41"/>
    </row>
    <row r="68" spans="2:18" s="38" customFormat="1" ht="9" x14ac:dyDescent="0.15">
      <c r="B68" s="41"/>
      <c r="C68" s="41"/>
      <c r="D68" s="41"/>
      <c r="E68" s="41"/>
      <c r="F68" s="41"/>
      <c r="G68" s="41"/>
      <c r="H68" s="41"/>
      <c r="I68" s="42"/>
      <c r="J68" s="41"/>
      <c r="K68" s="41"/>
      <c r="L68" s="41"/>
      <c r="M68" s="41"/>
      <c r="N68" s="41"/>
      <c r="O68" s="121"/>
      <c r="P68" s="121"/>
      <c r="Q68" s="41"/>
    </row>
    <row r="69" spans="2:18" s="38" customFormat="1" ht="9" x14ac:dyDescent="0.15">
      <c r="B69" s="41"/>
      <c r="C69" s="41"/>
      <c r="D69" s="41"/>
      <c r="E69" s="41"/>
      <c r="F69" s="41"/>
      <c r="G69" s="41"/>
      <c r="H69" s="41"/>
      <c r="I69" s="42"/>
      <c r="J69" s="41"/>
      <c r="K69" s="41"/>
      <c r="L69" s="41"/>
      <c r="M69" s="41"/>
      <c r="N69" s="41"/>
      <c r="O69" s="121"/>
      <c r="P69" s="121"/>
      <c r="Q69" s="41"/>
    </row>
    <row r="70" spans="2:18" s="38" customFormat="1" ht="9" x14ac:dyDescent="0.15">
      <c r="B70" s="41"/>
      <c r="C70" s="41"/>
      <c r="D70" s="41"/>
      <c r="E70" s="41"/>
      <c r="F70" s="41"/>
      <c r="G70" s="41"/>
      <c r="H70" s="41"/>
      <c r="I70" s="42"/>
      <c r="J70" s="41"/>
      <c r="K70" s="41"/>
      <c r="L70" s="41"/>
      <c r="M70" s="41"/>
      <c r="N70" s="41"/>
      <c r="O70" s="121"/>
      <c r="P70" s="121"/>
      <c r="Q70" s="41"/>
    </row>
    <row r="71" spans="2:18" s="38" customFormat="1" ht="9" x14ac:dyDescent="0.15">
      <c r="B71" s="41"/>
      <c r="C71" s="41"/>
      <c r="D71" s="41"/>
      <c r="E71" s="41"/>
      <c r="F71" s="41"/>
      <c r="G71" s="41"/>
      <c r="H71" s="41"/>
      <c r="I71" s="42"/>
      <c r="J71" s="41"/>
      <c r="K71" s="41"/>
      <c r="L71" s="41"/>
      <c r="M71" s="41"/>
      <c r="N71" s="41"/>
      <c r="O71" s="121"/>
      <c r="P71" s="121"/>
      <c r="Q71" s="41"/>
    </row>
    <row r="72" spans="2:18" s="38" customFormat="1" ht="9" x14ac:dyDescent="0.15">
      <c r="B72" s="41"/>
      <c r="C72" s="41"/>
      <c r="D72" s="41"/>
      <c r="E72" s="41"/>
      <c r="F72" s="41"/>
      <c r="G72" s="41"/>
      <c r="H72" s="41"/>
      <c r="I72" s="42"/>
      <c r="J72" s="41"/>
      <c r="K72" s="41"/>
      <c r="L72" s="41"/>
      <c r="M72" s="41"/>
      <c r="N72" s="41"/>
      <c r="O72" s="121"/>
      <c r="P72" s="121"/>
      <c r="Q72" s="41"/>
    </row>
    <row r="73" spans="2:18" s="38" customFormat="1" x14ac:dyDescent="0.2">
      <c r="B73" s="41"/>
      <c r="C73" s="41"/>
      <c r="D73" s="41"/>
      <c r="E73" s="41"/>
      <c r="F73" s="41"/>
      <c r="G73" s="41"/>
      <c r="H73" s="41"/>
      <c r="I73" s="42"/>
      <c r="J73" s="41"/>
      <c r="K73" s="41"/>
      <c r="L73" s="41"/>
      <c r="M73" s="41"/>
      <c r="N73" s="41"/>
      <c r="O73" s="121"/>
      <c r="P73" s="121"/>
      <c r="Q73" s="41"/>
      <c r="R73" s="77"/>
    </row>
  </sheetData>
  <mergeCells count="5">
    <mergeCell ref="A1:Q1"/>
    <mergeCell ref="A2:Q2"/>
    <mergeCell ref="A29:O29"/>
    <mergeCell ref="A30:O30"/>
    <mergeCell ref="A32:O32"/>
  </mergeCells>
  <phoneticPr fontId="9" type="noConversion"/>
  <pageMargins left="0.25" right="0.25" top="0.5" bottom="0.75" header="0.5" footer="0.5"/>
  <pageSetup scale="8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7"/>
  <sheetViews>
    <sheetView zoomScaleNormal="100" workbookViewId="0">
      <pane xSplit="1" ySplit="3" topLeftCell="D4" activePane="bottomRight" state="frozen"/>
      <selection activeCell="O55" sqref="O55"/>
      <selection pane="topRight" activeCell="O55" sqref="O55"/>
      <selection pane="bottomLeft" activeCell="O55" sqref="O55"/>
      <selection pane="bottomRight" activeCell="A7" sqref="A7"/>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9.42578125" style="39" bestFit="1" customWidth="1"/>
    <col min="6" max="6" width="8.140625" style="39" customWidth="1"/>
    <col min="7" max="7" width="9.42578125" style="39" bestFit="1" customWidth="1"/>
    <col min="8" max="8" width="8.85546875" style="39" customWidth="1"/>
    <col min="9" max="9" width="9.42578125" style="40" bestFit="1" customWidth="1"/>
    <col min="10" max="11" width="6.85546875" style="39" bestFit="1" customWidth="1"/>
    <col min="12" max="12" width="9.140625" style="39" customWidth="1"/>
    <col min="13" max="13" width="7.85546875" style="39" hidden="1" customWidth="1"/>
    <col min="14" max="14" width="10.140625" style="39" customWidth="1"/>
    <col min="15" max="15" width="10.140625" style="120" bestFit="1" customWidth="1"/>
    <col min="16" max="16" width="10" style="120" bestFit="1" customWidth="1"/>
    <col min="17" max="17" width="3.42578125" style="39" customWidth="1"/>
    <col min="18" max="19" width="9.140625" style="77" hidden="1" customWidth="1"/>
    <col min="20" max="20" width="11.140625" style="77" customWidth="1"/>
    <col min="21" max="21" width="8.5703125" style="77" hidden="1" customWidth="1"/>
    <col min="22" max="16384" width="9.140625" style="77"/>
  </cols>
  <sheetData>
    <row r="1" spans="1:21" x14ac:dyDescent="0.2">
      <c r="A1" s="684" t="s">
        <v>708</v>
      </c>
      <c r="B1" s="684"/>
      <c r="C1" s="684"/>
      <c r="D1" s="684"/>
      <c r="E1" s="684"/>
      <c r="F1" s="684"/>
      <c r="G1" s="684"/>
      <c r="H1" s="684"/>
      <c r="I1" s="684"/>
      <c r="J1" s="684"/>
      <c r="K1" s="684"/>
      <c r="L1" s="684"/>
      <c r="M1" s="684"/>
      <c r="N1" s="684"/>
      <c r="O1" s="684"/>
      <c r="P1" s="684"/>
      <c r="Q1" s="684"/>
    </row>
    <row r="2" spans="1:21" x14ac:dyDescent="0.2">
      <c r="A2" s="685" t="s">
        <v>597</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87</v>
      </c>
      <c r="F3" s="32" t="s">
        <v>2</v>
      </c>
      <c r="G3" s="8" t="s">
        <v>148</v>
      </c>
      <c r="H3" s="32" t="s">
        <v>335</v>
      </c>
      <c r="I3" s="43" t="s">
        <v>336</v>
      </c>
      <c r="J3" s="70" t="s">
        <v>623</v>
      </c>
      <c r="K3" s="70" t="s">
        <v>624</v>
      </c>
      <c r="L3" s="70" t="s">
        <v>625</v>
      </c>
      <c r="M3" s="32" t="s">
        <v>279</v>
      </c>
      <c r="N3" s="32" t="s">
        <v>5</v>
      </c>
      <c r="O3" s="70" t="s">
        <v>89</v>
      </c>
      <c r="P3" s="70" t="s">
        <v>147</v>
      </c>
      <c r="Q3" s="106" t="s">
        <v>282</v>
      </c>
      <c r="R3" s="117" t="s">
        <v>225</v>
      </c>
      <c r="S3" s="117" t="s">
        <v>226</v>
      </c>
      <c r="U3" s="349" t="s">
        <v>665</v>
      </c>
    </row>
    <row r="4" spans="1:21" s="95" customFormat="1" ht="9" x14ac:dyDescent="0.15">
      <c r="A4" s="118" t="s">
        <v>284</v>
      </c>
      <c r="B4" s="103" t="s">
        <v>311</v>
      </c>
      <c r="C4" s="103"/>
      <c r="D4" s="105"/>
      <c r="E4" s="105"/>
      <c r="F4" s="105"/>
      <c r="G4" s="103"/>
      <c r="H4" s="103"/>
      <c r="I4" s="107"/>
      <c r="J4" s="103"/>
      <c r="K4" s="103"/>
      <c r="L4" s="103"/>
      <c r="M4" s="103"/>
      <c r="N4" s="105"/>
      <c r="O4" s="105"/>
      <c r="P4" s="105"/>
      <c r="Q4" s="143"/>
      <c r="U4" s="250"/>
    </row>
    <row r="5" spans="1:21" s="95" customFormat="1" ht="9" x14ac:dyDescent="0.15">
      <c r="A5" s="91" t="s">
        <v>285</v>
      </c>
      <c r="B5" s="31" t="s">
        <v>311</v>
      </c>
      <c r="C5" s="31"/>
      <c r="D5" s="37"/>
      <c r="E5" s="37"/>
      <c r="F5" s="37"/>
      <c r="G5" s="31"/>
      <c r="H5" s="31"/>
      <c r="I5" s="64"/>
      <c r="J5" s="31"/>
      <c r="K5" s="31"/>
      <c r="L5" s="31"/>
      <c r="M5" s="31"/>
      <c r="N5" s="37"/>
      <c r="O5" s="37"/>
      <c r="P5" s="37"/>
      <c r="Q5" s="66"/>
      <c r="U5" s="250"/>
    </row>
    <row r="6" spans="1:21" s="95" customFormat="1" ht="9" x14ac:dyDescent="0.15">
      <c r="A6" s="91" t="s">
        <v>286</v>
      </c>
      <c r="B6" s="31"/>
      <c r="C6" s="31"/>
      <c r="D6" s="37"/>
      <c r="E6" s="37"/>
      <c r="F6" s="37"/>
      <c r="G6" s="31"/>
      <c r="H6" s="31"/>
      <c r="I6" s="64"/>
      <c r="J6" s="31"/>
      <c r="K6" s="31"/>
      <c r="L6" s="31"/>
      <c r="M6" s="31"/>
      <c r="N6" s="37"/>
      <c r="O6" s="37"/>
      <c r="P6" s="37"/>
      <c r="Q6" s="66"/>
      <c r="U6" s="250"/>
    </row>
    <row r="7" spans="1:21" s="95" customFormat="1" ht="9" x14ac:dyDescent="0.15">
      <c r="A7" s="91" t="s">
        <v>287</v>
      </c>
      <c r="B7" s="31">
        <v>40</v>
      </c>
      <c r="C7" s="31"/>
      <c r="D7" s="37">
        <v>0</v>
      </c>
      <c r="E7" s="37">
        <v>0</v>
      </c>
      <c r="F7" s="37">
        <v>0</v>
      </c>
      <c r="G7" s="31">
        <v>1</v>
      </c>
      <c r="H7" s="31">
        <f>B7*G7</f>
        <v>40</v>
      </c>
      <c r="I7" s="63">
        <f>'Base Data'!H62+'Base Data'!H66</f>
        <v>1</v>
      </c>
      <c r="J7" s="63">
        <f>H7*I7</f>
        <v>40</v>
      </c>
      <c r="K7" s="63">
        <f>J7*0.1</f>
        <v>4</v>
      </c>
      <c r="L7" s="63">
        <f>J7*0.05</f>
        <v>2</v>
      </c>
      <c r="M7" s="31">
        <f>C7*G7*I7</f>
        <v>0</v>
      </c>
      <c r="N7" s="37">
        <f>(J7*'Base Data'!$C$5)+(K7*'Base Data'!$C$6)+(L7*'Base Data'!$C$7)</f>
        <v>5037.1399999999994</v>
      </c>
      <c r="O7" s="37">
        <f>(D7+E7+F7)*G7*I7</f>
        <v>0</v>
      </c>
      <c r="P7" s="64">
        <v>0</v>
      </c>
      <c r="Q7" s="66" t="s">
        <v>276</v>
      </c>
      <c r="U7" s="250">
        <v>0</v>
      </c>
    </row>
    <row r="8" spans="1:21" s="95" customFormat="1" ht="9" x14ac:dyDescent="0.15">
      <c r="A8" s="91" t="s">
        <v>288</v>
      </c>
      <c r="B8" s="31"/>
      <c r="C8" s="31"/>
      <c r="D8" s="37"/>
      <c r="E8" s="37"/>
      <c r="F8" s="37"/>
      <c r="G8" s="31"/>
      <c r="H8" s="31"/>
      <c r="I8" s="64"/>
      <c r="J8" s="31"/>
      <c r="K8" s="31"/>
      <c r="L8" s="31"/>
      <c r="M8" s="31"/>
      <c r="N8" s="37"/>
      <c r="O8" s="37"/>
      <c r="P8" s="64"/>
      <c r="Q8" s="66"/>
      <c r="U8" s="250"/>
    </row>
    <row r="9" spans="1:21" s="95" customFormat="1" ht="9" x14ac:dyDescent="0.15">
      <c r="A9" s="91" t="s">
        <v>363</v>
      </c>
      <c r="B9" s="31">
        <v>12</v>
      </c>
      <c r="C9" s="31"/>
      <c r="D9" s="37">
        <v>0</v>
      </c>
      <c r="E9" s="37">
        <v>2228</v>
      </c>
      <c r="F9" s="37">
        <v>0</v>
      </c>
      <c r="G9" s="31">
        <v>0.5</v>
      </c>
      <c r="H9" s="31">
        <f>B9*G9</f>
        <v>6</v>
      </c>
      <c r="I9" s="63">
        <f>ROUNDUP(SUM('Base Data'!D62,'Base Data'!D66)/3,0)</f>
        <v>2</v>
      </c>
      <c r="J9" s="63">
        <f>H9*I9</f>
        <v>12</v>
      </c>
      <c r="K9" s="454">
        <f>J9*0.1</f>
        <v>1.2000000000000002</v>
      </c>
      <c r="L9" s="454">
        <f>J9*0.05</f>
        <v>0.60000000000000009</v>
      </c>
      <c r="M9" s="64"/>
      <c r="N9" s="37">
        <f>(J9*'Base Data'!$C$5)+(K9*'Base Data'!$C$6)+(L9*'Base Data'!$C$7)</f>
        <v>1511.1419999999998</v>
      </c>
      <c r="O9" s="37">
        <f>(D9+E9+F9)*I9</f>
        <v>4456</v>
      </c>
      <c r="P9" s="64">
        <v>0</v>
      </c>
      <c r="Q9" s="66" t="s">
        <v>276</v>
      </c>
      <c r="U9" s="250">
        <v>4</v>
      </c>
    </row>
    <row r="10" spans="1:21" s="95" customFormat="1" ht="9" x14ac:dyDescent="0.15">
      <c r="A10" s="91" t="s">
        <v>294</v>
      </c>
      <c r="B10" s="31" t="s">
        <v>311</v>
      </c>
      <c r="C10" s="31"/>
      <c r="D10" s="37"/>
      <c r="E10" s="37"/>
      <c r="F10" s="37"/>
      <c r="G10" s="31"/>
      <c r="H10" s="31"/>
      <c r="I10" s="64"/>
      <c r="J10" s="31"/>
      <c r="K10" s="31"/>
      <c r="L10" s="31"/>
      <c r="M10" s="31"/>
      <c r="N10" s="37"/>
      <c r="O10" s="37"/>
      <c r="P10" s="64"/>
      <c r="Q10" s="66"/>
      <c r="U10" s="250"/>
    </row>
    <row r="11" spans="1:21" s="95" customFormat="1" ht="9" x14ac:dyDescent="0.15">
      <c r="A11" s="91" t="s">
        <v>295</v>
      </c>
      <c r="B11" s="31" t="s">
        <v>311</v>
      </c>
      <c r="C11" s="31"/>
      <c r="D11" s="37"/>
      <c r="E11" s="37"/>
      <c r="F11" s="37"/>
      <c r="G11" s="31"/>
      <c r="H11" s="31"/>
      <c r="I11" s="64"/>
      <c r="J11" s="31"/>
      <c r="K11" s="31"/>
      <c r="L11" s="31"/>
      <c r="M11" s="31"/>
      <c r="N11" s="37"/>
      <c r="O11" s="37"/>
      <c r="P11" s="64"/>
      <c r="Q11" s="66"/>
      <c r="U11" s="250"/>
    </row>
    <row r="12" spans="1:21" s="95" customFormat="1" ht="9" x14ac:dyDescent="0.15">
      <c r="A12" s="91" t="s">
        <v>296</v>
      </c>
      <c r="B12" s="31"/>
      <c r="C12" s="31"/>
      <c r="D12" s="37"/>
      <c r="E12" s="37"/>
      <c r="F12" s="37"/>
      <c r="G12" s="31"/>
      <c r="H12" s="31"/>
      <c r="I12" s="64"/>
      <c r="J12" s="31"/>
      <c r="K12" s="31"/>
      <c r="L12" s="31"/>
      <c r="M12" s="31"/>
      <c r="N12" s="37"/>
      <c r="O12" s="37"/>
      <c r="P12" s="64"/>
      <c r="Q12" s="66"/>
      <c r="U12" s="250"/>
    </row>
    <row r="13" spans="1:21" s="95" customFormat="1" ht="9" x14ac:dyDescent="0.15">
      <c r="A13" s="101" t="s">
        <v>312</v>
      </c>
      <c r="B13" s="31">
        <v>2</v>
      </c>
      <c r="C13" s="31"/>
      <c r="D13" s="37">
        <v>0</v>
      </c>
      <c r="E13" s="37">
        <v>0</v>
      </c>
      <c r="F13" s="37">
        <v>0</v>
      </c>
      <c r="G13" s="31">
        <v>1</v>
      </c>
      <c r="H13" s="31">
        <f>B13*G13</f>
        <v>2</v>
      </c>
      <c r="I13" s="63">
        <f>$I$7</f>
        <v>1</v>
      </c>
      <c r="J13" s="63">
        <f>H13*I13</f>
        <v>2</v>
      </c>
      <c r="K13" s="63">
        <f>J13*0.1</f>
        <v>0.2</v>
      </c>
      <c r="L13" s="63">
        <f>J13*0.05</f>
        <v>0.1</v>
      </c>
      <c r="M13" s="31">
        <f>C13*G13*I13</f>
        <v>0</v>
      </c>
      <c r="N13" s="37">
        <f>(J13*'Base Data'!$C$5)+(K13*'Base Data'!$C$6)+(L13*'Base Data'!$C$7)</f>
        <v>251.857</v>
      </c>
      <c r="O13" s="37">
        <f>(D13+E13+F13)*G13*I13</f>
        <v>0</v>
      </c>
      <c r="P13" s="64">
        <f>G13*I13</f>
        <v>1</v>
      </c>
      <c r="Q13" s="66" t="s">
        <v>276</v>
      </c>
      <c r="U13" s="250">
        <v>0</v>
      </c>
    </row>
    <row r="14" spans="1:21" s="95" customFormat="1" ht="9" x14ac:dyDescent="0.15">
      <c r="A14" s="101" t="s">
        <v>273</v>
      </c>
      <c r="B14" s="31">
        <v>8</v>
      </c>
      <c r="C14" s="31"/>
      <c r="D14" s="37">
        <v>0</v>
      </c>
      <c r="E14" s="37">
        <v>0</v>
      </c>
      <c r="F14" s="37">
        <v>0</v>
      </c>
      <c r="G14" s="31">
        <v>1</v>
      </c>
      <c r="H14" s="31">
        <f>B14*G14</f>
        <v>8</v>
      </c>
      <c r="I14" s="63">
        <f>$I$7</f>
        <v>1</v>
      </c>
      <c r="J14" s="63">
        <f>H14*I14</f>
        <v>8</v>
      </c>
      <c r="K14" s="63">
        <f>J14*0.1</f>
        <v>0.8</v>
      </c>
      <c r="L14" s="63">
        <f>J14*0.05</f>
        <v>0.4</v>
      </c>
      <c r="M14" s="31">
        <f>C14*G14*I14</f>
        <v>0</v>
      </c>
      <c r="N14" s="37">
        <f>(J14*'Base Data'!$C$5)+(K14*'Base Data'!$C$6)+(L14*'Base Data'!$C$7)</f>
        <v>1007.428</v>
      </c>
      <c r="O14" s="37">
        <f>(D14+E14+F14)*G14*I14</f>
        <v>0</v>
      </c>
      <c r="P14" s="64">
        <f>G14*I14</f>
        <v>1</v>
      </c>
      <c r="Q14" s="66" t="s">
        <v>276</v>
      </c>
      <c r="U14" s="250">
        <v>0</v>
      </c>
    </row>
    <row r="15" spans="1:21" s="95" customFormat="1" ht="9" x14ac:dyDescent="0.15">
      <c r="A15" s="101" t="s">
        <v>8</v>
      </c>
      <c r="B15" s="31">
        <v>5</v>
      </c>
      <c r="C15" s="31"/>
      <c r="D15" s="37">
        <v>0</v>
      </c>
      <c r="E15" s="37">
        <v>0</v>
      </c>
      <c r="F15" s="37">
        <v>0</v>
      </c>
      <c r="G15" s="31">
        <v>0.5</v>
      </c>
      <c r="H15" s="31">
        <f>B15*G15</f>
        <v>2.5</v>
      </c>
      <c r="I15" s="63">
        <f>$I$7</f>
        <v>1</v>
      </c>
      <c r="J15" s="454">
        <f>H15*I15</f>
        <v>2.5</v>
      </c>
      <c r="K15" s="455">
        <f>J15*0.1</f>
        <v>0.25</v>
      </c>
      <c r="L15" s="455">
        <f>J15*0.05</f>
        <v>0.125</v>
      </c>
      <c r="M15" s="31">
        <f>C15*G15*I15</f>
        <v>0</v>
      </c>
      <c r="N15" s="37">
        <f>(J15*'Base Data'!$C$5)+(K15*'Base Data'!$C$6)+(L15*'Base Data'!$C$7)</f>
        <v>314.82124999999996</v>
      </c>
      <c r="O15" s="37">
        <f>(D15+E15+F15)*G15*I15</f>
        <v>0</v>
      </c>
      <c r="P15" s="64">
        <f>G15*I15</f>
        <v>0.5</v>
      </c>
      <c r="Q15" s="66" t="s">
        <v>209</v>
      </c>
      <c r="U15" s="250">
        <v>1</v>
      </c>
    </row>
    <row r="16" spans="1:21" s="95" customFormat="1" ht="9" hidden="1" x14ac:dyDescent="0.15">
      <c r="A16" s="101"/>
      <c r="B16" s="31"/>
      <c r="C16" s="31"/>
      <c r="D16" s="37"/>
      <c r="E16" s="37"/>
      <c r="F16" s="37"/>
      <c r="G16" s="31"/>
      <c r="H16" s="31"/>
      <c r="I16" s="64"/>
      <c r="J16" s="367">
        <f>SUM(J7:J15)</f>
        <v>64.5</v>
      </c>
      <c r="K16" s="367">
        <f>SUM(K7:K15)</f>
        <v>6.45</v>
      </c>
      <c r="L16" s="367">
        <f>SUM(L7:L15)</f>
        <v>3.2250000000000001</v>
      </c>
      <c r="M16" s="31"/>
      <c r="N16" s="37"/>
      <c r="O16" s="37"/>
      <c r="P16" s="64"/>
      <c r="Q16" s="66"/>
      <c r="U16" s="250"/>
    </row>
    <row r="17" spans="1:22" s="371" customFormat="1" ht="9" x14ac:dyDescent="0.15">
      <c r="A17" s="376" t="s">
        <v>4</v>
      </c>
      <c r="B17" s="364"/>
      <c r="C17" s="364"/>
      <c r="D17" s="365"/>
      <c r="E17" s="365"/>
      <c r="F17" s="365"/>
      <c r="G17" s="364"/>
      <c r="H17" s="364"/>
      <c r="I17" s="367"/>
      <c r="J17" s="762">
        <f>J16+K16+L16</f>
        <v>74.174999999999997</v>
      </c>
      <c r="K17" s="763"/>
      <c r="L17" s="764"/>
      <c r="M17" s="367">
        <f>SUM(M7:M15)</f>
        <v>0</v>
      </c>
      <c r="N17" s="365">
        <f>SUM(N7:N15)</f>
        <v>8122.3882499999991</v>
      </c>
      <c r="O17" s="365">
        <f>SUM(O7:O15)</f>
        <v>4456</v>
      </c>
      <c r="P17" s="367">
        <f>ROUNDUP(SUM(P13:P15),0)</f>
        <v>3</v>
      </c>
      <c r="Q17" s="368"/>
      <c r="R17" s="370">
        <f>SUM(O7:O9)</f>
        <v>4456</v>
      </c>
      <c r="S17" s="371">
        <f>0</f>
        <v>0</v>
      </c>
      <c r="U17" s="378"/>
    </row>
    <row r="18" spans="1:22" s="95" customFormat="1" ht="9" x14ac:dyDescent="0.15">
      <c r="A18" s="91" t="s">
        <v>309</v>
      </c>
      <c r="B18" s="31"/>
      <c r="C18" s="31"/>
      <c r="D18" s="37"/>
      <c r="E18" s="37"/>
      <c r="F18" s="37"/>
      <c r="G18" s="31"/>
      <c r="H18" s="31"/>
      <c r="I18" s="64"/>
      <c r="J18" s="31"/>
      <c r="K18" s="31"/>
      <c r="L18" s="31"/>
      <c r="M18" s="31"/>
      <c r="N18" s="37"/>
      <c r="O18" s="37"/>
      <c r="P18" s="64"/>
      <c r="Q18" s="66"/>
      <c r="U18" s="250"/>
    </row>
    <row r="19" spans="1:22" s="95" customFormat="1" ht="9" x14ac:dyDescent="0.15">
      <c r="A19" s="91" t="s">
        <v>287</v>
      </c>
      <c r="B19" s="31" t="s">
        <v>301</v>
      </c>
      <c r="C19" s="31"/>
      <c r="D19" s="37"/>
      <c r="E19" s="37"/>
      <c r="F19" s="37"/>
      <c r="G19" s="31"/>
      <c r="H19" s="31"/>
      <c r="I19" s="64"/>
      <c r="J19" s="31"/>
      <c r="K19" s="31"/>
      <c r="L19" s="31"/>
      <c r="M19" s="31"/>
      <c r="N19" s="37"/>
      <c r="O19" s="37"/>
      <c r="P19" s="64"/>
      <c r="Q19" s="66"/>
      <c r="U19" s="250"/>
    </row>
    <row r="20" spans="1:22" s="95" customFormat="1" ht="9" x14ac:dyDescent="0.15">
      <c r="A20" s="91" t="s">
        <v>298</v>
      </c>
      <c r="B20" s="31" t="s">
        <v>311</v>
      </c>
      <c r="C20" s="31"/>
      <c r="D20" s="37"/>
      <c r="E20" s="37"/>
      <c r="F20" s="37"/>
      <c r="G20" s="31"/>
      <c r="H20" s="31"/>
      <c r="I20" s="64"/>
      <c r="J20" s="31"/>
      <c r="K20" s="31"/>
      <c r="L20" s="31"/>
      <c r="M20" s="31"/>
      <c r="N20" s="37"/>
      <c r="O20" s="37"/>
      <c r="P20" s="64"/>
      <c r="Q20" s="66"/>
      <c r="U20" s="250"/>
    </row>
    <row r="21" spans="1:22" s="95" customFormat="1" ht="9" x14ac:dyDescent="0.15">
      <c r="A21" s="91" t="s">
        <v>299</v>
      </c>
      <c r="B21" s="31" t="s">
        <v>311</v>
      </c>
      <c r="C21" s="31"/>
      <c r="D21" s="37"/>
      <c r="E21" s="37"/>
      <c r="F21" s="37"/>
      <c r="G21" s="31"/>
      <c r="H21" s="31"/>
      <c r="I21" s="64"/>
      <c r="J21" s="31"/>
      <c r="K21" s="31"/>
      <c r="L21" s="31"/>
      <c r="M21" s="31"/>
      <c r="N21" s="37"/>
      <c r="O21" s="37"/>
      <c r="P21" s="64"/>
      <c r="Q21" s="66" t="s">
        <v>108</v>
      </c>
      <c r="U21" s="250"/>
    </row>
    <row r="22" spans="1:22" s="95" customFormat="1" ht="9" x14ac:dyDescent="0.15">
      <c r="A22" s="91" t="s">
        <v>300</v>
      </c>
      <c r="B22" s="31"/>
      <c r="C22" s="31"/>
      <c r="D22" s="37"/>
      <c r="E22" s="37"/>
      <c r="F22" s="37"/>
      <c r="G22" s="31"/>
      <c r="H22" s="31"/>
      <c r="I22" s="64"/>
      <c r="J22" s="31"/>
      <c r="K22" s="31"/>
      <c r="L22" s="31"/>
      <c r="M22" s="31"/>
      <c r="N22" s="37"/>
      <c r="O22" s="37"/>
      <c r="P22" s="64"/>
      <c r="Q22" s="66"/>
      <c r="U22" s="250"/>
    </row>
    <row r="23" spans="1:22" s="95" customFormat="1" ht="19.5" customHeight="1" x14ac:dyDescent="0.15">
      <c r="A23" s="101" t="s">
        <v>271</v>
      </c>
      <c r="B23" s="31">
        <v>2</v>
      </c>
      <c r="C23" s="31">
        <v>0</v>
      </c>
      <c r="D23" s="37">
        <v>0</v>
      </c>
      <c r="E23" s="37">
        <v>0</v>
      </c>
      <c r="F23" s="37">
        <v>0</v>
      </c>
      <c r="G23" s="31">
        <v>0.5</v>
      </c>
      <c r="H23" s="31">
        <f>B23*G23</f>
        <v>1</v>
      </c>
      <c r="I23" s="64">
        <f>I15</f>
        <v>1</v>
      </c>
      <c r="J23" s="63">
        <f>H23*I23</f>
        <v>1</v>
      </c>
      <c r="K23" s="455">
        <f>J23*0.1</f>
        <v>0.1</v>
      </c>
      <c r="L23" s="455">
        <f>J23*0.05</f>
        <v>0.05</v>
      </c>
      <c r="M23" s="31">
        <f>C23*G23*I23</f>
        <v>0</v>
      </c>
      <c r="N23" s="37">
        <f>(J23*'Base Data'!$C$5)+(K23*'Base Data'!$C$6)+(L23*'Base Data'!$C$7)</f>
        <v>125.9285</v>
      </c>
      <c r="O23" s="37">
        <f>(D23+E23+F23)*G23*I23</f>
        <v>0</v>
      </c>
      <c r="P23" s="64">
        <v>0</v>
      </c>
      <c r="Q23" s="66" t="s">
        <v>276</v>
      </c>
      <c r="U23" s="250">
        <v>1</v>
      </c>
    </row>
    <row r="24" spans="1:22" s="95" customFormat="1" ht="9" x14ac:dyDescent="0.15">
      <c r="A24" s="101" t="s">
        <v>364</v>
      </c>
      <c r="B24" s="31">
        <v>0.5</v>
      </c>
      <c r="C24" s="31"/>
      <c r="D24" s="37">
        <v>0</v>
      </c>
      <c r="E24" s="37">
        <v>0</v>
      </c>
      <c r="F24" s="37">
        <v>0</v>
      </c>
      <c r="G24" s="31">
        <v>0.5</v>
      </c>
      <c r="H24" s="31">
        <f>B24*G24</f>
        <v>0.25</v>
      </c>
      <c r="I24" s="64">
        <f>I9</f>
        <v>2</v>
      </c>
      <c r="J24" s="63">
        <f>H24*I24</f>
        <v>0.5</v>
      </c>
      <c r="K24" s="455">
        <f>J24*0.1</f>
        <v>0.05</v>
      </c>
      <c r="L24" s="455">
        <f>J24*0.05</f>
        <v>2.5000000000000001E-2</v>
      </c>
      <c r="M24" s="31">
        <f>C24*G24*I24</f>
        <v>0</v>
      </c>
      <c r="N24" s="37">
        <f>(J24*'Base Data'!$C$5)+(K24*'Base Data'!$C$6)+(L24*'Base Data'!$C$7)</f>
        <v>62.96425</v>
      </c>
      <c r="O24" s="37">
        <f>(D24+E24+F24)*G24*I24</f>
        <v>0</v>
      </c>
      <c r="P24" s="64">
        <v>0</v>
      </c>
      <c r="Q24" s="66" t="s">
        <v>707</v>
      </c>
      <c r="U24" s="250">
        <v>4</v>
      </c>
    </row>
    <row r="25" spans="1:22" s="4" customFormat="1" ht="9" x14ac:dyDescent="0.15">
      <c r="A25" s="90" t="s">
        <v>305</v>
      </c>
      <c r="B25" s="31">
        <v>40</v>
      </c>
      <c r="C25" s="31"/>
      <c r="D25" s="37">
        <v>0</v>
      </c>
      <c r="E25" s="37">
        <v>0</v>
      </c>
      <c r="F25" s="37">
        <v>0</v>
      </c>
      <c r="G25" s="31">
        <v>1</v>
      </c>
      <c r="H25" s="31">
        <f>B25*G25</f>
        <v>40</v>
      </c>
      <c r="I25" s="63">
        <v>1</v>
      </c>
      <c r="J25" s="64">
        <f>H25*I25</f>
        <v>40</v>
      </c>
      <c r="K25" s="64">
        <f>J25*0.1</f>
        <v>4</v>
      </c>
      <c r="L25" s="64">
        <f>J25*0.05</f>
        <v>2</v>
      </c>
      <c r="M25" s="31"/>
      <c r="N25" s="37">
        <f>(J25*'Base Data'!$C$5)+(K25*'Base Data'!$C$6)+(L25*'Base Data'!$C$7)</f>
        <v>5037.1399999999994</v>
      </c>
      <c r="O25" s="37">
        <f>(D25+E25+F25)*G25*I25</f>
        <v>0</v>
      </c>
      <c r="P25" s="64">
        <v>0</v>
      </c>
      <c r="Q25" s="66" t="s">
        <v>277</v>
      </c>
      <c r="R25" s="95"/>
      <c r="S25" s="95"/>
      <c r="T25" s="95"/>
      <c r="U25" s="250">
        <v>0</v>
      </c>
      <c r="V25" s="95"/>
    </row>
    <row r="26" spans="1:22" s="95" customFormat="1" ht="9" x14ac:dyDescent="0.15">
      <c r="A26" s="91" t="s">
        <v>306</v>
      </c>
      <c r="B26" s="31" t="s">
        <v>311</v>
      </c>
      <c r="C26" s="31"/>
      <c r="D26" s="37"/>
      <c r="E26" s="37"/>
      <c r="F26" s="37"/>
      <c r="G26" s="31"/>
      <c r="H26" s="31"/>
      <c r="I26" s="64"/>
      <c r="J26" s="31"/>
      <c r="K26" s="31"/>
      <c r="L26" s="31"/>
      <c r="M26" s="31"/>
      <c r="N26" s="37"/>
      <c r="O26" s="37"/>
      <c r="P26" s="64"/>
      <c r="Q26" s="66"/>
      <c r="U26" s="250"/>
    </row>
    <row r="27" spans="1:22" s="95" customFormat="1" ht="9" hidden="1" x14ac:dyDescent="0.15">
      <c r="A27" s="450"/>
      <c r="B27" s="437"/>
      <c r="C27" s="437"/>
      <c r="D27" s="438"/>
      <c r="E27" s="438"/>
      <c r="F27" s="438"/>
      <c r="G27" s="437"/>
      <c r="H27" s="437"/>
      <c r="I27" s="439"/>
      <c r="J27" s="612">
        <f>SUM(J19:J26)</f>
        <v>41.5</v>
      </c>
      <c r="K27" s="612">
        <f>SUM(K19:K26)</f>
        <v>4.1500000000000004</v>
      </c>
      <c r="L27" s="612">
        <f>SUM(L19:L26)</f>
        <v>2.0750000000000002</v>
      </c>
      <c r="M27" s="437"/>
      <c r="N27" s="438"/>
      <c r="O27" s="438"/>
      <c r="P27" s="439"/>
      <c r="Q27" s="440"/>
    </row>
    <row r="28" spans="1:22" s="371" customFormat="1" ht="9" x14ac:dyDescent="0.15">
      <c r="A28" s="377" t="s">
        <v>23</v>
      </c>
      <c r="B28" s="372"/>
      <c r="C28" s="372"/>
      <c r="D28" s="373"/>
      <c r="E28" s="373"/>
      <c r="F28" s="373"/>
      <c r="G28" s="372"/>
      <c r="H28" s="372"/>
      <c r="I28" s="610"/>
      <c r="J28" s="765">
        <f>J27+K27+L27</f>
        <v>47.725000000000001</v>
      </c>
      <c r="K28" s="765"/>
      <c r="L28" s="765"/>
      <c r="M28" s="611">
        <f>SUM(M19:M26)</f>
        <v>0</v>
      </c>
      <c r="N28" s="373">
        <f>SUM(N19:N26)</f>
        <v>5226.0327499999994</v>
      </c>
      <c r="O28" s="373">
        <f>SUM(O19:O26)</f>
        <v>0</v>
      </c>
      <c r="P28" s="374">
        <f>SUM(P19:P26)</f>
        <v>0</v>
      </c>
      <c r="Q28" s="375"/>
      <c r="R28" s="370">
        <f>SUM(O19:O28)</f>
        <v>0</v>
      </c>
    </row>
    <row r="29" spans="1:22" s="371" customFormat="1" ht="9" hidden="1" x14ac:dyDescent="0.15">
      <c r="A29" s="453"/>
      <c r="B29" s="429"/>
      <c r="C29" s="429"/>
      <c r="D29" s="430"/>
      <c r="E29" s="430"/>
      <c r="F29" s="430"/>
      <c r="G29" s="429"/>
      <c r="H29" s="429"/>
      <c r="I29" s="431"/>
      <c r="J29" s="431">
        <f>SUM(J16,J27)</f>
        <v>106</v>
      </c>
      <c r="K29" s="431">
        <f>SUM(K16,K27)</f>
        <v>10.600000000000001</v>
      </c>
      <c r="L29" s="431">
        <f>SUM(L16,L27)</f>
        <v>5.3000000000000007</v>
      </c>
      <c r="M29" s="429"/>
      <c r="N29" s="430"/>
      <c r="O29" s="430"/>
      <c r="P29" s="431"/>
      <c r="Q29" s="432"/>
      <c r="R29" s="370"/>
    </row>
    <row r="30" spans="1:22" s="95" customFormat="1" x14ac:dyDescent="0.2">
      <c r="A30" s="110" t="s">
        <v>283</v>
      </c>
      <c r="B30" s="111"/>
      <c r="C30" s="111"/>
      <c r="D30" s="111"/>
      <c r="E30" s="111"/>
      <c r="F30" s="111"/>
      <c r="G30" s="111"/>
      <c r="H30" s="111"/>
      <c r="I30" s="441"/>
      <c r="J30" s="754">
        <f>J29+K29+L29</f>
        <v>121.89999999999999</v>
      </c>
      <c r="K30" s="752"/>
      <c r="L30" s="755"/>
      <c r="M30" s="641">
        <f>SUM(M17,M28)</f>
        <v>0</v>
      </c>
      <c r="N30" s="115">
        <f>SUM(N17,N28)</f>
        <v>13348.420999999998</v>
      </c>
      <c r="O30" s="115">
        <f>SUM(O17,O28)</f>
        <v>4456</v>
      </c>
      <c r="P30" s="114">
        <f>ROUNDUP(SUM(P17,P28),0)</f>
        <v>3</v>
      </c>
      <c r="Q30" s="642"/>
    </row>
    <row r="31" spans="1:22" s="95" customFormat="1" x14ac:dyDescent="0.2">
      <c r="A31" s="77"/>
      <c r="B31" s="39"/>
      <c r="C31" s="39"/>
      <c r="D31" s="39"/>
      <c r="E31" s="39"/>
      <c r="F31" s="39"/>
      <c r="G31" s="39"/>
      <c r="H31" s="39"/>
      <c r="I31" s="40"/>
      <c r="J31" s="39"/>
      <c r="K31" s="39"/>
      <c r="L31" s="39"/>
      <c r="M31" s="39"/>
      <c r="N31" s="39"/>
      <c r="O31" s="120"/>
      <c r="P31" s="120"/>
      <c r="Q31" s="39"/>
    </row>
    <row r="32" spans="1:22" s="95" customFormat="1" ht="11.25" customHeight="1" x14ac:dyDescent="0.15">
      <c r="A32" s="748" t="s">
        <v>706</v>
      </c>
      <c r="B32" s="748"/>
      <c r="C32" s="748"/>
      <c r="D32" s="748"/>
      <c r="E32" s="748"/>
      <c r="F32" s="748"/>
      <c r="G32" s="748"/>
      <c r="H32" s="748"/>
      <c r="I32" s="748"/>
      <c r="J32" s="748"/>
      <c r="K32" s="748"/>
      <c r="L32" s="748"/>
      <c r="M32" s="748"/>
      <c r="N32" s="748"/>
      <c r="O32" s="748"/>
      <c r="P32" s="121"/>
      <c r="Q32" s="267"/>
    </row>
    <row r="33" spans="1:17" s="38" customFormat="1" x14ac:dyDescent="0.15">
      <c r="A33" s="749" t="s">
        <v>107</v>
      </c>
      <c r="B33" s="749"/>
      <c r="C33" s="749"/>
      <c r="D33" s="749"/>
      <c r="E33" s="749"/>
      <c r="F33" s="749"/>
      <c r="G33" s="749"/>
      <c r="H33" s="749"/>
      <c r="I33" s="749"/>
      <c r="J33" s="749"/>
      <c r="K33" s="749"/>
      <c r="L33" s="749"/>
      <c r="M33" s="749"/>
      <c r="N33" s="749"/>
      <c r="O33" s="749"/>
      <c r="P33" s="121"/>
      <c r="Q33" s="267"/>
    </row>
    <row r="34" spans="1:17" s="38" customFormat="1" x14ac:dyDescent="0.15">
      <c r="A34" s="271" t="s">
        <v>783</v>
      </c>
      <c r="B34" s="268"/>
      <c r="C34" s="268"/>
      <c r="D34" s="268"/>
      <c r="E34" s="268"/>
      <c r="F34" s="268"/>
      <c r="G34" s="268"/>
      <c r="H34" s="268"/>
      <c r="I34" s="268"/>
      <c r="J34" s="268"/>
      <c r="K34" s="268"/>
      <c r="L34" s="268"/>
      <c r="M34" s="268"/>
      <c r="N34" s="268"/>
      <c r="O34" s="268"/>
      <c r="P34" s="121"/>
      <c r="Q34" s="267"/>
    </row>
    <row r="35" spans="1:17" s="38" customFormat="1" x14ac:dyDescent="0.15">
      <c r="A35" s="271" t="s">
        <v>464</v>
      </c>
      <c r="B35" s="269"/>
      <c r="C35" s="269"/>
      <c r="D35" s="269"/>
      <c r="E35" s="269"/>
      <c r="F35" s="269"/>
      <c r="G35" s="269"/>
      <c r="H35" s="269"/>
      <c r="I35" s="270"/>
      <c r="J35" s="270"/>
      <c r="K35" s="270"/>
      <c r="L35" s="270"/>
      <c r="M35" s="270"/>
      <c r="N35" s="269"/>
      <c r="O35" s="267"/>
      <c r="P35" s="121"/>
      <c r="Q35" s="267"/>
    </row>
    <row r="36" spans="1:17" s="38" customFormat="1" x14ac:dyDescent="0.15">
      <c r="B36" s="41"/>
      <c r="C36" s="41"/>
      <c r="D36" s="41"/>
      <c r="E36" s="41"/>
      <c r="F36" s="41"/>
      <c r="G36" s="41"/>
      <c r="H36" s="41"/>
      <c r="I36" s="42"/>
      <c r="J36" s="41"/>
      <c r="K36" s="41"/>
      <c r="L36" s="41"/>
      <c r="M36" s="41"/>
      <c r="N36" s="41"/>
      <c r="O36" s="121"/>
      <c r="P36" s="121"/>
      <c r="Q36" s="267"/>
    </row>
    <row r="37" spans="1:17" s="38" customFormat="1" x14ac:dyDescent="0.15">
      <c r="B37" s="41"/>
      <c r="C37" s="41"/>
      <c r="D37" s="41"/>
      <c r="E37" s="41"/>
      <c r="F37" s="41"/>
      <c r="G37" s="41"/>
      <c r="H37" s="41"/>
      <c r="I37" s="42"/>
      <c r="J37" s="41"/>
      <c r="K37" s="41"/>
      <c r="L37" s="41"/>
      <c r="M37" s="41"/>
      <c r="N37" s="41"/>
      <c r="O37" s="121"/>
      <c r="P37" s="121"/>
      <c r="Q37" s="267"/>
    </row>
    <row r="38" spans="1:17" s="38" customFormat="1" ht="9" x14ac:dyDescent="0.15">
      <c r="B38" s="41"/>
      <c r="C38" s="41"/>
      <c r="D38" s="41"/>
      <c r="E38" s="41"/>
      <c r="F38" s="41"/>
      <c r="G38" s="41"/>
      <c r="H38" s="41"/>
      <c r="I38" s="42"/>
      <c r="J38" s="41"/>
      <c r="K38" s="41"/>
      <c r="L38" s="41"/>
      <c r="M38" s="41"/>
      <c r="N38" s="41"/>
      <c r="O38" s="121"/>
      <c r="P38" s="121"/>
      <c r="Q38" s="266"/>
    </row>
    <row r="39" spans="1:17" s="38" customFormat="1" x14ac:dyDescent="0.2">
      <c r="B39" s="41"/>
      <c r="C39" s="41"/>
      <c r="D39" s="41"/>
      <c r="E39" s="41"/>
      <c r="F39" s="41"/>
      <c r="G39" s="41"/>
      <c r="H39" s="41"/>
      <c r="I39" s="42"/>
      <c r="J39" s="41"/>
      <c r="K39" s="41"/>
      <c r="L39" s="41"/>
      <c r="M39" s="41"/>
      <c r="N39" s="41"/>
      <c r="O39" s="121"/>
      <c r="P39" s="121"/>
      <c r="Q39" s="39"/>
    </row>
    <row r="40" spans="1:17" s="38" customFormat="1" x14ac:dyDescent="0.2">
      <c r="B40" s="41"/>
      <c r="C40" s="41"/>
      <c r="D40" s="41"/>
      <c r="E40" s="41"/>
      <c r="F40" s="41"/>
      <c r="G40" s="41"/>
      <c r="H40" s="41"/>
      <c r="I40" s="42"/>
      <c r="J40" s="41"/>
      <c r="K40" s="41"/>
      <c r="L40" s="41"/>
      <c r="M40" s="41"/>
      <c r="N40" s="41"/>
      <c r="O40" s="121"/>
      <c r="P40" s="121"/>
      <c r="Q40" s="77"/>
    </row>
    <row r="41" spans="1:17" s="38" customFormat="1" x14ac:dyDescent="0.2">
      <c r="B41" s="41"/>
      <c r="C41" s="41"/>
      <c r="D41" s="41"/>
      <c r="E41" s="41"/>
      <c r="F41" s="41"/>
      <c r="G41" s="41"/>
      <c r="H41" s="41"/>
      <c r="I41" s="42"/>
      <c r="J41" s="41"/>
      <c r="K41" s="41"/>
      <c r="L41" s="41"/>
      <c r="M41" s="41"/>
      <c r="N41" s="41"/>
      <c r="O41" s="121"/>
      <c r="P41" s="121"/>
      <c r="Q41" s="77"/>
    </row>
    <row r="42" spans="1:17" s="38" customFormat="1" x14ac:dyDescent="0.2">
      <c r="B42" s="41"/>
      <c r="C42" s="41"/>
      <c r="D42" s="41"/>
      <c r="E42" s="41"/>
      <c r="F42" s="41"/>
      <c r="G42" s="41"/>
      <c r="H42" s="41"/>
      <c r="I42" s="42"/>
      <c r="J42" s="41"/>
      <c r="K42" s="41"/>
      <c r="L42" s="41"/>
      <c r="M42" s="41"/>
      <c r="N42" s="41"/>
      <c r="O42" s="121"/>
      <c r="P42" s="121"/>
      <c r="Q42" s="77"/>
    </row>
    <row r="43" spans="1:17" s="38" customFormat="1" x14ac:dyDescent="0.2">
      <c r="B43" s="41"/>
      <c r="C43" s="41"/>
      <c r="D43" s="41"/>
      <c r="E43" s="41"/>
      <c r="F43" s="41"/>
      <c r="G43" s="41"/>
      <c r="H43" s="41"/>
      <c r="I43" s="42"/>
      <c r="J43" s="41"/>
      <c r="K43" s="41"/>
      <c r="L43" s="41"/>
      <c r="M43" s="41"/>
      <c r="N43" s="41"/>
      <c r="O43" s="121"/>
      <c r="P43" s="121"/>
      <c r="Q43" s="77"/>
    </row>
    <row r="44" spans="1:17" s="38" customFormat="1" x14ac:dyDescent="0.2">
      <c r="B44" s="41"/>
      <c r="C44" s="41"/>
      <c r="D44" s="41"/>
      <c r="E44" s="41"/>
      <c r="F44" s="41"/>
      <c r="G44" s="41"/>
      <c r="H44" s="41"/>
      <c r="I44" s="42"/>
      <c r="J44" s="41"/>
      <c r="K44" s="41"/>
      <c r="L44" s="41"/>
      <c r="M44" s="41"/>
      <c r="N44" s="41"/>
      <c r="O44" s="121"/>
      <c r="P44" s="121"/>
      <c r="Q44" s="77"/>
    </row>
    <row r="45" spans="1:17" s="38" customFormat="1" x14ac:dyDescent="0.2">
      <c r="B45" s="41"/>
      <c r="C45" s="41"/>
      <c r="D45" s="41"/>
      <c r="E45" s="41"/>
      <c r="F45" s="41"/>
      <c r="G45" s="41"/>
      <c r="H45" s="41"/>
      <c r="I45" s="42"/>
      <c r="J45" s="41"/>
      <c r="K45" s="41"/>
      <c r="L45" s="41"/>
      <c r="M45" s="41"/>
      <c r="N45" s="41"/>
      <c r="O45" s="121"/>
      <c r="P45" s="121"/>
      <c r="Q45" s="77"/>
    </row>
    <row r="46" spans="1:17" s="38" customFormat="1" x14ac:dyDescent="0.2">
      <c r="B46" s="41"/>
      <c r="C46" s="41"/>
      <c r="D46" s="41"/>
      <c r="E46" s="41"/>
      <c r="F46" s="41"/>
      <c r="G46" s="41"/>
      <c r="H46" s="41"/>
      <c r="I46" s="42"/>
      <c r="J46" s="41"/>
      <c r="K46" s="41"/>
      <c r="L46" s="41"/>
      <c r="M46" s="41"/>
      <c r="N46" s="41"/>
      <c r="O46" s="121"/>
      <c r="P46" s="121"/>
      <c r="Q46" s="77"/>
    </row>
    <row r="47" spans="1:17" s="38" customFormat="1" x14ac:dyDescent="0.2">
      <c r="B47" s="41"/>
      <c r="C47" s="41"/>
      <c r="D47" s="41"/>
      <c r="E47" s="41"/>
      <c r="F47" s="41"/>
      <c r="G47" s="41"/>
      <c r="H47" s="41"/>
      <c r="I47" s="42"/>
      <c r="J47" s="41"/>
      <c r="K47" s="41"/>
      <c r="L47" s="41"/>
      <c r="M47" s="41"/>
      <c r="N47" s="41"/>
      <c r="O47" s="121"/>
      <c r="P47" s="121"/>
      <c r="Q47" s="77"/>
    </row>
    <row r="48" spans="1:17" s="38" customFormat="1" ht="9" x14ac:dyDescent="0.15">
      <c r="B48" s="41"/>
      <c r="C48" s="41"/>
      <c r="D48" s="41"/>
      <c r="E48" s="41"/>
      <c r="F48" s="41"/>
      <c r="G48" s="41"/>
      <c r="H48" s="41"/>
      <c r="I48" s="42"/>
      <c r="J48" s="41"/>
      <c r="K48" s="41"/>
      <c r="L48" s="41"/>
      <c r="M48" s="41"/>
      <c r="N48" s="41"/>
      <c r="O48" s="121"/>
      <c r="P48" s="121"/>
      <c r="Q48" s="41"/>
    </row>
    <row r="49" spans="2:17" s="38" customFormat="1" ht="9" x14ac:dyDescent="0.15">
      <c r="B49" s="41"/>
      <c r="C49" s="41"/>
      <c r="D49" s="41"/>
      <c r="E49" s="41"/>
      <c r="F49" s="41"/>
      <c r="G49" s="41"/>
      <c r="H49" s="41"/>
      <c r="I49" s="42"/>
      <c r="J49" s="41"/>
      <c r="K49" s="41"/>
      <c r="L49" s="41"/>
      <c r="M49" s="41"/>
      <c r="N49" s="41"/>
      <c r="O49" s="121"/>
      <c r="P49" s="121"/>
      <c r="Q49" s="41"/>
    </row>
    <row r="50" spans="2:17" s="38" customFormat="1" ht="9" x14ac:dyDescent="0.15">
      <c r="B50" s="41"/>
      <c r="C50" s="41"/>
      <c r="D50" s="41"/>
      <c r="E50" s="41"/>
      <c r="F50" s="41"/>
      <c r="G50" s="41"/>
      <c r="H50" s="41"/>
      <c r="I50" s="42"/>
      <c r="J50" s="41"/>
      <c r="K50" s="41"/>
      <c r="L50" s="41"/>
      <c r="M50" s="41"/>
      <c r="N50" s="41"/>
      <c r="O50" s="121"/>
      <c r="P50" s="121"/>
      <c r="Q50" s="41"/>
    </row>
    <row r="51" spans="2:17" s="38" customFormat="1" ht="9" x14ac:dyDescent="0.15">
      <c r="B51" s="41"/>
      <c r="C51" s="41"/>
      <c r="D51" s="41"/>
      <c r="E51" s="41"/>
      <c r="F51" s="41"/>
      <c r="G51" s="41"/>
      <c r="H51" s="41"/>
      <c r="I51" s="42"/>
      <c r="J51" s="41"/>
      <c r="K51" s="41"/>
      <c r="L51" s="41"/>
      <c r="M51" s="41"/>
      <c r="N51" s="41"/>
      <c r="O51" s="121"/>
      <c r="P51" s="121"/>
      <c r="Q51" s="41"/>
    </row>
    <row r="52" spans="2:17" s="38" customFormat="1" ht="9" x14ac:dyDescent="0.15">
      <c r="B52" s="41"/>
      <c r="C52" s="41"/>
      <c r="D52" s="41"/>
      <c r="E52" s="41"/>
      <c r="F52" s="41"/>
      <c r="G52" s="41"/>
      <c r="H52" s="41"/>
      <c r="I52" s="42"/>
      <c r="J52" s="41"/>
      <c r="K52" s="41"/>
      <c r="L52" s="41"/>
      <c r="M52" s="41"/>
      <c r="N52" s="41"/>
      <c r="O52" s="121"/>
      <c r="P52" s="121"/>
      <c r="Q52" s="41"/>
    </row>
    <row r="53" spans="2:17" s="38" customFormat="1" ht="9" x14ac:dyDescent="0.15">
      <c r="B53" s="41"/>
      <c r="C53" s="41"/>
      <c r="D53" s="41"/>
      <c r="E53" s="41"/>
      <c r="F53" s="41"/>
      <c r="G53" s="41"/>
      <c r="H53" s="41"/>
      <c r="I53" s="42"/>
      <c r="J53" s="41"/>
      <c r="K53" s="41"/>
      <c r="L53" s="41"/>
      <c r="M53" s="41"/>
      <c r="N53" s="41"/>
      <c r="O53" s="121"/>
      <c r="P53" s="121"/>
      <c r="Q53" s="41"/>
    </row>
    <row r="54" spans="2:17" s="38" customFormat="1" ht="9" x14ac:dyDescent="0.15">
      <c r="B54" s="41"/>
      <c r="C54" s="41"/>
      <c r="D54" s="41"/>
      <c r="E54" s="41"/>
      <c r="F54" s="41"/>
      <c r="G54" s="41"/>
      <c r="H54" s="41"/>
      <c r="I54" s="42"/>
      <c r="J54" s="41"/>
      <c r="K54" s="41"/>
      <c r="L54" s="41"/>
      <c r="M54" s="41"/>
      <c r="N54" s="41"/>
      <c r="O54" s="121"/>
      <c r="P54" s="121"/>
      <c r="Q54" s="41"/>
    </row>
    <row r="55" spans="2:17" s="38" customFormat="1" ht="9" x14ac:dyDescent="0.15">
      <c r="B55" s="41"/>
      <c r="C55" s="41"/>
      <c r="D55" s="41"/>
      <c r="E55" s="41"/>
      <c r="F55" s="41"/>
      <c r="G55" s="41"/>
      <c r="H55" s="41"/>
      <c r="I55" s="42"/>
      <c r="J55" s="41"/>
      <c r="K55" s="41"/>
      <c r="L55" s="41"/>
      <c r="M55" s="41"/>
      <c r="N55" s="41"/>
      <c r="O55" s="121"/>
      <c r="P55" s="121"/>
      <c r="Q55" s="41"/>
    </row>
    <row r="56" spans="2:17" s="38" customFormat="1" ht="9" x14ac:dyDescent="0.15">
      <c r="B56" s="41"/>
      <c r="C56" s="41"/>
      <c r="D56" s="41"/>
      <c r="E56" s="41"/>
      <c r="F56" s="41"/>
      <c r="G56" s="41"/>
      <c r="H56" s="41"/>
      <c r="I56" s="42"/>
      <c r="J56" s="41"/>
      <c r="K56" s="41"/>
      <c r="L56" s="41"/>
      <c r="M56" s="41"/>
      <c r="N56" s="41"/>
      <c r="O56" s="121"/>
      <c r="P56" s="121"/>
      <c r="Q56" s="41"/>
    </row>
    <row r="57" spans="2:17" s="38" customFormat="1" ht="9" x14ac:dyDescent="0.15">
      <c r="B57" s="41"/>
      <c r="C57" s="41"/>
      <c r="D57" s="41"/>
      <c r="E57" s="41"/>
      <c r="F57" s="41"/>
      <c r="G57" s="41"/>
      <c r="H57" s="41"/>
      <c r="I57" s="42"/>
      <c r="J57" s="41"/>
      <c r="K57" s="41"/>
      <c r="L57" s="41"/>
      <c r="M57" s="41"/>
      <c r="N57" s="41"/>
      <c r="O57" s="121"/>
      <c r="P57" s="121"/>
      <c r="Q57" s="41"/>
    </row>
    <row r="58" spans="2:17" s="38" customFormat="1" ht="9" x14ac:dyDescent="0.15">
      <c r="B58" s="41"/>
      <c r="C58" s="41"/>
      <c r="D58" s="41"/>
      <c r="E58" s="41"/>
      <c r="F58" s="41"/>
      <c r="G58" s="41"/>
      <c r="H58" s="41"/>
      <c r="I58" s="42"/>
      <c r="J58" s="41"/>
      <c r="K58" s="41"/>
      <c r="L58" s="41"/>
      <c r="M58" s="41"/>
      <c r="N58" s="41"/>
      <c r="O58" s="121"/>
      <c r="P58" s="121"/>
      <c r="Q58" s="41"/>
    </row>
    <row r="59" spans="2:17" s="38" customFormat="1" ht="9" x14ac:dyDescent="0.15">
      <c r="B59" s="41"/>
      <c r="C59" s="41"/>
      <c r="D59" s="41"/>
      <c r="E59" s="41"/>
      <c r="F59" s="41"/>
      <c r="G59" s="41"/>
      <c r="H59" s="41"/>
      <c r="I59" s="42"/>
      <c r="J59" s="41"/>
      <c r="K59" s="41"/>
      <c r="L59" s="41"/>
      <c r="M59" s="41"/>
      <c r="N59" s="41"/>
      <c r="O59" s="121"/>
      <c r="P59" s="121"/>
      <c r="Q59" s="41"/>
    </row>
    <row r="60" spans="2:17" s="38" customFormat="1" ht="9" x14ac:dyDescent="0.15">
      <c r="B60" s="41"/>
      <c r="C60" s="41"/>
      <c r="D60" s="41"/>
      <c r="E60" s="41"/>
      <c r="F60" s="41"/>
      <c r="G60" s="41"/>
      <c r="H60" s="41"/>
      <c r="I60" s="42"/>
      <c r="J60" s="41"/>
      <c r="K60" s="41"/>
      <c r="L60" s="41"/>
      <c r="M60" s="41"/>
      <c r="N60" s="41"/>
      <c r="O60" s="121"/>
      <c r="P60" s="121"/>
      <c r="Q60" s="41"/>
    </row>
    <row r="61" spans="2:17" s="38" customFormat="1" ht="9" x14ac:dyDescent="0.15">
      <c r="B61" s="41"/>
      <c r="C61" s="41"/>
      <c r="D61" s="41"/>
      <c r="E61" s="41"/>
      <c r="F61" s="41"/>
      <c r="G61" s="41"/>
      <c r="H61" s="41"/>
      <c r="I61" s="42"/>
      <c r="J61" s="41"/>
      <c r="K61" s="41"/>
      <c r="L61" s="41"/>
      <c r="M61" s="41"/>
      <c r="N61" s="41"/>
      <c r="O61" s="121"/>
      <c r="P61" s="121"/>
      <c r="Q61" s="41"/>
    </row>
    <row r="62" spans="2:17" s="38" customFormat="1" ht="9" x14ac:dyDescent="0.15">
      <c r="B62" s="41"/>
      <c r="C62" s="41"/>
      <c r="D62" s="41"/>
      <c r="E62" s="41"/>
      <c r="F62" s="41"/>
      <c r="G62" s="41"/>
      <c r="H62" s="41"/>
      <c r="I62" s="42"/>
      <c r="J62" s="41"/>
      <c r="K62" s="41"/>
      <c r="L62" s="41"/>
      <c r="M62" s="41"/>
      <c r="N62" s="41"/>
      <c r="O62" s="121"/>
      <c r="P62" s="121"/>
      <c r="Q62" s="41"/>
    </row>
    <row r="63" spans="2:17" s="38" customFormat="1" ht="9" x14ac:dyDescent="0.15">
      <c r="B63" s="41"/>
      <c r="C63" s="41"/>
      <c r="D63" s="41"/>
      <c r="E63" s="41"/>
      <c r="F63" s="41"/>
      <c r="G63" s="41"/>
      <c r="H63" s="41"/>
      <c r="I63" s="42"/>
      <c r="J63" s="41"/>
      <c r="K63" s="41"/>
      <c r="L63" s="41"/>
      <c r="M63" s="41"/>
      <c r="N63" s="41"/>
      <c r="O63" s="121"/>
      <c r="P63" s="121"/>
      <c r="Q63" s="41"/>
    </row>
    <row r="64" spans="2:17" s="38" customFormat="1" ht="9" x14ac:dyDescent="0.15">
      <c r="B64" s="41"/>
      <c r="C64" s="41"/>
      <c r="D64" s="41"/>
      <c r="E64" s="41"/>
      <c r="F64" s="41"/>
      <c r="G64" s="41"/>
      <c r="H64" s="41"/>
      <c r="I64" s="42"/>
      <c r="J64" s="41"/>
      <c r="K64" s="41"/>
      <c r="L64" s="41"/>
      <c r="M64" s="41"/>
      <c r="N64" s="41"/>
      <c r="O64" s="121"/>
      <c r="P64" s="121"/>
      <c r="Q64" s="41"/>
    </row>
    <row r="65" spans="2:17" s="38" customFormat="1" ht="9" x14ac:dyDescent="0.15">
      <c r="B65" s="41"/>
      <c r="C65" s="41"/>
      <c r="D65" s="41"/>
      <c r="E65" s="41"/>
      <c r="F65" s="41"/>
      <c r="G65" s="41"/>
      <c r="H65" s="41"/>
      <c r="I65" s="42"/>
      <c r="J65" s="41"/>
      <c r="K65" s="41"/>
      <c r="L65" s="41"/>
      <c r="M65" s="41"/>
      <c r="N65" s="41"/>
      <c r="O65" s="121"/>
      <c r="P65" s="121"/>
      <c r="Q65" s="41"/>
    </row>
    <row r="66" spans="2:17" x14ac:dyDescent="0.2">
      <c r="Q66" s="41"/>
    </row>
    <row r="67" spans="2:17" x14ac:dyDescent="0.2">
      <c r="Q67" s="41"/>
    </row>
    <row r="68" spans="2:17" x14ac:dyDescent="0.2">
      <c r="Q68" s="41"/>
    </row>
    <row r="69" spans="2:17" x14ac:dyDescent="0.2">
      <c r="Q69" s="41"/>
    </row>
    <row r="70" spans="2:17" x14ac:dyDescent="0.2">
      <c r="Q70" s="41"/>
    </row>
    <row r="71" spans="2:17" x14ac:dyDescent="0.2">
      <c r="Q71" s="41"/>
    </row>
    <row r="72" spans="2:17" x14ac:dyDescent="0.2">
      <c r="Q72" s="41"/>
    </row>
    <row r="73" spans="2:17" x14ac:dyDescent="0.2">
      <c r="Q73" s="41"/>
    </row>
    <row r="74" spans="2:17" x14ac:dyDescent="0.2">
      <c r="Q74" s="41"/>
    </row>
    <row r="75" spans="2:17" x14ac:dyDescent="0.2">
      <c r="Q75" s="41"/>
    </row>
    <row r="76" spans="2:17" x14ac:dyDescent="0.2">
      <c r="Q76" s="41"/>
    </row>
    <row r="77" spans="2:17" x14ac:dyDescent="0.2">
      <c r="Q77" s="41"/>
    </row>
  </sheetData>
  <mergeCells count="7">
    <mergeCell ref="A1:Q1"/>
    <mergeCell ref="A2:Q2"/>
    <mergeCell ref="A32:O32"/>
    <mergeCell ref="A33:O33"/>
    <mergeCell ref="J17:L17"/>
    <mergeCell ref="J28:L28"/>
    <mergeCell ref="J30:L30"/>
  </mergeCells>
  <phoneticPr fontId="9" type="noConversion"/>
  <pageMargins left="0.25" right="0.25" top="0.5" bottom="0.75" header="0.5" footer="0.5"/>
  <pageSetup scale="8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A3" sqref="A3"/>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9.42578125" style="39" bestFit="1" customWidth="1"/>
    <col min="6" max="6" width="7.85546875" style="39" customWidth="1"/>
    <col min="7" max="7" width="9.42578125" style="39" bestFit="1" customWidth="1"/>
    <col min="8" max="8" width="8.85546875" style="39" customWidth="1"/>
    <col min="9" max="9" width="9.42578125" style="40" bestFit="1" customWidth="1"/>
    <col min="10" max="11" width="6.85546875" style="39" bestFit="1" customWidth="1"/>
    <col min="12" max="12" width="9" style="39" customWidth="1"/>
    <col min="13" max="13" width="7.85546875" style="39" hidden="1" customWidth="1"/>
    <col min="14" max="14" width="10.140625" style="39" customWidth="1"/>
    <col min="15" max="15" width="10.140625" style="120" bestFit="1" customWidth="1"/>
    <col min="16" max="16" width="10" style="120" bestFit="1" customWidth="1"/>
    <col min="17" max="17" width="2.5703125" style="39" bestFit="1" customWidth="1"/>
    <col min="18" max="19" width="9.140625" style="77" hidden="1" customWidth="1"/>
    <col min="20" max="20" width="11.140625" style="77" customWidth="1"/>
    <col min="21" max="21" width="8.5703125" style="77" customWidth="1"/>
    <col min="22" max="16384" width="9.140625" style="77"/>
  </cols>
  <sheetData>
    <row r="1" spans="1:19" x14ac:dyDescent="0.2">
      <c r="A1" s="684" t="s">
        <v>223</v>
      </c>
      <c r="B1" s="684"/>
      <c r="C1" s="684"/>
      <c r="D1" s="684"/>
      <c r="E1" s="684"/>
      <c r="F1" s="684"/>
      <c r="G1" s="684"/>
      <c r="H1" s="684"/>
      <c r="I1" s="684"/>
      <c r="J1" s="684"/>
      <c r="K1" s="684"/>
      <c r="L1" s="684"/>
      <c r="M1" s="684"/>
      <c r="N1" s="684"/>
      <c r="O1" s="684"/>
      <c r="P1" s="684"/>
      <c r="Q1" s="684"/>
    </row>
    <row r="2" spans="1:19" x14ac:dyDescent="0.2">
      <c r="A2" s="685" t="s">
        <v>605</v>
      </c>
      <c r="B2" s="685"/>
      <c r="C2" s="685"/>
      <c r="D2" s="685"/>
      <c r="E2" s="685"/>
      <c r="F2" s="685"/>
      <c r="G2" s="685"/>
      <c r="H2" s="685"/>
      <c r="I2" s="685"/>
      <c r="J2" s="685"/>
      <c r="K2" s="685"/>
      <c r="L2" s="685"/>
      <c r="M2" s="685"/>
      <c r="N2" s="685"/>
      <c r="O2" s="685"/>
      <c r="P2" s="685"/>
      <c r="Q2" s="685"/>
    </row>
    <row r="3" spans="1:19" s="117" customFormat="1" ht="63" x14ac:dyDescent="0.15">
      <c r="A3" s="32" t="s">
        <v>280</v>
      </c>
      <c r="B3" s="32" t="s">
        <v>281</v>
      </c>
      <c r="C3" s="32" t="s">
        <v>308</v>
      </c>
      <c r="D3" s="32" t="s">
        <v>1</v>
      </c>
      <c r="E3" s="32" t="s">
        <v>87</v>
      </c>
      <c r="F3" s="32" t="s">
        <v>2</v>
      </c>
      <c r="G3" s="8" t="s">
        <v>148</v>
      </c>
      <c r="H3" s="32" t="s">
        <v>335</v>
      </c>
      <c r="I3" s="43" t="s">
        <v>336</v>
      </c>
      <c r="J3" s="70" t="s">
        <v>338</v>
      </c>
      <c r="K3" s="70" t="s">
        <v>339</v>
      </c>
      <c r="L3" s="70" t="s">
        <v>337</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f>'Base Data'!$H$78</f>
        <v>0</v>
      </c>
      <c r="J7" s="63">
        <f>H7*I7</f>
        <v>0</v>
      </c>
      <c r="K7" s="63">
        <f>J7*0.1</f>
        <v>0</v>
      </c>
      <c r="L7" s="63">
        <f>J7*0.05</f>
        <v>0</v>
      </c>
      <c r="M7" s="31">
        <f>C7*G7*I7</f>
        <v>0</v>
      </c>
      <c r="N7" s="37">
        <f>(J7*'Base Data'!$C$5)+(K7*'Base Data'!$C$6)+(L7*'Base Data'!$C$7)</f>
        <v>0</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363</v>
      </c>
      <c r="B9" s="31">
        <v>12</v>
      </c>
      <c r="C9" s="31"/>
      <c r="D9" s="37">
        <v>0</v>
      </c>
      <c r="E9" s="37">
        <v>2228</v>
      </c>
      <c r="F9" s="37">
        <v>0</v>
      </c>
      <c r="G9" s="31">
        <v>0.5</v>
      </c>
      <c r="H9" s="31">
        <f>B9*G9</f>
        <v>6</v>
      </c>
      <c r="I9" s="63">
        <f>'Base Data'!$D$78</f>
        <v>0</v>
      </c>
      <c r="J9" s="63">
        <f>H9*I9</f>
        <v>0</v>
      </c>
      <c r="K9" s="63">
        <f>J9*0.1</f>
        <v>0</v>
      </c>
      <c r="L9" s="63">
        <f>J9*0.05</f>
        <v>0</v>
      </c>
      <c r="M9" s="64"/>
      <c r="N9" s="37">
        <f>(J9*'Base Data'!$C$5)+(K9*'Base Data'!$C$6)+(L9*'Base Data'!$C$7)</f>
        <v>0</v>
      </c>
      <c r="O9" s="37">
        <f>(D9+E9+F9)*I9</f>
        <v>0</v>
      </c>
      <c r="P9" s="64">
        <v>0</v>
      </c>
      <c r="Q9" s="66"/>
    </row>
    <row r="10" spans="1:19" s="95" customFormat="1" ht="9" x14ac:dyDescent="0.15">
      <c r="A10" s="91" t="s">
        <v>294</v>
      </c>
      <c r="B10" s="31" t="s">
        <v>311</v>
      </c>
      <c r="C10" s="31"/>
      <c r="D10" s="37"/>
      <c r="E10" s="37"/>
      <c r="F10" s="37"/>
      <c r="G10" s="31"/>
      <c r="H10" s="31"/>
      <c r="I10" s="64"/>
      <c r="J10" s="31"/>
      <c r="K10" s="31"/>
      <c r="L10" s="31"/>
      <c r="M10" s="31"/>
      <c r="N10" s="37"/>
      <c r="O10" s="37"/>
      <c r="P10" s="64"/>
      <c r="Q10" s="66"/>
    </row>
    <row r="11" spans="1:19" s="95" customFormat="1" ht="9" x14ac:dyDescent="0.15">
      <c r="A11" s="91" t="s">
        <v>295</v>
      </c>
      <c r="B11" s="31" t="s">
        <v>311</v>
      </c>
      <c r="C11" s="31"/>
      <c r="D11" s="37"/>
      <c r="E11" s="37"/>
      <c r="F11" s="37"/>
      <c r="G11" s="31"/>
      <c r="H11" s="31"/>
      <c r="I11" s="64"/>
      <c r="J11" s="31"/>
      <c r="K11" s="31"/>
      <c r="L11" s="31"/>
      <c r="M11" s="31"/>
      <c r="N11" s="37"/>
      <c r="O11" s="37"/>
      <c r="P11" s="64"/>
      <c r="Q11" s="66"/>
    </row>
    <row r="12" spans="1:19" s="95" customFormat="1" ht="9" x14ac:dyDescent="0.15">
      <c r="A12" s="91" t="s">
        <v>296</v>
      </c>
      <c r="B12" s="31"/>
      <c r="C12" s="31"/>
      <c r="D12" s="37"/>
      <c r="E12" s="37"/>
      <c r="F12" s="37"/>
      <c r="G12" s="31"/>
      <c r="H12" s="31"/>
      <c r="I12" s="64"/>
      <c r="J12" s="31"/>
      <c r="K12" s="31"/>
      <c r="L12" s="31"/>
      <c r="M12" s="31"/>
      <c r="N12" s="37"/>
      <c r="O12" s="37"/>
      <c r="P12" s="64"/>
      <c r="Q12" s="66"/>
    </row>
    <row r="13" spans="1:19" s="95" customFormat="1" ht="9" x14ac:dyDescent="0.15">
      <c r="A13" s="101" t="s">
        <v>312</v>
      </c>
      <c r="B13" s="31">
        <v>2</v>
      </c>
      <c r="C13" s="31"/>
      <c r="D13" s="37">
        <v>0</v>
      </c>
      <c r="E13" s="37">
        <v>0</v>
      </c>
      <c r="F13" s="37">
        <v>0</v>
      </c>
      <c r="G13" s="31">
        <v>1</v>
      </c>
      <c r="H13" s="31">
        <f>B13*G13</f>
        <v>2</v>
      </c>
      <c r="I13" s="63">
        <f>'Base Data'!$H$78</f>
        <v>0</v>
      </c>
      <c r="J13" s="63">
        <f>H13*I13</f>
        <v>0</v>
      </c>
      <c r="K13" s="63">
        <f>J13*0.1</f>
        <v>0</v>
      </c>
      <c r="L13" s="63">
        <f>J13*0.05</f>
        <v>0</v>
      </c>
      <c r="M13" s="31">
        <f>C13*G13*I13</f>
        <v>0</v>
      </c>
      <c r="N13" s="37">
        <f>(J13*'Base Data'!$C$5)+(K13*'Base Data'!$C$6)+(L13*'Base Data'!$C$7)</f>
        <v>0</v>
      </c>
      <c r="O13" s="37">
        <f>(D13+E13+F13)*G13*I13</f>
        <v>0</v>
      </c>
      <c r="P13" s="64">
        <f>G13*I13</f>
        <v>0</v>
      </c>
      <c r="Q13" s="66"/>
    </row>
    <row r="14" spans="1:19" s="95" customFormat="1" ht="9" x14ac:dyDescent="0.15">
      <c r="A14" s="101" t="s">
        <v>273</v>
      </c>
      <c r="B14" s="31">
        <v>8</v>
      </c>
      <c r="C14" s="31"/>
      <c r="D14" s="37">
        <v>0</v>
      </c>
      <c r="E14" s="37">
        <v>0</v>
      </c>
      <c r="F14" s="37">
        <v>0</v>
      </c>
      <c r="G14" s="31">
        <v>1</v>
      </c>
      <c r="H14" s="31">
        <f>B14*G14</f>
        <v>8</v>
      </c>
      <c r="I14" s="63">
        <f>'Base Data'!$H$78</f>
        <v>0</v>
      </c>
      <c r="J14" s="63">
        <f>H14*I14</f>
        <v>0</v>
      </c>
      <c r="K14" s="63">
        <f>J14*0.1</f>
        <v>0</v>
      </c>
      <c r="L14" s="63">
        <f>J14*0.05</f>
        <v>0</v>
      </c>
      <c r="M14" s="31">
        <f>C14*G14*I14</f>
        <v>0</v>
      </c>
      <c r="N14" s="37">
        <f>(J14*'Base Data'!$C$5)+(K14*'Base Data'!$C$6)+(L14*'Base Data'!$C$7)</f>
        <v>0</v>
      </c>
      <c r="O14" s="37">
        <f>(D14+E14+F14)*G14*I14</f>
        <v>0</v>
      </c>
      <c r="P14" s="64">
        <f>G14*I14</f>
        <v>0</v>
      </c>
      <c r="Q14" s="66"/>
    </row>
    <row r="15" spans="1:19" s="95" customFormat="1" ht="9" x14ac:dyDescent="0.15">
      <c r="A15" s="101" t="s">
        <v>8</v>
      </c>
      <c r="B15" s="31">
        <v>5</v>
      </c>
      <c r="C15" s="31"/>
      <c r="D15" s="37">
        <v>0</v>
      </c>
      <c r="E15" s="37">
        <v>0</v>
      </c>
      <c r="F15" s="37">
        <v>0</v>
      </c>
      <c r="G15" s="31">
        <v>0.5</v>
      </c>
      <c r="H15" s="31">
        <f>B15*G15</f>
        <v>2.5</v>
      </c>
      <c r="I15" s="63">
        <f>'Base Data'!$H$78</f>
        <v>0</v>
      </c>
      <c r="J15" s="63">
        <f>H15*I15</f>
        <v>0</v>
      </c>
      <c r="K15" s="63">
        <f>J15*0.1</f>
        <v>0</v>
      </c>
      <c r="L15" s="63">
        <f>J15*0.05</f>
        <v>0</v>
      </c>
      <c r="M15" s="31">
        <f>C15*G15*I15</f>
        <v>0</v>
      </c>
      <c r="N15" s="37">
        <f>(J15*'Base Data'!$C$5)+(K15*'Base Data'!$C$6)+(L15*'Base Data'!$C$7)</f>
        <v>0</v>
      </c>
      <c r="O15" s="37">
        <f>(D15+E15+F15)*G15*I15</f>
        <v>0</v>
      </c>
      <c r="P15" s="64">
        <f>G15*I15</f>
        <v>0</v>
      </c>
      <c r="Q15" s="66"/>
    </row>
    <row r="16" spans="1:19" s="95" customFormat="1" ht="9" x14ac:dyDescent="0.15">
      <c r="A16" s="96" t="s">
        <v>4</v>
      </c>
      <c r="B16" s="31"/>
      <c r="C16" s="31"/>
      <c r="D16" s="37"/>
      <c r="E16" s="37"/>
      <c r="F16" s="37"/>
      <c r="G16" s="31"/>
      <c r="H16" s="31"/>
      <c r="I16" s="64"/>
      <c r="J16" s="64">
        <f t="shared" ref="J16:O16" si="0">SUM(J7:J15)</f>
        <v>0</v>
      </c>
      <c r="K16" s="64">
        <f t="shared" si="0"/>
        <v>0</v>
      </c>
      <c r="L16" s="64">
        <f t="shared" si="0"/>
        <v>0</v>
      </c>
      <c r="M16" s="64">
        <f t="shared" si="0"/>
        <v>0</v>
      </c>
      <c r="N16" s="64">
        <f t="shared" si="0"/>
        <v>0</v>
      </c>
      <c r="O16" s="64">
        <f t="shared" si="0"/>
        <v>0</v>
      </c>
      <c r="P16" s="64">
        <f>ROUND(SUM(P13:P15),0)</f>
        <v>0</v>
      </c>
      <c r="Q16" s="66"/>
      <c r="R16" s="97">
        <f>SUM(O7:O9)</f>
        <v>0</v>
      </c>
      <c r="S16" s="95">
        <f>0</f>
        <v>0</v>
      </c>
    </row>
    <row r="17" spans="1:18" s="95" customFormat="1" ht="9" x14ac:dyDescent="0.15">
      <c r="A17" s="91" t="s">
        <v>309</v>
      </c>
      <c r="B17" s="31"/>
      <c r="C17" s="31"/>
      <c r="D17" s="37"/>
      <c r="E17" s="37"/>
      <c r="F17" s="37"/>
      <c r="G17" s="31"/>
      <c r="H17" s="31"/>
      <c r="I17" s="64"/>
      <c r="J17" s="31"/>
      <c r="K17" s="31"/>
      <c r="L17" s="31"/>
      <c r="M17" s="31"/>
      <c r="N17" s="37"/>
      <c r="O17" s="37"/>
      <c r="P17" s="64"/>
      <c r="Q17" s="66"/>
    </row>
    <row r="18" spans="1:18" s="95" customFormat="1" ht="9" x14ac:dyDescent="0.15">
      <c r="A18" s="91" t="s">
        <v>297</v>
      </c>
      <c r="B18" s="31" t="s">
        <v>301</v>
      </c>
      <c r="C18" s="31"/>
      <c r="D18" s="37"/>
      <c r="E18" s="37"/>
      <c r="F18" s="37"/>
      <c r="G18" s="31"/>
      <c r="H18" s="31"/>
      <c r="I18" s="64"/>
      <c r="J18" s="31"/>
      <c r="K18" s="31"/>
      <c r="L18" s="31"/>
      <c r="M18" s="31"/>
      <c r="N18" s="37"/>
      <c r="O18" s="37"/>
      <c r="P18" s="64"/>
      <c r="Q18" s="66"/>
    </row>
    <row r="19" spans="1:18" s="95" customFormat="1" ht="9" x14ac:dyDescent="0.15">
      <c r="A19" s="91" t="s">
        <v>298</v>
      </c>
      <c r="B19" s="31" t="s">
        <v>311</v>
      </c>
      <c r="C19" s="31"/>
      <c r="D19" s="37"/>
      <c r="E19" s="37"/>
      <c r="F19" s="37"/>
      <c r="G19" s="31"/>
      <c r="H19" s="31"/>
      <c r="I19" s="64"/>
      <c r="J19" s="31"/>
      <c r="K19" s="31"/>
      <c r="L19" s="31"/>
      <c r="M19" s="31"/>
      <c r="N19" s="37"/>
      <c r="O19" s="37"/>
      <c r="P19" s="64"/>
      <c r="Q19" s="66"/>
    </row>
    <row r="20" spans="1:18" s="95" customFormat="1" ht="9" x14ac:dyDescent="0.15">
      <c r="A20" s="91" t="s">
        <v>299</v>
      </c>
      <c r="B20" s="31" t="s">
        <v>311</v>
      </c>
      <c r="C20" s="31"/>
      <c r="D20" s="37"/>
      <c r="E20" s="37"/>
      <c r="F20" s="37"/>
      <c r="G20" s="31"/>
      <c r="H20" s="31"/>
      <c r="I20" s="64"/>
      <c r="J20" s="31"/>
      <c r="K20" s="31"/>
      <c r="L20" s="31"/>
      <c r="M20" s="31"/>
      <c r="N20" s="37"/>
      <c r="O20" s="37"/>
      <c r="P20" s="64"/>
      <c r="Q20" s="66"/>
    </row>
    <row r="21" spans="1:18" s="95" customFormat="1" ht="9" x14ac:dyDescent="0.15">
      <c r="A21" s="91" t="s">
        <v>300</v>
      </c>
      <c r="B21" s="31"/>
      <c r="C21" s="31"/>
      <c r="D21" s="37"/>
      <c r="E21" s="37"/>
      <c r="F21" s="37"/>
      <c r="G21" s="31"/>
      <c r="H21" s="31"/>
      <c r="I21" s="64"/>
      <c r="J21" s="31"/>
      <c r="K21" s="31"/>
      <c r="L21" s="31"/>
      <c r="M21" s="31"/>
      <c r="N21" s="37"/>
      <c r="O21" s="37"/>
      <c r="P21" s="64"/>
      <c r="Q21" s="66"/>
    </row>
    <row r="22" spans="1:18" s="95" customFormat="1" ht="19.5" customHeight="1" x14ac:dyDescent="0.15">
      <c r="A22" s="101" t="s">
        <v>271</v>
      </c>
      <c r="B22" s="31">
        <v>2</v>
      </c>
      <c r="C22" s="31">
        <v>0</v>
      </c>
      <c r="D22" s="37">
        <v>0</v>
      </c>
      <c r="E22" s="37">
        <v>0</v>
      </c>
      <c r="F22" s="37">
        <v>0</v>
      </c>
      <c r="G22" s="31">
        <v>0.5</v>
      </c>
      <c r="H22" s="31">
        <f>B22*G22</f>
        <v>1</v>
      </c>
      <c r="I22" s="64">
        <f>$I$9</f>
        <v>0</v>
      </c>
      <c r="J22" s="63">
        <f>H22*I22</f>
        <v>0</v>
      </c>
      <c r="K22" s="63">
        <f>J22*0.1</f>
        <v>0</v>
      </c>
      <c r="L22" s="63">
        <f>J22*0.05</f>
        <v>0</v>
      </c>
      <c r="M22" s="31">
        <f>C22*G22*I22</f>
        <v>0</v>
      </c>
      <c r="N22" s="37">
        <f>(J22*'Base Data'!$C$5)+(K22*'Base Data'!$C$6)+(L22*'Base Data'!$C$7)</f>
        <v>0</v>
      </c>
      <c r="O22" s="37">
        <f>(D22+E22+F22)*G22*I22</f>
        <v>0</v>
      </c>
      <c r="P22" s="64">
        <v>0</v>
      </c>
      <c r="Q22" s="66"/>
    </row>
    <row r="23" spans="1:18" s="95" customFormat="1" ht="9" x14ac:dyDescent="0.15">
      <c r="A23" s="101" t="s">
        <v>364</v>
      </c>
      <c r="B23" s="31">
        <v>0.5</v>
      </c>
      <c r="C23" s="31"/>
      <c r="D23" s="37">
        <v>0</v>
      </c>
      <c r="E23" s="37">
        <v>0</v>
      </c>
      <c r="F23" s="37">
        <v>0</v>
      </c>
      <c r="G23" s="31">
        <v>0.5</v>
      </c>
      <c r="H23" s="31">
        <f>B23*G23</f>
        <v>0.25</v>
      </c>
      <c r="I23" s="64">
        <f>$I$9</f>
        <v>0</v>
      </c>
      <c r="J23" s="63">
        <f>H23*I23</f>
        <v>0</v>
      </c>
      <c r="K23" s="63">
        <f>J23*0.1</f>
        <v>0</v>
      </c>
      <c r="L23" s="63">
        <f>J23*0.05</f>
        <v>0</v>
      </c>
      <c r="M23" s="31">
        <f>C23*G23*I23</f>
        <v>0</v>
      </c>
      <c r="N23" s="37">
        <f>(J23*'Base Data'!$C$5)+(K23*'Base Data'!$C$6)+(L23*'Base Data'!$C$7)</f>
        <v>0</v>
      </c>
      <c r="O23" s="37">
        <f>(D23+E23+F23)*G23*I23</f>
        <v>0</v>
      </c>
      <c r="P23" s="64">
        <v>0</v>
      </c>
      <c r="Q23" s="66"/>
    </row>
    <row r="24" spans="1:18" s="4" customFormat="1" ht="9" x14ac:dyDescent="0.15">
      <c r="A24" s="90" t="s">
        <v>305</v>
      </c>
      <c r="B24" s="31">
        <v>40</v>
      </c>
      <c r="C24" s="13"/>
      <c r="D24" s="26">
        <v>0</v>
      </c>
      <c r="E24" s="26">
        <v>0</v>
      </c>
      <c r="F24" s="26">
        <v>0</v>
      </c>
      <c r="G24" s="13">
        <v>1</v>
      </c>
      <c r="H24" s="13">
        <f>B24*G24</f>
        <v>40</v>
      </c>
      <c r="I24" s="63">
        <f>$I$7</f>
        <v>0</v>
      </c>
      <c r="J24" s="14">
        <f>H24*I24</f>
        <v>0</v>
      </c>
      <c r="K24" s="14">
        <f>J24*0.1</f>
        <v>0</v>
      </c>
      <c r="L24" s="14">
        <f>J24*0.05</f>
        <v>0</v>
      </c>
      <c r="M24" s="13"/>
      <c r="N24" s="26">
        <f>(J24*'Base Data'!$C$5)+(K24*'Base Data'!$C$6)+(L24*'Base Data'!$C$7)</f>
        <v>0</v>
      </c>
      <c r="O24" s="26">
        <f>(D24+E24+F24)*G24*I24</f>
        <v>0</v>
      </c>
      <c r="P24" s="64">
        <v>0</v>
      </c>
      <c r="Q24" s="19"/>
    </row>
    <row r="25" spans="1:18" s="95" customFormat="1" ht="9" x14ac:dyDescent="0.15">
      <c r="A25" s="91" t="s">
        <v>306</v>
      </c>
      <c r="B25" s="31" t="s">
        <v>311</v>
      </c>
      <c r="C25" s="31"/>
      <c r="D25" s="37"/>
      <c r="E25" s="37"/>
      <c r="F25" s="37"/>
      <c r="G25" s="31"/>
      <c r="H25" s="31"/>
      <c r="I25" s="64"/>
      <c r="J25" s="31"/>
      <c r="K25" s="31"/>
      <c r="L25" s="31"/>
      <c r="M25" s="31"/>
      <c r="N25" s="37"/>
      <c r="O25" s="37"/>
      <c r="P25" s="64"/>
      <c r="Q25" s="66"/>
    </row>
    <row r="26" spans="1:18" s="95" customFormat="1" ht="9" x14ac:dyDescent="0.15">
      <c r="A26" s="145" t="s">
        <v>23</v>
      </c>
      <c r="B26" s="139"/>
      <c r="C26" s="139"/>
      <c r="D26" s="140"/>
      <c r="E26" s="140"/>
      <c r="F26" s="140"/>
      <c r="G26" s="139"/>
      <c r="H26" s="139"/>
      <c r="I26" s="141"/>
      <c r="J26" s="139">
        <f t="shared" ref="J26:O26" si="1">SUM(J18:J25)</f>
        <v>0</v>
      </c>
      <c r="K26" s="139">
        <f t="shared" si="1"/>
        <v>0</v>
      </c>
      <c r="L26" s="139">
        <f t="shared" si="1"/>
        <v>0</v>
      </c>
      <c r="M26" s="139">
        <f t="shared" si="1"/>
        <v>0</v>
      </c>
      <c r="N26" s="140">
        <f t="shared" si="1"/>
        <v>0</v>
      </c>
      <c r="O26" s="140">
        <f t="shared" si="1"/>
        <v>0</v>
      </c>
      <c r="P26" s="141">
        <f>SUM(P18:P25)</f>
        <v>0</v>
      </c>
      <c r="Q26" s="142"/>
      <c r="R26" s="97">
        <f>SUM(O18:O26)</f>
        <v>0</v>
      </c>
    </row>
    <row r="27" spans="1:18" s="95" customFormat="1" x14ac:dyDescent="0.2">
      <c r="A27" s="110" t="s">
        <v>283</v>
      </c>
      <c r="B27" s="111"/>
      <c r="C27" s="111"/>
      <c r="D27" s="111"/>
      <c r="E27" s="111"/>
      <c r="F27" s="111"/>
      <c r="G27" s="111"/>
      <c r="H27" s="111"/>
      <c r="I27" s="113"/>
      <c r="J27" s="114">
        <f t="shared" ref="J27:P27" si="2">SUM(J16,J26)</f>
        <v>0</v>
      </c>
      <c r="K27" s="114">
        <f t="shared" si="2"/>
        <v>0</v>
      </c>
      <c r="L27" s="114">
        <f t="shared" si="2"/>
        <v>0</v>
      </c>
      <c r="M27" s="114">
        <f t="shared" si="2"/>
        <v>0</v>
      </c>
      <c r="N27" s="115">
        <f t="shared" si="2"/>
        <v>0</v>
      </c>
      <c r="O27" s="115">
        <f t="shared" si="2"/>
        <v>0</v>
      </c>
      <c r="P27" s="114">
        <f t="shared" si="2"/>
        <v>0</v>
      </c>
      <c r="Q27" s="116"/>
    </row>
    <row r="28" spans="1:18" s="38" customFormat="1" ht="9" x14ac:dyDescent="0.15">
      <c r="B28" s="41"/>
      <c r="C28" s="41"/>
      <c r="D28" s="41"/>
      <c r="E28" s="41"/>
      <c r="F28" s="41"/>
      <c r="G28" s="41"/>
      <c r="H28" s="41"/>
      <c r="I28" s="42"/>
      <c r="J28" s="41"/>
      <c r="K28" s="41"/>
      <c r="L28" s="41"/>
      <c r="M28" s="41"/>
      <c r="N28" s="41"/>
      <c r="O28" s="121"/>
      <c r="P28" s="121"/>
      <c r="Q28" s="41"/>
    </row>
    <row r="29" spans="1:18" s="38" customFormat="1" ht="9" customHeight="1" x14ac:dyDescent="0.15">
      <c r="A29" s="748" t="s">
        <v>340</v>
      </c>
      <c r="B29" s="748"/>
      <c r="C29" s="748"/>
      <c r="D29" s="748"/>
      <c r="E29" s="748"/>
      <c r="F29" s="748"/>
      <c r="G29" s="748"/>
      <c r="H29" s="748"/>
      <c r="I29" s="748"/>
      <c r="J29" s="748"/>
      <c r="K29" s="748"/>
      <c r="L29" s="748"/>
      <c r="M29" s="748"/>
      <c r="N29" s="748"/>
      <c r="O29" s="748"/>
      <c r="P29" s="121"/>
      <c r="Q29" s="41"/>
    </row>
    <row r="30" spans="1:18" s="38" customFormat="1" ht="9" x14ac:dyDescent="0.15">
      <c r="B30" s="41"/>
      <c r="C30" s="41"/>
      <c r="D30" s="41"/>
      <c r="E30" s="41"/>
      <c r="F30" s="41"/>
      <c r="G30" s="41"/>
      <c r="H30" s="41"/>
      <c r="I30" s="42"/>
      <c r="J30" s="41"/>
      <c r="K30" s="41"/>
      <c r="L30" s="41"/>
      <c r="M30" s="41"/>
      <c r="N30" s="41"/>
      <c r="O30" s="121"/>
      <c r="P30" s="121"/>
      <c r="Q30" s="41"/>
    </row>
    <row r="31" spans="1:18" s="38" customFormat="1" ht="9" x14ac:dyDescent="0.15">
      <c r="B31" s="41"/>
      <c r="C31" s="41"/>
      <c r="D31" s="41"/>
      <c r="E31" s="41"/>
      <c r="F31" s="41"/>
      <c r="G31" s="41"/>
      <c r="H31" s="41"/>
      <c r="I31" s="42"/>
      <c r="J31" s="41"/>
      <c r="K31" s="41"/>
      <c r="L31" s="41"/>
      <c r="M31" s="41"/>
      <c r="N31" s="41"/>
      <c r="O31" s="121"/>
      <c r="P31" s="121"/>
      <c r="Q31" s="41"/>
    </row>
    <row r="32" spans="1:18" s="38" customFormat="1" ht="9" x14ac:dyDescent="0.15">
      <c r="B32" s="41"/>
      <c r="C32" s="41"/>
      <c r="D32" s="41"/>
      <c r="E32" s="41"/>
      <c r="F32" s="41"/>
      <c r="G32" s="41"/>
      <c r="H32" s="41"/>
      <c r="I32" s="42"/>
      <c r="J32" s="41"/>
      <c r="K32" s="41"/>
      <c r="L32" s="41"/>
      <c r="M32" s="41"/>
      <c r="N32" s="41"/>
      <c r="O32" s="121"/>
      <c r="P32" s="121"/>
      <c r="Q32" s="41"/>
    </row>
    <row r="33" spans="2:18" s="38" customFormat="1" ht="9" x14ac:dyDescent="0.15">
      <c r="B33" s="41"/>
      <c r="C33" s="41"/>
      <c r="D33" s="41"/>
      <c r="E33" s="41"/>
      <c r="F33" s="41"/>
      <c r="G33" s="41"/>
      <c r="H33" s="41"/>
      <c r="I33" s="42"/>
      <c r="J33" s="41"/>
      <c r="K33" s="41"/>
      <c r="L33" s="41"/>
      <c r="M33" s="41"/>
      <c r="N33" s="41"/>
      <c r="O33" s="121"/>
      <c r="P33" s="121"/>
      <c r="Q33" s="41"/>
    </row>
    <row r="34" spans="2:18" s="38" customFormat="1" ht="9" x14ac:dyDescent="0.15">
      <c r="B34" s="41"/>
      <c r="C34" s="41"/>
      <c r="D34" s="41"/>
      <c r="E34" s="41"/>
      <c r="F34" s="41"/>
      <c r="G34" s="41"/>
      <c r="H34" s="41"/>
      <c r="I34" s="42"/>
      <c r="J34" s="41"/>
      <c r="K34" s="41"/>
      <c r="L34" s="41"/>
      <c r="M34" s="41"/>
      <c r="N34" s="41"/>
      <c r="O34" s="121"/>
      <c r="P34" s="121"/>
      <c r="Q34" s="41"/>
    </row>
    <row r="35" spans="2:18" s="38" customFormat="1" x14ac:dyDescent="0.2">
      <c r="B35" s="41"/>
      <c r="C35" s="41"/>
      <c r="D35" s="41"/>
      <c r="E35" s="41"/>
      <c r="F35" s="41"/>
      <c r="G35" s="41"/>
      <c r="H35" s="41"/>
      <c r="I35" s="42"/>
      <c r="J35" s="41"/>
      <c r="K35" s="41"/>
      <c r="L35" s="41"/>
      <c r="M35" s="41"/>
      <c r="N35" s="41"/>
      <c r="O35" s="121"/>
      <c r="P35" s="121"/>
      <c r="Q35" s="41"/>
      <c r="R35" s="77"/>
    </row>
    <row r="46" spans="2:18" x14ac:dyDescent="0.2">
      <c r="B46" s="77"/>
      <c r="C46" s="77"/>
      <c r="D46" s="77"/>
      <c r="E46" s="77"/>
      <c r="F46" s="77"/>
      <c r="G46" s="77"/>
      <c r="H46" s="77"/>
      <c r="I46" s="77"/>
      <c r="J46" s="77"/>
      <c r="K46" s="77"/>
      <c r="L46" s="77"/>
      <c r="M46" s="77"/>
      <c r="N46" s="77"/>
      <c r="O46" s="77"/>
    </row>
    <row r="47" spans="2:18" x14ac:dyDescent="0.2">
      <c r="B47" s="77"/>
      <c r="C47" s="77"/>
      <c r="D47" s="77"/>
      <c r="E47" s="77"/>
      <c r="F47" s="77"/>
      <c r="G47" s="77"/>
      <c r="H47" s="77"/>
      <c r="I47" s="77"/>
      <c r="J47" s="77"/>
      <c r="K47" s="77"/>
      <c r="L47" s="77"/>
      <c r="M47" s="77"/>
      <c r="N47" s="77"/>
      <c r="O47" s="77"/>
    </row>
    <row r="48" spans="2:18" x14ac:dyDescent="0.2">
      <c r="B48" s="77"/>
      <c r="C48" s="77"/>
      <c r="D48" s="77"/>
      <c r="E48" s="77"/>
      <c r="F48" s="77"/>
      <c r="G48" s="77"/>
      <c r="H48" s="77"/>
      <c r="I48" s="77"/>
      <c r="J48" s="77"/>
      <c r="K48" s="77"/>
      <c r="L48" s="77"/>
      <c r="M48" s="77"/>
      <c r="N48" s="77"/>
      <c r="O48" s="77"/>
    </row>
    <row r="49" spans="2:15" x14ac:dyDescent="0.2">
      <c r="B49" s="77"/>
      <c r="C49" s="77"/>
      <c r="D49" s="77"/>
      <c r="E49" s="77"/>
      <c r="F49" s="77"/>
      <c r="G49" s="77"/>
      <c r="H49" s="77"/>
      <c r="I49" s="77"/>
      <c r="J49" s="77"/>
      <c r="K49" s="77"/>
      <c r="L49" s="77"/>
      <c r="M49" s="77"/>
      <c r="N49" s="77"/>
      <c r="O49" s="77"/>
    </row>
  </sheetData>
  <mergeCells count="3">
    <mergeCell ref="A1:Q1"/>
    <mergeCell ref="A2:Q2"/>
    <mergeCell ref="A29:O29"/>
  </mergeCells>
  <phoneticPr fontId="9" type="noConversion"/>
  <pageMargins left="0.25" right="0.25" top="0.5" bottom="0.75" header="0.5" footer="0.5"/>
  <pageSetup scale="86"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zoomScaleNormal="100" workbookViewId="0">
      <pane xSplit="1" ySplit="2" topLeftCell="E3" activePane="bottomRight" state="frozen"/>
      <selection activeCell="O55" sqref="O55"/>
      <selection pane="topRight" activeCell="O55" sqref="O55"/>
      <selection pane="bottomLeft" activeCell="O55" sqref="O55"/>
      <selection pane="bottomRight" activeCell="A19" sqref="A19"/>
    </sheetView>
  </sheetViews>
  <sheetFormatPr defaultColWidth="9.140625" defaultRowHeight="11.25" x14ac:dyDescent="0.2"/>
  <cols>
    <col min="1" max="1" width="36.5703125" style="77" customWidth="1"/>
    <col min="2" max="2" width="9.5703125" style="39" customWidth="1"/>
    <col min="3" max="3" width="8" style="39" hidden="1" customWidth="1"/>
    <col min="4" max="5" width="9.42578125" style="39" customWidth="1"/>
    <col min="6" max="6" width="7.42578125" style="39" customWidth="1"/>
    <col min="7" max="7" width="9.85546875" style="39" customWidth="1"/>
    <col min="8" max="8" width="8.140625" style="39" customWidth="1"/>
    <col min="9" max="9" width="10.140625" style="40" customWidth="1"/>
    <col min="10" max="10" width="7.5703125" style="39" customWidth="1"/>
    <col min="11" max="11" width="7.140625" style="39" customWidth="1"/>
    <col min="12" max="12" width="8.85546875" style="39" customWidth="1"/>
    <col min="13" max="13" width="7.85546875" style="39" hidden="1" customWidth="1"/>
    <col min="14" max="14" width="10.140625" style="39" customWidth="1"/>
    <col min="15" max="16" width="10.85546875" style="120" customWidth="1"/>
    <col min="17" max="17" width="2.5703125" style="39" bestFit="1" customWidth="1"/>
    <col min="18" max="19" width="0" style="77" hidden="1" customWidth="1"/>
    <col min="20" max="20" width="11.140625" style="77" customWidth="1"/>
    <col min="21" max="21" width="8.5703125" style="77" customWidth="1"/>
    <col min="22" max="16384" width="9.140625" style="77"/>
  </cols>
  <sheetData>
    <row r="1" spans="1:19" x14ac:dyDescent="0.2">
      <c r="A1" s="684" t="s">
        <v>604</v>
      </c>
      <c r="B1" s="684"/>
      <c r="C1" s="684"/>
      <c r="D1" s="684"/>
      <c r="E1" s="684"/>
      <c r="F1" s="684"/>
      <c r="G1" s="684"/>
      <c r="H1" s="684"/>
      <c r="I1" s="684"/>
      <c r="J1" s="684"/>
      <c r="K1" s="684"/>
      <c r="L1" s="684"/>
      <c r="M1" s="684"/>
      <c r="N1" s="684"/>
      <c r="O1" s="684"/>
      <c r="P1" s="684"/>
      <c r="Q1" s="684"/>
    </row>
    <row r="2" spans="1:19" x14ac:dyDescent="0.2">
      <c r="A2" s="685" t="s">
        <v>598</v>
      </c>
      <c r="B2" s="685"/>
      <c r="C2" s="685"/>
      <c r="D2" s="685"/>
      <c r="E2" s="685"/>
      <c r="F2" s="685"/>
      <c r="G2" s="685"/>
      <c r="H2" s="685"/>
      <c r="I2" s="685"/>
      <c r="J2" s="685"/>
      <c r="K2" s="685"/>
      <c r="L2" s="685"/>
      <c r="M2" s="685"/>
      <c r="N2" s="685"/>
      <c r="O2" s="685"/>
      <c r="P2" s="685"/>
      <c r="Q2" s="685"/>
    </row>
    <row r="3" spans="1:19" s="117" customFormat="1" ht="63" x14ac:dyDescent="0.15">
      <c r="A3" s="32" t="s">
        <v>280</v>
      </c>
      <c r="B3" s="32" t="s">
        <v>281</v>
      </c>
      <c r="C3" s="32" t="s">
        <v>308</v>
      </c>
      <c r="D3" s="32" t="s">
        <v>1</v>
      </c>
      <c r="E3" s="32" t="s">
        <v>87</v>
      </c>
      <c r="F3" s="32" t="s">
        <v>2</v>
      </c>
      <c r="G3" s="8" t="s">
        <v>148</v>
      </c>
      <c r="H3" s="32" t="s">
        <v>335</v>
      </c>
      <c r="I3" s="43" t="s">
        <v>336</v>
      </c>
      <c r="J3" s="70" t="s">
        <v>623</v>
      </c>
      <c r="K3" s="70" t="s">
        <v>624</v>
      </c>
      <c r="L3" s="70" t="s">
        <v>625</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v>0</v>
      </c>
      <c r="J7" s="63">
        <f>H7*I7</f>
        <v>0</v>
      </c>
      <c r="K7" s="63">
        <f>J7*0.1</f>
        <v>0</v>
      </c>
      <c r="L7" s="63">
        <f>J7*0.05</f>
        <v>0</v>
      </c>
      <c r="M7" s="31">
        <f>C7*G7*I7</f>
        <v>0</v>
      </c>
      <c r="N7" s="37">
        <f>(J7*'Base Data'!$C$5)+(K7*'Base Data'!$C$6)+(L7*'Base Data'!$C$7)</f>
        <v>0</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363</v>
      </c>
      <c r="B9" s="31">
        <v>12</v>
      </c>
      <c r="C9" s="31"/>
      <c r="D9" s="37">
        <v>0</v>
      </c>
      <c r="E9" s="37">
        <v>2228</v>
      </c>
      <c r="F9" s="37">
        <v>0</v>
      </c>
      <c r="G9" s="31">
        <v>0.5</v>
      </c>
      <c r="H9" s="31">
        <f>B9*G9</f>
        <v>6</v>
      </c>
      <c r="I9" s="63">
        <v>0</v>
      </c>
      <c r="J9" s="63">
        <f>H9*I9</f>
        <v>0</v>
      </c>
      <c r="K9" s="63">
        <f>J9*0.1</f>
        <v>0</v>
      </c>
      <c r="L9" s="63">
        <f>J9*0.05</f>
        <v>0</v>
      </c>
      <c r="M9" s="64"/>
      <c r="N9" s="37">
        <f>(J9*'Base Data'!$C$5)+(K9*'Base Data'!$C$6)+(L9*'Base Data'!$C$7)</f>
        <v>0</v>
      </c>
      <c r="O9" s="37">
        <f>(D9+E9+F9)*I9</f>
        <v>0</v>
      </c>
      <c r="P9" s="64">
        <v>0</v>
      </c>
      <c r="Q9" s="66"/>
    </row>
    <row r="10" spans="1:19" s="95" customFormat="1" ht="9" x14ac:dyDescent="0.15">
      <c r="A10" s="91" t="s">
        <v>294</v>
      </c>
      <c r="B10" s="31" t="s">
        <v>311</v>
      </c>
      <c r="C10" s="31"/>
      <c r="D10" s="37"/>
      <c r="E10" s="37"/>
      <c r="F10" s="37"/>
      <c r="G10" s="31"/>
      <c r="H10" s="31"/>
      <c r="I10" s="64"/>
      <c r="J10" s="31"/>
      <c r="K10" s="31"/>
      <c r="L10" s="31"/>
      <c r="M10" s="31"/>
      <c r="N10" s="37"/>
      <c r="O10" s="37"/>
      <c r="P10" s="64"/>
      <c r="Q10" s="66"/>
    </row>
    <row r="11" spans="1:19" s="95" customFormat="1" ht="9" x14ac:dyDescent="0.15">
      <c r="A11" s="91" t="s">
        <v>295</v>
      </c>
      <c r="B11" s="31" t="s">
        <v>311</v>
      </c>
      <c r="C11" s="31"/>
      <c r="D11" s="37"/>
      <c r="E11" s="37"/>
      <c r="F11" s="37"/>
      <c r="G11" s="31"/>
      <c r="H11" s="31"/>
      <c r="I11" s="64"/>
      <c r="J11" s="31"/>
      <c r="K11" s="31"/>
      <c r="L11" s="31"/>
      <c r="M11" s="31"/>
      <c r="N11" s="37"/>
      <c r="O11" s="37"/>
      <c r="P11" s="64"/>
      <c r="Q11" s="66"/>
    </row>
    <row r="12" spans="1:19" s="95" customFormat="1" ht="9" x14ac:dyDescent="0.15">
      <c r="A12" s="91" t="s">
        <v>296</v>
      </c>
      <c r="B12" s="31"/>
      <c r="C12" s="31"/>
      <c r="D12" s="37"/>
      <c r="E12" s="37"/>
      <c r="F12" s="37"/>
      <c r="G12" s="31"/>
      <c r="H12" s="31"/>
      <c r="I12" s="64"/>
      <c r="J12" s="31"/>
      <c r="K12" s="31"/>
      <c r="L12" s="31"/>
      <c r="M12" s="31"/>
      <c r="N12" s="37"/>
      <c r="O12" s="37"/>
      <c r="P12" s="64"/>
      <c r="Q12" s="66"/>
    </row>
    <row r="13" spans="1:19" s="95" customFormat="1" ht="9" x14ac:dyDescent="0.15">
      <c r="A13" s="101" t="s">
        <v>312</v>
      </c>
      <c r="B13" s="31">
        <v>2</v>
      </c>
      <c r="C13" s="31"/>
      <c r="D13" s="37">
        <v>0</v>
      </c>
      <c r="E13" s="37">
        <v>0</v>
      </c>
      <c r="F13" s="37">
        <v>0</v>
      </c>
      <c r="G13" s="31">
        <v>1</v>
      </c>
      <c r="H13" s="31">
        <f>B13*G13</f>
        <v>2</v>
      </c>
      <c r="I13" s="63">
        <v>0</v>
      </c>
      <c r="J13" s="63">
        <f>H13*I13</f>
        <v>0</v>
      </c>
      <c r="K13" s="63">
        <f>J13*0.1</f>
        <v>0</v>
      </c>
      <c r="L13" s="63">
        <f>J13*0.05</f>
        <v>0</v>
      </c>
      <c r="M13" s="31">
        <f>C13*G13*I13</f>
        <v>0</v>
      </c>
      <c r="N13" s="37">
        <f>(J13*'Base Data'!$C$5)+(K13*'Base Data'!$C$6)+(L13*'Base Data'!$C$7)</f>
        <v>0</v>
      </c>
      <c r="O13" s="37">
        <f>(D13+E13+F13)*G13*I13</f>
        <v>0</v>
      </c>
      <c r="P13" s="64">
        <f>G13*I13</f>
        <v>0</v>
      </c>
      <c r="Q13" s="66"/>
    </row>
    <row r="14" spans="1:19" s="95" customFormat="1" ht="9" x14ac:dyDescent="0.15">
      <c r="A14" s="101" t="s">
        <v>273</v>
      </c>
      <c r="B14" s="31">
        <v>8</v>
      </c>
      <c r="C14" s="31"/>
      <c r="D14" s="37">
        <v>0</v>
      </c>
      <c r="E14" s="37">
        <v>0</v>
      </c>
      <c r="F14" s="37">
        <v>0</v>
      </c>
      <c r="G14" s="31">
        <v>1</v>
      </c>
      <c r="H14" s="31">
        <f>B14*G14</f>
        <v>8</v>
      </c>
      <c r="I14" s="64">
        <v>0</v>
      </c>
      <c r="J14" s="63">
        <f>H14*I14</f>
        <v>0</v>
      </c>
      <c r="K14" s="63">
        <f>J14*0.1</f>
        <v>0</v>
      </c>
      <c r="L14" s="63">
        <f>J14*0.05</f>
        <v>0</v>
      </c>
      <c r="M14" s="31">
        <f>C14*G14*I14</f>
        <v>0</v>
      </c>
      <c r="N14" s="37">
        <f>(J14*'Base Data'!$C$5)+(K14*'Base Data'!$C$6)+(L14*'Base Data'!$C$7)</f>
        <v>0</v>
      </c>
      <c r="O14" s="37">
        <f>(D14+E14+F14)*G14*I14</f>
        <v>0</v>
      </c>
      <c r="P14" s="64">
        <f>G14*I14</f>
        <v>0</v>
      </c>
      <c r="Q14" s="66"/>
    </row>
    <row r="15" spans="1:19" s="95" customFormat="1" ht="9" x14ac:dyDescent="0.15">
      <c r="A15" s="101" t="s">
        <v>8</v>
      </c>
      <c r="B15" s="31">
        <v>5</v>
      </c>
      <c r="C15" s="31"/>
      <c r="D15" s="37">
        <v>0</v>
      </c>
      <c r="E15" s="37">
        <v>0</v>
      </c>
      <c r="F15" s="37">
        <v>0</v>
      </c>
      <c r="G15" s="31">
        <v>0.5</v>
      </c>
      <c r="H15" s="31">
        <f>B15*G15</f>
        <v>2.5</v>
      </c>
      <c r="I15" s="63">
        <f>'Base Data'!$H$78</f>
        <v>0</v>
      </c>
      <c r="J15" s="63">
        <f>H15*I15</f>
        <v>0</v>
      </c>
      <c r="K15" s="63">
        <f>J15*0.1</f>
        <v>0</v>
      </c>
      <c r="L15" s="63">
        <f>J15*0.05</f>
        <v>0</v>
      </c>
      <c r="M15" s="31">
        <f>C15*G15*I15</f>
        <v>0</v>
      </c>
      <c r="N15" s="37">
        <f>(J15*'Base Data'!$C$5)+(K15*'Base Data'!$C$6)+(L15*'Base Data'!$C$7)</f>
        <v>0</v>
      </c>
      <c r="O15" s="37">
        <f>(D15+E15+F15)*G15*I15</f>
        <v>0</v>
      </c>
      <c r="P15" s="64">
        <f>G15*I15</f>
        <v>0</v>
      </c>
      <c r="Q15" s="66"/>
    </row>
    <row r="16" spans="1:19" s="95" customFormat="1" ht="9" hidden="1" x14ac:dyDescent="0.15">
      <c r="A16" s="101"/>
      <c r="B16" s="31"/>
      <c r="C16" s="31"/>
      <c r="D16" s="37"/>
      <c r="E16" s="37"/>
      <c r="F16" s="37"/>
      <c r="G16" s="31"/>
      <c r="H16" s="31"/>
      <c r="I16" s="63"/>
      <c r="J16" s="64">
        <f>SUM(J7:J15)</f>
        <v>0</v>
      </c>
      <c r="K16" s="64">
        <f>SUM(K7:K15)</f>
        <v>0</v>
      </c>
      <c r="L16" s="64">
        <f>SUM(L7:L15)</f>
        <v>0</v>
      </c>
      <c r="M16" s="31"/>
      <c r="N16" s="37"/>
      <c r="O16" s="37"/>
      <c r="P16" s="64"/>
      <c r="Q16" s="66"/>
    </row>
    <row r="17" spans="1:19" s="371" customFormat="1" ht="9" x14ac:dyDescent="0.15">
      <c r="A17" s="376" t="s">
        <v>4</v>
      </c>
      <c r="B17" s="364"/>
      <c r="C17" s="364"/>
      <c r="D17" s="365"/>
      <c r="E17" s="365"/>
      <c r="F17" s="365"/>
      <c r="G17" s="364"/>
      <c r="H17" s="364"/>
      <c r="I17" s="367"/>
      <c r="J17" s="727">
        <f>J16+K16+L16</f>
        <v>0</v>
      </c>
      <c r="K17" s="750"/>
      <c r="L17" s="751"/>
      <c r="M17" s="367">
        <f>SUM(M7:M15)</f>
        <v>0</v>
      </c>
      <c r="N17" s="367">
        <f>SUM(N7:N15)</f>
        <v>0</v>
      </c>
      <c r="O17" s="367">
        <f>SUM(O7:O15)</f>
        <v>0</v>
      </c>
      <c r="P17" s="367">
        <f>ROUND(SUM(P13:P15),0)</f>
        <v>0</v>
      </c>
      <c r="Q17" s="368"/>
      <c r="R17" s="370">
        <f>SUM(O7:O9)</f>
        <v>0</v>
      </c>
      <c r="S17" s="371">
        <f>0</f>
        <v>0</v>
      </c>
    </row>
    <row r="18" spans="1:19" s="95" customFormat="1" ht="9" x14ac:dyDescent="0.15">
      <c r="A18" s="91" t="s">
        <v>309</v>
      </c>
      <c r="B18" s="31"/>
      <c r="C18" s="31"/>
      <c r="D18" s="37"/>
      <c r="E18" s="37"/>
      <c r="F18" s="37"/>
      <c r="G18" s="31"/>
      <c r="H18" s="31"/>
      <c r="I18" s="64"/>
      <c r="J18" s="31"/>
      <c r="K18" s="31"/>
      <c r="L18" s="31"/>
      <c r="M18" s="31"/>
      <c r="N18" s="37"/>
      <c r="O18" s="37"/>
      <c r="P18" s="64"/>
      <c r="Q18" s="66"/>
    </row>
    <row r="19" spans="1:19" s="95" customFormat="1" ht="9" x14ac:dyDescent="0.15">
      <c r="A19" s="91" t="s">
        <v>287</v>
      </c>
      <c r="B19" s="31" t="s">
        <v>301</v>
      </c>
      <c r="C19" s="31"/>
      <c r="D19" s="37"/>
      <c r="E19" s="37"/>
      <c r="F19" s="37"/>
      <c r="G19" s="31"/>
      <c r="H19" s="31"/>
      <c r="I19" s="64"/>
      <c r="J19" s="31"/>
      <c r="K19" s="31"/>
      <c r="L19" s="31"/>
      <c r="M19" s="31"/>
      <c r="N19" s="37"/>
      <c r="O19" s="37"/>
      <c r="P19" s="64"/>
      <c r="Q19" s="66"/>
    </row>
    <row r="20" spans="1:19" s="95" customFormat="1" ht="9" x14ac:dyDescent="0.15">
      <c r="A20" s="91" t="s">
        <v>298</v>
      </c>
      <c r="B20" s="31" t="s">
        <v>311</v>
      </c>
      <c r="C20" s="31"/>
      <c r="D20" s="37"/>
      <c r="E20" s="37"/>
      <c r="F20" s="37"/>
      <c r="G20" s="31"/>
      <c r="H20" s="31"/>
      <c r="I20" s="64"/>
      <c r="J20" s="31"/>
      <c r="K20" s="31"/>
      <c r="L20" s="31"/>
      <c r="M20" s="31"/>
      <c r="N20" s="37"/>
      <c r="O20" s="37"/>
      <c r="P20" s="64"/>
      <c r="Q20" s="66"/>
    </row>
    <row r="21" spans="1:19" s="95" customFormat="1" ht="9" x14ac:dyDescent="0.15">
      <c r="A21" s="91" t="s">
        <v>299</v>
      </c>
      <c r="B21" s="31" t="s">
        <v>311</v>
      </c>
      <c r="C21" s="31"/>
      <c r="D21" s="37"/>
      <c r="E21" s="37"/>
      <c r="F21" s="37"/>
      <c r="G21" s="31"/>
      <c r="H21" s="31"/>
      <c r="I21" s="64"/>
      <c r="J21" s="31"/>
      <c r="K21" s="31"/>
      <c r="L21" s="31"/>
      <c r="M21" s="31"/>
      <c r="N21" s="37"/>
      <c r="O21" s="37"/>
      <c r="P21" s="64"/>
      <c r="Q21" s="66"/>
    </row>
    <row r="22" spans="1:19" s="95" customFormat="1" ht="9" x14ac:dyDescent="0.15">
      <c r="A22" s="91" t="s">
        <v>300</v>
      </c>
      <c r="B22" s="31"/>
      <c r="C22" s="31"/>
      <c r="D22" s="37"/>
      <c r="E22" s="37"/>
      <c r="F22" s="37"/>
      <c r="G22" s="31"/>
      <c r="H22" s="31"/>
      <c r="I22" s="64"/>
      <c r="J22" s="31"/>
      <c r="K22" s="31"/>
      <c r="L22" s="31"/>
      <c r="M22" s="31"/>
      <c r="N22" s="37"/>
      <c r="O22" s="37"/>
      <c r="P22" s="64"/>
      <c r="Q22" s="66"/>
    </row>
    <row r="23" spans="1:19" s="95" customFormat="1" ht="19.5" customHeight="1" x14ac:dyDescent="0.15">
      <c r="A23" s="101" t="s">
        <v>271</v>
      </c>
      <c r="B23" s="31">
        <v>2</v>
      </c>
      <c r="C23" s="31">
        <v>0</v>
      </c>
      <c r="D23" s="37">
        <v>0</v>
      </c>
      <c r="E23" s="37">
        <v>0</v>
      </c>
      <c r="F23" s="37">
        <v>0</v>
      </c>
      <c r="G23" s="31">
        <v>0.5</v>
      </c>
      <c r="H23" s="31">
        <f>B23*G23</f>
        <v>1</v>
      </c>
      <c r="I23" s="63">
        <f>'Base Data'!$D$78</f>
        <v>0</v>
      </c>
      <c r="J23" s="63">
        <f>H23*I23</f>
        <v>0</v>
      </c>
      <c r="K23" s="63">
        <f>J23*0.1</f>
        <v>0</v>
      </c>
      <c r="L23" s="63">
        <f>J23*0.05</f>
        <v>0</v>
      </c>
      <c r="M23" s="31">
        <f>C23*G23*I23</f>
        <v>0</v>
      </c>
      <c r="N23" s="37">
        <f>(J23*'Base Data'!$C$5)+(K23*'Base Data'!$C$6)+(L23*'Base Data'!$C$7)</f>
        <v>0</v>
      </c>
      <c r="O23" s="37">
        <f>(D23+E23+F23)*G23*I23</f>
        <v>0</v>
      </c>
      <c r="P23" s="64">
        <v>0</v>
      </c>
      <c r="Q23" s="66"/>
    </row>
    <row r="24" spans="1:19" s="95" customFormat="1" ht="9" x14ac:dyDescent="0.15">
      <c r="A24" s="101" t="s">
        <v>364</v>
      </c>
      <c r="B24" s="31">
        <v>0.5</v>
      </c>
      <c r="C24" s="31"/>
      <c r="D24" s="37">
        <v>0</v>
      </c>
      <c r="E24" s="37">
        <v>0</v>
      </c>
      <c r="F24" s="37">
        <v>0</v>
      </c>
      <c r="G24" s="31">
        <v>0.5</v>
      </c>
      <c r="H24" s="31">
        <f>B24*G24</f>
        <v>0.25</v>
      </c>
      <c r="I24" s="63">
        <f>'Base Data'!$D$78</f>
        <v>0</v>
      </c>
      <c r="J24" s="63">
        <f>H24*I24</f>
        <v>0</v>
      </c>
      <c r="K24" s="63">
        <f>J24*0.1</f>
        <v>0</v>
      </c>
      <c r="L24" s="63">
        <f>J24*0.05</f>
        <v>0</v>
      </c>
      <c r="M24" s="31">
        <f>C24*G24*I24</f>
        <v>0</v>
      </c>
      <c r="N24" s="37">
        <f>(J24*'Base Data'!$C$5)+(K24*'Base Data'!$C$6)+(L24*'Base Data'!$C$7)</f>
        <v>0</v>
      </c>
      <c r="O24" s="37">
        <f>(D24+E24+F24)*G24*I24</f>
        <v>0</v>
      </c>
      <c r="P24" s="64">
        <v>0</v>
      </c>
      <c r="Q24" s="66"/>
    </row>
    <row r="25" spans="1:19" s="4" customFormat="1" ht="9" x14ac:dyDescent="0.15">
      <c r="A25" s="90" t="s">
        <v>305</v>
      </c>
      <c r="B25" s="31">
        <v>40</v>
      </c>
      <c r="C25" s="13"/>
      <c r="D25" s="26">
        <v>0</v>
      </c>
      <c r="E25" s="26">
        <v>0</v>
      </c>
      <c r="F25" s="26">
        <v>0</v>
      </c>
      <c r="G25" s="13">
        <v>1</v>
      </c>
      <c r="H25" s="13">
        <f>B25*G25</f>
        <v>40</v>
      </c>
      <c r="I25" s="63">
        <v>0</v>
      </c>
      <c r="J25" s="14">
        <f>H25*I25</f>
        <v>0</v>
      </c>
      <c r="K25" s="14">
        <f>J25*0.1</f>
        <v>0</v>
      </c>
      <c r="L25" s="14">
        <f>J25*0.05</f>
        <v>0</v>
      </c>
      <c r="M25" s="13"/>
      <c r="N25" s="26">
        <f>(J25*'Base Data'!$C$5)+(K25*'Base Data'!$C$6)+(L25*'Base Data'!$C$7)</f>
        <v>0</v>
      </c>
      <c r="O25" s="26">
        <f>(D25+E25+F25)*G25*I25</f>
        <v>0</v>
      </c>
      <c r="P25" s="64">
        <v>0</v>
      </c>
      <c r="Q25" s="19"/>
    </row>
    <row r="26" spans="1:19" s="95" customFormat="1" ht="9" x14ac:dyDescent="0.15">
      <c r="A26" s="91" t="s">
        <v>306</v>
      </c>
      <c r="B26" s="31" t="s">
        <v>311</v>
      </c>
      <c r="C26" s="31"/>
      <c r="D26" s="37"/>
      <c r="E26" s="37"/>
      <c r="F26" s="37"/>
      <c r="G26" s="31"/>
      <c r="H26" s="31"/>
      <c r="I26" s="64"/>
      <c r="J26" s="31"/>
      <c r="K26" s="31"/>
      <c r="L26" s="31"/>
      <c r="M26" s="31"/>
      <c r="N26" s="37"/>
      <c r="O26" s="37"/>
      <c r="P26" s="64"/>
      <c r="Q26" s="66"/>
    </row>
    <row r="27" spans="1:19" s="95" customFormat="1" ht="9" hidden="1" x14ac:dyDescent="0.15">
      <c r="A27" s="450"/>
      <c r="B27" s="437"/>
      <c r="C27" s="437"/>
      <c r="D27" s="438"/>
      <c r="E27" s="438"/>
      <c r="F27" s="438"/>
      <c r="G27" s="437"/>
      <c r="H27" s="437"/>
      <c r="I27" s="439"/>
      <c r="J27" s="139">
        <f>SUM(J19:J26)</f>
        <v>0</v>
      </c>
      <c r="K27" s="139">
        <f>SUM(K19:K26)</f>
        <v>0</v>
      </c>
      <c r="L27" s="139">
        <f>SUM(L19:L26)</f>
        <v>0</v>
      </c>
      <c r="M27" s="437"/>
      <c r="N27" s="438"/>
      <c r="O27" s="438"/>
      <c r="P27" s="439"/>
      <c r="Q27" s="440"/>
    </row>
    <row r="28" spans="1:19" s="95" customFormat="1" ht="9" x14ac:dyDescent="0.15">
      <c r="A28" s="145" t="s">
        <v>23</v>
      </c>
      <c r="B28" s="139"/>
      <c r="C28" s="139"/>
      <c r="D28" s="140"/>
      <c r="E28" s="140"/>
      <c r="F28" s="140"/>
      <c r="G28" s="139"/>
      <c r="H28" s="139"/>
      <c r="I28" s="141"/>
      <c r="J28" s="766">
        <f>J27+K27+L27</f>
        <v>0</v>
      </c>
      <c r="K28" s="767"/>
      <c r="L28" s="768"/>
      <c r="M28" s="139">
        <f>SUM(M19:M26)</f>
        <v>0</v>
      </c>
      <c r="N28" s="140">
        <f>SUM(N19:N26)</f>
        <v>0</v>
      </c>
      <c r="O28" s="140">
        <f>SUM(O19:O26)</f>
        <v>0</v>
      </c>
      <c r="P28" s="141">
        <f>SUM(P19:P26)</f>
        <v>0</v>
      </c>
      <c r="Q28" s="142"/>
      <c r="R28" s="97">
        <f>SUM(O19:O28)</f>
        <v>0</v>
      </c>
    </row>
    <row r="29" spans="1:19" s="95" customFormat="1" ht="9" hidden="1" x14ac:dyDescent="0.15">
      <c r="A29" s="451"/>
      <c r="B29" s="444"/>
      <c r="C29" s="444"/>
      <c r="D29" s="445"/>
      <c r="E29" s="445"/>
      <c r="F29" s="445"/>
      <c r="G29" s="444"/>
      <c r="H29" s="444"/>
      <c r="I29" s="446"/>
      <c r="J29" s="114">
        <f>SUM(J16,J27)</f>
        <v>0</v>
      </c>
      <c r="K29" s="114">
        <f>SUM(K16,K27)</f>
        <v>0</v>
      </c>
      <c r="L29" s="114">
        <f>SUM(L16,L27)</f>
        <v>0</v>
      </c>
      <c r="M29" s="444"/>
      <c r="N29" s="445"/>
      <c r="O29" s="445"/>
      <c r="P29" s="446"/>
      <c r="Q29" s="447"/>
      <c r="R29" s="97"/>
    </row>
    <row r="30" spans="1:19" s="95" customFormat="1" x14ac:dyDescent="0.2">
      <c r="A30" s="110" t="s">
        <v>283</v>
      </c>
      <c r="B30" s="111"/>
      <c r="C30" s="111"/>
      <c r="D30" s="111"/>
      <c r="E30" s="111"/>
      <c r="F30" s="111"/>
      <c r="G30" s="111"/>
      <c r="H30" s="111"/>
      <c r="I30" s="441"/>
      <c r="J30" s="754">
        <f>J29+K29+L29</f>
        <v>0</v>
      </c>
      <c r="K30" s="752"/>
      <c r="L30" s="755"/>
      <c r="M30" s="452">
        <f>SUM(M17,M28)</f>
        <v>0</v>
      </c>
      <c r="N30" s="115">
        <f>SUM(N17,N28)</f>
        <v>0</v>
      </c>
      <c r="O30" s="115">
        <f>SUM(O17,O28)</f>
        <v>0</v>
      </c>
      <c r="P30" s="114">
        <f>SUM(P17,P28)</f>
        <v>0</v>
      </c>
      <c r="Q30" s="116"/>
    </row>
    <row r="31" spans="1:19" s="38" customFormat="1" ht="9" x14ac:dyDescent="0.15">
      <c r="B31" s="41"/>
      <c r="C31" s="41"/>
      <c r="D31" s="41"/>
      <c r="E31" s="41"/>
      <c r="F31" s="41"/>
      <c r="G31" s="41"/>
      <c r="H31" s="41"/>
      <c r="I31" s="42"/>
      <c r="J31" s="41"/>
      <c r="K31" s="41"/>
      <c r="L31" s="41"/>
      <c r="M31" s="41"/>
      <c r="N31" s="41"/>
      <c r="O31" s="121"/>
      <c r="P31" s="121"/>
      <c r="Q31" s="41"/>
    </row>
    <row r="32" spans="1:19" s="38" customFormat="1" ht="9" customHeight="1" x14ac:dyDescent="0.15">
      <c r="A32" s="748" t="s">
        <v>340</v>
      </c>
      <c r="B32" s="748"/>
      <c r="C32" s="748"/>
      <c r="D32" s="748"/>
      <c r="E32" s="748"/>
      <c r="F32" s="748"/>
      <c r="G32" s="748"/>
      <c r="H32" s="748"/>
      <c r="I32" s="748"/>
      <c r="J32" s="748"/>
      <c r="K32" s="748"/>
      <c r="L32" s="748"/>
      <c r="M32" s="748"/>
      <c r="N32" s="748"/>
      <c r="O32" s="748"/>
      <c r="P32" s="121"/>
      <c r="Q32" s="41"/>
    </row>
    <row r="33" spans="2:18" s="38" customFormat="1" ht="9" x14ac:dyDescent="0.15">
      <c r="B33" s="41"/>
      <c r="C33" s="41"/>
      <c r="D33" s="41"/>
      <c r="E33" s="41"/>
      <c r="F33" s="41"/>
      <c r="G33" s="41"/>
      <c r="H33" s="41"/>
      <c r="I33" s="42"/>
      <c r="J33" s="41"/>
      <c r="K33" s="41"/>
      <c r="L33" s="41"/>
      <c r="M33" s="41"/>
      <c r="N33" s="41"/>
      <c r="O33" s="121"/>
      <c r="P33" s="121"/>
      <c r="Q33" s="41"/>
    </row>
    <row r="34" spans="2:18" s="38" customFormat="1" ht="9" x14ac:dyDescent="0.15">
      <c r="B34" s="41"/>
      <c r="C34" s="41"/>
      <c r="D34" s="41"/>
      <c r="E34" s="41"/>
      <c r="F34" s="41"/>
      <c r="G34" s="41"/>
      <c r="H34" s="41"/>
      <c r="I34" s="42"/>
      <c r="J34" s="41"/>
      <c r="K34" s="41"/>
      <c r="L34" s="41"/>
      <c r="M34" s="41"/>
      <c r="N34" s="41"/>
      <c r="O34" s="121"/>
      <c r="P34" s="121"/>
      <c r="Q34" s="41"/>
    </row>
    <row r="35" spans="2:18" s="38" customFormat="1" ht="9" x14ac:dyDescent="0.15">
      <c r="B35" s="41"/>
      <c r="C35" s="41"/>
      <c r="D35" s="41"/>
      <c r="E35" s="41"/>
      <c r="F35" s="41"/>
      <c r="G35" s="41"/>
      <c r="H35" s="41"/>
      <c r="I35" s="42"/>
      <c r="J35" s="41"/>
      <c r="K35" s="41"/>
      <c r="L35" s="41"/>
      <c r="M35" s="41"/>
      <c r="N35" s="41"/>
      <c r="O35" s="121"/>
      <c r="P35" s="121"/>
      <c r="Q35" s="41"/>
    </row>
    <row r="36" spans="2:18" s="38" customFormat="1" ht="9" x14ac:dyDescent="0.15">
      <c r="B36" s="41"/>
      <c r="C36" s="41"/>
      <c r="D36" s="41"/>
      <c r="E36" s="41"/>
      <c r="F36" s="41"/>
      <c r="G36" s="41"/>
      <c r="H36" s="41"/>
      <c r="I36" s="42"/>
      <c r="J36" s="41"/>
      <c r="K36" s="41"/>
      <c r="L36" s="41"/>
      <c r="M36" s="41"/>
      <c r="N36" s="41"/>
      <c r="O36" s="121"/>
      <c r="P36" s="121"/>
      <c r="Q36" s="41"/>
    </row>
    <row r="37" spans="2:18" s="38" customFormat="1" ht="9" x14ac:dyDescent="0.15">
      <c r="B37" s="41"/>
      <c r="C37" s="41"/>
      <c r="D37" s="41"/>
      <c r="E37" s="41"/>
      <c r="F37" s="41"/>
      <c r="G37" s="41"/>
      <c r="H37" s="41"/>
      <c r="I37" s="42"/>
      <c r="J37" s="41"/>
      <c r="K37" s="41"/>
      <c r="L37" s="41"/>
      <c r="M37" s="41"/>
      <c r="N37" s="41"/>
      <c r="O37" s="121"/>
      <c r="P37" s="121"/>
      <c r="Q37" s="41"/>
    </row>
    <row r="38" spans="2:18" s="38" customFormat="1" x14ac:dyDescent="0.2">
      <c r="B38" s="41"/>
      <c r="C38" s="41"/>
      <c r="D38" s="41"/>
      <c r="E38" s="41"/>
      <c r="F38" s="41"/>
      <c r="G38" s="41"/>
      <c r="H38" s="41"/>
      <c r="I38" s="42"/>
      <c r="J38" s="41"/>
      <c r="K38" s="41"/>
      <c r="L38" s="41"/>
      <c r="M38" s="41"/>
      <c r="N38" s="41"/>
      <c r="O38" s="121"/>
      <c r="P38" s="121"/>
      <c r="Q38" s="41"/>
      <c r="R38" s="77"/>
    </row>
    <row r="40" spans="2:18" s="38" customFormat="1" ht="9" x14ac:dyDescent="0.15">
      <c r="B40" s="41"/>
      <c r="C40" s="41"/>
      <c r="D40" s="41"/>
      <c r="E40" s="41"/>
      <c r="F40" s="41"/>
      <c r="G40" s="41"/>
      <c r="H40" s="41"/>
      <c r="I40" s="42"/>
      <c r="J40" s="41"/>
      <c r="K40" s="41"/>
      <c r="L40" s="41"/>
      <c r="M40" s="41"/>
      <c r="N40" s="41"/>
      <c r="O40" s="121"/>
      <c r="P40" s="121"/>
      <c r="Q40" s="41"/>
    </row>
    <row r="41" spans="2:18" s="38" customFormat="1" ht="9" x14ac:dyDescent="0.15">
      <c r="B41" s="41"/>
      <c r="C41" s="41"/>
      <c r="D41" s="41"/>
      <c r="E41" s="41"/>
      <c r="F41" s="41"/>
      <c r="G41" s="41"/>
      <c r="H41" s="41"/>
      <c r="I41" s="42"/>
      <c r="J41" s="41"/>
      <c r="K41" s="41"/>
      <c r="L41" s="41"/>
      <c r="M41" s="41"/>
      <c r="N41" s="41"/>
      <c r="O41" s="121"/>
      <c r="P41" s="121"/>
      <c r="Q41" s="41"/>
    </row>
    <row r="42" spans="2:18" s="38" customFormat="1" ht="9" x14ac:dyDescent="0.15">
      <c r="B42" s="41"/>
      <c r="C42" s="41"/>
      <c r="D42" s="41"/>
      <c r="E42" s="41"/>
      <c r="F42" s="41"/>
      <c r="G42" s="41"/>
      <c r="H42" s="41"/>
      <c r="I42" s="42"/>
      <c r="J42" s="41"/>
      <c r="K42" s="41"/>
      <c r="L42" s="41"/>
      <c r="M42" s="41"/>
      <c r="N42" s="41"/>
      <c r="O42" s="121"/>
      <c r="P42" s="121"/>
      <c r="Q42" s="41"/>
    </row>
    <row r="43" spans="2:18" s="38" customFormat="1" x14ac:dyDescent="0.2">
      <c r="B43" s="41"/>
      <c r="C43" s="41"/>
      <c r="D43" s="41"/>
      <c r="E43" s="41"/>
      <c r="F43" s="41"/>
      <c r="G43" s="41"/>
      <c r="H43" s="41"/>
      <c r="I43" s="42"/>
      <c r="J43" s="41"/>
      <c r="K43" s="41"/>
      <c r="L43" s="41"/>
      <c r="M43" s="41"/>
      <c r="N43" s="41"/>
      <c r="O43" s="121"/>
      <c r="P43" s="121"/>
      <c r="Q43" s="39"/>
    </row>
    <row r="44" spans="2:18" s="38" customFormat="1" x14ac:dyDescent="0.2">
      <c r="B44" s="41"/>
      <c r="C44" s="41"/>
      <c r="D44" s="41"/>
      <c r="E44" s="41"/>
      <c r="F44" s="41"/>
      <c r="G44" s="41"/>
      <c r="H44" s="41"/>
      <c r="I44" s="42"/>
      <c r="J44" s="41"/>
      <c r="K44" s="41"/>
      <c r="L44" s="41"/>
      <c r="M44" s="41"/>
      <c r="N44" s="41"/>
      <c r="O44" s="121"/>
      <c r="P44" s="121"/>
      <c r="Q44" s="39"/>
    </row>
    <row r="45" spans="2:18" s="38" customFormat="1" x14ac:dyDescent="0.2">
      <c r="B45" s="41"/>
      <c r="C45" s="41"/>
      <c r="D45" s="41"/>
      <c r="E45" s="41"/>
      <c r="F45" s="41"/>
      <c r="G45" s="41"/>
      <c r="H45" s="41"/>
      <c r="I45" s="42"/>
      <c r="J45" s="41"/>
      <c r="K45" s="41"/>
      <c r="L45" s="41"/>
      <c r="M45" s="41"/>
      <c r="N45" s="41"/>
      <c r="O45" s="121"/>
      <c r="P45" s="121"/>
      <c r="Q45" s="39"/>
    </row>
    <row r="46" spans="2:18" s="38" customFormat="1" x14ac:dyDescent="0.2">
      <c r="B46" s="41"/>
      <c r="C46" s="41"/>
      <c r="D46" s="41"/>
      <c r="E46" s="41"/>
      <c r="F46" s="41"/>
      <c r="G46" s="41"/>
      <c r="H46" s="41"/>
      <c r="I46" s="42"/>
      <c r="J46" s="41"/>
      <c r="K46" s="41"/>
      <c r="L46" s="41"/>
      <c r="M46" s="41"/>
      <c r="N46" s="41"/>
      <c r="O46" s="121"/>
      <c r="P46" s="121"/>
      <c r="Q46" s="39"/>
    </row>
    <row r="47" spans="2:18" s="38" customFormat="1" x14ac:dyDescent="0.2">
      <c r="B47" s="41"/>
      <c r="C47" s="41"/>
      <c r="D47" s="41"/>
      <c r="E47" s="41"/>
      <c r="F47" s="41"/>
      <c r="G47" s="41"/>
      <c r="H47" s="41"/>
      <c r="I47" s="42"/>
      <c r="J47" s="41"/>
      <c r="K47" s="41"/>
      <c r="L47" s="41"/>
      <c r="M47" s="41"/>
      <c r="N47" s="41"/>
      <c r="O47" s="121"/>
      <c r="P47" s="121"/>
      <c r="Q47" s="39"/>
      <c r="R47" s="77"/>
    </row>
    <row r="56" spans="2:15" x14ac:dyDescent="0.2">
      <c r="B56" s="77"/>
      <c r="C56" s="77"/>
      <c r="D56" s="77"/>
      <c r="E56" s="77"/>
      <c r="F56" s="77"/>
      <c r="G56" s="77"/>
      <c r="H56" s="77"/>
      <c r="I56" s="77"/>
      <c r="J56" s="77"/>
      <c r="K56" s="77"/>
      <c r="L56" s="77"/>
      <c r="M56" s="77"/>
      <c r="N56" s="77"/>
      <c r="O56" s="77"/>
    </row>
    <row r="57" spans="2:15" x14ac:dyDescent="0.2">
      <c r="B57" s="77"/>
      <c r="C57" s="77"/>
      <c r="D57" s="77"/>
      <c r="E57" s="77"/>
      <c r="F57" s="77"/>
      <c r="G57" s="77"/>
      <c r="H57" s="77"/>
      <c r="I57" s="77"/>
      <c r="J57" s="77"/>
      <c r="K57" s="77"/>
      <c r="L57" s="77"/>
      <c r="M57" s="77"/>
      <c r="N57" s="77"/>
      <c r="O57" s="77"/>
    </row>
  </sheetData>
  <mergeCells count="6">
    <mergeCell ref="A1:Q1"/>
    <mergeCell ref="A2:Q2"/>
    <mergeCell ref="A32:O32"/>
    <mergeCell ref="J17:L17"/>
    <mergeCell ref="J28:L28"/>
    <mergeCell ref="J30:L30"/>
  </mergeCells>
  <phoneticPr fontId="9" type="noConversion"/>
  <pageMargins left="0.25" right="0.25" top="0.5" bottom="0.75" header="0.5" footer="0.5"/>
  <pageSetup scale="6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zoomScaleNormal="100" workbookViewId="0">
      <pane xSplit="1" ySplit="2" topLeftCell="B3" activePane="bottomRight" state="frozen"/>
      <selection activeCell="N53" sqref="N53"/>
      <selection pane="topRight" activeCell="N53" sqref="N53"/>
      <selection pane="bottomLeft" activeCell="N53" sqref="N53"/>
      <selection pane="bottomRight" activeCell="I9" sqref="I9"/>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9.42578125" style="39" bestFit="1" customWidth="1"/>
    <col min="6" max="6" width="8.42578125" style="39" customWidth="1"/>
    <col min="7" max="7" width="9.42578125" style="39" bestFit="1" customWidth="1"/>
    <col min="8" max="8" width="7.85546875" style="39" bestFit="1" customWidth="1"/>
    <col min="9" max="9" width="9.42578125" style="40" bestFit="1" customWidth="1"/>
    <col min="10" max="10" width="8.85546875" style="39" bestFit="1" customWidth="1"/>
    <col min="11" max="11" width="7.42578125" style="39" customWidth="1"/>
    <col min="12" max="12" width="8.85546875" style="39" customWidth="1"/>
    <col min="13" max="13" width="7.85546875" style="39" hidden="1" customWidth="1"/>
    <col min="14" max="14" width="10.140625" style="39" customWidth="1"/>
    <col min="15" max="15" width="10.140625" style="120" bestFit="1" customWidth="1"/>
    <col min="16" max="16" width="10" style="120" bestFit="1" customWidth="1"/>
    <col min="17" max="17" width="3.5703125" style="39" customWidth="1"/>
    <col min="18" max="19" width="0" style="77" hidden="1" customWidth="1"/>
    <col min="20" max="20" width="11.140625" style="77" customWidth="1"/>
    <col min="21" max="21" width="8.5703125" style="77" customWidth="1"/>
    <col min="22" max="16384" width="9.140625" style="77"/>
  </cols>
  <sheetData>
    <row r="1" spans="1:19" x14ac:dyDescent="0.2">
      <c r="A1" s="684" t="s">
        <v>106</v>
      </c>
      <c r="B1" s="684"/>
      <c r="C1" s="684"/>
      <c r="D1" s="684"/>
      <c r="E1" s="684"/>
      <c r="F1" s="684"/>
      <c r="G1" s="684"/>
      <c r="H1" s="684"/>
      <c r="I1" s="684"/>
      <c r="J1" s="684"/>
      <c r="K1" s="684"/>
      <c r="L1" s="684"/>
      <c r="M1" s="684"/>
      <c r="N1" s="684"/>
      <c r="O1" s="684"/>
      <c r="P1" s="684"/>
      <c r="Q1" s="684"/>
    </row>
    <row r="2" spans="1:19" x14ac:dyDescent="0.2">
      <c r="A2" s="685" t="s">
        <v>603</v>
      </c>
      <c r="B2" s="685"/>
      <c r="C2" s="685"/>
      <c r="D2" s="685"/>
      <c r="E2" s="685"/>
      <c r="F2" s="685"/>
      <c r="G2" s="685"/>
      <c r="H2" s="685"/>
      <c r="I2" s="685"/>
      <c r="J2" s="685"/>
      <c r="K2" s="685"/>
      <c r="L2" s="685"/>
      <c r="M2" s="685"/>
      <c r="N2" s="685"/>
      <c r="O2" s="685"/>
      <c r="P2" s="685"/>
      <c r="Q2" s="685"/>
    </row>
    <row r="3" spans="1:19" s="117" customFormat="1" ht="63" x14ac:dyDescent="0.15">
      <c r="A3" s="32" t="s">
        <v>280</v>
      </c>
      <c r="B3" s="32" t="s">
        <v>281</v>
      </c>
      <c r="C3" s="32" t="s">
        <v>308</v>
      </c>
      <c r="D3" s="32" t="s">
        <v>1</v>
      </c>
      <c r="E3" s="32" t="s">
        <v>87</v>
      </c>
      <c r="F3" s="32" t="s">
        <v>2</v>
      </c>
      <c r="G3" s="8" t="s">
        <v>148</v>
      </c>
      <c r="H3" s="32" t="s">
        <v>335</v>
      </c>
      <c r="I3" s="43" t="s">
        <v>336</v>
      </c>
      <c r="J3" s="70" t="s">
        <v>338</v>
      </c>
      <c r="K3" s="70" t="s">
        <v>339</v>
      </c>
      <c r="L3" s="70" t="s">
        <v>337</v>
      </c>
      <c r="M3" s="32" t="s">
        <v>279</v>
      </c>
      <c r="N3" s="32" t="s">
        <v>5</v>
      </c>
      <c r="O3" s="70" t="s">
        <v>89</v>
      </c>
      <c r="P3" s="70" t="s">
        <v>147</v>
      </c>
      <c r="Q3" s="106" t="s">
        <v>282</v>
      </c>
      <c r="R3" s="117" t="s">
        <v>225</v>
      </c>
      <c r="S3" s="117" t="s">
        <v>226</v>
      </c>
    </row>
    <row r="4" spans="1:19" s="95" customFormat="1" ht="9" x14ac:dyDescent="0.15">
      <c r="A4" s="118" t="s">
        <v>284</v>
      </c>
      <c r="B4" s="103" t="s">
        <v>311</v>
      </c>
      <c r="C4" s="103"/>
      <c r="D4" s="105"/>
      <c r="E4" s="105"/>
      <c r="F4" s="105"/>
      <c r="G4" s="103"/>
      <c r="H4" s="103"/>
      <c r="I4" s="107"/>
      <c r="J4" s="103"/>
      <c r="K4" s="103"/>
      <c r="L4" s="103"/>
      <c r="M4" s="103"/>
      <c r="N4" s="105"/>
      <c r="O4" s="105"/>
      <c r="P4" s="105"/>
      <c r="Q4" s="143"/>
    </row>
    <row r="5" spans="1:19" s="95" customFormat="1" ht="9" x14ac:dyDescent="0.15">
      <c r="A5" s="91" t="s">
        <v>285</v>
      </c>
      <c r="B5" s="31" t="s">
        <v>311</v>
      </c>
      <c r="C5" s="31"/>
      <c r="D5" s="37"/>
      <c r="E5" s="37"/>
      <c r="F5" s="37"/>
      <c r="G5" s="31"/>
      <c r="H5" s="31"/>
      <c r="I5" s="64"/>
      <c r="J5" s="31"/>
      <c r="K5" s="31"/>
      <c r="L5" s="31"/>
      <c r="M5" s="31"/>
      <c r="N5" s="37"/>
      <c r="O5" s="37"/>
      <c r="P5" s="37"/>
      <c r="Q5" s="66"/>
    </row>
    <row r="6" spans="1:19" s="95" customFormat="1" ht="9" x14ac:dyDescent="0.15">
      <c r="A6" s="91" t="s">
        <v>286</v>
      </c>
      <c r="B6" s="31"/>
      <c r="C6" s="31"/>
      <c r="D6" s="37"/>
      <c r="E6" s="37"/>
      <c r="F6" s="37"/>
      <c r="G6" s="31"/>
      <c r="H6" s="31"/>
      <c r="I6" s="64"/>
      <c r="J6" s="31"/>
      <c r="K6" s="31"/>
      <c r="L6" s="31"/>
      <c r="M6" s="31"/>
      <c r="N6" s="37"/>
      <c r="O6" s="37"/>
      <c r="P6" s="37"/>
      <c r="Q6" s="66"/>
    </row>
    <row r="7" spans="1:19" s="95" customFormat="1" ht="9" x14ac:dyDescent="0.15">
      <c r="A7" s="91" t="s">
        <v>287</v>
      </c>
      <c r="B7" s="31">
        <v>40</v>
      </c>
      <c r="C7" s="31"/>
      <c r="D7" s="37">
        <v>0</v>
      </c>
      <c r="E7" s="37">
        <v>0</v>
      </c>
      <c r="F7" s="37">
        <v>0</v>
      </c>
      <c r="G7" s="31">
        <v>1</v>
      </c>
      <c r="H7" s="31">
        <f>B7*G7</f>
        <v>40</v>
      </c>
      <c r="I7" s="63">
        <f>ROUND('Base Data'!$H$70/3,0)</f>
        <v>41</v>
      </c>
      <c r="J7" s="63">
        <f>H7*I7</f>
        <v>1640</v>
      </c>
      <c r="K7" s="63">
        <f>J7*0.1</f>
        <v>164</v>
      </c>
      <c r="L7" s="63">
        <f>J7*0.05</f>
        <v>82</v>
      </c>
      <c r="M7" s="31">
        <f>C7*G7*I7</f>
        <v>0</v>
      </c>
      <c r="N7" s="37">
        <f>(J7*'Base Data'!$C$5)+(K7*'Base Data'!$C$6)+(L7*'Base Data'!$C$7)</f>
        <v>206522.74000000002</v>
      </c>
      <c r="O7" s="37">
        <f>(D7+E7+F7)*G7*I7</f>
        <v>0</v>
      </c>
      <c r="P7" s="64">
        <v>0</v>
      </c>
      <c r="Q7" s="66" t="s">
        <v>276</v>
      </c>
    </row>
    <row r="8" spans="1:19" s="95" customFormat="1" ht="9" x14ac:dyDescent="0.15">
      <c r="A8" s="91" t="s">
        <v>288</v>
      </c>
      <c r="B8" s="31"/>
      <c r="C8" s="31"/>
      <c r="D8" s="37"/>
      <c r="E8" s="37"/>
      <c r="F8" s="37"/>
      <c r="G8" s="31"/>
      <c r="H8" s="31"/>
      <c r="I8" s="64"/>
      <c r="J8" s="31"/>
      <c r="K8" s="31"/>
      <c r="L8" s="31"/>
      <c r="M8" s="31"/>
      <c r="N8" s="37"/>
      <c r="O8" s="37"/>
      <c r="P8" s="64"/>
      <c r="Q8" s="66"/>
    </row>
    <row r="9" spans="1:19" s="95" customFormat="1" ht="9" x14ac:dyDescent="0.15">
      <c r="A9" s="91" t="s">
        <v>363</v>
      </c>
      <c r="B9" s="31">
        <v>12</v>
      </c>
      <c r="C9" s="31"/>
      <c r="D9" s="37">
        <v>0</v>
      </c>
      <c r="E9" s="37">
        <v>2228</v>
      </c>
      <c r="F9" s="37">
        <v>0</v>
      </c>
      <c r="G9" s="31">
        <v>0.5</v>
      </c>
      <c r="H9" s="31">
        <f>B9*G9</f>
        <v>6</v>
      </c>
      <c r="I9" s="63">
        <f>ROUNDUP('Base Data'!$D$70/3,0)</f>
        <v>326</v>
      </c>
      <c r="J9" s="63">
        <f>H9*I9</f>
        <v>1956</v>
      </c>
      <c r="K9" s="63">
        <f>J9*0.1</f>
        <v>195.60000000000002</v>
      </c>
      <c r="L9" s="63">
        <f>J9*0.05</f>
        <v>97.800000000000011</v>
      </c>
      <c r="M9" s="64"/>
      <c r="N9" s="37">
        <f>(J9*'Base Data'!$C$5)+(K9*'Base Data'!$C$6)+(L9*'Base Data'!$C$7)</f>
        <v>246316.14600000001</v>
      </c>
      <c r="O9" s="37">
        <f>(D9+E9+F9)*I9</f>
        <v>726328</v>
      </c>
      <c r="P9" s="64">
        <v>0</v>
      </c>
      <c r="Q9" s="66" t="s">
        <v>408</v>
      </c>
    </row>
    <row r="10" spans="1:19" s="95" customFormat="1" ht="9" x14ac:dyDescent="0.15">
      <c r="A10" s="91" t="s">
        <v>294</v>
      </c>
      <c r="B10" s="31" t="s">
        <v>311</v>
      </c>
      <c r="C10" s="31"/>
      <c r="D10" s="37"/>
      <c r="E10" s="37"/>
      <c r="F10" s="37"/>
      <c r="G10" s="31"/>
      <c r="H10" s="31"/>
      <c r="I10" s="64"/>
      <c r="J10" s="31"/>
      <c r="K10" s="31"/>
      <c r="L10" s="31"/>
      <c r="M10" s="31"/>
      <c r="N10" s="37"/>
      <c r="O10" s="37"/>
      <c r="P10" s="64"/>
      <c r="Q10" s="66"/>
    </row>
    <row r="11" spans="1:19" s="95" customFormat="1" ht="9" x14ac:dyDescent="0.15">
      <c r="A11" s="91" t="s">
        <v>295</v>
      </c>
      <c r="B11" s="31" t="s">
        <v>311</v>
      </c>
      <c r="C11" s="31"/>
      <c r="D11" s="37"/>
      <c r="E11" s="37"/>
      <c r="F11" s="37"/>
      <c r="G11" s="31"/>
      <c r="H11" s="31"/>
      <c r="I11" s="64"/>
      <c r="J11" s="31"/>
      <c r="K11" s="31"/>
      <c r="L11" s="31"/>
      <c r="M11" s="31"/>
      <c r="N11" s="37"/>
      <c r="O11" s="37"/>
      <c r="P11" s="64"/>
      <c r="Q11" s="66"/>
    </row>
    <row r="12" spans="1:19" s="95" customFormat="1" ht="9" x14ac:dyDescent="0.15">
      <c r="A12" s="91" t="s">
        <v>296</v>
      </c>
      <c r="B12" s="31"/>
      <c r="C12" s="31"/>
      <c r="D12" s="37"/>
      <c r="E12" s="37"/>
      <c r="F12" s="37"/>
      <c r="G12" s="31"/>
      <c r="H12" s="31"/>
      <c r="I12" s="64"/>
      <c r="J12" s="31"/>
      <c r="K12" s="31"/>
      <c r="L12" s="31"/>
      <c r="M12" s="31"/>
      <c r="N12" s="37"/>
      <c r="O12" s="37"/>
      <c r="P12" s="64"/>
      <c r="Q12" s="66"/>
    </row>
    <row r="13" spans="1:19" s="95" customFormat="1" ht="9" x14ac:dyDescent="0.15">
      <c r="A13" s="101" t="s">
        <v>312</v>
      </c>
      <c r="B13" s="31">
        <v>2</v>
      </c>
      <c r="C13" s="31"/>
      <c r="D13" s="37">
        <v>0</v>
      </c>
      <c r="E13" s="37">
        <v>0</v>
      </c>
      <c r="F13" s="37">
        <v>0</v>
      </c>
      <c r="G13" s="31">
        <v>1</v>
      </c>
      <c r="H13" s="31">
        <f>B13*G13</f>
        <v>2</v>
      </c>
      <c r="I13" s="63">
        <f>$I$7</f>
        <v>41</v>
      </c>
      <c r="J13" s="63">
        <f>H13*I13</f>
        <v>82</v>
      </c>
      <c r="K13" s="63">
        <f>J13*0.1</f>
        <v>8.2000000000000011</v>
      </c>
      <c r="L13" s="63">
        <f>J13*0.05</f>
        <v>4.1000000000000005</v>
      </c>
      <c r="M13" s="31">
        <f>C13*G13*I13</f>
        <v>0</v>
      </c>
      <c r="N13" s="37">
        <f>(J13*'Base Data'!$C$5)+(K13*'Base Data'!$C$6)+(L13*'Base Data'!$C$7)</f>
        <v>10326.137000000002</v>
      </c>
      <c r="O13" s="37">
        <f>(D13+E13+F13)*G13*I13</f>
        <v>0</v>
      </c>
      <c r="P13" s="64">
        <f>G13*I13</f>
        <v>41</v>
      </c>
      <c r="Q13" s="66" t="s">
        <v>276</v>
      </c>
    </row>
    <row r="14" spans="1:19" s="95" customFormat="1" ht="9" x14ac:dyDescent="0.15">
      <c r="A14" s="101" t="s">
        <v>273</v>
      </c>
      <c r="B14" s="31">
        <v>8</v>
      </c>
      <c r="C14" s="31"/>
      <c r="D14" s="37">
        <v>0</v>
      </c>
      <c r="E14" s="37">
        <v>0</v>
      </c>
      <c r="F14" s="37">
        <v>0</v>
      </c>
      <c r="G14" s="31">
        <v>1</v>
      </c>
      <c r="H14" s="31">
        <f>B14*G14</f>
        <v>8</v>
      </c>
      <c r="I14" s="63">
        <f>$I$7</f>
        <v>41</v>
      </c>
      <c r="J14" s="63">
        <f>H14*I14</f>
        <v>328</v>
      </c>
      <c r="K14" s="63">
        <f>J14*0.1</f>
        <v>32.800000000000004</v>
      </c>
      <c r="L14" s="63">
        <f>J14*0.05</f>
        <v>16.400000000000002</v>
      </c>
      <c r="M14" s="31">
        <f>C14*G14*I14</f>
        <v>0</v>
      </c>
      <c r="N14" s="37">
        <f>(J14*'Base Data'!$C$5)+(K14*'Base Data'!$C$6)+(L14*'Base Data'!$C$7)</f>
        <v>41304.54800000001</v>
      </c>
      <c r="O14" s="37">
        <f>(D14+E14+F14)*G14*I14</f>
        <v>0</v>
      </c>
      <c r="P14" s="64">
        <f>G14*I14</f>
        <v>41</v>
      </c>
      <c r="Q14" s="66" t="s">
        <v>276</v>
      </c>
    </row>
    <row r="15" spans="1:19" s="95" customFormat="1" ht="9" x14ac:dyDescent="0.15">
      <c r="A15" s="101" t="s">
        <v>8</v>
      </c>
      <c r="B15" s="31">
        <v>5</v>
      </c>
      <c r="C15" s="31"/>
      <c r="D15" s="37">
        <v>0</v>
      </c>
      <c r="E15" s="37">
        <v>0</v>
      </c>
      <c r="F15" s="37">
        <v>0</v>
      </c>
      <c r="G15" s="31">
        <v>0.5</v>
      </c>
      <c r="H15" s="31">
        <f>B15*G15</f>
        <v>2.5</v>
      </c>
      <c r="I15" s="63">
        <f>$I$7</f>
        <v>41</v>
      </c>
      <c r="J15" s="63">
        <f>H15*I15</f>
        <v>102.5</v>
      </c>
      <c r="K15" s="63">
        <f>J15*0.1</f>
        <v>10.25</v>
      </c>
      <c r="L15" s="63">
        <f>J15*0.05</f>
        <v>5.125</v>
      </c>
      <c r="M15" s="31">
        <f>C15*G15*I15</f>
        <v>0</v>
      </c>
      <c r="N15" s="37">
        <f>(J15*'Base Data'!$C$5)+(K15*'Base Data'!$C$6)+(L15*'Base Data'!$C$7)</f>
        <v>12907.671250000001</v>
      </c>
      <c r="O15" s="37">
        <f>(D15+E15+F15)*G15*I15</f>
        <v>0</v>
      </c>
      <c r="P15" s="64">
        <f>G15*I15</f>
        <v>20.5</v>
      </c>
      <c r="Q15" s="66" t="s">
        <v>459</v>
      </c>
    </row>
    <row r="16" spans="1:19" s="95" customFormat="1" ht="9" x14ac:dyDescent="0.15">
      <c r="A16" s="96" t="s">
        <v>4</v>
      </c>
      <c r="B16" s="31"/>
      <c r="C16" s="31"/>
      <c r="D16" s="37"/>
      <c r="E16" s="37"/>
      <c r="F16" s="37"/>
      <c r="G16" s="31"/>
      <c r="H16" s="31"/>
      <c r="I16" s="64"/>
      <c r="J16" s="64">
        <f t="shared" ref="J16:O16" si="0">SUM(J7:J15)</f>
        <v>4108.5</v>
      </c>
      <c r="K16" s="64">
        <f t="shared" si="0"/>
        <v>410.85</v>
      </c>
      <c r="L16" s="64">
        <f t="shared" si="0"/>
        <v>205.42500000000001</v>
      </c>
      <c r="M16" s="64">
        <f t="shared" si="0"/>
        <v>0</v>
      </c>
      <c r="N16" s="64">
        <f t="shared" si="0"/>
        <v>517377.24225000007</v>
      </c>
      <c r="O16" s="64">
        <f t="shared" si="0"/>
        <v>726328</v>
      </c>
      <c r="P16" s="64">
        <f>SUM(P13:P15)</f>
        <v>102.5</v>
      </c>
      <c r="Q16" s="66"/>
      <c r="R16" s="97">
        <f>SUM(O7:O9)</f>
        <v>726328</v>
      </c>
      <c r="S16" s="95">
        <f>0</f>
        <v>0</v>
      </c>
    </row>
    <row r="17" spans="1:18" s="95" customFormat="1" ht="9" x14ac:dyDescent="0.15">
      <c r="A17" s="91" t="s">
        <v>309</v>
      </c>
      <c r="B17" s="31"/>
      <c r="C17" s="31"/>
      <c r="D17" s="37"/>
      <c r="E17" s="37"/>
      <c r="F17" s="37"/>
      <c r="G17" s="31"/>
      <c r="H17" s="31"/>
      <c r="I17" s="64"/>
      <c r="J17" s="31"/>
      <c r="K17" s="31"/>
      <c r="L17" s="31"/>
      <c r="M17" s="31"/>
      <c r="N17" s="37"/>
      <c r="O17" s="37"/>
      <c r="P17" s="64"/>
      <c r="Q17" s="66"/>
    </row>
    <row r="18" spans="1:18" s="95" customFormat="1" ht="9" x14ac:dyDescent="0.15">
      <c r="A18" s="91" t="s">
        <v>297</v>
      </c>
      <c r="B18" s="31" t="s">
        <v>301</v>
      </c>
      <c r="C18" s="31"/>
      <c r="D18" s="37"/>
      <c r="E18" s="37"/>
      <c r="F18" s="37"/>
      <c r="G18" s="31"/>
      <c r="H18" s="31"/>
      <c r="I18" s="64"/>
      <c r="J18" s="31"/>
      <c r="K18" s="31"/>
      <c r="L18" s="31"/>
      <c r="M18" s="31"/>
      <c r="N18" s="37"/>
      <c r="O18" s="37"/>
      <c r="P18" s="64"/>
      <c r="Q18" s="66"/>
    </row>
    <row r="19" spans="1:18" s="95" customFormat="1" ht="9" x14ac:dyDescent="0.15">
      <c r="A19" s="91" t="s">
        <v>298</v>
      </c>
      <c r="B19" s="31" t="s">
        <v>311</v>
      </c>
      <c r="C19" s="31"/>
      <c r="D19" s="37"/>
      <c r="E19" s="37"/>
      <c r="F19" s="37"/>
      <c r="G19" s="31"/>
      <c r="H19" s="31"/>
      <c r="I19" s="64"/>
      <c r="J19" s="31"/>
      <c r="K19" s="31"/>
      <c r="L19" s="31"/>
      <c r="M19" s="31"/>
      <c r="N19" s="37"/>
      <c r="O19" s="37"/>
      <c r="P19" s="64"/>
      <c r="Q19" s="66"/>
    </row>
    <row r="20" spans="1:18" s="95" customFormat="1" ht="9" x14ac:dyDescent="0.15">
      <c r="A20" s="91" t="s">
        <v>299</v>
      </c>
      <c r="B20" s="31" t="s">
        <v>311</v>
      </c>
      <c r="C20" s="31"/>
      <c r="D20" s="37"/>
      <c r="E20" s="37"/>
      <c r="F20" s="37"/>
      <c r="G20" s="31"/>
      <c r="H20" s="31"/>
      <c r="I20" s="64"/>
      <c r="J20" s="31"/>
      <c r="K20" s="31"/>
      <c r="L20" s="31"/>
      <c r="M20" s="31"/>
      <c r="N20" s="37"/>
      <c r="O20" s="37"/>
      <c r="P20" s="64"/>
      <c r="Q20" s="66" t="s">
        <v>108</v>
      </c>
    </row>
    <row r="21" spans="1:18" s="95" customFormat="1" ht="9" x14ac:dyDescent="0.15">
      <c r="A21" s="91" t="s">
        <v>300</v>
      </c>
      <c r="B21" s="31"/>
      <c r="C21" s="31"/>
      <c r="D21" s="37"/>
      <c r="E21" s="37"/>
      <c r="F21" s="37"/>
      <c r="G21" s="31"/>
      <c r="H21" s="31"/>
      <c r="I21" s="64"/>
      <c r="J21" s="31"/>
      <c r="K21" s="31"/>
      <c r="L21" s="31"/>
      <c r="M21" s="31"/>
      <c r="N21" s="37"/>
      <c r="O21" s="37"/>
      <c r="P21" s="64"/>
      <c r="Q21" s="66"/>
    </row>
    <row r="22" spans="1:18" s="95" customFormat="1" ht="19.5" customHeight="1" x14ac:dyDescent="0.15">
      <c r="A22" s="101" t="s">
        <v>271</v>
      </c>
      <c r="B22" s="31">
        <v>2</v>
      </c>
      <c r="C22" s="31">
        <v>0</v>
      </c>
      <c r="D22" s="37">
        <v>0</v>
      </c>
      <c r="E22" s="37">
        <v>0</v>
      </c>
      <c r="F22" s="37">
        <v>0</v>
      </c>
      <c r="G22" s="31">
        <v>0.5</v>
      </c>
      <c r="H22" s="31">
        <f>B22*G22</f>
        <v>1</v>
      </c>
      <c r="I22" s="64">
        <f>$I$15</f>
        <v>41</v>
      </c>
      <c r="J22" s="63">
        <f>H22*I22</f>
        <v>41</v>
      </c>
      <c r="K22" s="63">
        <f>J22*0.1</f>
        <v>4.1000000000000005</v>
      </c>
      <c r="L22" s="63">
        <f>J22*0.05</f>
        <v>2.0500000000000003</v>
      </c>
      <c r="M22" s="31">
        <f>C22*G22*I22</f>
        <v>0</v>
      </c>
      <c r="N22" s="37">
        <f>(J22*'Base Data'!$C$5)+(K22*'Base Data'!$C$6)+(L22*'Base Data'!$C$7)</f>
        <v>5163.0685000000012</v>
      </c>
      <c r="O22" s="37">
        <f>(D22+E22+F22)*G22*I22</f>
        <v>0</v>
      </c>
      <c r="P22" s="64">
        <v>0</v>
      </c>
      <c r="Q22" s="66" t="s">
        <v>276</v>
      </c>
    </row>
    <row r="23" spans="1:18" s="95" customFormat="1" ht="9" x14ac:dyDescent="0.15">
      <c r="A23" s="101" t="s">
        <v>364</v>
      </c>
      <c r="B23" s="31">
        <v>0.5</v>
      </c>
      <c r="C23" s="31"/>
      <c r="D23" s="37">
        <v>0</v>
      </c>
      <c r="E23" s="37">
        <v>0</v>
      </c>
      <c r="F23" s="37">
        <v>0</v>
      </c>
      <c r="G23" s="31">
        <v>0.5</v>
      </c>
      <c r="H23" s="31">
        <f>B23*G23</f>
        <v>0.25</v>
      </c>
      <c r="I23" s="64">
        <f>$I$9</f>
        <v>326</v>
      </c>
      <c r="J23" s="63">
        <f>H23*I23</f>
        <v>81.5</v>
      </c>
      <c r="K23" s="63">
        <f>J23*0.1</f>
        <v>8.15</v>
      </c>
      <c r="L23" s="63">
        <f>J23*0.05</f>
        <v>4.0750000000000002</v>
      </c>
      <c r="M23" s="31">
        <f>C23*G23*I23</f>
        <v>0</v>
      </c>
      <c r="N23" s="37">
        <f>(J23*'Base Data'!$C$5)+(K23*'Base Data'!$C$6)+(L23*'Base Data'!$C$7)</f>
        <v>10263.17275</v>
      </c>
      <c r="O23" s="37">
        <f>(D23+E23+F23)*G23*I23</f>
        <v>0</v>
      </c>
      <c r="P23" s="64">
        <v>0</v>
      </c>
      <c r="Q23" s="66" t="s">
        <v>459</v>
      </c>
    </row>
    <row r="24" spans="1:18" s="4" customFormat="1" ht="9" x14ac:dyDescent="0.15">
      <c r="A24" s="90" t="s">
        <v>305</v>
      </c>
      <c r="B24" s="31">
        <v>40</v>
      </c>
      <c r="C24" s="13"/>
      <c r="D24" s="26">
        <v>0</v>
      </c>
      <c r="E24" s="26">
        <v>0</v>
      </c>
      <c r="F24" s="26">
        <v>0</v>
      </c>
      <c r="G24" s="13">
        <v>1</v>
      </c>
      <c r="H24" s="13">
        <f>B24*G24</f>
        <v>40</v>
      </c>
      <c r="I24" s="63">
        <f>$I$7</f>
        <v>41</v>
      </c>
      <c r="J24" s="14">
        <f>H24*I24</f>
        <v>1640</v>
      </c>
      <c r="K24" s="14">
        <f>J24*0.1</f>
        <v>164</v>
      </c>
      <c r="L24" s="14">
        <f>J24*0.05</f>
        <v>82</v>
      </c>
      <c r="M24" s="13"/>
      <c r="N24" s="26">
        <f>(J24*'Base Data'!$C$5)+(K24*'Base Data'!$C$6)+(L24*'Base Data'!$C$7)</f>
        <v>206522.74000000002</v>
      </c>
      <c r="O24" s="26">
        <f>(D24+E24+F24)*G24*I24</f>
        <v>0</v>
      </c>
      <c r="P24" s="64">
        <v>0</v>
      </c>
      <c r="Q24" s="19" t="s">
        <v>277</v>
      </c>
    </row>
    <row r="25" spans="1:18" s="95" customFormat="1" ht="9" x14ac:dyDescent="0.15">
      <c r="A25" s="91" t="s">
        <v>306</v>
      </c>
      <c r="B25" s="31" t="s">
        <v>311</v>
      </c>
      <c r="C25" s="31"/>
      <c r="D25" s="37"/>
      <c r="E25" s="37"/>
      <c r="F25" s="37"/>
      <c r="G25" s="31"/>
      <c r="H25" s="31"/>
      <c r="I25" s="64"/>
      <c r="J25" s="31"/>
      <c r="K25" s="31"/>
      <c r="L25" s="31"/>
      <c r="M25" s="31"/>
      <c r="N25" s="37"/>
      <c r="O25" s="37"/>
      <c r="P25" s="64"/>
      <c r="Q25" s="66"/>
    </row>
    <row r="26" spans="1:18" s="95" customFormat="1" ht="9" x14ac:dyDescent="0.15">
      <c r="A26" s="145" t="s">
        <v>23</v>
      </c>
      <c r="B26" s="139"/>
      <c r="C26" s="139"/>
      <c r="D26" s="140"/>
      <c r="E26" s="140"/>
      <c r="F26" s="140"/>
      <c r="G26" s="139"/>
      <c r="H26" s="139"/>
      <c r="I26" s="141"/>
      <c r="J26" s="139">
        <f t="shared" ref="J26:O26" si="1">SUM(J18:J25)</f>
        <v>1762.5</v>
      </c>
      <c r="K26" s="139">
        <f t="shared" si="1"/>
        <v>176.25</v>
      </c>
      <c r="L26" s="139">
        <f t="shared" si="1"/>
        <v>88.125</v>
      </c>
      <c r="M26" s="139">
        <f t="shared" si="1"/>
        <v>0</v>
      </c>
      <c r="N26" s="140">
        <f t="shared" si="1"/>
        <v>221948.98125000001</v>
      </c>
      <c r="O26" s="140">
        <f t="shared" si="1"/>
        <v>0</v>
      </c>
      <c r="P26" s="141">
        <f>SUM(P18:P25)</f>
        <v>0</v>
      </c>
      <c r="Q26" s="142"/>
      <c r="R26" s="97">
        <f>SUM(O18:O26)</f>
        <v>0</v>
      </c>
    </row>
    <row r="27" spans="1:18" s="95" customFormat="1" x14ac:dyDescent="0.2">
      <c r="A27" s="110" t="s">
        <v>283</v>
      </c>
      <c r="B27" s="111"/>
      <c r="C27" s="111"/>
      <c r="D27" s="111"/>
      <c r="E27" s="111"/>
      <c r="F27" s="111"/>
      <c r="G27" s="111"/>
      <c r="H27" s="111"/>
      <c r="I27" s="113"/>
      <c r="J27" s="114">
        <f t="shared" ref="J27:P27" si="2">SUM(J16,J26)</f>
        <v>5871</v>
      </c>
      <c r="K27" s="114">
        <f t="shared" si="2"/>
        <v>587.1</v>
      </c>
      <c r="L27" s="114">
        <f t="shared" si="2"/>
        <v>293.55</v>
      </c>
      <c r="M27" s="114">
        <f t="shared" si="2"/>
        <v>0</v>
      </c>
      <c r="N27" s="115">
        <f t="shared" si="2"/>
        <v>739326.22350000008</v>
      </c>
      <c r="O27" s="115">
        <f t="shared" si="2"/>
        <v>726328</v>
      </c>
      <c r="P27" s="114">
        <f t="shared" si="2"/>
        <v>102.5</v>
      </c>
      <c r="Q27" s="116"/>
    </row>
    <row r="28" spans="1:18" s="38" customFormat="1" ht="9" x14ac:dyDescent="0.15">
      <c r="B28" s="41"/>
      <c r="C28" s="41"/>
      <c r="D28" s="41"/>
      <c r="E28" s="41"/>
      <c r="F28" s="41"/>
      <c r="G28" s="41"/>
      <c r="H28" s="41"/>
      <c r="I28" s="42"/>
      <c r="J28" s="41"/>
      <c r="K28" s="41"/>
      <c r="L28" s="41"/>
      <c r="M28" s="41"/>
      <c r="N28" s="41"/>
      <c r="O28" s="121"/>
      <c r="P28" s="121"/>
      <c r="Q28" s="41"/>
    </row>
    <row r="29" spans="1:18" s="38" customFormat="1" ht="9" customHeight="1" x14ac:dyDescent="0.15">
      <c r="A29" s="748" t="s">
        <v>519</v>
      </c>
      <c r="B29" s="748"/>
      <c r="C29" s="748"/>
      <c r="D29" s="748"/>
      <c r="E29" s="748"/>
      <c r="F29" s="748"/>
      <c r="G29" s="748"/>
      <c r="H29" s="748"/>
      <c r="I29" s="748"/>
      <c r="J29" s="748"/>
      <c r="K29" s="748"/>
      <c r="L29" s="748"/>
      <c r="M29" s="748"/>
      <c r="N29" s="748"/>
      <c r="O29" s="748"/>
      <c r="P29" s="121"/>
      <c r="Q29" s="41"/>
    </row>
    <row r="30" spans="1:18" s="38" customFormat="1" ht="9" x14ac:dyDescent="0.15">
      <c r="A30" s="682" t="s">
        <v>107</v>
      </c>
      <c r="B30" s="682"/>
      <c r="C30" s="682"/>
      <c r="D30" s="682"/>
      <c r="E30" s="682"/>
      <c r="F30" s="682"/>
      <c r="G30" s="682"/>
      <c r="H30" s="682"/>
      <c r="I30" s="682"/>
      <c r="J30" s="682"/>
      <c r="K30" s="682"/>
      <c r="L30" s="682"/>
      <c r="M30" s="682"/>
      <c r="N30" s="682"/>
      <c r="O30" s="682"/>
      <c r="P30" s="121"/>
      <c r="Q30" s="41"/>
    </row>
    <row r="31" spans="1:18" s="38" customFormat="1" ht="9" x14ac:dyDescent="0.15">
      <c r="A31" s="9" t="s">
        <v>413</v>
      </c>
      <c r="B31" s="81"/>
      <c r="C31" s="81"/>
      <c r="D31" s="81"/>
      <c r="E31" s="81"/>
      <c r="F31" s="81"/>
      <c r="G31" s="81"/>
      <c r="H31" s="81"/>
      <c r="I31" s="81"/>
      <c r="J31" s="81"/>
      <c r="K31" s="81"/>
      <c r="L31" s="81"/>
      <c r="M31" s="81"/>
      <c r="N31" s="81"/>
      <c r="O31" s="81"/>
      <c r="P31" s="121"/>
      <c r="Q31" s="41"/>
    </row>
    <row r="32" spans="1:18" s="38" customFormat="1" ht="9" x14ac:dyDescent="0.15">
      <c r="A32" s="271" t="s">
        <v>464</v>
      </c>
      <c r="B32" s="41"/>
      <c r="C32" s="41"/>
      <c r="D32" s="41"/>
      <c r="E32" s="41"/>
      <c r="F32" s="41"/>
      <c r="G32" s="41"/>
      <c r="H32" s="41"/>
      <c r="I32" s="42"/>
      <c r="J32" s="41"/>
      <c r="K32" s="41"/>
      <c r="L32" s="41"/>
      <c r="M32" s="41"/>
      <c r="N32" s="41"/>
      <c r="O32" s="121"/>
      <c r="P32" s="121"/>
      <c r="Q32" s="41"/>
    </row>
    <row r="33" spans="1:18" s="38" customFormat="1" ht="9" x14ac:dyDescent="0.15">
      <c r="A33" s="271" t="s">
        <v>556</v>
      </c>
      <c r="P33" s="121"/>
      <c r="Q33" s="41"/>
    </row>
    <row r="34" spans="1:18" s="38" customFormat="1" ht="9" x14ac:dyDescent="0.15">
      <c r="B34" s="41"/>
      <c r="C34" s="41"/>
      <c r="D34" s="41"/>
      <c r="E34" s="41"/>
      <c r="F34" s="41"/>
      <c r="G34" s="41"/>
      <c r="H34" s="41"/>
      <c r="I34" s="42"/>
      <c r="J34" s="41"/>
      <c r="K34" s="41"/>
      <c r="L34" s="41"/>
      <c r="M34" s="41"/>
      <c r="N34" s="41"/>
      <c r="O34" s="121"/>
      <c r="P34" s="121"/>
      <c r="Q34" s="41"/>
    </row>
    <row r="35" spans="1:18" s="38" customFormat="1" ht="9" x14ac:dyDescent="0.15">
      <c r="A35" s="265"/>
      <c r="B35" s="268"/>
      <c r="C35" s="268"/>
      <c r="D35" s="268"/>
      <c r="E35" s="268"/>
      <c r="F35" s="268"/>
      <c r="G35" s="268"/>
      <c r="H35" s="268"/>
      <c r="I35" s="268"/>
      <c r="J35" s="268"/>
      <c r="K35" s="268"/>
      <c r="L35" s="268"/>
      <c r="M35" s="268"/>
      <c r="N35" s="268"/>
      <c r="O35" s="268"/>
      <c r="P35" s="121"/>
      <c r="Q35" s="41"/>
    </row>
    <row r="36" spans="1:18" s="38" customFormat="1" x14ac:dyDescent="0.15">
      <c r="B36" s="269"/>
      <c r="C36" s="269"/>
      <c r="D36" s="269"/>
      <c r="E36" s="269"/>
      <c r="F36" s="269"/>
      <c r="G36" s="269"/>
      <c r="H36" s="269"/>
      <c r="I36" s="270"/>
      <c r="J36" s="270"/>
      <c r="K36" s="270"/>
      <c r="L36" s="270"/>
      <c r="M36" s="270"/>
      <c r="N36" s="269"/>
      <c r="O36" s="267"/>
      <c r="P36" s="121"/>
      <c r="Q36" s="41"/>
    </row>
    <row r="37" spans="1:18" s="38" customFormat="1" ht="9" x14ac:dyDescent="0.15">
      <c r="B37" s="41"/>
      <c r="C37" s="41"/>
      <c r="D37" s="41"/>
      <c r="E37" s="41"/>
      <c r="F37" s="41"/>
      <c r="G37" s="41"/>
      <c r="H37" s="41"/>
      <c r="I37" s="42"/>
      <c r="J37" s="41"/>
      <c r="K37" s="41"/>
      <c r="L37" s="41"/>
      <c r="M37" s="41"/>
      <c r="N37" s="41"/>
      <c r="O37" s="121"/>
      <c r="P37" s="121"/>
      <c r="Q37" s="41"/>
    </row>
    <row r="38" spans="1:18" s="38" customFormat="1" ht="9" x14ac:dyDescent="0.15">
      <c r="B38" s="41"/>
      <c r="C38" s="41"/>
      <c r="D38" s="41"/>
      <c r="E38" s="41"/>
      <c r="F38" s="41"/>
      <c r="G38" s="41"/>
      <c r="H38" s="41"/>
      <c r="I38" s="42"/>
      <c r="J38" s="41"/>
      <c r="K38" s="41"/>
      <c r="L38" s="41"/>
      <c r="M38" s="41"/>
      <c r="N38" s="41"/>
      <c r="O38" s="121"/>
      <c r="P38" s="121"/>
      <c r="Q38" s="41"/>
    </row>
    <row r="39" spans="1:18" s="38" customFormat="1" ht="9" x14ac:dyDescent="0.15">
      <c r="B39" s="41"/>
      <c r="C39" s="41"/>
      <c r="D39" s="41"/>
      <c r="E39" s="41"/>
      <c r="F39" s="41"/>
      <c r="G39" s="41"/>
      <c r="H39" s="41"/>
      <c r="I39" s="42"/>
      <c r="J39" s="41"/>
      <c r="K39" s="41"/>
      <c r="L39" s="41"/>
      <c r="M39" s="41"/>
      <c r="N39" s="41"/>
      <c r="O39" s="121"/>
      <c r="P39" s="121"/>
      <c r="Q39" s="41"/>
    </row>
    <row r="40" spans="1:18" s="38" customFormat="1" x14ac:dyDescent="0.2">
      <c r="B40" s="41"/>
      <c r="C40" s="41"/>
      <c r="D40" s="41"/>
      <c r="E40" s="41"/>
      <c r="F40" s="41"/>
      <c r="G40" s="41"/>
      <c r="H40" s="41"/>
      <c r="I40" s="42"/>
      <c r="J40" s="41"/>
      <c r="K40" s="41"/>
      <c r="L40" s="41"/>
      <c r="M40" s="41"/>
      <c r="N40" s="41"/>
      <c r="O40" s="121"/>
      <c r="P40" s="121"/>
      <c r="Q40" s="41"/>
      <c r="R40" s="77"/>
    </row>
  </sheetData>
  <mergeCells count="4">
    <mergeCell ref="A1:Q1"/>
    <mergeCell ref="A2:Q2"/>
    <mergeCell ref="A30:O30"/>
    <mergeCell ref="A29:O29"/>
  </mergeCells>
  <phoneticPr fontId="9" type="noConversion"/>
  <pageMargins left="0.25" right="0.25" top="0.5" bottom="0.75" header="0.5" footer="0.5"/>
  <pageSetup scale="8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zoomScaleNormal="100" workbookViewId="0">
      <pane xSplit="1" ySplit="2" topLeftCell="E3" activePane="bottomRight" state="frozen"/>
      <selection activeCell="O55" sqref="O55"/>
      <selection pane="topRight" activeCell="O55" sqref="O55"/>
      <selection pane="bottomLeft" activeCell="O55" sqref="O55"/>
      <selection pane="bottomRight" activeCell="T17" sqref="T17"/>
    </sheetView>
  </sheetViews>
  <sheetFormatPr defaultColWidth="9.140625" defaultRowHeight="11.25" x14ac:dyDescent="0.2"/>
  <cols>
    <col min="1" max="1" width="36.5703125" style="77" customWidth="1"/>
    <col min="2" max="2" width="8.85546875" style="39" bestFit="1" customWidth="1"/>
    <col min="3" max="3" width="8" style="39" hidden="1" customWidth="1"/>
    <col min="4" max="4" width="8.42578125" style="39" bestFit="1" customWidth="1"/>
    <col min="5" max="5" width="9.42578125" style="39" bestFit="1" customWidth="1"/>
    <col min="6" max="6" width="7.42578125" style="39" customWidth="1"/>
    <col min="7" max="7" width="9.42578125" style="39" bestFit="1" customWidth="1"/>
    <col min="8" max="8" width="7.85546875" style="39" bestFit="1" customWidth="1"/>
    <col min="9" max="9" width="9.42578125" style="40" bestFit="1" customWidth="1"/>
    <col min="10" max="11" width="6.85546875" style="39" bestFit="1" customWidth="1"/>
    <col min="12" max="12" width="9" style="39" customWidth="1"/>
    <col min="13" max="13" width="7.85546875" style="39" hidden="1" customWidth="1"/>
    <col min="14" max="14" width="10.140625" style="39" customWidth="1"/>
    <col min="15" max="15" width="10.140625" style="120" bestFit="1" customWidth="1"/>
    <col min="16" max="16" width="10" style="120" bestFit="1" customWidth="1"/>
    <col min="17" max="17" width="3" style="39" customWidth="1"/>
    <col min="18" max="19" width="0" style="77" hidden="1" customWidth="1"/>
    <col min="20" max="20" width="11.140625" style="77" customWidth="1"/>
    <col min="21" max="21" width="8.5703125" style="77" customWidth="1"/>
    <col min="22" max="16384" width="9.140625" style="77"/>
  </cols>
  <sheetData>
    <row r="1" spans="1:21" x14ac:dyDescent="0.2">
      <c r="A1" s="684" t="s">
        <v>602</v>
      </c>
      <c r="B1" s="684"/>
      <c r="C1" s="684"/>
      <c r="D1" s="684"/>
      <c r="E1" s="684"/>
      <c r="F1" s="684"/>
      <c r="G1" s="684"/>
      <c r="H1" s="684"/>
      <c r="I1" s="684"/>
      <c r="J1" s="684"/>
      <c r="K1" s="684"/>
      <c r="L1" s="684"/>
      <c r="M1" s="684"/>
      <c r="N1" s="684"/>
      <c r="O1" s="684"/>
      <c r="P1" s="684"/>
      <c r="Q1" s="684"/>
    </row>
    <row r="2" spans="1:21" x14ac:dyDescent="0.2">
      <c r="A2" s="685" t="s">
        <v>599</v>
      </c>
      <c r="B2" s="685"/>
      <c r="C2" s="685"/>
      <c r="D2" s="685"/>
      <c r="E2" s="685"/>
      <c r="F2" s="685"/>
      <c r="G2" s="685"/>
      <c r="H2" s="685"/>
      <c r="I2" s="685"/>
      <c r="J2" s="685"/>
      <c r="K2" s="685"/>
      <c r="L2" s="685"/>
      <c r="M2" s="685"/>
      <c r="N2" s="685"/>
      <c r="O2" s="685"/>
      <c r="P2" s="685"/>
      <c r="Q2" s="685"/>
    </row>
    <row r="3" spans="1:21" s="117" customFormat="1" ht="63" x14ac:dyDescent="0.15">
      <c r="A3" s="32" t="s">
        <v>280</v>
      </c>
      <c r="B3" s="32" t="s">
        <v>281</v>
      </c>
      <c r="C3" s="32" t="s">
        <v>308</v>
      </c>
      <c r="D3" s="32" t="s">
        <v>1</v>
      </c>
      <c r="E3" s="32" t="s">
        <v>87</v>
      </c>
      <c r="F3" s="32" t="s">
        <v>2</v>
      </c>
      <c r="G3" s="8" t="s">
        <v>148</v>
      </c>
      <c r="H3" s="32" t="s">
        <v>335</v>
      </c>
      <c r="I3" s="43" t="s">
        <v>336</v>
      </c>
      <c r="J3" s="70" t="s">
        <v>623</v>
      </c>
      <c r="K3" s="70" t="s">
        <v>624</v>
      </c>
      <c r="L3" s="70" t="s">
        <v>625</v>
      </c>
      <c r="M3" s="32" t="s">
        <v>279</v>
      </c>
      <c r="N3" s="32" t="s">
        <v>5</v>
      </c>
      <c r="O3" s="70" t="s">
        <v>89</v>
      </c>
      <c r="P3" s="70" t="s">
        <v>147</v>
      </c>
      <c r="Q3" s="106" t="s">
        <v>282</v>
      </c>
      <c r="R3" s="117" t="s">
        <v>225</v>
      </c>
      <c r="S3" s="117" t="s">
        <v>226</v>
      </c>
      <c r="U3" s="501"/>
    </row>
    <row r="4" spans="1:21" s="95" customFormat="1" ht="9" x14ac:dyDescent="0.15">
      <c r="A4" s="118" t="s">
        <v>284</v>
      </c>
      <c r="B4" s="103" t="s">
        <v>311</v>
      </c>
      <c r="C4" s="103"/>
      <c r="D4" s="105"/>
      <c r="E4" s="105"/>
      <c r="F4" s="105"/>
      <c r="G4" s="103"/>
      <c r="H4" s="103"/>
      <c r="I4" s="107"/>
      <c r="J4" s="103"/>
      <c r="K4" s="103"/>
      <c r="L4" s="103"/>
      <c r="M4" s="103"/>
      <c r="N4" s="105"/>
      <c r="O4" s="105"/>
      <c r="P4" s="105"/>
      <c r="Q4" s="143"/>
      <c r="U4" s="502"/>
    </row>
    <row r="5" spans="1:21" s="95" customFormat="1" ht="9" x14ac:dyDescent="0.15">
      <c r="A5" s="91" t="s">
        <v>285</v>
      </c>
      <c r="B5" s="31" t="s">
        <v>311</v>
      </c>
      <c r="C5" s="31"/>
      <c r="D5" s="37"/>
      <c r="E5" s="37"/>
      <c r="F5" s="37"/>
      <c r="G5" s="31"/>
      <c r="H5" s="31"/>
      <c r="I5" s="64"/>
      <c r="J5" s="31"/>
      <c r="K5" s="31"/>
      <c r="L5" s="31"/>
      <c r="M5" s="31"/>
      <c r="N5" s="37"/>
      <c r="O5" s="37"/>
      <c r="P5" s="37"/>
      <c r="Q5" s="66"/>
      <c r="U5" s="503"/>
    </row>
    <row r="6" spans="1:21" s="95" customFormat="1" ht="9" x14ac:dyDescent="0.15">
      <c r="A6" s="91" t="s">
        <v>286</v>
      </c>
      <c r="B6" s="31"/>
      <c r="C6" s="31"/>
      <c r="D6" s="37"/>
      <c r="E6" s="37"/>
      <c r="F6" s="37"/>
      <c r="G6" s="31"/>
      <c r="H6" s="31"/>
      <c r="I6" s="64"/>
      <c r="J6" s="31"/>
      <c r="K6" s="31"/>
      <c r="L6" s="31"/>
      <c r="M6" s="31"/>
      <c r="N6" s="37"/>
      <c r="O6" s="37"/>
      <c r="P6" s="37"/>
      <c r="Q6" s="66"/>
      <c r="U6" s="503"/>
    </row>
    <row r="7" spans="1:21" s="95" customFormat="1" ht="9" x14ac:dyDescent="0.15">
      <c r="A7" s="91" t="s">
        <v>287</v>
      </c>
      <c r="B7" s="31">
        <v>40</v>
      </c>
      <c r="C7" s="31"/>
      <c r="D7" s="37">
        <v>0</v>
      </c>
      <c r="E7" s="37">
        <v>0</v>
      </c>
      <c r="F7" s="37">
        <v>0</v>
      </c>
      <c r="G7" s="31">
        <v>1</v>
      </c>
      <c r="H7" s="31">
        <f>B7*G7</f>
        <v>40</v>
      </c>
      <c r="I7" s="63">
        <f>ROUND('Base Data'!$H$70/3,0)</f>
        <v>41</v>
      </c>
      <c r="J7" s="63">
        <f>H7*I7</f>
        <v>1640</v>
      </c>
      <c r="K7" s="63">
        <f>J7*0.1</f>
        <v>164</v>
      </c>
      <c r="L7" s="63">
        <f>J7*0.05</f>
        <v>82</v>
      </c>
      <c r="M7" s="31">
        <f>C7*G7*I7</f>
        <v>0</v>
      </c>
      <c r="N7" s="37">
        <f>(J7*'Base Data'!$C$5)+(K7*'Base Data'!$C$6)+(L7*'Base Data'!$C$7)</f>
        <v>206522.74000000002</v>
      </c>
      <c r="O7" s="37">
        <f>(D7+E7+F7)*G7*I7</f>
        <v>0</v>
      </c>
      <c r="P7" s="64">
        <v>0</v>
      </c>
      <c r="Q7" s="66" t="s">
        <v>276</v>
      </c>
      <c r="U7" s="504"/>
    </row>
    <row r="8" spans="1:21" s="95" customFormat="1" ht="9" x14ac:dyDescent="0.15">
      <c r="A8" s="91" t="s">
        <v>288</v>
      </c>
      <c r="B8" s="31"/>
      <c r="C8" s="31"/>
      <c r="D8" s="37"/>
      <c r="E8" s="37"/>
      <c r="F8" s="37"/>
      <c r="G8" s="31"/>
      <c r="H8" s="31"/>
      <c r="I8" s="64"/>
      <c r="J8" s="31"/>
      <c r="K8" s="31"/>
      <c r="L8" s="31"/>
      <c r="M8" s="31"/>
      <c r="N8" s="37"/>
      <c r="O8" s="37"/>
      <c r="P8" s="64"/>
      <c r="Q8" s="66"/>
      <c r="U8" s="503"/>
    </row>
    <row r="9" spans="1:21" s="95" customFormat="1" ht="9" x14ac:dyDescent="0.15">
      <c r="A9" s="91" t="s">
        <v>363</v>
      </c>
      <c r="B9" s="31">
        <v>12</v>
      </c>
      <c r="C9" s="31"/>
      <c r="D9" s="37">
        <v>0</v>
      </c>
      <c r="E9" s="37">
        <v>2228</v>
      </c>
      <c r="F9" s="37">
        <v>0</v>
      </c>
      <c r="G9" s="31">
        <v>0.5</v>
      </c>
      <c r="H9" s="31">
        <f>B9*G9</f>
        <v>6</v>
      </c>
      <c r="I9" s="63">
        <f>ROUNDDOWN('Base Data'!$D$70/3,0)</f>
        <v>326</v>
      </c>
      <c r="J9" s="63">
        <f>H9*I9</f>
        <v>1956</v>
      </c>
      <c r="K9" s="454">
        <f>J9*0.1</f>
        <v>195.60000000000002</v>
      </c>
      <c r="L9" s="454">
        <f>J9*0.05</f>
        <v>97.800000000000011</v>
      </c>
      <c r="M9" s="64"/>
      <c r="N9" s="37">
        <f>(J9*'Base Data'!$C$5)+(K9*'Base Data'!$C$6)+(L9*'Base Data'!$C$7)</f>
        <v>246316.14600000001</v>
      </c>
      <c r="O9" s="37">
        <f>(D9+E9+F9)*I9</f>
        <v>726328</v>
      </c>
      <c r="P9" s="64">
        <v>0</v>
      </c>
      <c r="Q9" s="66" t="s">
        <v>547</v>
      </c>
      <c r="U9" s="504"/>
    </row>
    <row r="10" spans="1:21" s="95" customFormat="1" ht="9" x14ac:dyDescent="0.15">
      <c r="A10" s="91" t="s">
        <v>294</v>
      </c>
      <c r="B10" s="31" t="s">
        <v>311</v>
      </c>
      <c r="C10" s="31"/>
      <c r="D10" s="37"/>
      <c r="E10" s="37"/>
      <c r="F10" s="37"/>
      <c r="G10" s="31"/>
      <c r="H10" s="31"/>
      <c r="I10" s="64"/>
      <c r="J10" s="31"/>
      <c r="K10" s="31"/>
      <c r="L10" s="31"/>
      <c r="M10" s="31"/>
      <c r="N10" s="37"/>
      <c r="O10" s="37"/>
      <c r="P10" s="64"/>
      <c r="Q10" s="66"/>
      <c r="U10" s="503"/>
    </row>
    <row r="11" spans="1:21" s="95" customFormat="1" ht="9" x14ac:dyDescent="0.15">
      <c r="A11" s="91" t="s">
        <v>295</v>
      </c>
      <c r="B11" s="31" t="s">
        <v>311</v>
      </c>
      <c r="C11" s="31"/>
      <c r="D11" s="37"/>
      <c r="E11" s="37"/>
      <c r="F11" s="37"/>
      <c r="G11" s="31"/>
      <c r="H11" s="31"/>
      <c r="I11" s="64"/>
      <c r="J11" s="31"/>
      <c r="K11" s="31"/>
      <c r="L11" s="31"/>
      <c r="M11" s="31"/>
      <c r="N11" s="37"/>
      <c r="O11" s="37"/>
      <c r="P11" s="64"/>
      <c r="Q11" s="66"/>
      <c r="U11" s="503"/>
    </row>
    <row r="12" spans="1:21" s="95" customFormat="1" ht="9" x14ac:dyDescent="0.15">
      <c r="A12" s="91" t="s">
        <v>296</v>
      </c>
      <c r="B12" s="31"/>
      <c r="C12" s="31"/>
      <c r="D12" s="37"/>
      <c r="E12" s="37"/>
      <c r="F12" s="37"/>
      <c r="G12" s="31"/>
      <c r="H12" s="31"/>
      <c r="I12" s="64"/>
      <c r="J12" s="31"/>
      <c r="K12" s="31"/>
      <c r="L12" s="31"/>
      <c r="M12" s="31"/>
      <c r="N12" s="37"/>
      <c r="O12" s="37"/>
      <c r="P12" s="64"/>
      <c r="Q12" s="66"/>
      <c r="U12" s="503"/>
    </row>
    <row r="13" spans="1:21" s="95" customFormat="1" ht="9" x14ac:dyDescent="0.15">
      <c r="A13" s="101" t="s">
        <v>312</v>
      </c>
      <c r="B13" s="31">
        <v>2</v>
      </c>
      <c r="C13" s="31"/>
      <c r="D13" s="37">
        <v>0</v>
      </c>
      <c r="E13" s="37">
        <v>0</v>
      </c>
      <c r="F13" s="37">
        <v>0</v>
      </c>
      <c r="G13" s="31">
        <v>1</v>
      </c>
      <c r="H13" s="31">
        <f>B13*G13</f>
        <v>2</v>
      </c>
      <c r="I13" s="63">
        <f>$I$7</f>
        <v>41</v>
      </c>
      <c r="J13" s="63">
        <f>H13*I13</f>
        <v>82</v>
      </c>
      <c r="K13" s="454">
        <f>J13*0.1</f>
        <v>8.2000000000000011</v>
      </c>
      <c r="L13" s="454">
        <f>J13*0.05</f>
        <v>4.1000000000000005</v>
      </c>
      <c r="M13" s="31">
        <f>C13*G13*I13</f>
        <v>0</v>
      </c>
      <c r="N13" s="37">
        <f>(J13*'Base Data'!$C$5)+(K13*'Base Data'!$C$6)+(L13*'Base Data'!$C$7)</f>
        <v>10326.137000000002</v>
      </c>
      <c r="O13" s="37">
        <f>(D13+E13+F13)*G13*I13</f>
        <v>0</v>
      </c>
      <c r="P13" s="64">
        <f>G13*I13</f>
        <v>41</v>
      </c>
      <c r="Q13" s="66" t="s">
        <v>276</v>
      </c>
      <c r="U13" s="504"/>
    </row>
    <row r="14" spans="1:21" s="95" customFormat="1" ht="9" x14ac:dyDescent="0.15">
      <c r="A14" s="101" t="s">
        <v>273</v>
      </c>
      <c r="B14" s="31">
        <v>8</v>
      </c>
      <c r="C14" s="31"/>
      <c r="D14" s="37">
        <v>0</v>
      </c>
      <c r="E14" s="37">
        <v>0</v>
      </c>
      <c r="F14" s="37">
        <v>0</v>
      </c>
      <c r="G14" s="31">
        <v>1</v>
      </c>
      <c r="H14" s="31">
        <f>B14*G14</f>
        <v>8</v>
      </c>
      <c r="I14" s="63">
        <f>$I$7</f>
        <v>41</v>
      </c>
      <c r="J14" s="63">
        <f>H14*I14</f>
        <v>328</v>
      </c>
      <c r="K14" s="454">
        <f>J14*0.1</f>
        <v>32.800000000000004</v>
      </c>
      <c r="L14" s="454">
        <f>J14*0.05</f>
        <v>16.400000000000002</v>
      </c>
      <c r="M14" s="31">
        <f>C14*G14*I14</f>
        <v>0</v>
      </c>
      <c r="N14" s="37">
        <f>(J14*'Base Data'!$C$5)+(K14*'Base Data'!$C$6)+(L14*'Base Data'!$C$7)</f>
        <v>41304.54800000001</v>
      </c>
      <c r="O14" s="37">
        <f>(D14+E14+F14)*G14*I14</f>
        <v>0</v>
      </c>
      <c r="P14" s="64">
        <f>G14*I14</f>
        <v>41</v>
      </c>
      <c r="Q14" s="66" t="s">
        <v>276</v>
      </c>
      <c r="U14" s="504"/>
    </row>
    <row r="15" spans="1:21" s="95" customFormat="1" ht="9" x14ac:dyDescent="0.15">
      <c r="A15" s="101" t="s">
        <v>8</v>
      </c>
      <c r="B15" s="31">
        <v>5</v>
      </c>
      <c r="C15" s="31"/>
      <c r="D15" s="37">
        <v>0</v>
      </c>
      <c r="E15" s="37">
        <v>0</v>
      </c>
      <c r="F15" s="37">
        <v>0</v>
      </c>
      <c r="G15" s="31">
        <v>0.5</v>
      </c>
      <c r="H15" s="31">
        <f>B15*G15</f>
        <v>2.5</v>
      </c>
      <c r="I15" s="63">
        <f>$I$7</f>
        <v>41</v>
      </c>
      <c r="J15" s="63">
        <f>H15*I15</f>
        <v>102.5</v>
      </c>
      <c r="K15" s="454">
        <f>J15*0.1</f>
        <v>10.25</v>
      </c>
      <c r="L15" s="454">
        <f>J15*0.05</f>
        <v>5.125</v>
      </c>
      <c r="M15" s="31">
        <f>C15*G15*I15</f>
        <v>0</v>
      </c>
      <c r="N15" s="37">
        <f>(J15*'Base Data'!$C$5)+(K15*'Base Data'!$C$6)+(L15*'Base Data'!$C$7)</f>
        <v>12907.671250000001</v>
      </c>
      <c r="O15" s="37">
        <f>(D15+E15+F15)*G15*I15</f>
        <v>0</v>
      </c>
      <c r="P15" s="64">
        <f>G15*I15</f>
        <v>20.5</v>
      </c>
      <c r="Q15" s="66" t="s">
        <v>465</v>
      </c>
      <c r="U15" s="504"/>
    </row>
    <row r="16" spans="1:21" s="95" customFormat="1" ht="9" hidden="1" x14ac:dyDescent="0.15">
      <c r="A16" s="101"/>
      <c r="B16" s="31"/>
      <c r="C16" s="31"/>
      <c r="D16" s="37"/>
      <c r="E16" s="37"/>
      <c r="F16" s="37"/>
      <c r="G16" s="31"/>
      <c r="H16" s="31"/>
      <c r="I16" s="63"/>
      <c r="J16" s="367">
        <f>SUM(J7:J15)</f>
        <v>4108.5</v>
      </c>
      <c r="K16" s="367">
        <f>SUM(K7:K15)</f>
        <v>410.85</v>
      </c>
      <c r="L16" s="367">
        <f>SUM(L7:L15)</f>
        <v>205.42500000000001</v>
      </c>
      <c r="M16" s="31"/>
      <c r="N16" s="37"/>
      <c r="O16" s="37"/>
      <c r="P16" s="64"/>
      <c r="Q16" s="66"/>
      <c r="U16" s="504"/>
    </row>
    <row r="17" spans="1:21" s="371" customFormat="1" ht="9" x14ac:dyDescent="0.15">
      <c r="A17" s="376" t="s">
        <v>4</v>
      </c>
      <c r="B17" s="364"/>
      <c r="C17" s="364"/>
      <c r="D17" s="365"/>
      <c r="E17" s="365"/>
      <c r="F17" s="365"/>
      <c r="G17" s="364"/>
      <c r="H17" s="364"/>
      <c r="I17" s="367"/>
      <c r="J17" s="727">
        <f>J16+K16+L16</f>
        <v>4724.7750000000005</v>
      </c>
      <c r="K17" s="750"/>
      <c r="L17" s="751"/>
      <c r="M17" s="367">
        <f>SUM(M7:M15)</f>
        <v>0</v>
      </c>
      <c r="N17" s="367">
        <f>SUM(N7:N15)</f>
        <v>517377.24225000007</v>
      </c>
      <c r="O17" s="367">
        <f>SUM(O7:O15)</f>
        <v>726328</v>
      </c>
      <c r="P17" s="367">
        <f>SUM(P13:P15)</f>
        <v>102.5</v>
      </c>
      <c r="Q17" s="368"/>
      <c r="R17" s="370">
        <f>SUM(O7:O9)</f>
        <v>726328</v>
      </c>
      <c r="S17" s="371">
        <f>0</f>
        <v>0</v>
      </c>
      <c r="U17" s="505"/>
    </row>
    <row r="18" spans="1:21" s="95" customFormat="1" ht="9" x14ac:dyDescent="0.15">
      <c r="A18" s="91" t="s">
        <v>309</v>
      </c>
      <c r="B18" s="31"/>
      <c r="C18" s="31"/>
      <c r="D18" s="37"/>
      <c r="E18" s="37"/>
      <c r="F18" s="37"/>
      <c r="G18" s="31"/>
      <c r="H18" s="31"/>
      <c r="I18" s="64"/>
      <c r="J18" s="31"/>
      <c r="K18" s="31"/>
      <c r="L18" s="31"/>
      <c r="M18" s="31"/>
      <c r="N18" s="37"/>
      <c r="O18" s="37"/>
      <c r="P18" s="64"/>
      <c r="Q18" s="66"/>
      <c r="U18" s="503"/>
    </row>
    <row r="19" spans="1:21" s="95" customFormat="1" ht="9" x14ac:dyDescent="0.15">
      <c r="A19" s="91" t="s">
        <v>287</v>
      </c>
      <c r="B19" s="31" t="s">
        <v>301</v>
      </c>
      <c r="C19" s="31"/>
      <c r="D19" s="37"/>
      <c r="E19" s="37"/>
      <c r="F19" s="37"/>
      <c r="G19" s="31"/>
      <c r="H19" s="31"/>
      <c r="I19" s="64"/>
      <c r="J19" s="31"/>
      <c r="K19" s="31"/>
      <c r="L19" s="31"/>
      <c r="M19" s="31"/>
      <c r="N19" s="37"/>
      <c r="O19" s="37"/>
      <c r="P19" s="64"/>
      <c r="Q19" s="66"/>
      <c r="U19" s="503"/>
    </row>
    <row r="20" spans="1:21" s="95" customFormat="1" ht="9" x14ac:dyDescent="0.15">
      <c r="A20" s="91" t="s">
        <v>298</v>
      </c>
      <c r="B20" s="31" t="s">
        <v>311</v>
      </c>
      <c r="C20" s="31"/>
      <c r="D20" s="37"/>
      <c r="E20" s="37"/>
      <c r="F20" s="37"/>
      <c r="G20" s="31"/>
      <c r="H20" s="31"/>
      <c r="I20" s="64"/>
      <c r="J20" s="31"/>
      <c r="K20" s="31"/>
      <c r="L20" s="31"/>
      <c r="M20" s="31"/>
      <c r="N20" s="37"/>
      <c r="O20" s="37"/>
      <c r="P20" s="64"/>
      <c r="Q20" s="66"/>
      <c r="U20" s="503"/>
    </row>
    <row r="21" spans="1:21" s="95" customFormat="1" ht="9" x14ac:dyDescent="0.15">
      <c r="A21" s="91" t="s">
        <v>299</v>
      </c>
      <c r="B21" s="31" t="s">
        <v>311</v>
      </c>
      <c r="C21" s="31"/>
      <c r="D21" s="37"/>
      <c r="E21" s="37"/>
      <c r="F21" s="37"/>
      <c r="G21" s="31"/>
      <c r="H21" s="31"/>
      <c r="I21" s="64"/>
      <c r="J21" s="31"/>
      <c r="K21" s="31"/>
      <c r="L21" s="31"/>
      <c r="M21" s="31"/>
      <c r="N21" s="37"/>
      <c r="O21" s="37"/>
      <c r="P21" s="64"/>
      <c r="Q21" s="66" t="s">
        <v>108</v>
      </c>
      <c r="U21" s="503"/>
    </row>
    <row r="22" spans="1:21" s="95" customFormat="1" ht="9" x14ac:dyDescent="0.15">
      <c r="A22" s="91" t="s">
        <v>300</v>
      </c>
      <c r="B22" s="31"/>
      <c r="C22" s="31"/>
      <c r="D22" s="37"/>
      <c r="E22" s="37"/>
      <c r="F22" s="37"/>
      <c r="G22" s="31"/>
      <c r="H22" s="31"/>
      <c r="I22" s="64"/>
      <c r="J22" s="31"/>
      <c r="K22" s="31"/>
      <c r="L22" s="31"/>
      <c r="M22" s="31"/>
      <c r="N22" s="37"/>
      <c r="O22" s="37"/>
      <c r="P22" s="64"/>
      <c r="Q22" s="66"/>
      <c r="U22" s="503"/>
    </row>
    <row r="23" spans="1:21" s="95" customFormat="1" ht="19.5" customHeight="1" x14ac:dyDescent="0.15">
      <c r="A23" s="101" t="s">
        <v>271</v>
      </c>
      <c r="B23" s="31">
        <v>2</v>
      </c>
      <c r="C23" s="31">
        <v>0</v>
      </c>
      <c r="D23" s="37">
        <v>0</v>
      </c>
      <c r="E23" s="37">
        <v>0</v>
      </c>
      <c r="F23" s="37">
        <v>0</v>
      </c>
      <c r="G23" s="31">
        <v>0.5</v>
      </c>
      <c r="H23" s="31">
        <f>B23*G23</f>
        <v>1</v>
      </c>
      <c r="I23" s="64">
        <f>I15</f>
        <v>41</v>
      </c>
      <c r="J23" s="63">
        <f>H23*I23</f>
        <v>41</v>
      </c>
      <c r="K23" s="454">
        <f>J23*0.1</f>
        <v>4.1000000000000005</v>
      </c>
      <c r="L23" s="454">
        <f>J23*0.05</f>
        <v>2.0500000000000003</v>
      </c>
      <c r="M23" s="31">
        <f>C23*G23*I23</f>
        <v>0</v>
      </c>
      <c r="N23" s="37">
        <f>(J23*'Base Data'!$C$5)+(K23*'Base Data'!$C$6)+(L23*'Base Data'!$C$7)</f>
        <v>5163.0685000000012</v>
      </c>
      <c r="O23" s="37">
        <f>(D23+E23+F23)*G23*I23</f>
        <v>0</v>
      </c>
      <c r="P23" s="64">
        <v>0</v>
      </c>
      <c r="Q23" s="66" t="s">
        <v>276</v>
      </c>
      <c r="U23" s="503"/>
    </row>
    <row r="24" spans="1:21" s="95" customFormat="1" ht="9" x14ac:dyDescent="0.15">
      <c r="A24" s="101" t="s">
        <v>364</v>
      </c>
      <c r="B24" s="31">
        <v>0.5</v>
      </c>
      <c r="C24" s="31"/>
      <c r="D24" s="37">
        <v>0</v>
      </c>
      <c r="E24" s="37">
        <v>0</v>
      </c>
      <c r="F24" s="37">
        <v>0</v>
      </c>
      <c r="G24" s="31">
        <v>0.5</v>
      </c>
      <c r="H24" s="31">
        <f>B24*G24</f>
        <v>0.25</v>
      </c>
      <c r="I24" s="64">
        <f>I9</f>
        <v>326</v>
      </c>
      <c r="J24" s="63">
        <f>H24*I24</f>
        <v>81.5</v>
      </c>
      <c r="K24" s="454">
        <f>J24*0.1</f>
        <v>8.15</v>
      </c>
      <c r="L24" s="454">
        <f>J24*0.05</f>
        <v>4.0750000000000002</v>
      </c>
      <c r="M24" s="31">
        <f>C24*G24*I24</f>
        <v>0</v>
      </c>
      <c r="N24" s="37">
        <f>(J24*'Base Data'!$C$5)+(K24*'Base Data'!$C$6)+(L24*'Base Data'!$C$7)</f>
        <v>10263.17275</v>
      </c>
      <c r="O24" s="37">
        <f>(D24+E24+F24)*G24*I24</f>
        <v>0</v>
      </c>
      <c r="P24" s="64">
        <v>0</v>
      </c>
      <c r="Q24" s="66" t="s">
        <v>547</v>
      </c>
      <c r="U24" s="503"/>
    </row>
    <row r="25" spans="1:21" s="4" customFormat="1" ht="9" x14ac:dyDescent="0.15">
      <c r="A25" s="90" t="s">
        <v>305</v>
      </c>
      <c r="B25" s="31">
        <v>40</v>
      </c>
      <c r="C25" s="13"/>
      <c r="D25" s="26">
        <v>0</v>
      </c>
      <c r="E25" s="26">
        <v>0</v>
      </c>
      <c r="F25" s="26">
        <v>0</v>
      </c>
      <c r="G25" s="13">
        <v>1</v>
      </c>
      <c r="H25" s="13">
        <f>B25*G25</f>
        <v>40</v>
      </c>
      <c r="I25" s="63">
        <f>$I$7</f>
        <v>41</v>
      </c>
      <c r="J25" s="14">
        <f>H25*I25</f>
        <v>1640</v>
      </c>
      <c r="K25" s="14">
        <f>J25*0.1</f>
        <v>164</v>
      </c>
      <c r="L25" s="14">
        <f>J25*0.05</f>
        <v>82</v>
      </c>
      <c r="M25" s="13"/>
      <c r="N25" s="26">
        <f>(J25*'Base Data'!$C$5)+(K25*'Base Data'!$C$6)+(L25*'Base Data'!$C$7)</f>
        <v>206522.74000000002</v>
      </c>
      <c r="O25" s="26">
        <f>(D25+E25+F25)*G25*I25</f>
        <v>0</v>
      </c>
      <c r="P25" s="64">
        <v>0</v>
      </c>
      <c r="Q25" s="19" t="s">
        <v>277</v>
      </c>
      <c r="U25" s="504"/>
    </row>
    <row r="26" spans="1:21" s="95" customFormat="1" ht="9" x14ac:dyDescent="0.15">
      <c r="A26" s="91" t="s">
        <v>306</v>
      </c>
      <c r="B26" s="31" t="s">
        <v>311</v>
      </c>
      <c r="C26" s="31"/>
      <c r="D26" s="37"/>
      <c r="E26" s="37"/>
      <c r="F26" s="37"/>
      <c r="G26" s="31"/>
      <c r="H26" s="31"/>
      <c r="I26" s="64"/>
      <c r="J26" s="31"/>
      <c r="K26" s="31"/>
      <c r="L26" s="31"/>
      <c r="M26" s="31"/>
      <c r="N26" s="37"/>
      <c r="O26" s="37"/>
      <c r="P26" s="64"/>
      <c r="Q26" s="66"/>
      <c r="U26" s="503"/>
    </row>
    <row r="27" spans="1:21" s="95" customFormat="1" ht="9" hidden="1" x14ac:dyDescent="0.15">
      <c r="A27" s="450"/>
      <c r="B27" s="437"/>
      <c r="C27" s="437"/>
      <c r="D27" s="438"/>
      <c r="E27" s="438"/>
      <c r="F27" s="438"/>
      <c r="G27" s="437"/>
      <c r="H27" s="437"/>
      <c r="I27" s="439"/>
      <c r="J27" s="372">
        <f>SUM(J19:J26)</f>
        <v>1762.5</v>
      </c>
      <c r="K27" s="372">
        <f>SUM(K19:K26)</f>
        <v>176.25</v>
      </c>
      <c r="L27" s="372">
        <f>SUM(L19:L26)</f>
        <v>88.125</v>
      </c>
      <c r="M27" s="437"/>
      <c r="N27" s="438"/>
      <c r="O27" s="438"/>
      <c r="P27" s="439"/>
      <c r="Q27" s="440"/>
    </row>
    <row r="28" spans="1:21" s="371" customFormat="1" ht="9" x14ac:dyDescent="0.15">
      <c r="A28" s="377" t="s">
        <v>23</v>
      </c>
      <c r="B28" s="372"/>
      <c r="C28" s="372"/>
      <c r="D28" s="373"/>
      <c r="E28" s="373"/>
      <c r="F28" s="373"/>
      <c r="G28" s="372"/>
      <c r="H28" s="372"/>
      <c r="I28" s="374"/>
      <c r="J28" s="759">
        <f>J27+K27+L27</f>
        <v>2026.875</v>
      </c>
      <c r="K28" s="760"/>
      <c r="L28" s="761"/>
      <c r="M28" s="372">
        <f>SUM(M19:M26)</f>
        <v>0</v>
      </c>
      <c r="N28" s="373">
        <f>SUM(N19:N26)</f>
        <v>221948.98125000001</v>
      </c>
      <c r="O28" s="373">
        <f>SUM(O19:O26)</f>
        <v>0</v>
      </c>
      <c r="P28" s="374">
        <f>SUM(P19:P26)</f>
        <v>0</v>
      </c>
      <c r="Q28" s="375"/>
      <c r="R28" s="370">
        <f>SUM(O19:O28)</f>
        <v>0</v>
      </c>
    </row>
    <row r="29" spans="1:21" s="371" customFormat="1" ht="9" hidden="1" x14ac:dyDescent="0.15">
      <c r="A29" s="453"/>
      <c r="B29" s="429"/>
      <c r="C29" s="429"/>
      <c r="D29" s="430"/>
      <c r="E29" s="430"/>
      <c r="F29" s="430"/>
      <c r="G29" s="429"/>
      <c r="H29" s="429"/>
      <c r="I29" s="431"/>
      <c r="J29" s="114">
        <f>SUM(J16,J27)</f>
        <v>5871</v>
      </c>
      <c r="K29" s="114">
        <f>SUM(K16,K27)</f>
        <v>587.1</v>
      </c>
      <c r="L29" s="114">
        <f>SUM(L16,L27)</f>
        <v>293.55</v>
      </c>
      <c r="M29" s="429"/>
      <c r="N29" s="430"/>
      <c r="O29" s="430"/>
      <c r="P29" s="431"/>
      <c r="Q29" s="432"/>
      <c r="R29" s="370"/>
    </row>
    <row r="30" spans="1:21" s="95" customFormat="1" x14ac:dyDescent="0.2">
      <c r="A30" s="110" t="s">
        <v>283</v>
      </c>
      <c r="B30" s="111"/>
      <c r="C30" s="111"/>
      <c r="D30" s="111"/>
      <c r="E30" s="111"/>
      <c r="F30" s="111"/>
      <c r="G30" s="111"/>
      <c r="H30" s="111"/>
      <c r="I30" s="441"/>
      <c r="J30" s="754">
        <f>J29+K29+L29</f>
        <v>6751.6500000000005</v>
      </c>
      <c r="K30" s="731"/>
      <c r="L30" s="769"/>
      <c r="M30" s="452">
        <f>SUM(M17,M28)</f>
        <v>0</v>
      </c>
      <c r="N30" s="115">
        <f>SUM(N17,N28)</f>
        <v>739326.22350000008</v>
      </c>
      <c r="O30" s="115">
        <f>SUM(O17,O28)</f>
        <v>726328</v>
      </c>
      <c r="P30" s="114">
        <f>SUM(P17,P28)</f>
        <v>102.5</v>
      </c>
      <c r="Q30" s="116"/>
    </row>
    <row r="31" spans="1:21" s="38" customFormat="1" ht="9" x14ac:dyDescent="0.15">
      <c r="B31" s="41"/>
      <c r="C31" s="41"/>
      <c r="D31" s="41"/>
      <c r="E31" s="41"/>
      <c r="F31" s="41"/>
      <c r="G31" s="41"/>
      <c r="H31" s="41"/>
      <c r="I31" s="42"/>
      <c r="J31" s="41"/>
      <c r="K31" s="41"/>
      <c r="L31" s="41"/>
      <c r="M31" s="41"/>
      <c r="N31" s="41"/>
      <c r="O31" s="121"/>
      <c r="P31" s="121"/>
      <c r="Q31" s="41"/>
    </row>
    <row r="32" spans="1:21" s="38" customFormat="1" ht="9" customHeight="1" x14ac:dyDescent="0.15">
      <c r="A32" s="748" t="s">
        <v>519</v>
      </c>
      <c r="B32" s="748"/>
      <c r="C32" s="748"/>
      <c r="D32" s="748"/>
      <c r="E32" s="748"/>
      <c r="F32" s="748"/>
      <c r="G32" s="748"/>
      <c r="H32" s="748"/>
      <c r="I32" s="748"/>
      <c r="J32" s="748"/>
      <c r="K32" s="748"/>
      <c r="L32" s="748"/>
      <c r="M32" s="748"/>
      <c r="N32" s="748"/>
      <c r="O32" s="748"/>
      <c r="P32" s="121"/>
      <c r="Q32" s="41"/>
    </row>
    <row r="33" spans="1:18" s="38" customFormat="1" ht="9" customHeight="1" x14ac:dyDescent="0.15">
      <c r="A33" s="682" t="s">
        <v>107</v>
      </c>
      <c r="B33" s="682"/>
      <c r="C33" s="682"/>
      <c r="D33" s="682"/>
      <c r="E33" s="682"/>
      <c r="F33" s="682"/>
      <c r="G33" s="682"/>
      <c r="H33" s="682"/>
      <c r="I33" s="682"/>
      <c r="J33" s="682"/>
      <c r="K33" s="682"/>
      <c r="L33" s="682"/>
      <c r="M33" s="682"/>
      <c r="N33" s="682"/>
      <c r="O33" s="682"/>
      <c r="P33" s="121"/>
      <c r="Q33" s="41"/>
    </row>
    <row r="34" spans="1:18" s="38" customFormat="1" ht="9" x14ac:dyDescent="0.15">
      <c r="A34" s="9" t="s">
        <v>413</v>
      </c>
      <c r="B34" s="81"/>
      <c r="C34" s="81"/>
      <c r="D34" s="81"/>
      <c r="E34" s="81"/>
      <c r="F34" s="81"/>
      <c r="G34" s="81"/>
      <c r="H34" s="81"/>
      <c r="I34" s="81"/>
      <c r="J34" s="81"/>
      <c r="K34" s="81"/>
      <c r="L34" s="81"/>
      <c r="M34" s="81"/>
      <c r="N34" s="81"/>
      <c r="O34" s="81"/>
      <c r="P34" s="121"/>
      <c r="Q34" s="41"/>
    </row>
    <row r="35" spans="1:18" s="38" customFormat="1" ht="9" x14ac:dyDescent="0.15">
      <c r="A35" s="271" t="s">
        <v>464</v>
      </c>
      <c r="B35" s="41"/>
      <c r="C35" s="41"/>
      <c r="D35" s="41"/>
      <c r="E35" s="41"/>
      <c r="F35" s="41"/>
      <c r="G35" s="41"/>
      <c r="H35" s="41"/>
      <c r="I35" s="42"/>
      <c r="J35" s="41"/>
      <c r="K35" s="41"/>
      <c r="L35" s="41"/>
      <c r="M35" s="41"/>
      <c r="N35" s="41"/>
      <c r="O35" s="121"/>
      <c r="P35" s="121"/>
      <c r="Q35" s="41"/>
    </row>
    <row r="36" spans="1:18" s="38" customFormat="1" ht="9" x14ac:dyDescent="0.15">
      <c r="A36" s="682" t="s">
        <v>548</v>
      </c>
      <c r="B36" s="682"/>
      <c r="C36" s="682"/>
      <c r="D36" s="682"/>
      <c r="E36" s="682"/>
      <c r="F36" s="682"/>
      <c r="G36" s="682"/>
      <c r="H36" s="682"/>
      <c r="I36" s="682"/>
      <c r="J36" s="682"/>
      <c r="K36" s="682"/>
      <c r="L36" s="682"/>
      <c r="M36" s="682"/>
      <c r="N36" s="682"/>
      <c r="O36" s="682"/>
      <c r="P36" s="121"/>
      <c r="Q36" s="41"/>
    </row>
    <row r="37" spans="1:18" s="38" customFormat="1" ht="21.75" customHeight="1" x14ac:dyDescent="0.15">
      <c r="A37" s="749" t="s">
        <v>557</v>
      </c>
      <c r="B37" s="749"/>
      <c r="C37" s="749"/>
      <c r="D37" s="749"/>
      <c r="E37" s="749"/>
      <c r="F37" s="749"/>
      <c r="G37" s="749"/>
      <c r="H37" s="749"/>
      <c r="I37" s="749"/>
      <c r="J37" s="749"/>
      <c r="K37" s="749"/>
      <c r="L37" s="749"/>
      <c r="M37" s="749"/>
      <c r="N37" s="749"/>
      <c r="O37" s="749"/>
      <c r="P37" s="121"/>
      <c r="Q37" s="41"/>
    </row>
    <row r="38" spans="1:18" s="38" customFormat="1" ht="9" x14ac:dyDescent="0.15">
      <c r="B38" s="41"/>
      <c r="C38" s="41"/>
      <c r="D38" s="41"/>
      <c r="E38" s="41"/>
      <c r="F38" s="41"/>
      <c r="G38" s="41"/>
      <c r="H38" s="41"/>
      <c r="I38" s="42"/>
      <c r="J38" s="41"/>
      <c r="K38" s="41"/>
      <c r="L38" s="41"/>
      <c r="M38" s="41"/>
      <c r="N38" s="41"/>
      <c r="O38" s="121"/>
      <c r="P38" s="121"/>
      <c r="Q38" s="41"/>
    </row>
    <row r="39" spans="1:18" s="38" customFormat="1" ht="9" x14ac:dyDescent="0.15">
      <c r="B39" s="41"/>
      <c r="C39" s="41"/>
      <c r="D39" s="41"/>
      <c r="E39" s="41"/>
      <c r="F39" s="41"/>
      <c r="G39" s="41"/>
      <c r="H39" s="41"/>
      <c r="I39" s="42"/>
      <c r="J39" s="41"/>
      <c r="K39" s="41"/>
      <c r="L39" s="41"/>
      <c r="M39" s="41"/>
      <c r="N39" s="41"/>
      <c r="O39" s="121"/>
      <c r="P39" s="121"/>
      <c r="Q39" s="41"/>
    </row>
    <row r="40" spans="1:18" s="38" customFormat="1" ht="9" x14ac:dyDescent="0.15">
      <c r="B40" s="41"/>
      <c r="C40" s="41"/>
      <c r="D40" s="41"/>
      <c r="E40" s="41"/>
      <c r="F40" s="41"/>
      <c r="G40" s="41"/>
      <c r="H40" s="41"/>
      <c r="I40" s="42"/>
      <c r="J40" s="41"/>
      <c r="K40" s="41"/>
      <c r="L40" s="41"/>
      <c r="M40" s="41"/>
      <c r="N40" s="41"/>
      <c r="O40" s="121"/>
      <c r="P40" s="121"/>
      <c r="Q40" s="41"/>
    </row>
    <row r="41" spans="1:18" s="38" customFormat="1" ht="9" x14ac:dyDescent="0.15">
      <c r="P41" s="121"/>
      <c r="Q41" s="41"/>
    </row>
    <row r="42" spans="1:18" s="38" customFormat="1" ht="9" x14ac:dyDescent="0.15">
      <c r="A42" s="82"/>
      <c r="B42" s="81"/>
      <c r="C42" s="81"/>
      <c r="D42" s="81"/>
      <c r="E42" s="81"/>
      <c r="F42" s="81"/>
      <c r="G42" s="81"/>
      <c r="H42" s="81"/>
      <c r="I42" s="81"/>
      <c r="J42" s="81"/>
      <c r="K42" s="81"/>
      <c r="L42" s="81"/>
      <c r="M42" s="81"/>
      <c r="N42" s="81"/>
      <c r="O42" s="81"/>
      <c r="P42" s="121"/>
      <c r="Q42" s="41"/>
    </row>
    <row r="43" spans="1:18" s="38" customFormat="1" ht="9" x14ac:dyDescent="0.15">
      <c r="A43" s="82"/>
      <c r="B43" s="81"/>
      <c r="C43" s="81"/>
      <c r="D43" s="81"/>
      <c r="E43" s="81"/>
      <c r="F43" s="81"/>
      <c r="G43" s="81"/>
      <c r="H43" s="81"/>
      <c r="I43" s="81"/>
      <c r="J43" s="81"/>
      <c r="K43" s="81"/>
      <c r="L43" s="81"/>
      <c r="M43" s="81"/>
      <c r="N43" s="81"/>
      <c r="O43" s="81"/>
      <c r="P43" s="121"/>
      <c r="Q43" s="41"/>
    </row>
    <row r="44" spans="1:18" s="38" customFormat="1" ht="9" x14ac:dyDescent="0.15">
      <c r="B44" s="41"/>
      <c r="C44" s="41"/>
      <c r="D44" s="41"/>
      <c r="E44" s="41"/>
      <c r="F44" s="41"/>
      <c r="G44" s="41"/>
      <c r="H44" s="41"/>
      <c r="I44" s="42"/>
      <c r="J44" s="41"/>
      <c r="K44" s="41"/>
      <c r="L44" s="41"/>
      <c r="M44" s="41"/>
      <c r="N44" s="41"/>
      <c r="O44" s="121"/>
      <c r="P44" s="121"/>
      <c r="Q44" s="41"/>
    </row>
    <row r="45" spans="1:18" s="38" customFormat="1" ht="9" x14ac:dyDescent="0.15">
      <c r="B45" s="41"/>
      <c r="C45" s="41"/>
      <c r="D45" s="41"/>
      <c r="E45" s="41"/>
      <c r="F45" s="41"/>
      <c r="G45" s="41"/>
      <c r="H45" s="41"/>
      <c r="I45" s="42"/>
      <c r="J45" s="41"/>
      <c r="K45" s="41"/>
      <c r="L45" s="41"/>
      <c r="M45" s="41"/>
      <c r="N45" s="41"/>
      <c r="O45" s="121"/>
      <c r="P45" s="121"/>
      <c r="Q45" s="41"/>
    </row>
    <row r="46" spans="1:18" s="38" customFormat="1" x14ac:dyDescent="0.2">
      <c r="B46" s="41"/>
      <c r="C46" s="41"/>
      <c r="D46" s="41"/>
      <c r="E46" s="41"/>
      <c r="F46" s="41"/>
      <c r="G46" s="41"/>
      <c r="H46" s="41"/>
      <c r="I46" s="42"/>
      <c r="J46" s="41"/>
      <c r="K46" s="41"/>
      <c r="L46" s="41"/>
      <c r="M46" s="41"/>
      <c r="N46" s="41"/>
      <c r="O46" s="121"/>
      <c r="P46" s="121"/>
      <c r="Q46" s="41"/>
      <c r="R46" s="77"/>
    </row>
    <row r="47" spans="1:18" x14ac:dyDescent="0.2">
      <c r="Q47" s="41"/>
    </row>
    <row r="48" spans="1:18" x14ac:dyDescent="0.2">
      <c r="Q48" s="41"/>
    </row>
    <row r="49" spans="17:17" x14ac:dyDescent="0.2">
      <c r="Q49" s="41"/>
    </row>
    <row r="50" spans="17:17" x14ac:dyDescent="0.2">
      <c r="Q50" s="41"/>
    </row>
    <row r="51" spans="17:17" x14ac:dyDescent="0.2">
      <c r="Q51" s="41"/>
    </row>
    <row r="52" spans="17:17" x14ac:dyDescent="0.2">
      <c r="Q52" s="41"/>
    </row>
    <row r="53" spans="17:17" x14ac:dyDescent="0.2">
      <c r="Q53" s="41"/>
    </row>
    <row r="54" spans="17:17" x14ac:dyDescent="0.2">
      <c r="Q54" s="41"/>
    </row>
    <row r="55" spans="17:17" x14ac:dyDescent="0.2">
      <c r="Q55" s="41"/>
    </row>
    <row r="56" spans="17:17" x14ac:dyDescent="0.2">
      <c r="Q56" s="41"/>
    </row>
    <row r="57" spans="17:17" x14ac:dyDescent="0.2">
      <c r="Q57" s="41"/>
    </row>
    <row r="58" spans="17:17" x14ac:dyDescent="0.2">
      <c r="Q58" s="41"/>
    </row>
    <row r="59" spans="17:17" x14ac:dyDescent="0.2">
      <c r="Q59" s="41"/>
    </row>
    <row r="60" spans="17:17" x14ac:dyDescent="0.2">
      <c r="Q60" s="41"/>
    </row>
    <row r="61" spans="17:17" x14ac:dyDescent="0.2">
      <c r="Q61" s="41"/>
    </row>
  </sheetData>
  <mergeCells count="9">
    <mergeCell ref="A37:O37"/>
    <mergeCell ref="A36:O36"/>
    <mergeCell ref="A1:Q1"/>
    <mergeCell ref="A2:Q2"/>
    <mergeCell ref="A33:O33"/>
    <mergeCell ref="A32:O32"/>
    <mergeCell ref="J17:L17"/>
    <mergeCell ref="J28:L28"/>
    <mergeCell ref="J30:L30"/>
  </mergeCells>
  <phoneticPr fontId="9" type="noConversion"/>
  <pageMargins left="0.25" right="0.25" top="0.5" bottom="0.75" header="0.5" footer="0.5"/>
  <pageSetup scale="6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workbookViewId="0">
      <selection activeCell="A3" sqref="A3"/>
    </sheetView>
  </sheetViews>
  <sheetFormatPr defaultColWidth="9.140625" defaultRowHeight="12.75" x14ac:dyDescent="0.2"/>
  <cols>
    <col min="1" max="2" width="2.42578125" style="62" customWidth="1"/>
    <col min="3" max="3" width="2.140625" style="62" customWidth="1"/>
    <col min="4" max="4" width="1.42578125" style="62" customWidth="1"/>
    <col min="5" max="5" width="2.42578125" style="62" customWidth="1"/>
    <col min="6" max="6" width="40.5703125" style="62" customWidth="1"/>
    <col min="7" max="7" width="12" style="122" customWidth="1"/>
    <col min="8" max="8" width="13" style="122" customWidth="1"/>
    <col min="9" max="9" width="14.42578125" style="122" customWidth="1"/>
    <col min="10" max="10" width="10.5703125" style="122" customWidth="1"/>
    <col min="11" max="11" width="11" style="122" customWidth="1"/>
    <col min="12" max="12" width="14" style="122" customWidth="1"/>
    <col min="13" max="13" width="13" style="123" customWidth="1"/>
    <col min="14" max="14" width="3.85546875" style="124" bestFit="1" customWidth="1"/>
    <col min="15" max="15" width="15.42578125" style="62" customWidth="1"/>
    <col min="16" max="16384" width="9.140625" style="62"/>
  </cols>
  <sheetData>
    <row r="1" spans="1:15" x14ac:dyDescent="0.2">
      <c r="A1" s="690" t="s">
        <v>42</v>
      </c>
      <c r="B1" s="690"/>
      <c r="C1" s="690"/>
      <c r="D1" s="690"/>
      <c r="E1" s="690"/>
      <c r="F1" s="690"/>
      <c r="G1" s="690"/>
      <c r="H1" s="690"/>
      <c r="I1" s="690"/>
      <c r="J1" s="690"/>
      <c r="K1" s="690"/>
      <c r="L1" s="690"/>
      <c r="M1" s="690"/>
      <c r="N1" s="690"/>
    </row>
    <row r="2" spans="1:15" ht="12" customHeight="1" x14ac:dyDescent="0.2">
      <c r="A2" s="690" t="s">
        <v>601</v>
      </c>
      <c r="B2" s="690"/>
      <c r="C2" s="690"/>
      <c r="D2" s="690"/>
      <c r="E2" s="690"/>
      <c r="F2" s="690"/>
      <c r="G2" s="690"/>
      <c r="H2" s="690"/>
      <c r="I2" s="690"/>
      <c r="J2" s="690"/>
      <c r="K2" s="690"/>
      <c r="L2" s="690"/>
      <c r="M2" s="690"/>
      <c r="N2" s="690"/>
    </row>
    <row r="3" spans="1:15" ht="15" customHeight="1" thickBot="1" x14ac:dyDescent="0.25"/>
    <row r="4" spans="1:15" s="84" customFormat="1" ht="51" x14ac:dyDescent="0.2">
      <c r="A4" s="125" t="s">
        <v>280</v>
      </c>
      <c r="B4" s="126"/>
      <c r="C4" s="126"/>
      <c r="D4" s="126"/>
      <c r="E4" s="126"/>
      <c r="F4" s="126"/>
      <c r="G4" s="127" t="s">
        <v>43</v>
      </c>
      <c r="H4" s="127" t="s">
        <v>44</v>
      </c>
      <c r="I4" s="127" t="s">
        <v>45</v>
      </c>
      <c r="J4" s="127" t="s">
        <v>46</v>
      </c>
      <c r="K4" s="127" t="s">
        <v>47</v>
      </c>
      <c r="L4" s="127" t="s">
        <v>48</v>
      </c>
      <c r="M4" s="128" t="s">
        <v>19</v>
      </c>
      <c r="N4" s="129" t="s">
        <v>282</v>
      </c>
    </row>
    <row r="5" spans="1:15" ht="15" customHeight="1" x14ac:dyDescent="0.2">
      <c r="A5" s="146" t="s">
        <v>49</v>
      </c>
      <c r="B5" s="147" t="s">
        <v>50</v>
      </c>
      <c r="C5" s="147"/>
      <c r="D5" s="147"/>
      <c r="E5" s="147"/>
      <c r="F5" s="148"/>
      <c r="G5" s="149">
        <v>40</v>
      </c>
      <c r="H5" s="149">
        <v>60</v>
      </c>
      <c r="I5" s="150">
        <f>G5*H5</f>
        <v>2400</v>
      </c>
      <c r="J5" s="150">
        <f>I5</f>
        <v>2400</v>
      </c>
      <c r="K5" s="150">
        <f>J5*0.05</f>
        <v>120</v>
      </c>
      <c r="L5" s="150">
        <f>J5*0.1</f>
        <v>240</v>
      </c>
      <c r="M5" s="151">
        <f>(J5*'Agency Base Data'!$C$6)+(K5*'Agency Base Data'!$C$4)+(L5*'Agency Base Data'!$C$5)</f>
        <v>129412.8</v>
      </c>
      <c r="N5" s="152" t="s">
        <v>276</v>
      </c>
      <c r="O5" s="29"/>
    </row>
    <row r="6" spans="1:15" ht="27" customHeight="1" x14ac:dyDescent="0.2">
      <c r="A6" s="153" t="s">
        <v>51</v>
      </c>
      <c r="B6" s="691" t="s">
        <v>52</v>
      </c>
      <c r="C6" s="691"/>
      <c r="D6" s="691"/>
      <c r="E6" s="691"/>
      <c r="F6" s="691"/>
      <c r="G6" s="154">
        <v>2</v>
      </c>
      <c r="H6" s="155">
        <f>SUM('Fac-ExistLrgSolid-Yr0'!$I$50,'Fac-ExistLrgLiquid-Yr0'!$I$50,'Fac-ExistLrgGas-Yr0'!$I$45,'Fac-NewLrgSolid-Yr0'!$I$44,'Fac-NewLrgLiquid-Yr0'!$I$44,'Fac-NewLrgGas-Yr0'!$I$42,'Fac - ExistSmlSolid-Yr0'!$I$16,'Fac - ExistSmlLiquid-Yr0'!$I$16,'Fac - ExistSmlGas-Yr0'!$I$16,'Fac-NewSmlSolid-Yr0'!$I$13,'Fac-NewSmlLiquid-Yr0'!$I$13,'Fac-NewSmlGas-Yr0'!$I$13)</f>
        <v>1936</v>
      </c>
      <c r="I6" s="155">
        <f>G6*H6</f>
        <v>3872</v>
      </c>
      <c r="J6" s="155">
        <f>I6</f>
        <v>3872</v>
      </c>
      <c r="K6" s="155">
        <f>J6*0.05</f>
        <v>193.60000000000002</v>
      </c>
      <c r="L6" s="155">
        <f>J6*0.1</f>
        <v>387.20000000000005</v>
      </c>
      <c r="M6" s="156">
        <f>(J6*'Agency Base Data'!$C$6)+(K6*'Agency Base Data'!$C$4)+(L6*'Agency Base Data'!$C$5)</f>
        <v>208785.98399999997</v>
      </c>
      <c r="N6" s="157" t="s">
        <v>108</v>
      </c>
      <c r="O6" s="131"/>
    </row>
    <row r="7" spans="1:15" ht="15" customHeight="1" x14ac:dyDescent="0.2">
      <c r="A7" s="153" t="s">
        <v>53</v>
      </c>
      <c r="B7" s="158" t="s">
        <v>54</v>
      </c>
      <c r="C7" s="159"/>
      <c r="D7" s="160"/>
      <c r="E7" s="160"/>
      <c r="F7" s="161"/>
      <c r="G7" s="154"/>
      <c r="H7" s="154"/>
      <c r="I7" s="155"/>
      <c r="J7" s="155"/>
      <c r="K7" s="155"/>
      <c r="L7" s="155"/>
      <c r="M7" s="156"/>
      <c r="N7" s="157"/>
      <c r="O7" s="130"/>
    </row>
    <row r="8" spans="1:15" ht="15" customHeight="1" x14ac:dyDescent="0.2">
      <c r="A8" s="153"/>
      <c r="B8" s="158" t="s">
        <v>55</v>
      </c>
      <c r="C8" s="299" t="s">
        <v>520</v>
      </c>
      <c r="D8" s="160"/>
      <c r="E8" s="162"/>
      <c r="F8" s="161"/>
      <c r="G8" s="154">
        <v>20</v>
      </c>
      <c r="H8" s="155">
        <f>SUM('Fac-ExistLrgSolid-Yr0'!I25,'Fac-ExistLrgLiquid-Yr0'!I25,'Fac-ExistLrgGas-Yr0'!I24,'Fac-NewLrgSolid-Yr0'!I22,'Fac-NewLrgLiquid-Yr0'!I22,'Fac-NewLrgGas-Yr0'!I21)</f>
        <v>4</v>
      </c>
      <c r="I8" s="155">
        <f t="shared" ref="I8:I13" si="0">G8*H8</f>
        <v>80</v>
      </c>
      <c r="J8" s="155">
        <f t="shared" ref="J8:J14" si="1">I8</f>
        <v>80</v>
      </c>
      <c r="K8" s="155">
        <f t="shared" ref="K8:K14" si="2">J8*0.05</f>
        <v>4</v>
      </c>
      <c r="L8" s="155">
        <f t="shared" ref="L8:L14" si="3">J8*0.1</f>
        <v>8</v>
      </c>
      <c r="M8" s="156">
        <f>(J8*'Agency Base Data'!$C$6)+(K8*'Agency Base Data'!$C$4)+(L8*'Agency Base Data'!$C$5)</f>
        <v>4313.7599999999993</v>
      </c>
      <c r="N8" s="300" t="s">
        <v>405</v>
      </c>
      <c r="O8" s="132"/>
    </row>
    <row r="9" spans="1:15" ht="15" customHeight="1" x14ac:dyDescent="0.2">
      <c r="A9" s="153"/>
      <c r="B9" s="299" t="s">
        <v>57</v>
      </c>
      <c r="C9" s="299" t="s">
        <v>525</v>
      </c>
      <c r="D9" s="160"/>
      <c r="E9" s="162"/>
      <c r="F9" s="161"/>
      <c r="G9" s="154">
        <v>20</v>
      </c>
      <c r="H9" s="155">
        <f>SUM('Fac-NewLrgSolid-Yr0'!I22,'Fac-NewLrgLiquid-Yr0'!I22,'Fac-NewLrgGas-Yr0'!I21)</f>
        <v>4</v>
      </c>
      <c r="I9" s="155">
        <f t="shared" si="0"/>
        <v>80</v>
      </c>
      <c r="J9" s="155">
        <f t="shared" si="1"/>
        <v>80</v>
      </c>
      <c r="K9" s="155">
        <f t="shared" si="2"/>
        <v>4</v>
      </c>
      <c r="L9" s="155">
        <f t="shared" si="3"/>
        <v>8</v>
      </c>
      <c r="M9" s="156">
        <f>(J9*'Agency Base Data'!$C$6)+(K9*'Agency Base Data'!$C$4)+(L9*'Agency Base Data'!$C$5)</f>
        <v>4313.7599999999993</v>
      </c>
      <c r="N9" s="300" t="s">
        <v>417</v>
      </c>
      <c r="O9" s="132"/>
    </row>
    <row r="10" spans="1:15" ht="15" customHeight="1" x14ac:dyDescent="0.2">
      <c r="A10" s="153"/>
      <c r="B10" s="299" t="s">
        <v>59</v>
      </c>
      <c r="C10" s="158" t="s">
        <v>56</v>
      </c>
      <c r="D10" s="160"/>
      <c r="E10" s="162"/>
      <c r="F10" s="161"/>
      <c r="G10" s="154">
        <v>40</v>
      </c>
      <c r="H10" s="155">
        <f>ROUND(0.2*SUM('Fac-ExistLrgSolid-Yr0'!$I$12:$I$15,'Fac-ExistLrgLiquid-Yr0'!$I$12:$I$15,'Fac-NewLrgSolid-Yr0'!$I$9:$I$12,'Fac-NewLrgLiquid-Yr0'!$I$9:$I$12,'Fac-ExistLrgGas-Yr0'!I12:I15,'Fac-NewLrgGas-Yr0'!I9:I12),0)</f>
        <v>21</v>
      </c>
      <c r="I10" s="155">
        <f t="shared" si="0"/>
        <v>840</v>
      </c>
      <c r="J10" s="155">
        <f t="shared" si="1"/>
        <v>840</v>
      </c>
      <c r="K10" s="155">
        <f t="shared" si="2"/>
        <v>42</v>
      </c>
      <c r="L10" s="155">
        <f t="shared" si="3"/>
        <v>84</v>
      </c>
      <c r="M10" s="156">
        <f>(J10*'Agency Base Data'!$C$6)+(K10*'Agency Base Data'!$C$4)+(L10*'Agency Base Data'!$C$5)</f>
        <v>45294.479999999996</v>
      </c>
      <c r="N10" s="157" t="s">
        <v>277</v>
      </c>
      <c r="O10" s="132"/>
    </row>
    <row r="11" spans="1:15" ht="15" customHeight="1" x14ac:dyDescent="0.2">
      <c r="A11" s="153"/>
      <c r="B11" s="299" t="s">
        <v>61</v>
      </c>
      <c r="C11" s="158" t="s">
        <v>58</v>
      </c>
      <c r="D11" s="160"/>
      <c r="E11" s="162"/>
      <c r="F11" s="161"/>
      <c r="G11" s="154">
        <v>40</v>
      </c>
      <c r="H11" s="155">
        <f>ROUNDUP(0.1*SUM('Fac-ExistLrgSolid-Yr0'!$I$12:$I$15,'Fac-ExistLrgLiquid-Yr0'!$I$12:$I$15,'Fac-NewLrgSolid-Yr0'!$I$9:$I$12,'Fac-NewLrgLiquid-Yr0'!$I$9:$I$12,'Fac-ExistLrgGas-Yr0'!I12:I15,'Fac-NewLrgGas-Yr0'!I9:I12,'Fac-ExistLrgSolid-Yr0'!I20,'Fac-NewLrgSolid-Yr0'!I17),0)</f>
        <v>13</v>
      </c>
      <c r="I11" s="155">
        <f t="shared" si="0"/>
        <v>520</v>
      </c>
      <c r="J11" s="155">
        <f t="shared" si="1"/>
        <v>520</v>
      </c>
      <c r="K11" s="155">
        <f t="shared" si="2"/>
        <v>26</v>
      </c>
      <c r="L11" s="155">
        <f t="shared" si="3"/>
        <v>52</v>
      </c>
      <c r="M11" s="156">
        <f>(J11*'Agency Base Data'!$C$6)+(K11*'Agency Base Data'!$C$4)+(L11*'Agency Base Data'!$C$5)</f>
        <v>28039.439999999999</v>
      </c>
      <c r="N11" s="157" t="s">
        <v>209</v>
      </c>
      <c r="O11" s="272"/>
    </row>
    <row r="12" spans="1:15" ht="15" customHeight="1" x14ac:dyDescent="0.2">
      <c r="A12" s="153"/>
      <c r="B12" s="299" t="s">
        <v>528</v>
      </c>
      <c r="C12" s="158" t="s">
        <v>60</v>
      </c>
      <c r="D12" s="160"/>
      <c r="E12" s="162"/>
      <c r="F12" s="161"/>
      <c r="G12" s="154">
        <v>2</v>
      </c>
      <c r="H12" s="155">
        <f>ROUND(SUM('Fac-ExistLrgSolid-Yr0'!$I$12:$I$15,'Fac-ExistLrgLiquid-Yr0'!$I$12:$I$15,'Fac-NewLrgSolid-Yr0'!$I$9:$I$12,'Fac-NewLrgLiquid-Yr0'!$I$9:$I$12,'Fac-ExistLrgGas-Yr0'!I12:I15,'Fac-NewLrgGas-Yr0'!I9:I12),0)</f>
        <v>104</v>
      </c>
      <c r="I12" s="155">
        <f t="shared" si="0"/>
        <v>208</v>
      </c>
      <c r="J12" s="155">
        <f t="shared" si="1"/>
        <v>208</v>
      </c>
      <c r="K12" s="155">
        <f t="shared" si="2"/>
        <v>10.4</v>
      </c>
      <c r="L12" s="155">
        <f t="shared" si="3"/>
        <v>20.8</v>
      </c>
      <c r="M12" s="156">
        <f>(J12*'Agency Base Data'!$C$6)+(K12*'Agency Base Data'!$C$4)+(L12*'Agency Base Data'!$C$5)</f>
        <v>11215.776</v>
      </c>
      <c r="N12" s="157" t="s">
        <v>278</v>
      </c>
      <c r="O12" s="131"/>
    </row>
    <row r="13" spans="1:15" ht="15" customHeight="1" x14ac:dyDescent="0.2">
      <c r="A13" s="153"/>
      <c r="B13" s="299" t="s">
        <v>529</v>
      </c>
      <c r="C13" s="158" t="s">
        <v>62</v>
      </c>
      <c r="D13" s="160"/>
      <c r="E13" s="162"/>
      <c r="F13" s="161"/>
      <c r="G13" s="154">
        <v>2</v>
      </c>
      <c r="H13" s="155">
        <f>SUM('Fac-ExistLrgSolid-Yr0'!I61,'Fac-ExistLrgLiquid-Yr0'!I61,'Fac-NewLrgSolid-Yr0'!I54,'Fac-NewLrgLiquid-Yr0'!I54,'Fac-ExistLrgGas-Yr0'!I58,'Fac-NewLrgGas-Yr0'!I54)</f>
        <v>26</v>
      </c>
      <c r="I13" s="155">
        <f t="shared" si="0"/>
        <v>52</v>
      </c>
      <c r="J13" s="155">
        <f t="shared" si="1"/>
        <v>52</v>
      </c>
      <c r="K13" s="155">
        <f t="shared" si="2"/>
        <v>2.6</v>
      </c>
      <c r="L13" s="155">
        <f t="shared" si="3"/>
        <v>5.2</v>
      </c>
      <c r="M13" s="156">
        <f>(J13*'Agency Base Data'!$C$6)+(K13*'Agency Base Data'!$C$4)+(L13*'Agency Base Data'!$C$5)</f>
        <v>2803.944</v>
      </c>
      <c r="N13" s="157" t="s">
        <v>210</v>
      </c>
      <c r="O13" s="130"/>
    </row>
    <row r="14" spans="1:15" ht="15" customHeight="1" x14ac:dyDescent="0.2">
      <c r="A14" s="153" t="s">
        <v>63</v>
      </c>
      <c r="B14" s="158" t="s">
        <v>64</v>
      </c>
      <c r="C14" s="158"/>
      <c r="D14" s="160"/>
      <c r="E14" s="162"/>
      <c r="F14" s="161"/>
      <c r="G14" s="154">
        <v>24</v>
      </c>
      <c r="H14" s="155">
        <f>ROUNDUP(0.1*SUM(MAX('Fac-ExistLrgSolid-Yr0'!$I$12:$I$15),MAX('Fac-ExistLrgLiquid-Yr0'!$I$12:$I$15),MAX('Fac-NewLrgSolid-Yr0'!$I$9:$I$12),MAX('Fac-NewLrgLiquid-Yr0'!$I$9:$I$12),MAX('Fac-ExistLrgGas-Yr0'!I12:I15),MAX('Fac-NewLrgGas-Yr0'!I9:I12)),0)</f>
        <v>3</v>
      </c>
      <c r="I14" s="155">
        <v>0</v>
      </c>
      <c r="J14" s="155">
        <f t="shared" si="1"/>
        <v>0</v>
      </c>
      <c r="K14" s="155">
        <f t="shared" si="2"/>
        <v>0</v>
      </c>
      <c r="L14" s="155">
        <f t="shared" si="3"/>
        <v>0</v>
      </c>
      <c r="M14" s="156">
        <f>(J14*'Agency Base Data'!$C$6)+(K14*'Agency Base Data'!$C$4)+(L14*'Agency Base Data'!$C$5)</f>
        <v>0</v>
      </c>
      <c r="N14" s="157" t="s">
        <v>65</v>
      </c>
      <c r="O14" s="130"/>
    </row>
    <row r="15" spans="1:15" ht="15.75" customHeight="1" x14ac:dyDescent="0.2">
      <c r="A15" s="153" t="s">
        <v>66</v>
      </c>
      <c r="B15" s="158" t="s">
        <v>67</v>
      </c>
      <c r="C15" s="159"/>
      <c r="D15" s="163"/>
      <c r="E15" s="162"/>
      <c r="F15" s="161"/>
      <c r="G15" s="154"/>
      <c r="H15" s="155"/>
      <c r="I15" s="155"/>
      <c r="J15" s="155"/>
      <c r="K15" s="155"/>
      <c r="L15" s="155"/>
      <c r="M15" s="156"/>
      <c r="N15" s="157"/>
      <c r="O15" s="130"/>
    </row>
    <row r="16" spans="1:15" ht="27" customHeight="1" x14ac:dyDescent="0.2">
      <c r="A16" s="153"/>
      <c r="B16" s="158" t="s">
        <v>55</v>
      </c>
      <c r="C16" s="691" t="s">
        <v>68</v>
      </c>
      <c r="D16" s="691"/>
      <c r="E16" s="691"/>
      <c r="F16" s="691"/>
      <c r="G16" s="154">
        <v>2</v>
      </c>
      <c r="H16" s="155">
        <f>H6</f>
        <v>1936</v>
      </c>
      <c r="I16" s="155">
        <f t="shared" ref="I16:I23" si="4">G16*H16</f>
        <v>3872</v>
      </c>
      <c r="J16" s="155">
        <f t="shared" ref="J16:J23" si="5">I16</f>
        <v>3872</v>
      </c>
      <c r="K16" s="155">
        <f t="shared" ref="K16:K23" si="6">J16*0.05</f>
        <v>193.60000000000002</v>
      </c>
      <c r="L16" s="155">
        <f t="shared" ref="L16:L23" si="7">J16*0.1</f>
        <v>387.20000000000005</v>
      </c>
      <c r="M16" s="156">
        <f>(J16*'Agency Base Data'!$C$6)+(K16*'Agency Base Data'!$C$4)+(L16*'Agency Base Data'!$C$5)</f>
        <v>208785.98399999997</v>
      </c>
      <c r="N16" s="157" t="s">
        <v>108</v>
      </c>
      <c r="O16" s="130"/>
    </row>
    <row r="17" spans="1:15" ht="27" customHeight="1" x14ac:dyDescent="0.2">
      <c r="A17" s="153"/>
      <c r="B17" s="158" t="s">
        <v>57</v>
      </c>
      <c r="C17" s="691" t="s">
        <v>69</v>
      </c>
      <c r="D17" s="691"/>
      <c r="E17" s="691"/>
      <c r="F17" s="691"/>
      <c r="G17" s="154">
        <v>20</v>
      </c>
      <c r="H17" s="155">
        <f>ROUND(SUM('Fac-ExistLrgSolid-Yr0'!$I$12:$I$15,'Fac-ExistLrgLiquid-Yr0'!$I$12:$I$15,'Fac-NewLrgSolid-Yr0'!$I$9:$I$12,'Fac-NewLrgLiquid-Yr0'!$I$9:$I$12,'Fac-ExistLrgGas-Yr0'!I12:I15,'Fac-NewLrgGas-Yr0'!I9:I12),0)</f>
        <v>104</v>
      </c>
      <c r="I17" s="155">
        <f t="shared" si="4"/>
        <v>2080</v>
      </c>
      <c r="J17" s="155">
        <f t="shared" si="5"/>
        <v>2080</v>
      </c>
      <c r="K17" s="155">
        <f t="shared" si="6"/>
        <v>104</v>
      </c>
      <c r="L17" s="155">
        <f t="shared" si="7"/>
        <v>208</v>
      </c>
      <c r="M17" s="156">
        <f>(J17*'Agency Base Data'!$C$6)+(K17*'Agency Base Data'!$C$4)+(L17*'Agency Base Data'!$C$5)</f>
        <v>112157.75999999999</v>
      </c>
      <c r="N17" s="157" t="s">
        <v>278</v>
      </c>
      <c r="O17" s="130"/>
    </row>
    <row r="18" spans="1:15" ht="15" customHeight="1" x14ac:dyDescent="0.2">
      <c r="A18" s="153"/>
      <c r="B18" s="158" t="s">
        <v>59</v>
      </c>
      <c r="C18" s="158" t="s">
        <v>70</v>
      </c>
      <c r="D18" s="162"/>
      <c r="E18" s="162"/>
      <c r="F18" s="161"/>
      <c r="G18" s="154">
        <v>2</v>
      </c>
      <c r="H18" s="155">
        <f>SUM('Fac-ExistLrgSolid-Yr0'!$I$51,'Fac-ExistLrgLiquid-Yr0'!$I$51,'Fac-ExistLrgGas-Yr0'!$I$46,'Fac-NewLrgSolid-Yr0'!$I$45,'Fac-NewLrgLiquid-Yr0'!$I$45,'Fac-NewLrgGas-Yr0'!$I$43,'Fac - ExistSmlSolid-Yr0'!$I$17,'Fac - ExistSmlLiquid-Yr0'!$I$17,'Fac - ExistSmlGas-Yr0'!$I$17,'Fac-NewSmlSolid-Yr0'!$I$14,'Fac-NewSmlLiquid-Yr0'!$I$14,'Fac-NewSmlGas-Yr0'!$I$14)</f>
        <v>80</v>
      </c>
      <c r="I18" s="155">
        <f t="shared" si="4"/>
        <v>160</v>
      </c>
      <c r="J18" s="155">
        <f t="shared" si="5"/>
        <v>160</v>
      </c>
      <c r="K18" s="155">
        <f t="shared" si="6"/>
        <v>8</v>
      </c>
      <c r="L18" s="155">
        <f t="shared" si="7"/>
        <v>16</v>
      </c>
      <c r="M18" s="156">
        <f>(J18*'Agency Base Data'!$C$6)+(K18*'Agency Base Data'!$C$4)+(L18*'Agency Base Data'!$C$5)</f>
        <v>8627.5199999999986</v>
      </c>
      <c r="N18" s="157" t="s">
        <v>108</v>
      </c>
      <c r="O18" s="130"/>
    </row>
    <row r="19" spans="1:15" ht="15" customHeight="1" x14ac:dyDescent="0.2">
      <c r="A19" s="153" t="s">
        <v>71</v>
      </c>
      <c r="B19" s="158" t="s">
        <v>72</v>
      </c>
      <c r="C19" s="158"/>
      <c r="D19" s="160"/>
      <c r="E19" s="162"/>
      <c r="F19" s="161"/>
      <c r="G19" s="154"/>
      <c r="H19" s="155"/>
      <c r="I19" s="155">
        <f t="shared" si="4"/>
        <v>0</v>
      </c>
      <c r="J19" s="155">
        <f t="shared" si="5"/>
        <v>0</v>
      </c>
      <c r="K19" s="155">
        <f t="shared" si="6"/>
        <v>0</v>
      </c>
      <c r="L19" s="155">
        <f t="shared" si="7"/>
        <v>0</v>
      </c>
      <c r="M19" s="156">
        <f>(J19*'Agency Base Data'!$C$6)+(K19*'Agency Base Data'!$C$4)+(L19*'Agency Base Data'!$C$5)</f>
        <v>0</v>
      </c>
      <c r="N19" s="157"/>
      <c r="O19" s="130"/>
    </row>
    <row r="20" spans="1:15" ht="15" customHeight="1" x14ac:dyDescent="0.2">
      <c r="A20" s="153"/>
      <c r="B20" s="158" t="s">
        <v>55</v>
      </c>
      <c r="C20" s="158" t="s">
        <v>73</v>
      </c>
      <c r="D20" s="158"/>
      <c r="E20" s="162"/>
      <c r="F20" s="161"/>
      <c r="G20" s="154">
        <v>4</v>
      </c>
      <c r="H20" s="155">
        <f>2*SUM('Fac-ExistLrgSolid-Yr0'!$I$53,'Fac-ExistLrgLiquid-Yr0'!$I$53,,'Fac-NewLrgSolid-Yr0'!$I$46,'Fac-NewLrgLiquid-Yr0'!$I$46,'Fac-ExistLrgGas-Yr0'!$I$49,'Fac-NewLrgGas-Yr0'!$I$45)</f>
        <v>8</v>
      </c>
      <c r="I20" s="155">
        <f t="shared" si="4"/>
        <v>32</v>
      </c>
      <c r="J20" s="155">
        <f t="shared" si="5"/>
        <v>32</v>
      </c>
      <c r="K20" s="155">
        <f t="shared" si="6"/>
        <v>1.6</v>
      </c>
      <c r="L20" s="155">
        <f t="shared" si="7"/>
        <v>3.2</v>
      </c>
      <c r="M20" s="156">
        <f>(J20*'Agency Base Data'!$C$6)+(K20*'Agency Base Data'!$C$4)+(L20*'Agency Base Data'!$C$5)</f>
        <v>1725.5039999999999</v>
      </c>
      <c r="N20" s="157" t="s">
        <v>74</v>
      </c>
    </row>
    <row r="21" spans="1:15" ht="15" customHeight="1" x14ac:dyDescent="0.2">
      <c r="A21" s="153"/>
      <c r="B21" s="158" t="s">
        <v>57</v>
      </c>
      <c r="C21" s="158" t="s">
        <v>11</v>
      </c>
      <c r="D21" s="158"/>
      <c r="E21" s="162"/>
      <c r="F21" s="161"/>
      <c r="G21" s="154">
        <v>2</v>
      </c>
      <c r="H21" s="155">
        <f>SUM('Fac-ExistLrgGas-Yr0'!$I$49,'Fac-NewLrgGas-Yr0'!$I$45)</f>
        <v>0</v>
      </c>
      <c r="I21" s="155">
        <f>G21*H21</f>
        <v>0</v>
      </c>
      <c r="J21" s="155">
        <f t="shared" si="5"/>
        <v>0</v>
      </c>
      <c r="K21" s="155">
        <f t="shared" si="6"/>
        <v>0</v>
      </c>
      <c r="L21" s="155">
        <f>J21*0.1</f>
        <v>0</v>
      </c>
      <c r="M21" s="156">
        <f>(J21*'Agency Base Data'!$C$6)+(K21*'Agency Base Data'!$C$4)+(L21*'Agency Base Data'!$C$5)</f>
        <v>0</v>
      </c>
      <c r="N21" s="157" t="s">
        <v>80</v>
      </c>
    </row>
    <row r="22" spans="1:15" ht="15" customHeight="1" x14ac:dyDescent="0.2">
      <c r="A22" s="153"/>
      <c r="B22" s="158" t="s">
        <v>59</v>
      </c>
      <c r="C22" s="158" t="s">
        <v>12</v>
      </c>
      <c r="D22" s="158"/>
      <c r="E22" s="162"/>
      <c r="F22" s="161"/>
      <c r="G22" s="154">
        <v>1</v>
      </c>
      <c r="H22" s="155">
        <f>0.5*SUM('Fac - ExistSmlSolid-Yr0'!$I$18,'Fac - ExistSmlLiquid-Yr0'!$I$18,'Fac - ExistSmlGas-Yr0'!$I$18,'Fac-NewSmlGas-Yr0'!$I$15,'Fac-NewSmlLiquid-Yr0'!$I$15,'Fac-NewSmlSolid-Yr0'!$I$15)</f>
        <v>21</v>
      </c>
      <c r="I22" s="155">
        <f>G22*H22</f>
        <v>21</v>
      </c>
      <c r="J22" s="155">
        <f t="shared" si="5"/>
        <v>21</v>
      </c>
      <c r="K22" s="155">
        <f t="shared" si="6"/>
        <v>1.05</v>
      </c>
      <c r="L22" s="155">
        <f>J22*0.1</f>
        <v>2.1</v>
      </c>
      <c r="M22" s="156">
        <f>(J22*'Agency Base Data'!$C$6)+(K22*'Agency Base Data'!$C$4)+(L22*'Agency Base Data'!$C$5)</f>
        <v>1132.3620000000001</v>
      </c>
      <c r="N22" s="157" t="s">
        <v>13</v>
      </c>
    </row>
    <row r="23" spans="1:15" ht="15" customHeight="1" x14ac:dyDescent="0.2">
      <c r="A23" s="153"/>
      <c r="B23" s="158" t="s">
        <v>61</v>
      </c>
      <c r="C23" s="158" t="s">
        <v>76</v>
      </c>
      <c r="D23" s="158"/>
      <c r="E23" s="162"/>
      <c r="F23" s="164"/>
      <c r="G23" s="154">
        <v>2</v>
      </c>
      <c r="H23" s="155">
        <f>SUM('Fac-ExistLrgSolid-Yr0'!$I$52,'Fac-ExistLrgLiquid-Yr0'!$I$52,'Fac-ExistLrgGas-Yr0'!$I$47,'Fac - ExistSmlSolid-Yr0'!$I$19,'Fac - ExistSmlLiquid-Yr0'!$I$19,'Fac - ExistSmlGas-Yr0'!$I$19)</f>
        <v>0</v>
      </c>
      <c r="I23" s="155">
        <f t="shared" si="4"/>
        <v>0</v>
      </c>
      <c r="J23" s="155">
        <f t="shared" si="5"/>
        <v>0</v>
      </c>
      <c r="K23" s="155">
        <f t="shared" si="6"/>
        <v>0</v>
      </c>
      <c r="L23" s="155">
        <f t="shared" si="7"/>
        <v>0</v>
      </c>
      <c r="M23" s="156">
        <f>(J23*'Agency Base Data'!$C$6)+(K23*'Agency Base Data'!$C$4)+(L23*'Agency Base Data'!$C$5)</f>
        <v>0</v>
      </c>
      <c r="N23" s="157" t="s">
        <v>14</v>
      </c>
    </row>
    <row r="24" spans="1:15" ht="29.25" customHeight="1" thickBot="1" x14ac:dyDescent="0.25">
      <c r="A24" s="165" t="s">
        <v>77</v>
      </c>
      <c r="B24" s="166" t="s">
        <v>78</v>
      </c>
      <c r="C24" s="167"/>
      <c r="D24" s="168"/>
      <c r="E24" s="168"/>
      <c r="F24" s="169"/>
      <c r="G24" s="770" t="s">
        <v>79</v>
      </c>
      <c r="H24" s="688"/>
      <c r="I24" s="688"/>
      <c r="J24" s="689"/>
      <c r="K24" s="170"/>
      <c r="L24" s="171"/>
      <c r="M24" s="172">
        <f>(('Agency Base Data'!$C$14*('Agency Base Data'!$C$11+'Agency Base Data'!$C$12))+'Agency Base Data'!$C$13)*SUM(H10:H11)</f>
        <v>50388</v>
      </c>
      <c r="N24" s="173" t="s">
        <v>15</v>
      </c>
    </row>
    <row r="25" spans="1:15" ht="18.75" customHeight="1" x14ac:dyDescent="0.2">
      <c r="A25" s="184" t="s">
        <v>81</v>
      </c>
      <c r="B25" s="174"/>
      <c r="C25" s="175"/>
      <c r="D25" s="174"/>
      <c r="E25" s="176"/>
      <c r="F25" s="177"/>
      <c r="G25" s="178"/>
      <c r="H25" s="178"/>
      <c r="I25" s="178"/>
      <c r="J25" s="179">
        <f>SUM(J5:J23)</f>
        <v>14217</v>
      </c>
      <c r="K25" s="179">
        <f>SUM(K5:K23)</f>
        <v>710.85</v>
      </c>
      <c r="L25" s="179">
        <f>SUM(L5:L23)</f>
        <v>1421.7</v>
      </c>
      <c r="M25" s="180">
        <f>SUM(M5:M24)</f>
        <v>816997.07399999991</v>
      </c>
      <c r="N25" s="181"/>
    </row>
    <row r="26" spans="1:15" ht="18" customHeight="1" thickBot="1" x14ac:dyDescent="0.25">
      <c r="A26" s="201" t="s">
        <v>82</v>
      </c>
      <c r="B26" s="182"/>
      <c r="C26" s="182"/>
      <c r="D26" s="182"/>
      <c r="E26" s="182"/>
      <c r="F26" s="182"/>
      <c r="G26" s="169"/>
      <c r="H26" s="169"/>
      <c r="I26" s="169"/>
      <c r="J26" s="202"/>
      <c r="K26" s="171"/>
      <c r="L26" s="203">
        <f>(SUM(J5:J23))+(SUM(K5:K23))+(SUM(L5:L23))</f>
        <v>16349.550000000001</v>
      </c>
      <c r="M26" s="183"/>
      <c r="N26" s="173"/>
    </row>
    <row r="27" spans="1:15" ht="6.75" customHeight="1" x14ac:dyDescent="0.2">
      <c r="G27" s="62"/>
      <c r="H27" s="62"/>
      <c r="I27" s="62"/>
    </row>
    <row r="28" spans="1:15" s="77" customFormat="1" ht="11.25" x14ac:dyDescent="0.2">
      <c r="A28" s="77" t="s">
        <v>83</v>
      </c>
      <c r="J28" s="78"/>
      <c r="K28" s="78"/>
      <c r="L28" s="78"/>
      <c r="M28" s="79"/>
      <c r="N28" s="39"/>
    </row>
    <row r="29" spans="1:15" s="77" customFormat="1" ht="35.25" customHeight="1" x14ac:dyDescent="0.2">
      <c r="A29" s="686" t="s">
        <v>366</v>
      </c>
      <c r="B29" s="686"/>
      <c r="C29" s="686"/>
      <c r="D29" s="686"/>
      <c r="E29" s="686"/>
      <c r="F29" s="686"/>
      <c r="G29" s="686"/>
      <c r="H29" s="686"/>
      <c r="I29" s="686"/>
      <c r="J29" s="686"/>
      <c r="K29" s="686"/>
      <c r="L29" s="686"/>
      <c r="M29" s="686"/>
      <c r="N29" s="686"/>
    </row>
    <row r="30" spans="1:15" s="77" customFormat="1" ht="11.25" x14ac:dyDescent="0.2">
      <c r="A30" s="686" t="s">
        <v>367</v>
      </c>
      <c r="B30" s="686"/>
      <c r="C30" s="686"/>
      <c r="D30" s="686"/>
      <c r="E30" s="686"/>
      <c r="F30" s="686"/>
      <c r="G30" s="686"/>
      <c r="H30" s="686"/>
      <c r="I30" s="686"/>
      <c r="J30" s="686"/>
      <c r="K30" s="686"/>
      <c r="L30" s="686"/>
      <c r="M30" s="686"/>
      <c r="N30" s="686"/>
    </row>
    <row r="31" spans="1:15" s="77" customFormat="1" ht="11.25" x14ac:dyDescent="0.2">
      <c r="A31" s="77" t="s">
        <v>392</v>
      </c>
      <c r="J31" s="78"/>
      <c r="K31" s="78"/>
      <c r="L31" s="78"/>
      <c r="M31" s="79"/>
      <c r="N31" s="39"/>
    </row>
    <row r="32" spans="1:15" s="77" customFormat="1" ht="12.75" customHeight="1" x14ac:dyDescent="0.2">
      <c r="A32" s="686" t="s">
        <v>368</v>
      </c>
      <c r="B32" s="686"/>
      <c r="C32" s="686"/>
      <c r="D32" s="686"/>
      <c r="E32" s="686"/>
      <c r="F32" s="686"/>
      <c r="G32" s="686"/>
      <c r="H32" s="686"/>
      <c r="I32" s="686"/>
      <c r="J32" s="686"/>
      <c r="K32" s="686"/>
      <c r="L32" s="686"/>
      <c r="M32" s="686"/>
      <c r="N32" s="686"/>
    </row>
    <row r="33" spans="1:14" s="77" customFormat="1" ht="11.25" customHeight="1" x14ac:dyDescent="0.2">
      <c r="A33" s="77" t="s">
        <v>263</v>
      </c>
      <c r="J33" s="78"/>
      <c r="K33" s="78"/>
      <c r="L33" s="78"/>
      <c r="M33" s="79"/>
      <c r="N33" s="39"/>
    </row>
    <row r="34" spans="1:14" s="77" customFormat="1" ht="11.25" x14ac:dyDescent="0.2">
      <c r="A34" s="77" t="s">
        <v>369</v>
      </c>
      <c r="J34" s="78"/>
      <c r="K34" s="78"/>
      <c r="L34" s="78"/>
      <c r="M34" s="79"/>
      <c r="N34" s="39"/>
    </row>
    <row r="35" spans="1:14" x14ac:dyDescent="0.2">
      <c r="A35" s="686" t="s">
        <v>370</v>
      </c>
      <c r="B35" s="686"/>
      <c r="C35" s="686"/>
      <c r="D35" s="686"/>
      <c r="E35" s="686"/>
      <c r="F35" s="686"/>
      <c r="G35" s="686"/>
      <c r="H35" s="686"/>
      <c r="I35" s="686"/>
      <c r="J35" s="686"/>
      <c r="K35" s="686"/>
      <c r="L35" s="686"/>
      <c r="M35" s="686"/>
      <c r="N35" s="686"/>
    </row>
    <row r="36" spans="1:14" x14ac:dyDescent="0.2">
      <c r="A36" s="77" t="s">
        <v>371</v>
      </c>
      <c r="G36" s="62"/>
      <c r="H36" s="62"/>
      <c r="I36" s="62"/>
    </row>
    <row r="37" spans="1:14" x14ac:dyDescent="0.2">
      <c r="A37" s="77" t="s">
        <v>372</v>
      </c>
      <c r="G37" s="62"/>
      <c r="H37" s="62"/>
      <c r="I37" s="62"/>
    </row>
    <row r="38" spans="1:14" ht="25.5" customHeight="1" x14ac:dyDescent="0.2">
      <c r="A38" s="686" t="s">
        <v>18</v>
      </c>
      <c r="B38" s="686"/>
      <c r="C38" s="686"/>
      <c r="D38" s="686"/>
      <c r="E38" s="686"/>
      <c r="F38" s="686"/>
      <c r="G38" s="686"/>
      <c r="H38" s="686"/>
      <c r="I38" s="686"/>
      <c r="J38" s="686"/>
      <c r="K38" s="686"/>
      <c r="L38" s="686"/>
      <c r="M38" s="686"/>
      <c r="N38" s="686"/>
    </row>
    <row r="39" spans="1:14" x14ac:dyDescent="0.2">
      <c r="A39" s="83" t="s">
        <v>17</v>
      </c>
    </row>
    <row r="40" spans="1:14" ht="33.75" customHeight="1" x14ac:dyDescent="0.2">
      <c r="A40" s="686" t="s">
        <v>16</v>
      </c>
      <c r="B40" s="686"/>
      <c r="C40" s="686"/>
      <c r="D40" s="686"/>
      <c r="E40" s="686"/>
      <c r="F40" s="686"/>
      <c r="G40" s="686"/>
      <c r="H40" s="686"/>
      <c r="I40" s="686"/>
      <c r="J40" s="686"/>
      <c r="K40" s="686"/>
      <c r="L40" s="686"/>
      <c r="M40" s="686"/>
      <c r="N40" s="686"/>
    </row>
    <row r="41" spans="1:14" x14ac:dyDescent="0.2">
      <c r="A41" s="83" t="s">
        <v>521</v>
      </c>
    </row>
    <row r="42" spans="1:14" x14ac:dyDescent="0.2">
      <c r="A42" s="83" t="s">
        <v>527</v>
      </c>
    </row>
    <row r="44" spans="1:14" x14ac:dyDescent="0.2">
      <c r="H44" s="80"/>
      <c r="I44" s="134"/>
      <c r="J44" s="123"/>
      <c r="L44" s="135"/>
    </row>
    <row r="45" spans="1:14" x14ac:dyDescent="0.2">
      <c r="I45" s="123"/>
      <c r="J45" s="123"/>
    </row>
    <row r="46" spans="1:14" x14ac:dyDescent="0.2">
      <c r="I46" s="134"/>
      <c r="J46" s="123"/>
    </row>
    <row r="47" spans="1:14" x14ac:dyDescent="0.2">
      <c r="I47" s="123"/>
    </row>
    <row r="48" spans="1:14" x14ac:dyDescent="0.2">
      <c r="J48" s="123"/>
    </row>
  </sheetData>
  <mergeCells count="12">
    <mergeCell ref="A1:N1"/>
    <mergeCell ref="A2:N2"/>
    <mergeCell ref="A29:N29"/>
    <mergeCell ref="B6:F6"/>
    <mergeCell ref="C17:F17"/>
    <mergeCell ref="C16:F16"/>
    <mergeCell ref="A40:N40"/>
    <mergeCell ref="A32:N32"/>
    <mergeCell ref="A38:N38"/>
    <mergeCell ref="G24:J24"/>
    <mergeCell ref="A30:N30"/>
    <mergeCell ref="A35:N35"/>
  </mergeCells>
  <phoneticPr fontId="9" type="noConversion"/>
  <printOptions horizontalCentered="1"/>
  <pageMargins left="0.5" right="0.5" top="0.5" bottom="0.5" header="0.5" footer="0.5"/>
  <pageSetup scale="7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Normal="100" workbookViewId="0">
      <selection activeCell="B17" sqref="B17"/>
    </sheetView>
  </sheetViews>
  <sheetFormatPr defaultColWidth="9.140625" defaultRowHeight="12.75" x14ac:dyDescent="0.2"/>
  <cols>
    <col min="1" max="1" width="28.42578125" style="311" customWidth="1"/>
    <col min="2" max="2" width="13.85546875" style="311" customWidth="1"/>
    <col min="3" max="3" width="13.42578125" style="311" customWidth="1"/>
    <col min="4" max="5" width="16.85546875" style="311" customWidth="1"/>
    <col min="6" max="6" width="19.85546875" style="311" customWidth="1"/>
    <col min="7" max="7" width="17.42578125" style="311" customWidth="1"/>
    <col min="8" max="8" width="16.5703125" style="311" customWidth="1"/>
    <col min="9" max="9" width="19.140625" style="311" customWidth="1"/>
    <col min="10" max="10" width="9.140625" style="311"/>
    <col min="11" max="11" width="13" style="311" bestFit="1" customWidth="1"/>
    <col min="12" max="12" width="15.42578125" style="311" customWidth="1"/>
    <col min="13" max="13" width="18.85546875" style="311" bestFit="1" customWidth="1"/>
    <col min="14" max="14" width="15.140625" style="311" customWidth="1"/>
    <col min="15" max="15" width="11.85546875" style="311" customWidth="1"/>
    <col min="16" max="16384" width="9.140625" style="311"/>
  </cols>
  <sheetData>
    <row r="1" spans="1:13" s="391" customFormat="1" ht="39.6" customHeight="1" x14ac:dyDescent="0.2">
      <c r="A1" s="772" t="s">
        <v>617</v>
      </c>
      <c r="B1" s="773"/>
      <c r="C1" s="773"/>
      <c r="D1" s="773"/>
      <c r="E1" s="774"/>
      <c r="F1" s="666"/>
      <c r="G1" s="771"/>
      <c r="H1" s="771"/>
      <c r="I1" s="771"/>
    </row>
    <row r="2" spans="1:13" ht="57.75" customHeight="1" x14ac:dyDescent="0.2">
      <c r="A2" s="310" t="s">
        <v>536</v>
      </c>
      <c r="B2" s="310" t="s">
        <v>537</v>
      </c>
      <c r="C2" s="388" t="s">
        <v>749</v>
      </c>
      <c r="D2" s="310" t="s">
        <v>750</v>
      </c>
      <c r="E2" s="310" t="s">
        <v>751</v>
      </c>
      <c r="F2" s="608"/>
      <c r="K2" s="550"/>
      <c r="M2" s="358"/>
    </row>
    <row r="3" spans="1:13" x14ac:dyDescent="0.2">
      <c r="A3" s="665" t="s">
        <v>227</v>
      </c>
      <c r="B3" s="312">
        <f>'Fac-ExistLrgSolid-Avg'!I7</f>
        <v>121</v>
      </c>
      <c r="C3" s="389">
        <f>'Fac-ExistLrgSolid-Avg'!S54</f>
        <v>0</v>
      </c>
      <c r="D3" s="389">
        <f>'Fac-ExistLrgSolid-Avg'!R54</f>
        <v>74866304</v>
      </c>
      <c r="E3" s="390">
        <f t="shared" ref="E3:E15" si="0">D3+C3</f>
        <v>74866304</v>
      </c>
      <c r="F3" s="609"/>
    </row>
    <row r="4" spans="1:13" x14ac:dyDescent="0.2">
      <c r="A4" s="665" t="s">
        <v>228</v>
      </c>
      <c r="B4" s="312">
        <v>3</v>
      </c>
      <c r="C4" s="389">
        <f>'Fac-NewLrgSolid-Avg'!S49</f>
        <v>2005198</v>
      </c>
      <c r="D4" s="389">
        <f>'Fac-NewLrgSolid-Avg'!R49</f>
        <v>1218750</v>
      </c>
      <c r="E4" s="390">
        <f t="shared" si="0"/>
        <v>3223948</v>
      </c>
      <c r="F4" s="609"/>
      <c r="K4" s="515"/>
    </row>
    <row r="5" spans="1:13" ht="25.5" x14ac:dyDescent="0.2">
      <c r="A5" s="665" t="s">
        <v>538</v>
      </c>
      <c r="B5" s="566">
        <f>'Fac - ExistSmlSolid-Avg'!I7</f>
        <v>5</v>
      </c>
      <c r="C5" s="389">
        <f>'Fac - ExistSmlSolid-Avg'!S21</f>
        <v>0</v>
      </c>
      <c r="D5" s="389">
        <f>'Fac - ExistSmlSolid-Avg'!R21</f>
        <v>98032</v>
      </c>
      <c r="E5" s="390">
        <f t="shared" si="0"/>
        <v>98032</v>
      </c>
      <c r="F5" s="609"/>
      <c r="K5" s="515"/>
    </row>
    <row r="6" spans="1:13" x14ac:dyDescent="0.2">
      <c r="A6" s="665" t="s">
        <v>230</v>
      </c>
      <c r="B6" s="312">
        <f>SUM('Summary 2'!$B$9:$B$10)</f>
        <v>1</v>
      </c>
      <c r="C6" s="389">
        <f>'Fac-NewSmlSolid-Avg'!S17</f>
        <v>0</v>
      </c>
      <c r="D6" s="389">
        <f>'Fac-NewSmlSolid-Avg'!R17</f>
        <v>4456</v>
      </c>
      <c r="E6" s="390">
        <f t="shared" si="0"/>
        <v>4456</v>
      </c>
      <c r="F6" s="609"/>
    </row>
    <row r="7" spans="1:13" x14ac:dyDescent="0.2">
      <c r="A7" s="665" t="s">
        <v>231</v>
      </c>
      <c r="B7" s="312">
        <f>'Fac-ExistLrgLiquid-Avg'!I7</f>
        <v>66</v>
      </c>
      <c r="C7" s="389">
        <f>'Fac-ExistLrgLiquid-Avg'!S55</f>
        <v>0</v>
      </c>
      <c r="D7" s="389">
        <f>'Fac-ExistLrgLiquid-Avg'!R55</f>
        <v>17695826</v>
      </c>
      <c r="E7" s="390">
        <f t="shared" si="0"/>
        <v>17695826</v>
      </c>
      <c r="F7" s="609"/>
    </row>
    <row r="8" spans="1:13" x14ac:dyDescent="0.2">
      <c r="A8" s="665" t="s">
        <v>232</v>
      </c>
      <c r="B8" s="312">
        <f>'Fac-NewLrgLiquid-Avg'!L7</f>
        <v>0</v>
      </c>
      <c r="C8" s="389">
        <f>'Fac-NewLrgLiquid-Avg'!S48</f>
        <v>0</v>
      </c>
      <c r="D8" s="389">
        <f>'Fac-NewLrgLiquid-Avg'!R48</f>
        <v>0</v>
      </c>
      <c r="E8" s="390">
        <f t="shared" si="0"/>
        <v>0</v>
      </c>
      <c r="F8" s="609"/>
    </row>
    <row r="9" spans="1:13" ht="25.5" x14ac:dyDescent="0.2">
      <c r="A9" s="665" t="s">
        <v>539</v>
      </c>
      <c r="B9" s="312">
        <f>'Fac - ExistSmlLiquid-Avg'!I7</f>
        <v>45</v>
      </c>
      <c r="C9" s="389">
        <f>'Fac - ExistSmlLiquid-Avg'!S21</f>
        <v>0</v>
      </c>
      <c r="D9" s="389">
        <f>'Fac - ExistSmlLiquid-Avg'!R21</f>
        <v>857780</v>
      </c>
      <c r="E9" s="390">
        <f t="shared" si="0"/>
        <v>857780</v>
      </c>
      <c r="F9" s="609"/>
    </row>
    <row r="10" spans="1:13" x14ac:dyDescent="0.2">
      <c r="A10" s="665" t="s">
        <v>234</v>
      </c>
      <c r="B10" s="312">
        <f>'Fac-NewSmlLiquid-Avg'!I7</f>
        <v>0</v>
      </c>
      <c r="C10" s="389">
        <f>'Fac-NewSmlLiquid-Avg'!S17</f>
        <v>0</v>
      </c>
      <c r="D10" s="389">
        <f>'Fac-NewSmlLiquid-Avg'!R17</f>
        <v>0</v>
      </c>
      <c r="E10" s="390">
        <f t="shared" si="0"/>
        <v>0</v>
      </c>
      <c r="F10" s="609"/>
    </row>
    <row r="11" spans="1:13" x14ac:dyDescent="0.2">
      <c r="A11" s="665" t="s">
        <v>235</v>
      </c>
      <c r="B11" s="312">
        <f>'Fac-ExistLrgGas-Avg'!I7</f>
        <v>669</v>
      </c>
      <c r="C11" s="389">
        <f>'Fac-ExistLrgGas-Avg'!S52</f>
        <v>0</v>
      </c>
      <c r="D11" s="389">
        <f>'Fac-ExistLrgGas-Avg'!R52</f>
        <v>18867183</v>
      </c>
      <c r="E11" s="390">
        <f t="shared" si="0"/>
        <v>18867183</v>
      </c>
      <c r="F11" s="609"/>
    </row>
    <row r="12" spans="1:13" x14ac:dyDescent="0.2">
      <c r="A12" s="665" t="s">
        <v>236</v>
      </c>
      <c r="B12" s="312">
        <f>'Fac-NewLrgGas-Avg'!I7</f>
        <v>33</v>
      </c>
      <c r="C12" s="389">
        <f>'Fac-NewLrgGas-Avg'!S45</f>
        <v>0</v>
      </c>
      <c r="D12" s="389">
        <f>+'Fac-NewLrgGas-Avg'!R45</f>
        <v>750375</v>
      </c>
      <c r="E12" s="390">
        <f t="shared" si="0"/>
        <v>750375</v>
      </c>
      <c r="F12" s="609"/>
    </row>
    <row r="13" spans="1:13" ht="25.5" x14ac:dyDescent="0.2">
      <c r="A13" s="665" t="s">
        <v>540</v>
      </c>
      <c r="B13" s="312">
        <f>'Fac - ExistSmlGas-Avg'!I7</f>
        <v>1027</v>
      </c>
      <c r="C13" s="389">
        <f>'Fac - ExistSmlGas-Avg'!S21</f>
        <v>0</v>
      </c>
      <c r="D13" s="389">
        <f>'Fac - ExistSmlGas-Avg'!R21</f>
        <v>13921380</v>
      </c>
      <c r="E13" s="390">
        <f t="shared" si="0"/>
        <v>13921380</v>
      </c>
      <c r="F13" s="609"/>
    </row>
    <row r="14" spans="1:13" x14ac:dyDescent="0.2">
      <c r="A14" s="665" t="s">
        <v>238</v>
      </c>
      <c r="B14" s="312">
        <f>'Fac-NewSmlGas-avg'!I7</f>
        <v>41</v>
      </c>
      <c r="C14" s="389">
        <f>'Fac-NewSmlGas-avg'!S17</f>
        <v>0</v>
      </c>
      <c r="D14" s="389">
        <f>'Fac-NewSmlGas-avg'!R17</f>
        <v>726328</v>
      </c>
      <c r="E14" s="390">
        <f t="shared" si="0"/>
        <v>726328</v>
      </c>
      <c r="F14" s="609"/>
    </row>
    <row r="15" spans="1:13" x14ac:dyDescent="0.2">
      <c r="A15" s="310" t="s">
        <v>325</v>
      </c>
      <c r="B15" s="313">
        <f>'BURDEN SUMMARY'!D7</f>
        <v>2012</v>
      </c>
      <c r="C15" s="389">
        <f>SUM(C3:C14)</f>
        <v>2005198</v>
      </c>
      <c r="D15" s="389">
        <f>SUM(D3:D14)</f>
        <v>129006414</v>
      </c>
      <c r="E15" s="390">
        <f t="shared" si="0"/>
        <v>131011612</v>
      </c>
      <c r="F15" s="609"/>
    </row>
    <row r="16" spans="1:13" x14ac:dyDescent="0.2">
      <c r="A16" s="310" t="s">
        <v>678</v>
      </c>
      <c r="B16" s="313">
        <f>ROUND(B15,-1)</f>
        <v>2010</v>
      </c>
      <c r="C16" s="389">
        <f>ROUND(SUM(C3:C14),-5)</f>
        <v>2000000</v>
      </c>
      <c r="D16" s="389">
        <f>ROUND(SUM(D3:D14),-6)</f>
        <v>129000000</v>
      </c>
      <c r="E16" s="390">
        <f>ROUND(SUM(E3:E14),-6)</f>
        <v>131000000</v>
      </c>
      <c r="F16" s="609"/>
    </row>
    <row r="17" spans="7:12" x14ac:dyDescent="0.2">
      <c r="L17" s="357"/>
    </row>
    <row r="18" spans="7:12" x14ac:dyDescent="0.2">
      <c r="L18" s="357"/>
    </row>
    <row r="19" spans="7:12" x14ac:dyDescent="0.2">
      <c r="G19" s="356"/>
      <c r="L19" s="357"/>
    </row>
  </sheetData>
  <mergeCells count="2">
    <mergeCell ref="G1:I1"/>
    <mergeCell ref="A1:E1"/>
  </mergeCells>
  <phoneticPr fontId="9"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5"/>
  <sheetViews>
    <sheetView tabSelected="1" topLeftCell="A2" workbookViewId="0">
      <selection activeCell="C21" sqref="C21"/>
    </sheetView>
  </sheetViews>
  <sheetFormatPr defaultRowHeight="12.75" x14ac:dyDescent="0.2"/>
  <cols>
    <col min="1" max="1" width="28.5703125" customWidth="1"/>
    <col min="2" max="3" width="13.7109375" customWidth="1"/>
    <col min="4" max="5" width="18.5703125" customWidth="1"/>
    <col min="6" max="6" width="17.140625" customWidth="1"/>
    <col min="7" max="7" width="14.42578125" customWidth="1"/>
    <col min="8" max="8" width="15.85546875" customWidth="1"/>
    <col min="9" max="9" width="17.140625" customWidth="1"/>
    <col min="10" max="10" width="12.7109375" customWidth="1"/>
    <col min="12" max="12" width="14" style="311" customWidth="1"/>
    <col min="13" max="13" width="12.85546875" style="671" customWidth="1"/>
  </cols>
  <sheetData>
    <row r="1" spans="1:14" x14ac:dyDescent="0.2">
      <c r="A1" s="511" t="s">
        <v>685</v>
      </c>
      <c r="B1" s="216"/>
      <c r="C1" s="216"/>
      <c r="D1" s="216"/>
    </row>
    <row r="2" spans="1:14" ht="13.5" thickBot="1" x14ac:dyDescent="0.25">
      <c r="A2" s="511"/>
      <c r="B2" s="216"/>
      <c r="C2" s="216"/>
      <c r="D2" s="216"/>
      <c r="H2" s="216"/>
    </row>
    <row r="3" spans="1:14" ht="15" customHeight="1" thickBot="1" x14ac:dyDescent="0.25">
      <c r="A3" s="510"/>
      <c r="B3" s="509"/>
      <c r="C3" s="509"/>
      <c r="D3" s="675" t="s">
        <v>687</v>
      </c>
      <c r="E3" s="676"/>
      <c r="F3" s="676"/>
      <c r="G3" s="677"/>
      <c r="H3" s="520"/>
      <c r="I3" s="520"/>
      <c r="J3" s="520"/>
    </row>
    <row r="4" spans="1:14" ht="51.75" thickBot="1" x14ac:dyDescent="0.25">
      <c r="A4" s="525" t="s">
        <v>673</v>
      </c>
      <c r="B4" s="525" t="s">
        <v>705</v>
      </c>
      <c r="C4" s="525" t="s">
        <v>752</v>
      </c>
      <c r="D4" s="525" t="s">
        <v>686</v>
      </c>
      <c r="E4" s="525" t="s">
        <v>674</v>
      </c>
      <c r="F4" s="525" t="s">
        <v>675</v>
      </c>
      <c r="G4" s="525" t="s">
        <v>698</v>
      </c>
      <c r="H4" s="525" t="s">
        <v>676</v>
      </c>
      <c r="I4" s="524" t="s">
        <v>680</v>
      </c>
      <c r="J4" s="525" t="s">
        <v>677</v>
      </c>
      <c r="L4" s="669" t="s">
        <v>787</v>
      </c>
      <c r="M4" s="670" t="s">
        <v>788</v>
      </c>
      <c r="N4" s="216"/>
    </row>
    <row r="5" spans="1:14" x14ac:dyDescent="0.2">
      <c r="A5" s="530" t="s">
        <v>227</v>
      </c>
      <c r="B5" s="545">
        <f>SUM('Base Data'!$H$18:$H$20,'Base Data'!$H$23:$H$25)+(SUM('Base Data'!$H$63:$H$65)/3)</f>
        <v>121.33333333333333</v>
      </c>
      <c r="C5" s="545">
        <f>SUM('Base Data'!$D$18:$D$20,'Base Data'!$D$23:$D$25)+(SUM('Base Data'!$D$63:$D$65)/3)</f>
        <v>1040</v>
      </c>
      <c r="D5" s="526">
        <f>'Fac-ExistLrgSolid-Avg'!$P$55</f>
        <v>242</v>
      </c>
      <c r="E5" s="527">
        <f>SUM('Fac-ExistLrgSolid-Avg'!J55:L55)</f>
        <v>135217</v>
      </c>
      <c r="F5" s="527">
        <f>SUM('Fac-ExistLrgSolid-Avg'!J70:L70)</f>
        <v>61410</v>
      </c>
      <c r="G5" s="527">
        <f t="shared" ref="G5:G16" si="0">SUM(E5:F5)</f>
        <v>196627</v>
      </c>
      <c r="H5" s="528">
        <f>SUM('Fac-ExistLrgSolid-Avg'!N72)</f>
        <v>21531254.93</v>
      </c>
      <c r="I5" s="529">
        <f>'Fac-ExistLrgSolid-Avg'!O72</f>
        <v>74866304</v>
      </c>
      <c r="J5" s="528">
        <f t="shared" ref="J5:J16" si="1">SUM(H5,I5)</f>
        <v>96397558.930000007</v>
      </c>
      <c r="L5" s="672">
        <f>D5/B5</f>
        <v>1.9945054945054945</v>
      </c>
      <c r="M5" s="398">
        <f>B5*L5</f>
        <v>242</v>
      </c>
      <c r="N5" s="216"/>
    </row>
    <row r="6" spans="1:14" x14ac:dyDescent="0.2">
      <c r="A6" s="508" t="s">
        <v>228</v>
      </c>
      <c r="B6" s="544">
        <f>ROUND(SUM('Base Data'!$H$63:$H$65)/3,0)</f>
        <v>3</v>
      </c>
      <c r="C6" s="544">
        <f>ROUND(SUM('Base Data'!$D$63:$D$65)/3,0)</f>
        <v>26</v>
      </c>
      <c r="D6" s="395">
        <f>'Fac-NewLrgSolid-Avg'!P66</f>
        <v>12</v>
      </c>
      <c r="E6" s="516">
        <f>SUM('Fac-NewLrgSolid-Avg'!J48:L48)</f>
        <v>3857.1</v>
      </c>
      <c r="F6" s="516">
        <f>SUM('Fac-NewLrgSolid-Avg'!J63:L63)</f>
        <v>1603.1000000000001</v>
      </c>
      <c r="G6" s="516">
        <f t="shared" si="0"/>
        <v>5460.2</v>
      </c>
      <c r="H6" s="517">
        <f>'Fac-NewLrgSolid-Avg'!N66</f>
        <v>597908.51799999992</v>
      </c>
      <c r="I6" s="518">
        <f>'Fac-NewLrgSolid-Avg'!O49</f>
        <v>3223948</v>
      </c>
      <c r="J6" s="517">
        <f t="shared" si="1"/>
        <v>3821856.5180000002</v>
      </c>
      <c r="L6" s="672">
        <f t="shared" ref="L6:L17" si="2">D6/B6</f>
        <v>4</v>
      </c>
      <c r="M6" s="398">
        <f>B6*L6</f>
        <v>12</v>
      </c>
      <c r="N6" s="216"/>
    </row>
    <row r="7" spans="1:14" ht="25.5" x14ac:dyDescent="0.2">
      <c r="A7" s="508" t="s">
        <v>538</v>
      </c>
      <c r="B7" s="544">
        <f>SUM('Base Data'!$H$16:$H$17,'Base Data'!$H$21:$H$22)+(SUM('Base Data'!$H$62,'Base Data'!$H$66)/3)</f>
        <v>5.333333333333333</v>
      </c>
      <c r="C7" s="544">
        <f>SUM('Base Data'!$D$16:$D$17,'Base Data'!$D$21:$D$22)+(SUM('Base Data'!$D$62,'Base Data'!$D$66)/3)</f>
        <v>41.333333333333336</v>
      </c>
      <c r="D7" s="512">
        <f>'Fac - ExistSmlSolid-Avg'!$P$21</f>
        <v>3</v>
      </c>
      <c r="E7" s="516">
        <f>SUM('Fac - ExistSmlSolid-Avg'!J20:L20)</f>
        <v>346.72499999999997</v>
      </c>
      <c r="F7" s="516">
        <f>SUM('Fac - ExistSmlSolid-Avg'!J32:L32)</f>
        <v>156.4</v>
      </c>
      <c r="G7" s="516">
        <f t="shared" si="0"/>
        <v>503.125</v>
      </c>
      <c r="H7" s="517">
        <f>'Fac - ExistSmlSolid-Avg'!N35</f>
        <v>55093.71875</v>
      </c>
      <c r="I7" s="517">
        <f>'Fac - ExistSmlSolid-Avg'!O35</f>
        <v>98032</v>
      </c>
      <c r="J7" s="517">
        <f t="shared" si="1"/>
        <v>153125.71875</v>
      </c>
      <c r="L7" s="672">
        <f t="shared" si="2"/>
        <v>0.5625</v>
      </c>
      <c r="M7" s="398">
        <f>B7*L7</f>
        <v>3</v>
      </c>
      <c r="N7" s="681"/>
    </row>
    <row r="8" spans="1:14" x14ac:dyDescent="0.2">
      <c r="A8" s="508" t="s">
        <v>230</v>
      </c>
      <c r="B8" s="544">
        <f>ROUNDUP(SUM('Base Data'!$H$62,'Base Data'!$H$66)/3, 0)</f>
        <v>1</v>
      </c>
      <c r="C8" s="544">
        <f>ROUNDUP(SUM('Base Data'!$D$62,'Base Data'!$D$66)/3, 0)</f>
        <v>2</v>
      </c>
      <c r="D8" s="395">
        <f>'Fac-NewSmlSolid-Avg'!P17</f>
        <v>3</v>
      </c>
      <c r="E8" s="516">
        <f>SUM('Fac-NewSmlSolid-Avg'!J16:L16)</f>
        <v>74.174999999999997</v>
      </c>
      <c r="F8" s="516">
        <f>SUM('Fac-NewSmlSolid-Avg'!J27:L27)</f>
        <v>47.725000000000001</v>
      </c>
      <c r="G8" s="516">
        <f t="shared" si="0"/>
        <v>121.9</v>
      </c>
      <c r="H8" s="517">
        <f>'Fac-NewSmlSolid-Avg'!N30</f>
        <v>13348.420999999998</v>
      </c>
      <c r="I8" s="517">
        <f>'Fac-NewSmlSolid-Avg'!O30</f>
        <v>4456</v>
      </c>
      <c r="J8" s="517">
        <f t="shared" si="1"/>
        <v>17804.420999999998</v>
      </c>
      <c r="L8" s="672">
        <f t="shared" si="2"/>
        <v>3</v>
      </c>
      <c r="M8" s="398">
        <f t="shared" ref="M8:M10" si="3">B8*L8</f>
        <v>3</v>
      </c>
      <c r="N8" s="681"/>
    </row>
    <row r="9" spans="1:14" x14ac:dyDescent="0.2">
      <c r="A9" s="508" t="s">
        <v>231</v>
      </c>
      <c r="B9" s="544">
        <f>SUM('Base Data'!$H$43:$H$45)+(SUM('Base Data'!$H$79:$H$81)/3)</f>
        <v>66</v>
      </c>
      <c r="C9" s="544">
        <f>SUM('Base Data'!$D$43:$D$45)+(SUM('Base Data'!$D$79:$D$81)/3)</f>
        <v>570</v>
      </c>
      <c r="D9" s="395">
        <f>'Fac-ExistLrgLiquid-Avg'!$P$55</f>
        <v>132</v>
      </c>
      <c r="E9" s="516">
        <f>SUM('Fac-ExistLrgLiquid-Avg'!J54:L54)</f>
        <v>77487</v>
      </c>
      <c r="F9" s="516">
        <f>SUM('Fac-ExistLrgLiquid-Avg'!J69:L69)</f>
        <v>33637.5</v>
      </c>
      <c r="G9" s="516">
        <f t="shared" si="0"/>
        <v>111124.5</v>
      </c>
      <c r="H9" s="517">
        <f>'Fac-ExistLrgLiquid-Avg'!N72</f>
        <v>12168470.955000002</v>
      </c>
      <c r="I9" s="519">
        <f>'Fac-ExistLrgLiquid-Avg'!O72</f>
        <v>17695826</v>
      </c>
      <c r="J9" s="517">
        <f t="shared" si="1"/>
        <v>29864296.955000002</v>
      </c>
      <c r="L9" s="672">
        <f t="shared" si="2"/>
        <v>2</v>
      </c>
      <c r="M9" s="398">
        <f t="shared" si="3"/>
        <v>132</v>
      </c>
      <c r="N9" s="575"/>
    </row>
    <row r="10" spans="1:14" x14ac:dyDescent="0.2">
      <c r="A10" s="508" t="s">
        <v>232</v>
      </c>
      <c r="B10" s="544">
        <f>ROUND(SUM('Base Data'!$H$79:$H$81)/3,0)</f>
        <v>0</v>
      </c>
      <c r="C10" s="544">
        <f>ROUND(SUM('Base Data'!$D$79:$D$81)/3,0)</f>
        <v>0</v>
      </c>
      <c r="D10" s="395">
        <f>'Fac-NewLrgLiquid-Avg'!$P$48</f>
        <v>0</v>
      </c>
      <c r="E10" s="516">
        <f>SUM('Fac-NewLrgLiquid-Avg'!J47:L47)</f>
        <v>0</v>
      </c>
      <c r="F10" s="516">
        <f>SUM('Fac-NewLrgLiquid-Avg'!J62:L62)</f>
        <v>0</v>
      </c>
      <c r="G10" s="516">
        <f t="shared" si="0"/>
        <v>0</v>
      </c>
      <c r="H10" s="519">
        <f>'Fac-NewLrgLiquid-Avg'!N65</f>
        <v>0</v>
      </c>
      <c r="I10" s="519">
        <f>'Fac-NewLrgLiquid-Avg'!O65</f>
        <v>0</v>
      </c>
      <c r="J10" s="517">
        <f t="shared" si="1"/>
        <v>0</v>
      </c>
      <c r="L10" s="672">
        <v>0</v>
      </c>
      <c r="M10" s="398">
        <f t="shared" si="3"/>
        <v>0</v>
      </c>
      <c r="N10" s="575"/>
    </row>
    <row r="11" spans="1:14" ht="25.5" x14ac:dyDescent="0.2">
      <c r="A11" s="508" t="s">
        <v>539</v>
      </c>
      <c r="B11" s="544">
        <f>SUM('Base Data'!$H$41:$H$42)+'Base Data'!$H$78/3</f>
        <v>45</v>
      </c>
      <c r="C11" s="544">
        <f>SUM('Base Data'!$D$41:$D$42)</f>
        <v>385</v>
      </c>
      <c r="D11" s="512">
        <f>'Fac - ExistSmlLiquid-Avg'!$P$21</f>
        <v>23</v>
      </c>
      <c r="E11" s="516">
        <f>SUM('Fac - ExistSmlLiquid-Avg'!J20:L20)</f>
        <v>3044.625</v>
      </c>
      <c r="F11" s="516">
        <f>SUM('Fac - ExistSmlLiquid-Avg'!J32:L32)</f>
        <v>1220.4375</v>
      </c>
      <c r="G11" s="516">
        <f t="shared" si="0"/>
        <v>4265.0625</v>
      </c>
      <c r="H11" s="517">
        <f>'Fac - ExistSmlLiquid-Avg'!N35</f>
        <v>467037.32437499997</v>
      </c>
      <c r="I11" s="519">
        <f>'Fac - ExistSmlLiquid-Avg'!O35</f>
        <v>857780</v>
      </c>
      <c r="J11" s="517">
        <f t="shared" si="1"/>
        <v>1324817.3243749999</v>
      </c>
      <c r="L11" s="672">
        <f t="shared" si="2"/>
        <v>0.51111111111111107</v>
      </c>
      <c r="M11" s="398">
        <f>B11*L11</f>
        <v>23</v>
      </c>
      <c r="N11" s="575"/>
    </row>
    <row r="12" spans="1:14" x14ac:dyDescent="0.2">
      <c r="A12" s="508" t="s">
        <v>234</v>
      </c>
      <c r="B12" s="544">
        <f>'Base Data'!H78/3</f>
        <v>0</v>
      </c>
      <c r="C12" s="544">
        <f>'Base Data'!$D$78/3</f>
        <v>0</v>
      </c>
      <c r="D12" s="395">
        <f>'Fac-NewSmlLiquid-Avg'!P17</f>
        <v>0</v>
      </c>
      <c r="E12" s="535">
        <f>SUM('Fac-NewSmlLiquid-Avg'!J16:L16)</f>
        <v>0</v>
      </c>
      <c r="F12" s="535">
        <f>SUM('Fac-NewSmlLiquid-Avg'!J27:L27)</f>
        <v>0</v>
      </c>
      <c r="G12" s="516">
        <f t="shared" si="0"/>
        <v>0</v>
      </c>
      <c r="H12" s="517">
        <f>'Fac-NewSmlLiquid-Avg'!N30</f>
        <v>0</v>
      </c>
      <c r="I12" s="519">
        <f>'Fac-NewSmlLiquid-Avg'!O30</f>
        <v>0</v>
      </c>
      <c r="J12" s="517">
        <f t="shared" si="1"/>
        <v>0</v>
      </c>
      <c r="L12" s="672">
        <v>0</v>
      </c>
      <c r="M12" s="398">
        <f>B12*L12</f>
        <v>0</v>
      </c>
      <c r="N12" s="575"/>
    </row>
    <row r="13" spans="1:14" x14ac:dyDescent="0.2">
      <c r="A13" s="508" t="s">
        <v>235</v>
      </c>
      <c r="B13" s="544">
        <f>SUM('Base Data'!$H$28:$H$30,'Base Data'!$H$33:$H$35,'Base Data'!$H$38:$H$40)+(SUM('Base Data'!$H$71:$H$73)/3)</f>
        <v>669.33333333333337</v>
      </c>
      <c r="C13" s="544">
        <f>SUM('Base Data'!$D$28:$D$30,'Base Data'!$D$33:$D$35,'Base Data'!$D$38:$D$40)+(SUM('Base Data'!$D$71:$D$73)/3)</f>
        <v>5733.333333333333</v>
      </c>
      <c r="D13" s="395">
        <f>'Fac-ExistLrgGas-Avg'!$P$52</f>
        <v>1530</v>
      </c>
      <c r="E13" s="516">
        <f>SUM('Fac-ExistLrgGas-Avg'!J51:L51)</f>
        <v>142505.69999999998</v>
      </c>
      <c r="F13" s="516">
        <f>SUM('Fac-ExistLrgGas-Avg'!J68:L68)</f>
        <v>22654.137500000001</v>
      </c>
      <c r="G13" s="516">
        <f t="shared" si="0"/>
        <v>165159.83749999999</v>
      </c>
      <c r="H13" s="556">
        <f>'Fac-ExistLrgGas-Avg'!N71</f>
        <v>18085504.866625</v>
      </c>
      <c r="I13" s="519">
        <f>'Fac-ExistLrgGas-Avg'!O71</f>
        <v>18867183</v>
      </c>
      <c r="J13" s="517">
        <f t="shared" si="1"/>
        <v>36952687.866624996</v>
      </c>
      <c r="L13" s="672">
        <f t="shared" si="2"/>
        <v>2.2858565737051793</v>
      </c>
      <c r="M13" s="398">
        <f>B13*L13</f>
        <v>1530</v>
      </c>
      <c r="N13" s="575"/>
    </row>
    <row r="14" spans="1:14" x14ac:dyDescent="0.2">
      <c r="A14" s="508" t="s">
        <v>236</v>
      </c>
      <c r="B14" s="544">
        <f>SUM('Base Data'!$H$71:$H$73)/3</f>
        <v>33.333333333333336</v>
      </c>
      <c r="C14" s="544">
        <f>SUM('Base Data'!$D$71:$D$73)/3</f>
        <v>261.33333333333331</v>
      </c>
      <c r="D14" s="395">
        <f>'Fac-NewLrgGas-Avg'!$P$48</f>
        <v>99</v>
      </c>
      <c r="E14" s="516">
        <f>SUM('Fac-NewLrgGas-Avg'!J47:L47)</f>
        <v>6258.3</v>
      </c>
      <c r="F14" s="516">
        <f>SUM('Fac-NewLrgGas-Avg'!J64:L64)</f>
        <v>3545.7374999999997</v>
      </c>
      <c r="G14" s="516">
        <f t="shared" si="0"/>
        <v>9804.0375000000004</v>
      </c>
      <c r="H14" s="517">
        <f>'Fac-NewLrgGas-Avg'!N67</f>
        <v>1073571.944625</v>
      </c>
      <c r="I14" s="519">
        <f>'Fac-NewLrgGas-Avg'!O67</f>
        <v>750375</v>
      </c>
      <c r="J14" s="517">
        <f t="shared" si="1"/>
        <v>1823946.944625</v>
      </c>
      <c r="L14" s="672">
        <f t="shared" si="2"/>
        <v>2.9699999999999998</v>
      </c>
      <c r="M14" s="398">
        <f>B14*L14</f>
        <v>99</v>
      </c>
      <c r="N14" s="575"/>
    </row>
    <row r="15" spans="1:14" ht="25.5" x14ac:dyDescent="0.2">
      <c r="A15" s="508" t="s">
        <v>540</v>
      </c>
      <c r="B15" s="544">
        <f>SUM('Base Data'!$H$26:$H$27,'Base Data'!$H$31:$H$32,'Base Data'!$H$36:$H$37)+(SUM('Base Data'!$H$70)/3)</f>
        <v>1027</v>
      </c>
      <c r="C15" s="544">
        <f>SUM('Base Data'!$D$26:$D$27,'Base Data'!$D$31:$D$32,'Base Data'!$D$36:$D$37)+(SUM('Base Data'!$D$70)/3)</f>
        <v>8811</v>
      </c>
      <c r="D15" s="512">
        <f>'Fac - ExistSmlGas-Avg'!$P$21</f>
        <v>514</v>
      </c>
      <c r="E15" s="516">
        <f>SUM('Fac - ExistSmlGas-Avg'!J20:L20)</f>
        <v>69653.775000000009</v>
      </c>
      <c r="F15" s="516">
        <f>SUM('Fac - ExistSmlGas-Avg'!J32:L32)</f>
        <v>27358.212499999998</v>
      </c>
      <c r="G15" s="516">
        <f t="shared" si="0"/>
        <v>97011.987500000003</v>
      </c>
      <c r="H15" s="517">
        <f>'Fac - ExistSmlGas-Avg'!$N$35</f>
        <v>10623107.885125002</v>
      </c>
      <c r="I15" s="517">
        <f>'Fac - ExistSmlGas-Avg'!$O$35</f>
        <v>13921380</v>
      </c>
      <c r="J15" s="517">
        <f t="shared" si="1"/>
        <v>24544487.885125004</v>
      </c>
      <c r="L15" s="672">
        <f t="shared" si="2"/>
        <v>0.50048685491723466</v>
      </c>
      <c r="M15" s="398">
        <f t="shared" ref="M15:M17" si="4">B15*L15</f>
        <v>514</v>
      </c>
      <c r="N15" s="575"/>
    </row>
    <row r="16" spans="1:14" x14ac:dyDescent="0.2">
      <c r="A16" s="508" t="s">
        <v>238</v>
      </c>
      <c r="B16" s="544">
        <f>SUM('Base Data'!$H$70)/3</f>
        <v>41</v>
      </c>
      <c r="C16" s="544">
        <f>SUM('Base Data'!$D$70)/3</f>
        <v>326</v>
      </c>
      <c r="D16" s="395">
        <f>'Fac-NewSmlGas-avg'!P17</f>
        <v>102.5</v>
      </c>
      <c r="E16" s="516">
        <f>SUM('Fac-NewSmlGas-avg'!J16:L16)</f>
        <v>4724.7750000000005</v>
      </c>
      <c r="F16" s="516">
        <f>SUM('Fac-NewSmlGas-avg'!J27:L27)</f>
        <v>2026.875</v>
      </c>
      <c r="G16" s="516">
        <f t="shared" si="0"/>
        <v>6751.6500000000005</v>
      </c>
      <c r="H16" s="517">
        <f>'Fac-NewSmlGas-avg'!N30</f>
        <v>739326.22350000008</v>
      </c>
      <c r="I16" s="517">
        <f>'Fac-NewSmlGas-avg'!O30</f>
        <v>726328</v>
      </c>
      <c r="J16" s="517">
        <f t="shared" si="1"/>
        <v>1465654.2235000001</v>
      </c>
      <c r="L16" s="672">
        <f t="shared" si="2"/>
        <v>2.5</v>
      </c>
      <c r="M16" s="514">
        <f t="shared" si="4"/>
        <v>102.5</v>
      </c>
      <c r="N16" s="575"/>
    </row>
    <row r="17" spans="1:14" ht="13.5" x14ac:dyDescent="0.2">
      <c r="A17" s="533" t="s">
        <v>689</v>
      </c>
      <c r="B17" s="544">
        <f>SUM(B5:B16)</f>
        <v>2012.3333333333335</v>
      </c>
      <c r="C17" s="544">
        <f>SUM(C5:C16)</f>
        <v>17196</v>
      </c>
      <c r="D17" s="523">
        <f t="shared" ref="D17:J17" si="5">SUM(D5:D16)</f>
        <v>2660.5</v>
      </c>
      <c r="E17" s="521">
        <f t="shared" si="5"/>
        <v>443169.17499999999</v>
      </c>
      <c r="F17" s="521">
        <f t="shared" si="5"/>
        <v>153660.125</v>
      </c>
      <c r="G17" s="521">
        <f t="shared" si="5"/>
        <v>596829.30000000005</v>
      </c>
      <c r="H17" s="521">
        <f t="shared" si="5"/>
        <v>65354624.787</v>
      </c>
      <c r="I17" s="534">
        <f t="shared" si="5"/>
        <v>131011612</v>
      </c>
      <c r="J17" s="534">
        <f t="shared" si="5"/>
        <v>196366236.78700003</v>
      </c>
      <c r="L17" s="673">
        <f t="shared" si="2"/>
        <v>1.3220970680801722</v>
      </c>
      <c r="M17" s="674">
        <f t="shared" si="4"/>
        <v>2660.5</v>
      </c>
      <c r="N17" s="575"/>
    </row>
    <row r="18" spans="1:14" ht="15.75" x14ac:dyDescent="0.2">
      <c r="A18" s="532" t="s">
        <v>690</v>
      </c>
      <c r="B18" s="512"/>
      <c r="C18" s="512"/>
      <c r="D18" s="523"/>
      <c r="E18" s="521"/>
      <c r="F18" s="521"/>
      <c r="G18" s="521">
        <f>ROUND(SUM(G5:G16),-3)</f>
        <v>597000</v>
      </c>
      <c r="H18" s="522">
        <f>ROUND(SUM(H5:H16),-5)</f>
        <v>65400000</v>
      </c>
      <c r="I18" s="522">
        <f>ROUND(SUM(I5:I16),-6)</f>
        <v>131000000</v>
      </c>
      <c r="J18" s="522">
        <f>ROUND(SUM(J5:J16),-6)</f>
        <v>196000000</v>
      </c>
      <c r="L18" s="527">
        <f>G18/D17</f>
        <v>224.39391091900018</v>
      </c>
      <c r="M18" s="311" t="s">
        <v>704</v>
      </c>
      <c r="N18" s="575"/>
    </row>
    <row r="19" spans="1:14" ht="15.75" customHeight="1" x14ac:dyDescent="0.2">
      <c r="A19" s="508"/>
      <c r="B19" s="512"/>
      <c r="C19" s="512"/>
      <c r="D19" s="523"/>
      <c r="E19" s="521"/>
      <c r="F19" s="521"/>
      <c r="G19" s="678" t="s">
        <v>699</v>
      </c>
      <c r="H19" s="679"/>
      <c r="I19" s="679"/>
      <c r="J19" s="680"/>
      <c r="M19" s="311"/>
      <c r="N19" s="575"/>
    </row>
    <row r="20" spans="1:14" x14ac:dyDescent="0.2">
      <c r="A20" s="667" t="s">
        <v>700</v>
      </c>
      <c r="B20" s="531">
        <v>1891</v>
      </c>
      <c r="C20" s="531"/>
      <c r="D20" s="395">
        <f>D17*'Base Data'!$E$91</f>
        <v>2500.87</v>
      </c>
      <c r="E20" s="516">
        <f>E17*'Base Data'!$E$91</f>
        <v>416579.02449999994</v>
      </c>
      <c r="F20" s="516">
        <f>F17*'Base Data'!$E$91</f>
        <v>144440.51749999999</v>
      </c>
      <c r="G20" s="546">
        <f>ROUND(G17*'Base Data'!$E$91,-3)</f>
        <v>561000</v>
      </c>
      <c r="H20" s="547">
        <f>ROUND(H17*'Base Data'!$E$91,-5)</f>
        <v>61400000</v>
      </c>
      <c r="I20" s="547">
        <f>ROUND(I17*'Base Data'!$E$91,-6)</f>
        <v>123000000</v>
      </c>
      <c r="J20" s="547">
        <f>ROUND(J17*'Base Data'!$E$91,-6)</f>
        <v>185000000</v>
      </c>
      <c r="M20" s="311"/>
      <c r="N20" s="216"/>
    </row>
    <row r="21" spans="1:14" x14ac:dyDescent="0.2">
      <c r="A21" s="667" t="s">
        <v>688</v>
      </c>
      <c r="B21" s="531">
        <v>121</v>
      </c>
      <c r="C21" s="531"/>
      <c r="D21" s="395">
        <f>D17*'Base Data'!$E$92</f>
        <v>159.63</v>
      </c>
      <c r="E21" s="516">
        <f>E17*'Base Data'!$E$92</f>
        <v>26590.1505</v>
      </c>
      <c r="F21" s="516">
        <f>F17*'Base Data'!$E$92</f>
        <v>9219.6075000000001</v>
      </c>
      <c r="G21" s="546">
        <f>ROUND(G17*'Base Data'!$E$92,-2)</f>
        <v>35800</v>
      </c>
      <c r="H21" s="547">
        <f>ROUND(H17*'Base Data'!$E$92,-4)</f>
        <v>3920000</v>
      </c>
      <c r="I21" s="547">
        <f>ROUND(I17*'Base Data'!$E$92,-4)</f>
        <v>7860000</v>
      </c>
      <c r="J21" s="547">
        <f>ROUND(J17*'Base Data'!$E$92,-5)</f>
        <v>11800000</v>
      </c>
      <c r="M21" s="311"/>
      <c r="N21" s="216"/>
    </row>
    <row r="22" spans="1:14" ht="15.75" x14ac:dyDescent="0.2">
      <c r="A22" s="668" t="s">
        <v>691</v>
      </c>
      <c r="B22" s="513"/>
      <c r="C22" s="513"/>
    </row>
    <row r="23" spans="1:14" x14ac:dyDescent="0.2">
      <c r="A23" s="216"/>
    </row>
    <row r="25" spans="1:14" x14ac:dyDescent="0.2">
      <c r="E25" s="513"/>
    </row>
  </sheetData>
  <mergeCells count="3">
    <mergeCell ref="D3:G3"/>
    <mergeCell ref="G19:J19"/>
    <mergeCell ref="N7:N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85" workbookViewId="0">
      <selection activeCell="C2" sqref="C2"/>
    </sheetView>
  </sheetViews>
  <sheetFormatPr defaultColWidth="8.85546875" defaultRowHeight="12.75" x14ac:dyDescent="0.2"/>
  <cols>
    <col min="1" max="1" width="19.42578125" style="311" bestFit="1" customWidth="1"/>
    <col min="2" max="3" width="16.5703125" style="311" customWidth="1"/>
    <col min="4" max="4" width="22.85546875" style="311" bestFit="1" customWidth="1"/>
    <col min="5" max="5" width="16.85546875" style="387" customWidth="1"/>
    <col min="6" max="6" width="16" style="311" customWidth="1"/>
    <col min="7" max="16384" width="8.85546875" style="311"/>
  </cols>
  <sheetData>
    <row r="1" spans="1:8" ht="61.5" customHeight="1" x14ac:dyDescent="0.2">
      <c r="A1" s="309" t="s">
        <v>536</v>
      </c>
      <c r="B1" s="310" t="s">
        <v>537</v>
      </c>
      <c r="C1" s="310" t="s">
        <v>541</v>
      </c>
      <c r="D1" s="310" t="s">
        <v>542</v>
      </c>
      <c r="E1" s="310" t="s">
        <v>618</v>
      </c>
      <c r="F1" s="391"/>
      <c r="G1" s="391"/>
      <c r="H1" s="394"/>
    </row>
    <row r="2" spans="1:8" ht="25.5" x14ac:dyDescent="0.2">
      <c r="A2" s="309" t="s">
        <v>227</v>
      </c>
      <c r="B2" s="314">
        <f>SUM('Summary 2'!$D$3:$D$4)</f>
        <v>118</v>
      </c>
      <c r="C2" s="395" t="e">
        <f>#REF!+#REF!+'Fac-ExistLrgSolid-Avg'!$P$55</f>
        <v>#REF!</v>
      </c>
      <c r="D2" s="346" t="e">
        <f>C2/3</f>
        <v>#REF!</v>
      </c>
      <c r="E2" s="396" t="e">
        <f>D2/B2</f>
        <v>#REF!</v>
      </c>
      <c r="F2" s="392"/>
      <c r="H2" s="392"/>
    </row>
    <row r="3" spans="1:8" ht="21.75" customHeight="1" x14ac:dyDescent="0.2">
      <c r="A3" s="309" t="s">
        <v>228</v>
      </c>
      <c r="B3" s="314">
        <f>ROUND(SUM('Summary 2'!$B$3:$B$4)/3, 0)</f>
        <v>3</v>
      </c>
      <c r="C3" s="395" t="e">
        <f>#REF!+#REF!+'Fac-NewLrgSolid-Avg'!P66</f>
        <v>#REF!</v>
      </c>
      <c r="D3" s="346" t="e">
        <f t="shared" ref="D3:D13" si="0">C3/3</f>
        <v>#REF!</v>
      </c>
      <c r="E3" s="397" t="e">
        <f>D3/B3</f>
        <v>#REF!</v>
      </c>
      <c r="F3" s="392"/>
      <c r="H3" s="392"/>
    </row>
    <row r="4" spans="1:8" ht="25.5" x14ac:dyDescent="0.2">
      <c r="A4" s="309" t="s">
        <v>229</v>
      </c>
      <c r="B4" s="314">
        <f>SUM('Summary 2'!$D$9:$D$10)</f>
        <v>5</v>
      </c>
      <c r="C4" s="395" t="e">
        <f>#REF!+#REF!+'Fac - ExistSmlSolid-Avg'!$P$21</f>
        <v>#REF!</v>
      </c>
      <c r="D4" s="346" t="e">
        <f t="shared" si="0"/>
        <v>#REF!</v>
      </c>
      <c r="E4" s="397" t="e">
        <f>D4/B4</f>
        <v>#REF!</v>
      </c>
      <c r="F4" s="392"/>
      <c r="H4" s="392"/>
    </row>
    <row r="5" spans="1:8" ht="24" customHeight="1" x14ac:dyDescent="0.2">
      <c r="A5" s="309" t="s">
        <v>230</v>
      </c>
      <c r="B5" s="314">
        <f>SUM('Summary 2'!$B$9:$B$10)</f>
        <v>1</v>
      </c>
      <c r="C5" s="395" t="e">
        <f>#REF!+#REF!+'Fac-NewSmlSolid-Avg'!P17</f>
        <v>#REF!</v>
      </c>
      <c r="D5" s="346" t="e">
        <f t="shared" si="0"/>
        <v>#REF!</v>
      </c>
      <c r="E5" s="396" t="e">
        <f>D5/B5</f>
        <v>#REF!</v>
      </c>
      <c r="F5" s="392"/>
      <c r="H5" s="392"/>
    </row>
    <row r="6" spans="1:8" ht="25.5" x14ac:dyDescent="0.2">
      <c r="A6" s="309" t="s">
        <v>231</v>
      </c>
      <c r="B6" s="314">
        <f>SUM('Summary 2'!$D$5)</f>
        <v>66</v>
      </c>
      <c r="C6" s="395" t="e">
        <f>#REF!+#REF!+'Fac-ExistLrgLiquid-Avg'!$P$55</f>
        <v>#REF!</v>
      </c>
      <c r="D6" s="346" t="e">
        <f t="shared" si="0"/>
        <v>#REF!</v>
      </c>
      <c r="E6" s="397" t="e">
        <f>D6/B6</f>
        <v>#REF!</v>
      </c>
      <c r="F6" s="392"/>
      <c r="H6" s="392"/>
    </row>
    <row r="7" spans="1:8" ht="21" customHeight="1" x14ac:dyDescent="0.2">
      <c r="A7" s="309" t="s">
        <v>232</v>
      </c>
      <c r="B7" s="314">
        <f>SUM('Summary 2'!$B$5)</f>
        <v>0</v>
      </c>
      <c r="C7" s="395" t="e">
        <f>#REF!+#REF!+'Fac-NewLrgLiquid-Avg'!$P$48</f>
        <v>#REF!</v>
      </c>
      <c r="D7" s="346" t="e">
        <f t="shared" si="0"/>
        <v>#REF!</v>
      </c>
      <c r="E7" s="397">
        <v>0</v>
      </c>
      <c r="F7" s="392"/>
      <c r="H7" s="392"/>
    </row>
    <row r="8" spans="1:8" ht="25.5" x14ac:dyDescent="0.2">
      <c r="A8" s="309" t="s">
        <v>233</v>
      </c>
      <c r="B8" s="314">
        <f>SUM('Summary 2'!$D$11)</f>
        <v>45</v>
      </c>
      <c r="C8" s="395" t="e">
        <f>SUM(#REF!+#REF!+'Fac - ExistSmlLiquid-Avg'!$P$21)</f>
        <v>#REF!</v>
      </c>
      <c r="D8" s="346" t="e">
        <f t="shared" si="0"/>
        <v>#REF!</v>
      </c>
      <c r="E8" s="396" t="e">
        <f>D8/B8</f>
        <v>#REF!</v>
      </c>
      <c r="F8" s="392"/>
      <c r="H8" s="392"/>
    </row>
    <row r="9" spans="1:8" ht="18" customHeight="1" x14ac:dyDescent="0.2">
      <c r="A9" s="309" t="s">
        <v>234</v>
      </c>
      <c r="B9" s="314">
        <f>SUM('Summary 2'!$B$11)</f>
        <v>0</v>
      </c>
      <c r="C9" s="395" t="e">
        <f>#REF!+#REF!+'Fac-NewSmlLiquid-Avg'!P17</f>
        <v>#REF!</v>
      </c>
      <c r="D9" s="346" t="e">
        <f t="shared" si="0"/>
        <v>#REF!</v>
      </c>
      <c r="E9" s="397">
        <v>0</v>
      </c>
      <c r="F9" s="392"/>
      <c r="H9" s="392"/>
    </row>
    <row r="10" spans="1:8" ht="25.5" x14ac:dyDescent="0.2">
      <c r="A10" s="309" t="s">
        <v>235</v>
      </c>
      <c r="B10" s="314">
        <f>SUM('Summary 2'!$D$6:$D$8)</f>
        <v>636</v>
      </c>
      <c r="C10" s="395" t="e">
        <f>#REF!+#REF!+'Fac-ExistLrgGas-Avg'!$P$52</f>
        <v>#REF!</v>
      </c>
      <c r="D10" s="346" t="e">
        <f t="shared" si="0"/>
        <v>#REF!</v>
      </c>
      <c r="E10" s="397" t="e">
        <f>D10/B10</f>
        <v>#REF!</v>
      </c>
      <c r="F10" s="392"/>
      <c r="H10" s="392"/>
    </row>
    <row r="11" spans="1:8" ht="25.5" x14ac:dyDescent="0.2">
      <c r="A11" s="309" t="s">
        <v>236</v>
      </c>
      <c r="B11" s="314">
        <f>ROUND(SUM('Summary 2'!$B$6:$B$8)/3, 0)</f>
        <v>33</v>
      </c>
      <c r="C11" s="395" t="e">
        <f>#REF!+#REF!+'Fac-NewLrgGas-Avg'!$P$48</f>
        <v>#REF!</v>
      </c>
      <c r="D11" s="346" t="e">
        <f t="shared" si="0"/>
        <v>#REF!</v>
      </c>
      <c r="E11" s="396" t="e">
        <f>D11/B11</f>
        <v>#REF!</v>
      </c>
      <c r="F11" s="392"/>
      <c r="H11" s="392"/>
    </row>
    <row r="12" spans="1:8" ht="25.5" x14ac:dyDescent="0.2">
      <c r="A12" s="309" t="s">
        <v>237</v>
      </c>
      <c r="B12" s="314">
        <f>SUM('Summary 2'!$D$12)</f>
        <v>986</v>
      </c>
      <c r="C12" s="395" t="e">
        <f>#REF!+#REF!+'Fac - ExistSmlGas-Avg'!$P$21</f>
        <v>#REF!</v>
      </c>
      <c r="D12" s="346" t="e">
        <f t="shared" si="0"/>
        <v>#REF!</v>
      </c>
      <c r="E12" s="396" t="e">
        <f>D12/B12</f>
        <v>#REF!</v>
      </c>
      <c r="F12" s="392"/>
      <c r="H12" s="392"/>
    </row>
    <row r="13" spans="1:8" ht="25.5" x14ac:dyDescent="0.2">
      <c r="A13" s="309" t="s">
        <v>238</v>
      </c>
      <c r="B13" s="314">
        <f>ROUND(SUM('Summary 2'!$B$12)/3, 0)</f>
        <v>41</v>
      </c>
      <c r="C13" s="395" t="e">
        <f>#REF!+#REF!+'Fac-NewSmlGas-avg'!P17</f>
        <v>#REF!</v>
      </c>
      <c r="D13" s="346" t="e">
        <f t="shared" si="0"/>
        <v>#REF!</v>
      </c>
      <c r="E13" s="397" t="e">
        <f>D13/B13</f>
        <v>#REF!</v>
      </c>
      <c r="F13" s="392"/>
      <c r="H13" s="392"/>
    </row>
    <row r="14" spans="1:8" x14ac:dyDescent="0.2">
      <c r="A14" s="398" t="s">
        <v>619</v>
      </c>
      <c r="B14" s="514"/>
      <c r="C14" s="398"/>
      <c r="D14" s="400" t="e">
        <f>SUM(D2:D13)</f>
        <v>#REF!</v>
      </c>
      <c r="E14" s="399"/>
    </row>
    <row r="20" spans="3:4" x14ac:dyDescent="0.2">
      <c r="C20" s="393"/>
      <c r="D20" s="393"/>
    </row>
  </sheetData>
  <phoneticPr fontId="9"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3" zoomScale="85" zoomScaleNormal="85" workbookViewId="0">
      <selection activeCell="C25" sqref="C25"/>
    </sheetView>
  </sheetViews>
  <sheetFormatPr defaultRowHeight="12.75" x14ac:dyDescent="0.2"/>
  <cols>
    <col min="2" max="2" width="20.140625" bestFit="1" customWidth="1"/>
    <col min="3" max="3" width="89.140625" style="61" customWidth="1"/>
    <col min="4" max="4" width="10" customWidth="1"/>
    <col min="5" max="5" width="60" style="61" customWidth="1"/>
    <col min="7" max="7" width="16.85546875" customWidth="1"/>
  </cols>
  <sheetData>
    <row r="1" spans="1:7" x14ac:dyDescent="0.2">
      <c r="A1" s="238" t="s">
        <v>466</v>
      </c>
      <c r="B1" s="238" t="s">
        <v>467</v>
      </c>
      <c r="C1" s="294" t="s">
        <v>468</v>
      </c>
      <c r="D1" t="s">
        <v>466</v>
      </c>
      <c r="E1" s="61" t="s">
        <v>468</v>
      </c>
    </row>
    <row r="2" spans="1:7" x14ac:dyDescent="0.2">
      <c r="A2" s="295" t="s">
        <v>469</v>
      </c>
      <c r="B2" s="295" t="s">
        <v>497</v>
      </c>
      <c r="C2" s="296" t="s">
        <v>498</v>
      </c>
      <c r="D2" s="24"/>
      <c r="E2" s="297"/>
    </row>
    <row r="3" spans="1:7" ht="25.5" x14ac:dyDescent="0.2">
      <c r="A3" s="295" t="s">
        <v>469</v>
      </c>
      <c r="B3" s="295" t="s">
        <v>497</v>
      </c>
      <c r="C3" s="296" t="s">
        <v>499</v>
      </c>
      <c r="D3" s="24" t="s">
        <v>506</v>
      </c>
      <c r="E3" s="301" t="s">
        <v>522</v>
      </c>
      <c r="F3" s="306" t="s">
        <v>469</v>
      </c>
      <c r="G3" s="307" t="s">
        <v>533</v>
      </c>
    </row>
    <row r="4" spans="1:7" ht="38.25" x14ac:dyDescent="0.2">
      <c r="A4" s="295" t="s">
        <v>469</v>
      </c>
      <c r="B4" s="295" t="s">
        <v>497</v>
      </c>
      <c r="C4" s="296" t="s">
        <v>500</v>
      </c>
      <c r="D4" s="24" t="s">
        <v>506</v>
      </c>
      <c r="E4" s="305" t="s">
        <v>526</v>
      </c>
      <c r="F4" s="306" t="s">
        <v>469</v>
      </c>
      <c r="G4" s="307" t="s">
        <v>533</v>
      </c>
    </row>
    <row r="5" spans="1:7" ht="38.25" x14ac:dyDescent="0.2">
      <c r="A5" s="295" t="s">
        <v>469</v>
      </c>
      <c r="B5" s="295" t="s">
        <v>497</v>
      </c>
      <c r="C5" s="296" t="s">
        <v>501</v>
      </c>
      <c r="D5" s="24" t="s">
        <v>506</v>
      </c>
      <c r="E5" s="296" t="s">
        <v>530</v>
      </c>
      <c r="F5" s="306" t="s">
        <v>469</v>
      </c>
      <c r="G5" s="308" t="s">
        <v>534</v>
      </c>
    </row>
    <row r="6" spans="1:7" ht="38.25" x14ac:dyDescent="0.2">
      <c r="A6" s="295" t="s">
        <v>469</v>
      </c>
      <c r="B6" s="295" t="s">
        <v>473</v>
      </c>
      <c r="C6" s="296" t="s">
        <v>502</v>
      </c>
      <c r="D6" s="24" t="s">
        <v>506</v>
      </c>
      <c r="E6" s="296" t="s">
        <v>518</v>
      </c>
      <c r="F6" s="306" t="s">
        <v>469</v>
      </c>
      <c r="G6" s="308" t="s">
        <v>534</v>
      </c>
    </row>
    <row r="7" spans="1:7" x14ac:dyDescent="0.2">
      <c r="A7" s="295" t="s">
        <v>469</v>
      </c>
      <c r="B7" s="24" t="s">
        <v>470</v>
      </c>
      <c r="C7" s="296" t="s">
        <v>471</v>
      </c>
      <c r="D7" s="24" t="s">
        <v>506</v>
      </c>
      <c r="E7" s="297" t="s">
        <v>510</v>
      </c>
      <c r="F7" s="306" t="s">
        <v>469</v>
      </c>
      <c r="G7" s="308" t="s">
        <v>534</v>
      </c>
    </row>
    <row r="8" spans="1:7" x14ac:dyDescent="0.2">
      <c r="A8" s="295" t="s">
        <v>469</v>
      </c>
      <c r="B8" s="24" t="s">
        <v>470</v>
      </c>
      <c r="C8" s="296" t="s">
        <v>492</v>
      </c>
      <c r="D8" s="24" t="s">
        <v>506</v>
      </c>
      <c r="E8" s="297" t="s">
        <v>507</v>
      </c>
      <c r="F8" s="306" t="s">
        <v>469</v>
      </c>
      <c r="G8" s="308" t="s">
        <v>534</v>
      </c>
    </row>
    <row r="9" spans="1:7" ht="25.5" x14ac:dyDescent="0.2">
      <c r="A9" s="295" t="s">
        <v>469</v>
      </c>
      <c r="B9" s="24" t="s">
        <v>470</v>
      </c>
      <c r="C9" s="296" t="s">
        <v>493</v>
      </c>
      <c r="D9" s="24" t="s">
        <v>506</v>
      </c>
      <c r="E9" s="296" t="s">
        <v>532</v>
      </c>
      <c r="F9" s="306" t="s">
        <v>469</v>
      </c>
      <c r="G9" s="308" t="s">
        <v>534</v>
      </c>
    </row>
    <row r="10" spans="1:7" ht="51" x14ac:dyDescent="0.2">
      <c r="A10" s="295" t="s">
        <v>469</v>
      </c>
      <c r="B10" s="295" t="s">
        <v>486</v>
      </c>
      <c r="C10" s="296" t="s">
        <v>487</v>
      </c>
      <c r="D10" s="24" t="s">
        <v>506</v>
      </c>
      <c r="E10" s="298" t="s">
        <v>514</v>
      </c>
      <c r="F10" s="306" t="s">
        <v>469</v>
      </c>
      <c r="G10" s="308" t="s">
        <v>534</v>
      </c>
    </row>
    <row r="11" spans="1:7" ht="51" x14ac:dyDescent="0.2">
      <c r="A11" s="295" t="s">
        <v>469</v>
      </c>
      <c r="B11" s="24" t="s">
        <v>485</v>
      </c>
      <c r="C11" s="296" t="s">
        <v>487</v>
      </c>
      <c r="D11" s="24" t="s">
        <v>506</v>
      </c>
      <c r="E11" s="298" t="s">
        <v>514</v>
      </c>
      <c r="F11" s="306" t="s">
        <v>469</v>
      </c>
      <c r="G11" s="308" t="s">
        <v>534</v>
      </c>
    </row>
    <row r="12" spans="1:7" ht="51" x14ac:dyDescent="0.2">
      <c r="A12" s="295" t="s">
        <v>469</v>
      </c>
      <c r="B12" s="24" t="s">
        <v>485</v>
      </c>
      <c r="C12" s="296" t="s">
        <v>488</v>
      </c>
      <c r="D12" s="24" t="s">
        <v>506</v>
      </c>
      <c r="E12" s="298" t="s">
        <v>514</v>
      </c>
      <c r="F12" s="306" t="s">
        <v>469</v>
      </c>
      <c r="G12" s="308" t="s">
        <v>534</v>
      </c>
    </row>
    <row r="13" spans="1:7" x14ac:dyDescent="0.2">
      <c r="A13" s="295" t="s">
        <v>469</v>
      </c>
      <c r="B13" s="24" t="s">
        <v>483</v>
      </c>
      <c r="C13" s="296" t="s">
        <v>481</v>
      </c>
      <c r="D13" s="24" t="s">
        <v>506</v>
      </c>
      <c r="E13" s="297" t="s">
        <v>507</v>
      </c>
      <c r="F13" s="306" t="s">
        <v>469</v>
      </c>
      <c r="G13" s="308" t="s">
        <v>534</v>
      </c>
    </row>
    <row r="14" spans="1:7" x14ac:dyDescent="0.2">
      <c r="A14" s="295" t="s">
        <v>469</v>
      </c>
      <c r="B14" s="295" t="s">
        <v>484</v>
      </c>
      <c r="C14" s="296" t="s">
        <v>481</v>
      </c>
      <c r="D14" s="24" t="s">
        <v>506</v>
      </c>
      <c r="E14" s="297" t="s">
        <v>507</v>
      </c>
      <c r="F14" s="306" t="s">
        <v>469</v>
      </c>
      <c r="G14" s="308" t="s">
        <v>534</v>
      </c>
    </row>
    <row r="15" spans="1:7" x14ac:dyDescent="0.2">
      <c r="A15" s="295" t="s">
        <v>469</v>
      </c>
      <c r="B15" s="24" t="s">
        <v>479</v>
      </c>
      <c r="C15" s="296" t="s">
        <v>481</v>
      </c>
      <c r="D15" s="24" t="s">
        <v>506</v>
      </c>
      <c r="E15" s="297" t="s">
        <v>507</v>
      </c>
      <c r="F15" s="306" t="s">
        <v>469</v>
      </c>
      <c r="G15" s="308" t="s">
        <v>534</v>
      </c>
    </row>
    <row r="16" spans="1:7" x14ac:dyDescent="0.2">
      <c r="A16" s="295" t="s">
        <v>469</v>
      </c>
      <c r="B16" s="295" t="s">
        <v>480</v>
      </c>
      <c r="C16" s="296" t="s">
        <v>481</v>
      </c>
      <c r="D16" s="24" t="s">
        <v>506</v>
      </c>
      <c r="E16" s="297" t="s">
        <v>507</v>
      </c>
      <c r="F16" s="306" t="s">
        <v>469</v>
      </c>
      <c r="G16" s="308" t="s">
        <v>534</v>
      </c>
    </row>
    <row r="17" spans="1:7" ht="25.5" x14ac:dyDescent="0.2">
      <c r="A17" s="295" t="s">
        <v>469</v>
      </c>
      <c r="B17" s="24" t="s">
        <v>472</v>
      </c>
      <c r="C17" s="296" t="s">
        <v>482</v>
      </c>
      <c r="D17" s="24" t="s">
        <v>506</v>
      </c>
      <c r="E17" s="297" t="s">
        <v>511</v>
      </c>
      <c r="F17" s="306" t="s">
        <v>469</v>
      </c>
      <c r="G17" s="308" t="s">
        <v>534</v>
      </c>
    </row>
    <row r="18" spans="1:7" ht="25.5" x14ac:dyDescent="0.2">
      <c r="A18" s="295" t="s">
        <v>469</v>
      </c>
      <c r="B18" s="24" t="s">
        <v>472</v>
      </c>
      <c r="C18" s="296" t="s">
        <v>477</v>
      </c>
      <c r="D18" s="24" t="s">
        <v>506</v>
      </c>
      <c r="E18" s="296" t="s">
        <v>531</v>
      </c>
      <c r="F18" s="306" t="s">
        <v>469</v>
      </c>
      <c r="G18" s="308" t="s">
        <v>534</v>
      </c>
    </row>
    <row r="19" spans="1:7" x14ac:dyDescent="0.2">
      <c r="A19" s="295" t="s">
        <v>469</v>
      </c>
      <c r="B19" s="24" t="s">
        <v>472</v>
      </c>
      <c r="C19" s="296" t="s">
        <v>489</v>
      </c>
      <c r="D19" s="24" t="s">
        <v>506</v>
      </c>
      <c r="E19" s="296" t="s">
        <v>512</v>
      </c>
      <c r="F19" s="306" t="s">
        <v>469</v>
      </c>
      <c r="G19" s="308" t="s">
        <v>534</v>
      </c>
    </row>
    <row r="20" spans="1:7" ht="25.5" x14ac:dyDescent="0.2">
      <c r="A20" s="295" t="s">
        <v>469</v>
      </c>
      <c r="B20" s="24" t="s">
        <v>490</v>
      </c>
      <c r="C20" s="296" t="s">
        <v>491</v>
      </c>
      <c r="D20" s="24" t="s">
        <v>506</v>
      </c>
      <c r="E20" s="296" t="s">
        <v>512</v>
      </c>
      <c r="F20" s="306" t="s">
        <v>469</v>
      </c>
      <c r="G20" s="308" t="s">
        <v>534</v>
      </c>
    </row>
    <row r="21" spans="1:7" ht="25.5" x14ac:dyDescent="0.2">
      <c r="A21" s="295" t="s">
        <v>469</v>
      </c>
      <c r="B21" s="295" t="s">
        <v>494</v>
      </c>
      <c r="C21" s="296" t="s">
        <v>495</v>
      </c>
      <c r="D21" s="24" t="s">
        <v>506</v>
      </c>
      <c r="E21" s="297" t="s">
        <v>510</v>
      </c>
      <c r="F21" s="306" t="s">
        <v>469</v>
      </c>
      <c r="G21" s="308" t="s">
        <v>534</v>
      </c>
    </row>
    <row r="22" spans="1:7" x14ac:dyDescent="0.2">
      <c r="A22" s="295" t="s">
        <v>469</v>
      </c>
      <c r="B22" s="295" t="s">
        <v>494</v>
      </c>
      <c r="C22" s="296" t="s">
        <v>496</v>
      </c>
      <c r="D22" s="24"/>
      <c r="E22" s="296" t="s">
        <v>513</v>
      </c>
      <c r="G22" s="308" t="s">
        <v>534</v>
      </c>
    </row>
  </sheetData>
  <sortState ref="A2:C22">
    <sortCondition ref="B2:B2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1"/>
  <sheetViews>
    <sheetView zoomScaleNormal="100" zoomScaleSheetLayoutView="90" workbookViewId="0">
      <pane xSplit="1" ySplit="3" topLeftCell="D34" activePane="bottomRight" state="frozen"/>
      <selection activeCell="L41" sqref="L41"/>
      <selection pane="topRight" activeCell="L41" sqref="L41"/>
      <selection pane="bottomLeft" activeCell="L41" sqref="L41"/>
      <selection pane="bottomRight" activeCell="A3" sqref="A3"/>
    </sheetView>
  </sheetViews>
  <sheetFormatPr defaultColWidth="9.140625" defaultRowHeight="11.25" x14ac:dyDescent="0.2"/>
  <cols>
    <col min="1" max="1" width="36.5703125" style="77" customWidth="1"/>
    <col min="2" max="2" width="9.42578125" style="39" customWidth="1"/>
    <col min="3" max="3" width="8" style="39" hidden="1" customWidth="1"/>
    <col min="4" max="4" width="8.42578125" style="39" bestFit="1" customWidth="1"/>
    <col min="5" max="5" width="8.85546875" style="39" bestFit="1" customWidth="1"/>
    <col min="6" max="6" width="7.42578125" style="39" customWidth="1"/>
    <col min="7" max="7" width="9.42578125" style="39" bestFit="1" customWidth="1"/>
    <col min="8" max="8" width="8.42578125" style="39" customWidth="1"/>
    <col min="9" max="9" width="8.85546875" style="40" customWidth="1"/>
    <col min="10" max="11" width="6.85546875" style="39" bestFit="1" customWidth="1"/>
    <col min="12" max="12" width="8.5703125" style="39" customWidth="1"/>
    <col min="13" max="13" width="7.85546875" style="39" hidden="1" customWidth="1"/>
    <col min="14" max="14" width="9.140625" style="39" customWidth="1"/>
    <col min="15" max="15" width="10.140625" style="120" bestFit="1" customWidth="1"/>
    <col min="16" max="16" width="10" style="120" bestFit="1" customWidth="1"/>
    <col min="17" max="17" width="3.5703125" style="39" customWidth="1"/>
    <col min="18" max="19" width="9.140625" style="77" hidden="1" customWidth="1"/>
    <col min="20" max="20" width="28.140625" style="77" customWidth="1"/>
    <col min="21" max="16384" width="9.140625" style="77"/>
  </cols>
  <sheetData>
    <row r="1" spans="1:21" x14ac:dyDescent="0.2">
      <c r="A1" s="684" t="s">
        <v>587</v>
      </c>
      <c r="B1" s="684"/>
      <c r="C1" s="684"/>
      <c r="D1" s="684"/>
      <c r="E1" s="684"/>
      <c r="F1" s="684"/>
      <c r="G1" s="684"/>
      <c r="H1" s="684"/>
      <c r="I1" s="684"/>
      <c r="J1" s="684"/>
      <c r="K1" s="684"/>
      <c r="L1" s="684"/>
      <c r="M1" s="684"/>
      <c r="N1" s="684"/>
      <c r="O1" s="684"/>
      <c r="P1" s="684"/>
      <c r="Q1" s="684"/>
    </row>
    <row r="2" spans="1:21" x14ac:dyDescent="0.2">
      <c r="A2" s="685" t="s">
        <v>615</v>
      </c>
      <c r="B2" s="685"/>
      <c r="C2" s="685"/>
      <c r="D2" s="685"/>
      <c r="E2" s="685"/>
      <c r="F2" s="685"/>
      <c r="G2" s="685"/>
      <c r="H2" s="685"/>
      <c r="I2" s="685"/>
      <c r="J2" s="685"/>
      <c r="K2" s="685"/>
      <c r="L2" s="685"/>
      <c r="M2" s="685"/>
      <c r="N2" s="685"/>
      <c r="O2" s="685"/>
      <c r="P2" s="685"/>
      <c r="Q2" s="685"/>
    </row>
    <row r="3" spans="1:21" s="117" customFormat="1" ht="63" x14ac:dyDescent="0.15">
      <c r="A3" s="32" t="s">
        <v>280</v>
      </c>
      <c r="B3" s="32" t="s">
        <v>347</v>
      </c>
      <c r="C3" s="32" t="s">
        <v>308</v>
      </c>
      <c r="D3" s="32" t="s">
        <v>1</v>
      </c>
      <c r="E3" s="32" t="s">
        <v>3</v>
      </c>
      <c r="F3" s="32" t="s">
        <v>2</v>
      </c>
      <c r="G3" s="32" t="s">
        <v>148</v>
      </c>
      <c r="H3" s="32" t="s">
        <v>335</v>
      </c>
      <c r="I3" s="43" t="s">
        <v>346</v>
      </c>
      <c r="J3" s="70" t="s">
        <v>338</v>
      </c>
      <c r="K3" s="70" t="s">
        <v>339</v>
      </c>
      <c r="L3" s="70" t="s">
        <v>337</v>
      </c>
      <c r="M3" s="32" t="s">
        <v>279</v>
      </c>
      <c r="N3" s="32" t="s">
        <v>5</v>
      </c>
      <c r="O3" s="70" t="s">
        <v>6</v>
      </c>
      <c r="P3" s="70" t="s">
        <v>147</v>
      </c>
      <c r="Q3" s="106" t="s">
        <v>282</v>
      </c>
      <c r="R3" s="117" t="s">
        <v>225</v>
      </c>
      <c r="S3" s="117" t="s">
        <v>226</v>
      </c>
      <c r="T3" s="348" t="s">
        <v>575</v>
      </c>
      <c r="U3" s="117" t="s">
        <v>576</v>
      </c>
    </row>
    <row r="4" spans="1:21" s="95" customFormat="1" ht="9" x14ac:dyDescent="0.15">
      <c r="A4" s="102" t="s">
        <v>284</v>
      </c>
      <c r="B4" s="103" t="s">
        <v>311</v>
      </c>
      <c r="C4" s="103"/>
      <c r="D4" s="105"/>
      <c r="E4" s="105"/>
      <c r="F4" s="105"/>
      <c r="G4" s="103"/>
      <c r="H4" s="103"/>
      <c r="I4" s="107"/>
      <c r="J4" s="107"/>
      <c r="K4" s="107"/>
      <c r="L4" s="107"/>
      <c r="M4" s="103"/>
      <c r="N4" s="105"/>
      <c r="O4" s="105"/>
      <c r="P4" s="105"/>
      <c r="Q4" s="143"/>
    </row>
    <row r="5" spans="1:21" s="95" customFormat="1" ht="9" x14ac:dyDescent="0.15">
      <c r="A5" s="90" t="s">
        <v>285</v>
      </c>
      <c r="B5" s="31" t="s">
        <v>311</v>
      </c>
      <c r="C5" s="31"/>
      <c r="D5" s="37"/>
      <c r="E5" s="37"/>
      <c r="F5" s="37"/>
      <c r="G5" s="31"/>
      <c r="H5" s="31"/>
      <c r="I5" s="64"/>
      <c r="J5" s="64"/>
      <c r="K5" s="64"/>
      <c r="L5" s="64"/>
      <c r="M5" s="31"/>
      <c r="N5" s="37"/>
      <c r="O5" s="37"/>
      <c r="P5" s="37"/>
      <c r="Q5" s="66"/>
    </row>
    <row r="6" spans="1:21" s="95" customFormat="1" ht="9" x14ac:dyDescent="0.15">
      <c r="A6" s="90" t="s">
        <v>286</v>
      </c>
      <c r="B6" s="31"/>
      <c r="C6" s="31"/>
      <c r="D6" s="37"/>
      <c r="E6" s="37"/>
      <c r="F6" s="37"/>
      <c r="G6" s="31"/>
      <c r="H6" s="31"/>
      <c r="I6" s="64"/>
      <c r="J6" s="64"/>
      <c r="K6" s="64"/>
      <c r="L6" s="64"/>
      <c r="M6" s="31"/>
      <c r="N6" s="37"/>
      <c r="O6" s="37"/>
      <c r="P6" s="37"/>
      <c r="Q6" s="66"/>
    </row>
    <row r="7" spans="1:21" s="95" customFormat="1" ht="9" x14ac:dyDescent="0.15">
      <c r="A7" s="91" t="s">
        <v>287</v>
      </c>
      <c r="B7" s="31">
        <v>40</v>
      </c>
      <c r="C7" s="31"/>
      <c r="D7" s="37">
        <v>0</v>
      </c>
      <c r="E7" s="37">
        <v>0</v>
      </c>
      <c r="F7" s="37">
        <v>0</v>
      </c>
      <c r="G7" s="31">
        <v>1</v>
      </c>
      <c r="H7" s="31">
        <f>B7*G7</f>
        <v>40</v>
      </c>
      <c r="I7" s="63">
        <f>ROUND(SUM('Base Data'!$H$18:$H$20,'Base Data'!$H$23:$H$25),0)</f>
        <v>118</v>
      </c>
      <c r="J7" s="64">
        <f>H7*I7</f>
        <v>4720</v>
      </c>
      <c r="K7" s="64">
        <f>J7*0.1</f>
        <v>472</v>
      </c>
      <c r="L7" s="63">
        <f>J7*0.05</f>
        <v>236</v>
      </c>
      <c r="M7" s="31">
        <f>C7*G7*I7</f>
        <v>0</v>
      </c>
      <c r="N7" s="37">
        <f>(J7*'Base Data'!$C$5)+(K7*'Base Data'!$C$6)+(L7*'Base Data'!$C$7)</f>
        <v>594382.5199999999</v>
      </c>
      <c r="O7" s="37">
        <f>(D7+E7+F7)*G7*I7</f>
        <v>0</v>
      </c>
      <c r="P7" s="64">
        <v>0</v>
      </c>
      <c r="Q7" s="66" t="s">
        <v>276</v>
      </c>
      <c r="T7" s="95" t="s">
        <v>573</v>
      </c>
      <c r="U7" s="95" t="s">
        <v>577</v>
      </c>
    </row>
    <row r="8" spans="1:21" s="95" customFormat="1" ht="9" x14ac:dyDescent="0.15">
      <c r="A8" s="90" t="s">
        <v>288</v>
      </c>
      <c r="B8" s="31"/>
      <c r="C8" s="31"/>
      <c r="D8" s="37"/>
      <c r="E8" s="37"/>
      <c r="F8" s="37"/>
      <c r="G8" s="31"/>
      <c r="H8" s="31"/>
      <c r="I8" s="64"/>
      <c r="J8" s="64"/>
      <c r="K8" s="64"/>
      <c r="L8" s="64"/>
      <c r="M8" s="31"/>
      <c r="N8" s="37"/>
      <c r="O8" s="37"/>
      <c r="P8" s="37"/>
      <c r="Q8" s="66"/>
    </row>
    <row r="9" spans="1:21" s="95" customFormat="1" ht="9" x14ac:dyDescent="0.15">
      <c r="A9" s="91" t="s">
        <v>302</v>
      </c>
      <c r="B9" s="31"/>
      <c r="C9" s="31"/>
      <c r="D9" s="67"/>
      <c r="E9" s="37"/>
      <c r="F9" s="37"/>
      <c r="G9" s="31"/>
      <c r="H9" s="31"/>
      <c r="I9" s="63"/>
      <c r="J9" s="64"/>
      <c r="K9" s="64"/>
      <c r="L9" s="64"/>
      <c r="M9" s="65"/>
      <c r="N9" s="37"/>
      <c r="O9" s="37"/>
      <c r="P9" s="37"/>
      <c r="Q9" s="66"/>
      <c r="T9" s="347" t="s">
        <v>580</v>
      </c>
      <c r="U9" s="95" t="s">
        <v>578</v>
      </c>
    </row>
    <row r="10" spans="1:21" s="95" customFormat="1" ht="9" x14ac:dyDescent="0.15">
      <c r="A10" s="90" t="s">
        <v>211</v>
      </c>
      <c r="B10" s="31">
        <v>20</v>
      </c>
      <c r="C10" s="31"/>
      <c r="D10" s="37">
        <v>854</v>
      </c>
      <c r="E10" s="37">
        <v>0</v>
      </c>
      <c r="F10" s="37">
        <v>0</v>
      </c>
      <c r="G10" s="31">
        <v>1</v>
      </c>
      <c r="H10" s="31">
        <f t="shared" ref="H10:H16" si="0">B10*G10</f>
        <v>20</v>
      </c>
      <c r="I10" s="63">
        <v>0</v>
      </c>
      <c r="J10" s="64">
        <f>H10*I10</f>
        <v>0</v>
      </c>
      <c r="K10" s="64">
        <f>J10*0.1</f>
        <v>0</v>
      </c>
      <c r="L10" s="64">
        <f>J10*0.05</f>
        <v>0</v>
      </c>
      <c r="M10" s="65">
        <f>C10*G10*I10</f>
        <v>0</v>
      </c>
      <c r="N10" s="37">
        <f>(J10*'Base Data'!$C$5)+(K10*'Base Data'!$C$6)+(L10*'Base Data'!$C$7)</f>
        <v>0</v>
      </c>
      <c r="O10" s="37">
        <f t="shared" ref="O10:O16" si="1">(D10+E10+F10)*G10*I10</f>
        <v>0</v>
      </c>
      <c r="P10" s="64">
        <v>0</v>
      </c>
      <c r="Q10" s="66" t="s">
        <v>316</v>
      </c>
    </row>
    <row r="11" spans="1:21" s="95" customFormat="1" ht="9" x14ac:dyDescent="0.15">
      <c r="A11" s="90" t="s">
        <v>212</v>
      </c>
      <c r="B11" s="31">
        <v>20</v>
      </c>
      <c r="C11" s="31"/>
      <c r="D11" s="37">
        <v>18292</v>
      </c>
      <c r="E11" s="37">
        <v>0</v>
      </c>
      <c r="F11" s="37">
        <v>0</v>
      </c>
      <c r="G11" s="31">
        <v>1</v>
      </c>
      <c r="H11" s="31">
        <f t="shared" si="0"/>
        <v>20</v>
      </c>
      <c r="I11" s="63">
        <v>0</v>
      </c>
      <c r="J11" s="64">
        <f>H11*I11</f>
        <v>0</v>
      </c>
      <c r="K11" s="64">
        <f>J11*0.1</f>
        <v>0</v>
      </c>
      <c r="L11" s="64">
        <f>J11*0.05</f>
        <v>0</v>
      </c>
      <c r="M11" s="65">
        <f>C11*G11*I11</f>
        <v>0</v>
      </c>
      <c r="N11" s="37">
        <f>(J11*'Base Data'!$C$5)+(K11*'Base Data'!$C$6)+(L11*'Base Data'!$C$7)</f>
        <v>0</v>
      </c>
      <c r="O11" s="37">
        <f t="shared" si="1"/>
        <v>0</v>
      </c>
      <c r="P11" s="64">
        <v>0</v>
      </c>
      <c r="Q11" s="66" t="s">
        <v>316</v>
      </c>
    </row>
    <row r="12" spans="1:21" s="95" customFormat="1" ht="9" x14ac:dyDescent="0.15">
      <c r="A12" s="91" t="s">
        <v>257</v>
      </c>
      <c r="B12" s="31">
        <v>12</v>
      </c>
      <c r="C12" s="31"/>
      <c r="D12" s="37">
        <v>0</v>
      </c>
      <c r="E12" s="37">
        <f>'Testing Costs'!$B$13</f>
        <v>5000</v>
      </c>
      <c r="F12" s="37">
        <v>0</v>
      </c>
      <c r="G12" s="31">
        <v>1</v>
      </c>
      <c r="H12" s="31">
        <f t="shared" si="0"/>
        <v>12</v>
      </c>
      <c r="I12" s="63">
        <v>0</v>
      </c>
      <c r="J12" s="64">
        <f t="shared" ref="J12:J22" si="2">H12*I12</f>
        <v>0</v>
      </c>
      <c r="K12" s="64">
        <f t="shared" ref="K12:K21" si="3">J12*0.1</f>
        <v>0</v>
      </c>
      <c r="L12" s="64">
        <f t="shared" ref="L12:L22" si="4">J12*0.05</f>
        <v>0</v>
      </c>
      <c r="M12" s="65"/>
      <c r="N12" s="37">
        <f>(J12*'Base Data'!$C$5)+(K12*'Base Data'!$C$6)+(L12*'Base Data'!$C$7)</f>
        <v>0</v>
      </c>
      <c r="O12" s="37">
        <f t="shared" si="1"/>
        <v>0</v>
      </c>
      <c r="P12" s="64">
        <v>0</v>
      </c>
      <c r="Q12" s="66" t="s">
        <v>85</v>
      </c>
      <c r="T12" s="95" t="s">
        <v>571</v>
      </c>
      <c r="U12" s="95" t="s">
        <v>578</v>
      </c>
    </row>
    <row r="13" spans="1:21" s="95" customFormat="1" ht="9" x14ac:dyDescent="0.15">
      <c r="A13" s="91" t="s">
        <v>258</v>
      </c>
      <c r="B13" s="31">
        <v>12</v>
      </c>
      <c r="C13" s="31"/>
      <c r="D13" s="37">
        <v>0</v>
      </c>
      <c r="E13" s="37">
        <f>'Testing Costs'!$B$17</f>
        <v>8000</v>
      </c>
      <c r="F13" s="37">
        <v>0</v>
      </c>
      <c r="G13" s="31">
        <v>1</v>
      </c>
      <c r="H13" s="31">
        <f t="shared" si="0"/>
        <v>12</v>
      </c>
      <c r="I13" s="63">
        <v>0</v>
      </c>
      <c r="J13" s="64">
        <f t="shared" si="2"/>
        <v>0</v>
      </c>
      <c r="K13" s="64">
        <f t="shared" si="3"/>
        <v>0</v>
      </c>
      <c r="L13" s="64">
        <f t="shared" si="4"/>
        <v>0</v>
      </c>
      <c r="M13" s="65"/>
      <c r="N13" s="37">
        <f>(J13*'Base Data'!$C$5)+(K13*'Base Data'!$C$6)+(L13*'Base Data'!$C$7)</f>
        <v>0</v>
      </c>
      <c r="O13" s="37">
        <f t="shared" si="1"/>
        <v>0</v>
      </c>
      <c r="P13" s="64">
        <v>0</v>
      </c>
      <c r="Q13" s="66" t="s">
        <v>277</v>
      </c>
      <c r="T13" s="95" t="s">
        <v>571</v>
      </c>
      <c r="U13" s="95" t="s">
        <v>578</v>
      </c>
    </row>
    <row r="14" spans="1:21" s="95" customFormat="1" ht="9" x14ac:dyDescent="0.15">
      <c r="A14" s="91" t="s">
        <v>259</v>
      </c>
      <c r="B14" s="31">
        <v>12</v>
      </c>
      <c r="C14" s="31"/>
      <c r="D14" s="37">
        <v>0</v>
      </c>
      <c r="E14" s="37">
        <f>'Testing Costs'!$B$15</f>
        <v>8000</v>
      </c>
      <c r="F14" s="37">
        <v>0</v>
      </c>
      <c r="G14" s="31">
        <v>1</v>
      </c>
      <c r="H14" s="31">
        <f t="shared" si="0"/>
        <v>12</v>
      </c>
      <c r="I14" s="63">
        <v>0</v>
      </c>
      <c r="J14" s="64">
        <f t="shared" si="2"/>
        <v>0</v>
      </c>
      <c r="K14" s="64">
        <f t="shared" si="3"/>
        <v>0</v>
      </c>
      <c r="L14" s="64">
        <f t="shared" si="4"/>
        <v>0</v>
      </c>
      <c r="M14" s="65"/>
      <c r="N14" s="37">
        <f>(J14*'Base Data'!$C$5)+(K14*'Base Data'!$C$6)+(L14*'Base Data'!$C$7)</f>
        <v>0</v>
      </c>
      <c r="O14" s="37">
        <f t="shared" si="1"/>
        <v>0</v>
      </c>
      <c r="P14" s="64">
        <v>0</v>
      </c>
      <c r="Q14" s="66" t="s">
        <v>277</v>
      </c>
      <c r="T14" s="95" t="s">
        <v>571</v>
      </c>
      <c r="U14" s="95" t="s">
        <v>578</v>
      </c>
    </row>
    <row r="15" spans="1:21" s="95" customFormat="1" ht="9" x14ac:dyDescent="0.15">
      <c r="A15" s="91" t="s">
        <v>158</v>
      </c>
      <c r="B15" s="31">
        <v>12</v>
      </c>
      <c r="C15" s="31"/>
      <c r="D15" s="37">
        <v>0</v>
      </c>
      <c r="E15" s="37">
        <f>'Testing Costs'!$B$14</f>
        <v>7000</v>
      </c>
      <c r="F15" s="37">
        <v>0</v>
      </c>
      <c r="G15" s="31">
        <v>1</v>
      </c>
      <c r="H15" s="31">
        <f t="shared" si="0"/>
        <v>12</v>
      </c>
      <c r="I15" s="63">
        <v>0</v>
      </c>
      <c r="J15" s="64">
        <f t="shared" si="2"/>
        <v>0</v>
      </c>
      <c r="K15" s="64">
        <f t="shared" si="3"/>
        <v>0</v>
      </c>
      <c r="L15" s="64">
        <f t="shared" si="4"/>
        <v>0</v>
      </c>
      <c r="M15" s="65"/>
      <c r="N15" s="37">
        <f>(J15*'Base Data'!$C$5)+(K15*'Base Data'!$C$6)+(L15*'Base Data'!$C$7)</f>
        <v>0</v>
      </c>
      <c r="O15" s="37">
        <f t="shared" si="1"/>
        <v>0</v>
      </c>
      <c r="P15" s="64">
        <v>0</v>
      </c>
      <c r="Q15" s="66" t="s">
        <v>277</v>
      </c>
      <c r="T15" s="95" t="s">
        <v>571</v>
      </c>
      <c r="U15" s="95" t="s">
        <v>578</v>
      </c>
    </row>
    <row r="16" spans="1:21" s="95" customFormat="1" ht="9" customHeight="1" x14ac:dyDescent="0.15">
      <c r="A16" s="91" t="s">
        <v>122</v>
      </c>
      <c r="B16" s="31">
        <v>12</v>
      </c>
      <c r="C16" s="31"/>
      <c r="D16" s="37">
        <v>0</v>
      </c>
      <c r="E16" s="37">
        <f>'Testing Costs'!$B$13</f>
        <v>5000</v>
      </c>
      <c r="F16" s="37">
        <v>0</v>
      </c>
      <c r="G16" s="31">
        <v>1</v>
      </c>
      <c r="H16" s="31">
        <f t="shared" si="0"/>
        <v>12</v>
      </c>
      <c r="I16" s="63">
        <v>0</v>
      </c>
      <c r="J16" s="64">
        <f t="shared" si="2"/>
        <v>0</v>
      </c>
      <c r="K16" s="64">
        <f t="shared" si="3"/>
        <v>0</v>
      </c>
      <c r="L16" s="64">
        <f t="shared" si="4"/>
        <v>0</v>
      </c>
      <c r="M16" s="65"/>
      <c r="N16" s="37">
        <f>(J16*'Base Data'!$C$5)+(K16*'Base Data'!$C$6)+(L16*'Base Data'!$C$7)</f>
        <v>0</v>
      </c>
      <c r="O16" s="37">
        <f t="shared" si="1"/>
        <v>0</v>
      </c>
      <c r="P16" s="64">
        <v>0</v>
      </c>
      <c r="Q16" s="66" t="s">
        <v>265</v>
      </c>
      <c r="T16" s="95" t="s">
        <v>572</v>
      </c>
      <c r="U16" s="95">
        <v>3</v>
      </c>
    </row>
    <row r="17" spans="1:21" s="95" customFormat="1" ht="9" x14ac:dyDescent="0.15">
      <c r="A17" s="91" t="s">
        <v>123</v>
      </c>
      <c r="B17" s="31">
        <v>12</v>
      </c>
      <c r="C17" s="31"/>
      <c r="D17" s="37">
        <v>0</v>
      </c>
      <c r="E17" s="37">
        <f>'Testing Costs'!$B$17</f>
        <v>8000</v>
      </c>
      <c r="F17" s="37">
        <v>0</v>
      </c>
      <c r="G17" s="31">
        <v>1</v>
      </c>
      <c r="H17" s="31">
        <f t="shared" ref="H17:H34" si="5">B17*G17</f>
        <v>12</v>
      </c>
      <c r="I17" s="63">
        <v>0</v>
      </c>
      <c r="J17" s="64">
        <f t="shared" si="2"/>
        <v>0</v>
      </c>
      <c r="K17" s="64">
        <f t="shared" si="3"/>
        <v>0</v>
      </c>
      <c r="L17" s="64">
        <f t="shared" si="4"/>
        <v>0</v>
      </c>
      <c r="M17" s="65"/>
      <c r="N17" s="37">
        <f>(J17*'Base Data'!$C$5)+(K17*'Base Data'!$C$6)+(L17*'Base Data'!$C$7)</f>
        <v>0</v>
      </c>
      <c r="O17" s="37">
        <f t="shared" ref="O17:O22" si="6">(D17+E17+F17)*G17*I17</f>
        <v>0</v>
      </c>
      <c r="P17" s="64">
        <v>0</v>
      </c>
      <c r="Q17" s="66" t="s">
        <v>265</v>
      </c>
      <c r="T17" s="95" t="s">
        <v>572</v>
      </c>
      <c r="U17" s="95">
        <v>3</v>
      </c>
    </row>
    <row r="18" spans="1:21" s="95" customFormat="1" ht="9" x14ac:dyDescent="0.15">
      <c r="A18" s="91" t="s">
        <v>124</v>
      </c>
      <c r="B18" s="31">
        <v>12</v>
      </c>
      <c r="C18" s="31"/>
      <c r="D18" s="37">
        <v>0</v>
      </c>
      <c r="E18" s="37">
        <f>'Testing Costs'!$B$15</f>
        <v>8000</v>
      </c>
      <c r="F18" s="37">
        <v>0</v>
      </c>
      <c r="G18" s="31">
        <v>1</v>
      </c>
      <c r="H18" s="31">
        <f t="shared" si="5"/>
        <v>12</v>
      </c>
      <c r="I18" s="63">
        <v>0</v>
      </c>
      <c r="J18" s="64">
        <f t="shared" si="2"/>
        <v>0</v>
      </c>
      <c r="K18" s="64">
        <f t="shared" si="3"/>
        <v>0</v>
      </c>
      <c r="L18" s="64">
        <f t="shared" si="4"/>
        <v>0</v>
      </c>
      <c r="M18" s="65"/>
      <c r="N18" s="37">
        <f>(J18*'Base Data'!$C$5)+(K18*'Base Data'!$C$6)+(L18*'Base Data'!$C$7)</f>
        <v>0</v>
      </c>
      <c r="O18" s="37">
        <f t="shared" si="6"/>
        <v>0</v>
      </c>
      <c r="P18" s="64">
        <v>0</v>
      </c>
      <c r="Q18" s="66" t="s">
        <v>265</v>
      </c>
      <c r="T18" s="95" t="s">
        <v>572</v>
      </c>
      <c r="U18" s="95">
        <v>3</v>
      </c>
    </row>
    <row r="19" spans="1:21" s="95" customFormat="1" ht="9" x14ac:dyDescent="0.15">
      <c r="A19" s="91" t="s">
        <v>125</v>
      </c>
      <c r="B19" s="31">
        <v>12</v>
      </c>
      <c r="C19" s="31"/>
      <c r="D19" s="37">
        <v>0</v>
      </c>
      <c r="E19" s="37">
        <f>'Testing Costs'!$B$14</f>
        <v>7000</v>
      </c>
      <c r="F19" s="37">
        <v>0</v>
      </c>
      <c r="G19" s="31">
        <v>1</v>
      </c>
      <c r="H19" s="31">
        <f t="shared" si="5"/>
        <v>12</v>
      </c>
      <c r="I19" s="63">
        <v>0</v>
      </c>
      <c r="J19" s="64">
        <f t="shared" si="2"/>
        <v>0</v>
      </c>
      <c r="K19" s="64">
        <f t="shared" si="3"/>
        <v>0</v>
      </c>
      <c r="L19" s="64">
        <f t="shared" si="4"/>
        <v>0</v>
      </c>
      <c r="M19" s="65"/>
      <c r="N19" s="37">
        <f>(J19*'Base Data'!$C$5)+(K19*'Base Data'!$C$6)+(L19*'Base Data'!$C$7)</f>
        <v>0</v>
      </c>
      <c r="O19" s="37">
        <f t="shared" si="6"/>
        <v>0</v>
      </c>
      <c r="P19" s="64">
        <v>0</v>
      </c>
      <c r="Q19" s="66" t="s">
        <v>265</v>
      </c>
      <c r="T19" s="95" t="s">
        <v>572</v>
      </c>
      <c r="U19" s="95">
        <v>3</v>
      </c>
    </row>
    <row r="20" spans="1:21" s="95" customFormat="1" ht="18" x14ac:dyDescent="0.15">
      <c r="A20" s="197" t="s">
        <v>428</v>
      </c>
      <c r="B20" s="31">
        <v>24</v>
      </c>
      <c r="C20" s="196"/>
      <c r="D20" s="37">
        <v>0</v>
      </c>
      <c r="E20" s="37">
        <f>$E$13+$E$14</f>
        <v>16000</v>
      </c>
      <c r="F20" s="37">
        <v>0</v>
      </c>
      <c r="G20" s="31">
        <v>1</v>
      </c>
      <c r="H20" s="31">
        <f t="shared" si="5"/>
        <v>24</v>
      </c>
      <c r="I20" s="63">
        <v>0</v>
      </c>
      <c r="J20" s="64">
        <f>H20*I20</f>
        <v>0</v>
      </c>
      <c r="K20" s="64">
        <f>J20*0.1</f>
        <v>0</v>
      </c>
      <c r="L20" s="64">
        <f>J20*0.05</f>
        <v>0</v>
      </c>
      <c r="M20" s="65"/>
      <c r="N20" s="37">
        <f>(J20*'Base Data'!$C$5)+(K20*'Base Data'!$C$6)+(L20*'Base Data'!$C$7)</f>
        <v>0</v>
      </c>
      <c r="O20" s="37">
        <f>(D20+E20+F20)*G20*I20</f>
        <v>0</v>
      </c>
      <c r="P20" s="64">
        <v>0</v>
      </c>
      <c r="Q20" s="66" t="s">
        <v>269</v>
      </c>
      <c r="T20" s="95" t="s">
        <v>571</v>
      </c>
      <c r="U20" s="95" t="s">
        <v>578</v>
      </c>
    </row>
    <row r="21" spans="1:21" s="95" customFormat="1" ht="9" customHeight="1" x14ac:dyDescent="0.15">
      <c r="A21" s="91" t="s">
        <v>429</v>
      </c>
      <c r="B21" s="31">
        <v>5</v>
      </c>
      <c r="C21" s="31"/>
      <c r="D21" s="37">
        <v>0</v>
      </c>
      <c r="E21" s="37">
        <v>400</v>
      </c>
      <c r="F21" s="37">
        <v>0</v>
      </c>
      <c r="G21" s="31">
        <v>1</v>
      </c>
      <c r="H21" s="31">
        <f t="shared" si="5"/>
        <v>5</v>
      </c>
      <c r="I21" s="63">
        <v>0</v>
      </c>
      <c r="J21" s="64">
        <f t="shared" si="2"/>
        <v>0</v>
      </c>
      <c r="K21" s="64">
        <f t="shared" si="3"/>
        <v>0</v>
      </c>
      <c r="L21" s="64">
        <f t="shared" si="4"/>
        <v>0</v>
      </c>
      <c r="M21" s="65"/>
      <c r="N21" s="37">
        <f>(J21*'Base Data'!$C$5)+(K21*'Base Data'!$C$6)+(L21*'Base Data'!$C$7)</f>
        <v>0</v>
      </c>
      <c r="O21" s="37">
        <f t="shared" si="6"/>
        <v>0</v>
      </c>
      <c r="P21" s="64">
        <v>0</v>
      </c>
      <c r="Q21" s="66" t="s">
        <v>84</v>
      </c>
      <c r="T21" s="95" t="s">
        <v>571</v>
      </c>
      <c r="U21" s="95" t="s">
        <v>578</v>
      </c>
    </row>
    <row r="22" spans="1:21" s="95" customFormat="1" ht="9" customHeight="1" x14ac:dyDescent="0.15">
      <c r="A22" s="91" t="s">
        <v>430</v>
      </c>
      <c r="B22" s="31">
        <v>5</v>
      </c>
      <c r="C22" s="31"/>
      <c r="D22" s="37">
        <v>0</v>
      </c>
      <c r="E22" s="37">
        <v>400</v>
      </c>
      <c r="F22" s="37">
        <v>0</v>
      </c>
      <c r="G22" s="31">
        <v>12</v>
      </c>
      <c r="H22" s="31">
        <f t="shared" si="5"/>
        <v>60</v>
      </c>
      <c r="I22" s="63">
        <v>0</v>
      </c>
      <c r="J22" s="64">
        <f t="shared" si="2"/>
        <v>0</v>
      </c>
      <c r="K22" s="64">
        <f t="shared" ref="K22:K37" si="7">J22*0.1</f>
        <v>0</v>
      </c>
      <c r="L22" s="64">
        <f t="shared" si="4"/>
        <v>0</v>
      </c>
      <c r="M22" s="65"/>
      <c r="N22" s="37">
        <f>(J22*'Base Data'!$C$5)+(K22*'Base Data'!$C$6)+(L22*'Base Data'!$C$7)</f>
        <v>0</v>
      </c>
      <c r="O22" s="37">
        <f t="shared" si="6"/>
        <v>0</v>
      </c>
      <c r="P22" s="64">
        <v>0</v>
      </c>
      <c r="Q22" s="66" t="s">
        <v>84</v>
      </c>
      <c r="T22" s="95" t="s">
        <v>571</v>
      </c>
      <c r="U22" s="95" t="s">
        <v>578</v>
      </c>
    </row>
    <row r="23" spans="1:21" s="95" customFormat="1" ht="9" x14ac:dyDescent="0.15">
      <c r="A23" s="90" t="s">
        <v>432</v>
      </c>
      <c r="B23" s="31">
        <v>12</v>
      </c>
      <c r="C23" s="31"/>
      <c r="D23" s="37">
        <v>0</v>
      </c>
      <c r="E23" s="37">
        <v>2875</v>
      </c>
      <c r="F23" s="37">
        <v>0</v>
      </c>
      <c r="G23" s="31">
        <v>1</v>
      </c>
      <c r="H23" s="31">
        <f>B23*G23</f>
        <v>12</v>
      </c>
      <c r="I23" s="64">
        <v>0</v>
      </c>
      <c r="J23" s="63">
        <f>H23*I23</f>
        <v>0</v>
      </c>
      <c r="K23" s="63">
        <f>J23*0.1</f>
        <v>0</v>
      </c>
      <c r="L23" s="63">
        <f>J23*0.05</f>
        <v>0</v>
      </c>
      <c r="M23" s="64"/>
      <c r="N23" s="37">
        <f>(J23*'Base Data'!$C$5)+(K23*'Base Data'!$C$6)+(L23*'Base Data'!$C$7)</f>
        <v>0</v>
      </c>
      <c r="O23" s="37">
        <f>(D23+E23+F23)*G23*I23</f>
        <v>0</v>
      </c>
      <c r="P23" s="64">
        <v>0</v>
      </c>
      <c r="Q23" s="66" t="s">
        <v>401</v>
      </c>
      <c r="R23" s="250"/>
      <c r="T23" s="347">
        <v>42400</v>
      </c>
      <c r="U23" s="95" t="s">
        <v>578</v>
      </c>
    </row>
    <row r="24" spans="1:21" s="95" customFormat="1" ht="9" x14ac:dyDescent="0.15">
      <c r="A24" s="91" t="s">
        <v>207</v>
      </c>
      <c r="B24" s="31"/>
      <c r="C24" s="31"/>
      <c r="D24" s="37"/>
      <c r="E24" s="37"/>
      <c r="F24" s="37"/>
      <c r="G24" s="31"/>
      <c r="H24" s="31"/>
      <c r="I24" s="64"/>
      <c r="J24" s="64"/>
      <c r="K24" s="64"/>
      <c r="L24" s="64"/>
      <c r="M24" s="65"/>
      <c r="N24" s="37"/>
      <c r="O24" s="37"/>
      <c r="P24" s="64"/>
      <c r="Q24" s="66" t="s">
        <v>405</v>
      </c>
      <c r="T24" s="95" t="s">
        <v>571</v>
      </c>
      <c r="U24" s="95" t="s">
        <v>578</v>
      </c>
    </row>
    <row r="25" spans="1:21" s="95" customFormat="1" ht="9" x14ac:dyDescent="0.15">
      <c r="A25" s="91" t="s">
        <v>310</v>
      </c>
      <c r="B25" s="31">
        <v>40</v>
      </c>
      <c r="C25" s="31"/>
      <c r="D25" s="37">
        <v>0</v>
      </c>
      <c r="E25" s="37"/>
      <c r="F25" s="37">
        <v>0</v>
      </c>
      <c r="G25" s="31">
        <v>1</v>
      </c>
      <c r="H25" s="31">
        <f t="shared" si="5"/>
        <v>40</v>
      </c>
      <c r="I25" s="63">
        <v>0</v>
      </c>
      <c r="J25" s="64">
        <f t="shared" ref="J25:J34" si="8">H25*I25</f>
        <v>0</v>
      </c>
      <c r="K25" s="64">
        <f t="shared" si="7"/>
        <v>0</v>
      </c>
      <c r="L25" s="64">
        <f t="shared" ref="L25:L34" si="9">J25*0.05</f>
        <v>0</v>
      </c>
      <c r="M25" s="65"/>
      <c r="N25" s="37">
        <f>(J25*'Base Data'!$C$5)+(K25*'Base Data'!$C$6)+(L25*'Base Data'!$C$7)</f>
        <v>0</v>
      </c>
      <c r="O25" s="37">
        <f>(D25+E25+F25)*G25*I25</f>
        <v>0</v>
      </c>
      <c r="P25" s="64">
        <v>0</v>
      </c>
      <c r="Q25" s="66" t="s">
        <v>277</v>
      </c>
    </row>
    <row r="26" spans="1:21" s="95" customFormat="1" ht="9" x14ac:dyDescent="0.15">
      <c r="A26" s="90" t="s">
        <v>289</v>
      </c>
      <c r="B26" s="31"/>
      <c r="C26" s="31"/>
      <c r="D26" s="37"/>
      <c r="E26" s="37"/>
      <c r="F26" s="37"/>
      <c r="G26" s="31"/>
      <c r="H26" s="31"/>
      <c r="I26" s="64"/>
      <c r="J26" s="64"/>
      <c r="K26" s="64"/>
      <c r="L26" s="64"/>
      <c r="M26" s="65"/>
      <c r="N26" s="37"/>
      <c r="O26" s="37"/>
      <c r="P26" s="64"/>
      <c r="Q26" s="66"/>
    </row>
    <row r="27" spans="1:21" s="95" customFormat="1" ht="9" x14ac:dyDescent="0.15">
      <c r="A27" s="90" t="s">
        <v>290</v>
      </c>
      <c r="B27" s="31">
        <v>10</v>
      </c>
      <c r="C27" s="31"/>
      <c r="D27" s="37">
        <v>0</v>
      </c>
      <c r="E27" s="37">
        <v>0</v>
      </c>
      <c r="F27" s="37">
        <v>43100</v>
      </c>
      <c r="G27" s="31">
        <v>1</v>
      </c>
      <c r="H27" s="31">
        <f t="shared" si="5"/>
        <v>10</v>
      </c>
      <c r="I27" s="63">
        <v>0</v>
      </c>
      <c r="J27" s="64">
        <f t="shared" si="8"/>
        <v>0</v>
      </c>
      <c r="K27" s="64">
        <f t="shared" si="7"/>
        <v>0</v>
      </c>
      <c r="L27" s="64">
        <f t="shared" si="9"/>
        <v>0</v>
      </c>
      <c r="M27" s="65"/>
      <c r="N27" s="37">
        <f>(J27*'Base Data'!$C$5)+(K27*'Base Data'!$C$6)+(L27*'Base Data'!$C$7)</f>
        <v>0</v>
      </c>
      <c r="O27" s="37">
        <f>(D27+E27+F27)*G27*I27</f>
        <v>0</v>
      </c>
      <c r="P27" s="64">
        <v>0</v>
      </c>
      <c r="Q27" s="66" t="s">
        <v>277</v>
      </c>
    </row>
    <row r="28" spans="1:21" s="95" customFormat="1" ht="9" x14ac:dyDescent="0.15">
      <c r="A28" s="90" t="s">
        <v>293</v>
      </c>
      <c r="B28" s="31">
        <v>10</v>
      </c>
      <c r="C28" s="31"/>
      <c r="D28" s="37">
        <v>0</v>
      </c>
      <c r="E28" s="37">
        <v>0</v>
      </c>
      <c r="F28" s="37">
        <v>14700</v>
      </c>
      <c r="G28" s="31">
        <v>1</v>
      </c>
      <c r="H28" s="31">
        <f t="shared" si="5"/>
        <v>10</v>
      </c>
      <c r="I28" s="63">
        <v>0</v>
      </c>
      <c r="J28" s="64">
        <f t="shared" si="8"/>
        <v>0</v>
      </c>
      <c r="K28" s="64">
        <f t="shared" si="7"/>
        <v>0</v>
      </c>
      <c r="L28" s="64">
        <f t="shared" si="9"/>
        <v>0</v>
      </c>
      <c r="M28" s="65"/>
      <c r="N28" s="37">
        <f>(J28*'Base Data'!$C$5)+(K28*'Base Data'!$C$6)+(L28*'Base Data'!$C$7)</f>
        <v>0</v>
      </c>
      <c r="O28" s="37">
        <f>(D28+E28+F28)*G28*I28</f>
        <v>0</v>
      </c>
      <c r="P28" s="64">
        <v>0</v>
      </c>
      <c r="Q28" s="66" t="s">
        <v>277</v>
      </c>
    </row>
    <row r="29" spans="1:21" s="95" customFormat="1" ht="9" x14ac:dyDescent="0.15">
      <c r="A29" s="90" t="s">
        <v>256</v>
      </c>
      <c r="B29" s="31"/>
      <c r="C29" s="31"/>
      <c r="D29" s="37"/>
      <c r="E29" s="37"/>
      <c r="F29" s="37"/>
      <c r="G29" s="31"/>
      <c r="H29" s="31"/>
      <c r="I29" s="64"/>
      <c r="J29" s="64"/>
      <c r="K29" s="64"/>
      <c r="L29" s="64"/>
      <c r="M29" s="65"/>
      <c r="N29" s="37"/>
      <c r="O29" s="37"/>
      <c r="P29" s="64"/>
      <c r="Q29" s="66"/>
    </row>
    <row r="30" spans="1:21" s="95" customFormat="1" ht="9" x14ac:dyDescent="0.15">
      <c r="A30" s="90" t="s">
        <v>290</v>
      </c>
      <c r="B30" s="31">
        <v>10</v>
      </c>
      <c r="C30" s="31"/>
      <c r="D30" s="37">
        <v>0</v>
      </c>
      <c r="E30" s="37">
        <v>0</v>
      </c>
      <c r="F30" s="37">
        <v>158000</v>
      </c>
      <c r="G30" s="31">
        <v>1</v>
      </c>
      <c r="H30" s="31">
        <f t="shared" si="5"/>
        <v>10</v>
      </c>
      <c r="I30" s="63">
        <v>0</v>
      </c>
      <c r="J30" s="64">
        <f t="shared" si="8"/>
        <v>0</v>
      </c>
      <c r="K30" s="64">
        <f t="shared" si="7"/>
        <v>0</v>
      </c>
      <c r="L30" s="64">
        <f t="shared" si="9"/>
        <v>0</v>
      </c>
      <c r="M30" s="65"/>
      <c r="N30" s="37">
        <f>(J30*'Base Data'!$C$5)+(K30*'Base Data'!$C$6)+(L30*'Base Data'!$C$7)</f>
        <v>0</v>
      </c>
      <c r="O30" s="37">
        <f>(D30+E30+F30)*G30*I30</f>
        <v>0</v>
      </c>
      <c r="P30" s="64">
        <v>0</v>
      </c>
      <c r="Q30" s="66" t="s">
        <v>402</v>
      </c>
    </row>
    <row r="31" spans="1:21" s="95" customFormat="1" ht="9" x14ac:dyDescent="0.15">
      <c r="A31" s="90" t="s">
        <v>293</v>
      </c>
      <c r="B31" s="31">
        <v>10</v>
      </c>
      <c r="C31" s="31"/>
      <c r="D31" s="37">
        <v>0</v>
      </c>
      <c r="E31" s="37">
        <v>0</v>
      </c>
      <c r="F31" s="37">
        <v>56100</v>
      </c>
      <c r="G31" s="31">
        <v>1</v>
      </c>
      <c r="H31" s="31">
        <f t="shared" si="5"/>
        <v>10</v>
      </c>
      <c r="I31" s="63">
        <v>0</v>
      </c>
      <c r="J31" s="64">
        <f t="shared" si="8"/>
        <v>0</v>
      </c>
      <c r="K31" s="64">
        <f t="shared" si="7"/>
        <v>0</v>
      </c>
      <c r="L31" s="64">
        <f t="shared" si="9"/>
        <v>0</v>
      </c>
      <c r="M31" s="65"/>
      <c r="N31" s="37">
        <f>(J31*'Base Data'!$C$5)+(K31*'Base Data'!$C$6)+(L31*'Base Data'!$C$7)</f>
        <v>0</v>
      </c>
      <c r="O31" s="37">
        <f>(D31+E31+F31)*G31*I31</f>
        <v>0</v>
      </c>
      <c r="P31" s="64">
        <v>0</v>
      </c>
      <c r="Q31" s="66" t="s">
        <v>402</v>
      </c>
    </row>
    <row r="32" spans="1:21" s="95" customFormat="1" ht="9" x14ac:dyDescent="0.15">
      <c r="A32" s="90" t="s">
        <v>381</v>
      </c>
      <c r="B32" s="31"/>
      <c r="C32" s="31"/>
      <c r="D32" s="37"/>
      <c r="E32" s="37"/>
      <c r="F32" s="37"/>
      <c r="G32" s="31"/>
      <c r="H32" s="31"/>
      <c r="I32" s="63"/>
      <c r="J32" s="64"/>
      <c r="K32" s="64"/>
      <c r="L32" s="64"/>
      <c r="M32" s="65"/>
      <c r="N32" s="37"/>
      <c r="O32" s="37"/>
      <c r="P32" s="64"/>
      <c r="Q32" s="66"/>
    </row>
    <row r="33" spans="1:17" s="95" customFormat="1" ht="9" x14ac:dyDescent="0.15">
      <c r="A33" s="90" t="s">
        <v>290</v>
      </c>
      <c r="B33" s="31">
        <v>10</v>
      </c>
      <c r="C33" s="31"/>
      <c r="D33" s="37">
        <v>0</v>
      </c>
      <c r="E33" s="37">
        <v>0</v>
      </c>
      <c r="F33" s="37">
        <f>Monitors!$F$32</f>
        <v>8523</v>
      </c>
      <c r="G33" s="31">
        <v>1</v>
      </c>
      <c r="H33" s="31">
        <f t="shared" si="5"/>
        <v>10</v>
      </c>
      <c r="I33" s="63">
        <v>0</v>
      </c>
      <c r="J33" s="64">
        <f t="shared" si="8"/>
        <v>0</v>
      </c>
      <c r="K33" s="64">
        <f t="shared" si="7"/>
        <v>0</v>
      </c>
      <c r="L33" s="64">
        <f t="shared" si="9"/>
        <v>0</v>
      </c>
      <c r="M33" s="65"/>
      <c r="N33" s="37">
        <f>(J33*'Base Data'!$C$5)+(K33*'Base Data'!$C$6)+(L33*'Base Data'!$C$7)</f>
        <v>0</v>
      </c>
      <c r="O33" s="37">
        <f>(D33+E33+F33)*G33*I33</f>
        <v>0</v>
      </c>
      <c r="P33" s="64">
        <v>0</v>
      </c>
      <c r="Q33" s="66" t="s">
        <v>277</v>
      </c>
    </row>
    <row r="34" spans="1:17" s="95" customFormat="1" ht="9" x14ac:dyDescent="0.15">
      <c r="A34" s="90" t="s">
        <v>293</v>
      </c>
      <c r="B34" s="31">
        <v>10</v>
      </c>
      <c r="C34" s="31"/>
      <c r="D34" s="37">
        <v>0</v>
      </c>
      <c r="E34" s="37">
        <v>0</v>
      </c>
      <c r="F34" s="37">
        <f>Monitors!$G$32</f>
        <v>1436</v>
      </c>
      <c r="G34" s="31">
        <v>1</v>
      </c>
      <c r="H34" s="31">
        <f t="shared" si="5"/>
        <v>10</v>
      </c>
      <c r="I34" s="63">
        <v>0</v>
      </c>
      <c r="J34" s="64">
        <f t="shared" si="8"/>
        <v>0</v>
      </c>
      <c r="K34" s="64">
        <f t="shared" si="7"/>
        <v>0</v>
      </c>
      <c r="L34" s="64">
        <f t="shared" si="9"/>
        <v>0</v>
      </c>
      <c r="M34" s="65"/>
      <c r="N34" s="37">
        <f>(J34*'Base Data'!$C$5)+(K34*'Base Data'!$C$6)+(L34*'Base Data'!$C$7)</f>
        <v>0</v>
      </c>
      <c r="O34" s="37">
        <f>(D34+E34+F34)*G34*I34</f>
        <v>0</v>
      </c>
      <c r="P34" s="64">
        <v>0</v>
      </c>
      <c r="Q34" s="66" t="s">
        <v>277</v>
      </c>
    </row>
    <row r="35" spans="1:17" s="95" customFormat="1" ht="18" x14ac:dyDescent="0.15">
      <c r="A35" s="100" t="s">
        <v>149</v>
      </c>
      <c r="B35" s="31"/>
      <c r="C35" s="31"/>
      <c r="D35" s="37"/>
      <c r="E35" s="37"/>
      <c r="F35" s="67"/>
      <c r="G35" s="31"/>
      <c r="H35" s="31"/>
      <c r="I35" s="63"/>
      <c r="J35" s="64"/>
      <c r="K35" s="64"/>
      <c r="L35" s="64"/>
      <c r="M35" s="65"/>
      <c r="N35" s="37"/>
      <c r="O35" s="37"/>
      <c r="P35" s="64"/>
      <c r="Q35" s="66"/>
    </row>
    <row r="36" spans="1:17" s="95" customFormat="1" ht="9" x14ac:dyDescent="0.15">
      <c r="A36" s="90" t="s">
        <v>290</v>
      </c>
      <c r="B36" s="31">
        <v>10</v>
      </c>
      <c r="C36" s="31"/>
      <c r="D36" s="37">
        <v>0</v>
      </c>
      <c r="E36" s="37">
        <v>0</v>
      </c>
      <c r="F36" s="37">
        <v>24300</v>
      </c>
      <c r="G36" s="31">
        <v>1</v>
      </c>
      <c r="H36" s="31">
        <f>B36*G36</f>
        <v>10</v>
      </c>
      <c r="I36" s="63">
        <v>0</v>
      </c>
      <c r="J36" s="64">
        <f>H36*I36</f>
        <v>0</v>
      </c>
      <c r="K36" s="64">
        <f t="shared" si="7"/>
        <v>0</v>
      </c>
      <c r="L36" s="64">
        <f>J36*0.05</f>
        <v>0</v>
      </c>
      <c r="M36" s="65"/>
      <c r="N36" s="37">
        <f>(J36*'Base Data'!$C$5)+(K36*'Base Data'!$C$6)+(L36*'Base Data'!$C$7)</f>
        <v>0</v>
      </c>
      <c r="O36" s="37">
        <f>(D36+E36+F36)*G36*I36</f>
        <v>0</v>
      </c>
      <c r="P36" s="64">
        <v>0</v>
      </c>
      <c r="Q36" s="66" t="s">
        <v>277</v>
      </c>
    </row>
    <row r="37" spans="1:17" s="95" customFormat="1" ht="9" x14ac:dyDescent="0.15">
      <c r="A37" s="90" t="s">
        <v>293</v>
      </c>
      <c r="B37" s="31">
        <v>10</v>
      </c>
      <c r="C37" s="31"/>
      <c r="D37" s="37">
        <v>0</v>
      </c>
      <c r="E37" s="37">
        <v>0</v>
      </c>
      <c r="F37" s="37">
        <v>5600</v>
      </c>
      <c r="G37" s="31">
        <v>1</v>
      </c>
      <c r="H37" s="31">
        <f>B37*G37</f>
        <v>10</v>
      </c>
      <c r="I37" s="63">
        <v>0</v>
      </c>
      <c r="J37" s="64">
        <f>H37*I37</f>
        <v>0</v>
      </c>
      <c r="K37" s="64">
        <f t="shared" si="7"/>
        <v>0</v>
      </c>
      <c r="L37" s="64">
        <f>J37*0.05</f>
        <v>0</v>
      </c>
      <c r="M37" s="65"/>
      <c r="N37" s="37">
        <f>(J37*'Base Data'!$C$5)+(K37*'Base Data'!$C$6)+(L37*'Base Data'!$C$7)</f>
        <v>0</v>
      </c>
      <c r="O37" s="37">
        <f>(D37+E37+F37)*G37*I37</f>
        <v>0</v>
      </c>
      <c r="P37" s="64">
        <v>0</v>
      </c>
      <c r="Q37" s="66" t="s">
        <v>277</v>
      </c>
    </row>
    <row r="38" spans="1:17" s="95" customFormat="1" ht="18" x14ac:dyDescent="0.15">
      <c r="A38" s="91" t="s">
        <v>348</v>
      </c>
      <c r="B38" s="138"/>
      <c r="C38" s="138"/>
      <c r="D38" s="138"/>
      <c r="E38" s="138"/>
      <c r="F38" s="37"/>
      <c r="G38" s="138"/>
      <c r="H38" s="138"/>
      <c r="I38" s="138"/>
      <c r="J38" s="138"/>
      <c r="K38" s="138"/>
      <c r="L38" s="138"/>
      <c r="M38" s="138"/>
      <c r="N38" s="138"/>
      <c r="O38" s="138"/>
      <c r="P38" s="64"/>
      <c r="Q38" s="321"/>
    </row>
    <row r="39" spans="1:17" s="95" customFormat="1" ht="9" x14ac:dyDescent="0.15">
      <c r="A39" s="90" t="s">
        <v>290</v>
      </c>
      <c r="B39" s="31">
        <v>10</v>
      </c>
      <c r="C39" s="31"/>
      <c r="D39" s="37">
        <v>0</v>
      </c>
      <c r="E39" s="37">
        <v>0</v>
      </c>
      <c r="F39" s="37">
        <f>25500</f>
        <v>25500</v>
      </c>
      <c r="G39" s="31">
        <v>1</v>
      </c>
      <c r="H39" s="31">
        <f>B39*G39</f>
        <v>10</v>
      </c>
      <c r="I39" s="63">
        <v>0</v>
      </c>
      <c r="J39" s="64">
        <f>H39*I39</f>
        <v>0</v>
      </c>
      <c r="K39" s="64">
        <f>J39*0.1</f>
        <v>0</v>
      </c>
      <c r="L39" s="64">
        <f>J39*0.05</f>
        <v>0</v>
      </c>
      <c r="M39" s="65"/>
      <c r="N39" s="37">
        <f>(J39*'Base Data'!$C$5)+(K39*'Base Data'!$C$6)+(L39*'Base Data'!$C$7)</f>
        <v>0</v>
      </c>
      <c r="O39" s="37">
        <f>(D39+E39+F39)*G39*I39</f>
        <v>0</v>
      </c>
      <c r="P39" s="64">
        <v>0</v>
      </c>
      <c r="Q39" s="66" t="s">
        <v>277</v>
      </c>
    </row>
    <row r="40" spans="1:17" s="95" customFormat="1" ht="9" x14ac:dyDescent="0.15">
      <c r="A40" s="90" t="s">
        <v>293</v>
      </c>
      <c r="B40" s="31">
        <v>10</v>
      </c>
      <c r="C40" s="31"/>
      <c r="D40" s="37">
        <v>0</v>
      </c>
      <c r="E40" s="37">
        <v>0</v>
      </c>
      <c r="F40" s="37">
        <v>9700</v>
      </c>
      <c r="G40" s="31">
        <v>1</v>
      </c>
      <c r="H40" s="31">
        <f>B40*G40</f>
        <v>10</v>
      </c>
      <c r="I40" s="63">
        <v>0</v>
      </c>
      <c r="J40" s="64">
        <f>H40*I40</f>
        <v>0</v>
      </c>
      <c r="K40" s="64">
        <f>J40*0.1</f>
        <v>0</v>
      </c>
      <c r="L40" s="64">
        <f>J40*0.05</f>
        <v>0</v>
      </c>
      <c r="M40" s="65"/>
      <c r="N40" s="37">
        <f>(J40*'Base Data'!$C$5)+(K40*'Base Data'!$C$6)+(L40*'Base Data'!$C$7)</f>
        <v>0</v>
      </c>
      <c r="O40" s="37">
        <f>(D40+E40+F40)*G40*I40</f>
        <v>0</v>
      </c>
      <c r="P40" s="64">
        <v>0</v>
      </c>
      <c r="Q40" s="66" t="s">
        <v>277</v>
      </c>
    </row>
    <row r="41" spans="1:17" s="95" customFormat="1" ht="9" x14ac:dyDescent="0.15">
      <c r="A41" s="91" t="s">
        <v>427</v>
      </c>
      <c r="B41" s="31"/>
      <c r="C41" s="31"/>
      <c r="D41" s="37"/>
      <c r="E41" s="37"/>
      <c r="F41" s="37"/>
      <c r="G41" s="31"/>
      <c r="H41" s="31"/>
      <c r="I41" s="63"/>
      <c r="J41" s="64"/>
      <c r="K41" s="64"/>
      <c r="L41" s="64"/>
      <c r="M41" s="65"/>
      <c r="N41" s="37"/>
      <c r="O41" s="138"/>
      <c r="P41" s="64"/>
      <c r="Q41" s="66"/>
    </row>
    <row r="42" spans="1:17" s="95" customFormat="1" ht="9" x14ac:dyDescent="0.15">
      <c r="A42" s="90" t="s">
        <v>290</v>
      </c>
      <c r="B42" s="31">
        <v>10</v>
      </c>
      <c r="C42" s="31"/>
      <c r="D42" s="37">
        <v>0</v>
      </c>
      <c r="E42" s="37">
        <v>0</v>
      </c>
      <c r="F42" s="37">
        <v>43500</v>
      </c>
      <c r="G42" s="31">
        <v>1</v>
      </c>
      <c r="H42" s="31">
        <f>B42*G42</f>
        <v>10</v>
      </c>
      <c r="I42" s="63">
        <v>0</v>
      </c>
      <c r="J42" s="64">
        <f>H42*I42</f>
        <v>0</v>
      </c>
      <c r="K42" s="64">
        <f>J42*0.1</f>
        <v>0</v>
      </c>
      <c r="L42" s="64">
        <f>J42*0.05</f>
        <v>0</v>
      </c>
      <c r="M42" s="65"/>
      <c r="N42" s="37">
        <f>(J42*'Base Data'!$C$5)+(K42*'Base Data'!$C$6)+(L42*'Base Data'!$C$7)</f>
        <v>0</v>
      </c>
      <c r="O42" s="37">
        <f>(D42+E42+F42)*G42*I42</f>
        <v>0</v>
      </c>
      <c r="P42" s="64">
        <v>0</v>
      </c>
      <c r="Q42" s="66" t="s">
        <v>277</v>
      </c>
    </row>
    <row r="43" spans="1:17" s="95" customFormat="1" ht="9" x14ac:dyDescent="0.15">
      <c r="A43" s="90" t="s">
        <v>293</v>
      </c>
      <c r="B43" s="31">
        <v>10</v>
      </c>
      <c r="C43" s="31"/>
      <c r="D43" s="37">
        <v>0</v>
      </c>
      <c r="E43" s="37">
        <v>0</v>
      </c>
      <c r="F43" s="37">
        <v>9700</v>
      </c>
      <c r="G43" s="31">
        <v>1</v>
      </c>
      <c r="H43" s="31">
        <f>B43*G43</f>
        <v>10</v>
      </c>
      <c r="I43" s="63">
        <v>0</v>
      </c>
      <c r="J43" s="64">
        <f>H43*I43</f>
        <v>0</v>
      </c>
      <c r="K43" s="64">
        <f>J43*0.1</f>
        <v>0</v>
      </c>
      <c r="L43" s="64">
        <f>J43*0.05</f>
        <v>0</v>
      </c>
      <c r="M43" s="65"/>
      <c r="N43" s="37">
        <f>(J43*'Base Data'!$C$5)+(K43*'Base Data'!$C$6)+(L43*'Base Data'!$C$7)</f>
        <v>0</v>
      </c>
      <c r="O43" s="37">
        <f>(D43+E43+F43)*G43*I43</f>
        <v>0</v>
      </c>
      <c r="P43" s="64">
        <v>0</v>
      </c>
      <c r="Q43" s="66" t="s">
        <v>277</v>
      </c>
    </row>
    <row r="44" spans="1:17" s="95" customFormat="1" ht="18" x14ac:dyDescent="0.15">
      <c r="A44" s="91" t="s">
        <v>146</v>
      </c>
      <c r="B44" s="31"/>
      <c r="C44" s="31"/>
      <c r="D44" s="37"/>
      <c r="E44" s="37"/>
      <c r="F44" s="37"/>
      <c r="G44" s="31"/>
      <c r="H44" s="31"/>
      <c r="I44" s="68"/>
      <c r="J44" s="64"/>
      <c r="K44" s="64"/>
      <c r="L44" s="64"/>
      <c r="M44" s="65"/>
      <c r="N44" s="37"/>
      <c r="O44" s="37"/>
      <c r="P44" s="64"/>
      <c r="Q44" s="66"/>
    </row>
    <row r="45" spans="1:17" s="95" customFormat="1" ht="9" x14ac:dyDescent="0.15">
      <c r="A45" s="90" t="s">
        <v>290</v>
      </c>
      <c r="B45" s="31">
        <v>10</v>
      </c>
      <c r="C45" s="31"/>
      <c r="D45" s="37">
        <v>0</v>
      </c>
      <c r="E45" s="37">
        <v>0</v>
      </c>
      <c r="F45" s="37">
        <v>115000</v>
      </c>
      <c r="G45" s="31">
        <v>1</v>
      </c>
      <c r="H45" s="31">
        <f>B45*G45</f>
        <v>10</v>
      </c>
      <c r="I45" s="63">
        <v>0</v>
      </c>
      <c r="J45" s="64">
        <f>H45*I45</f>
        <v>0</v>
      </c>
      <c r="K45" s="64">
        <f>J45*0.1</f>
        <v>0</v>
      </c>
      <c r="L45" s="64">
        <f>J45*0.05</f>
        <v>0</v>
      </c>
      <c r="M45" s="65"/>
      <c r="N45" s="37">
        <f>(J45*'Base Data'!$C$5)+(K45*'Base Data'!$C$6)+(L45*'Base Data'!$C$7)</f>
        <v>0</v>
      </c>
      <c r="O45" s="37">
        <f>(D45+E45+F45)*G45*I45</f>
        <v>0</v>
      </c>
      <c r="P45" s="64">
        <v>0</v>
      </c>
      <c r="Q45" s="66" t="s">
        <v>277</v>
      </c>
    </row>
    <row r="46" spans="1:17" s="95" customFormat="1" ht="9" x14ac:dyDescent="0.15">
      <c r="A46" s="90" t="s">
        <v>293</v>
      </c>
      <c r="B46" s="31">
        <v>10</v>
      </c>
      <c r="C46" s="31"/>
      <c r="D46" s="37">
        <v>0</v>
      </c>
      <c r="E46" s="37">
        <v>0</v>
      </c>
      <c r="F46" s="37">
        <v>9700</v>
      </c>
      <c r="G46" s="31">
        <v>1</v>
      </c>
      <c r="H46" s="31">
        <f>B46*G46</f>
        <v>10</v>
      </c>
      <c r="I46" s="63">
        <v>0</v>
      </c>
      <c r="J46" s="64">
        <f>H46*I46</f>
        <v>0</v>
      </c>
      <c r="K46" s="64">
        <f>J46*0.1</f>
        <v>0</v>
      </c>
      <c r="L46" s="64">
        <f>J46*0.05</f>
        <v>0</v>
      </c>
      <c r="M46" s="65"/>
      <c r="N46" s="37">
        <f>(J46*'Base Data'!$C$5)+(K46*'Base Data'!$C$6)+(L46*'Base Data'!$C$7)</f>
        <v>0</v>
      </c>
      <c r="O46" s="37">
        <f>(D46+E46+F46)*G46*I46</f>
        <v>0</v>
      </c>
      <c r="P46" s="64">
        <v>0</v>
      </c>
      <c r="Q46" s="66" t="s">
        <v>277</v>
      </c>
    </row>
    <row r="47" spans="1:17" s="95" customFormat="1" ht="9" x14ac:dyDescent="0.15">
      <c r="A47" s="90" t="s">
        <v>294</v>
      </c>
      <c r="B47" s="31" t="s">
        <v>311</v>
      </c>
      <c r="C47" s="31"/>
      <c r="D47" s="37"/>
      <c r="E47" s="37"/>
      <c r="F47" s="37"/>
      <c r="G47" s="31"/>
      <c r="H47" s="31"/>
      <c r="I47" s="64"/>
      <c r="J47" s="64"/>
      <c r="K47" s="64"/>
      <c r="L47" s="64"/>
      <c r="M47" s="31"/>
      <c r="N47" s="37"/>
      <c r="O47" s="37"/>
      <c r="P47" s="37"/>
      <c r="Q47" s="66"/>
    </row>
    <row r="48" spans="1:17" s="95" customFormat="1" ht="9" x14ac:dyDescent="0.15">
      <c r="A48" s="90" t="s">
        <v>295</v>
      </c>
      <c r="B48" s="31" t="s">
        <v>311</v>
      </c>
      <c r="C48" s="31"/>
      <c r="D48" s="37"/>
      <c r="E48" s="37"/>
      <c r="F48" s="37"/>
      <c r="G48" s="31"/>
      <c r="H48" s="31"/>
      <c r="I48" s="64"/>
      <c r="J48" s="64"/>
      <c r="K48" s="64"/>
      <c r="L48" s="64"/>
      <c r="M48" s="31"/>
      <c r="N48" s="37"/>
      <c r="O48" s="37"/>
      <c r="P48" s="37"/>
      <c r="Q48" s="66"/>
    </row>
    <row r="49" spans="1:21" s="95" customFormat="1" ht="9" x14ac:dyDescent="0.15">
      <c r="A49" s="90" t="s">
        <v>296</v>
      </c>
      <c r="B49" s="31"/>
      <c r="C49" s="31"/>
      <c r="D49" s="37"/>
      <c r="E49" s="37"/>
      <c r="F49" s="37"/>
      <c r="G49" s="31"/>
      <c r="H49" s="31"/>
      <c r="I49" s="64"/>
      <c r="J49" s="64"/>
      <c r="K49" s="64"/>
      <c r="L49" s="64"/>
      <c r="M49" s="31"/>
      <c r="N49" s="37"/>
      <c r="O49" s="37"/>
      <c r="P49" s="37"/>
      <c r="Q49" s="66"/>
    </row>
    <row r="50" spans="1:21" s="95" customFormat="1" ht="9" x14ac:dyDescent="0.15">
      <c r="A50" s="101" t="s">
        <v>312</v>
      </c>
      <c r="B50" s="31">
        <v>2</v>
      </c>
      <c r="C50" s="31"/>
      <c r="D50" s="37">
        <v>0</v>
      </c>
      <c r="E50" s="37">
        <v>0</v>
      </c>
      <c r="F50" s="37">
        <v>0</v>
      </c>
      <c r="G50" s="31">
        <v>1</v>
      </c>
      <c r="H50" s="31">
        <f>B50*G50</f>
        <v>2</v>
      </c>
      <c r="I50" s="63">
        <f>ROUND(SUM('Base Data'!$H$18:$H$20,'Base Data'!$H$23:$H$25),0)</f>
        <v>118</v>
      </c>
      <c r="J50" s="64">
        <f>H50*I50</f>
        <v>236</v>
      </c>
      <c r="K50" s="64">
        <f>J50*0.1</f>
        <v>23.6</v>
      </c>
      <c r="L50" s="64">
        <f>J50*0.05</f>
        <v>11.8</v>
      </c>
      <c r="M50" s="31">
        <f>C50*G50*I50</f>
        <v>0</v>
      </c>
      <c r="N50" s="37">
        <f>(J50*'Base Data'!$C$5)+(K50*'Base Data'!$C$6)+(L50*'Base Data'!$C$7)</f>
        <v>29719.126000000004</v>
      </c>
      <c r="O50" s="37">
        <f>(D50+E50+F50)*G50*I50</f>
        <v>0</v>
      </c>
      <c r="P50" s="64">
        <f>G50*I50</f>
        <v>118</v>
      </c>
      <c r="Q50" s="66" t="s">
        <v>276</v>
      </c>
      <c r="T50" s="347">
        <v>41425</v>
      </c>
      <c r="U50" s="95" t="s">
        <v>579</v>
      </c>
    </row>
    <row r="51" spans="1:21" s="95" customFormat="1" ht="9" customHeight="1" x14ac:dyDescent="0.15">
      <c r="A51" s="101" t="s">
        <v>273</v>
      </c>
      <c r="B51" s="31">
        <v>8</v>
      </c>
      <c r="C51" s="31"/>
      <c r="D51" s="37">
        <v>0</v>
      </c>
      <c r="E51" s="37">
        <v>0</v>
      </c>
      <c r="F51" s="37">
        <v>0</v>
      </c>
      <c r="G51" s="31">
        <v>1</v>
      </c>
      <c r="H51" s="31">
        <f>B51*G51</f>
        <v>8</v>
      </c>
      <c r="I51" s="63">
        <v>0</v>
      </c>
      <c r="J51" s="64">
        <f>H51*I51</f>
        <v>0</v>
      </c>
      <c r="K51" s="64">
        <f>J51*0.1</f>
        <v>0</v>
      </c>
      <c r="L51" s="64">
        <f>J51*0.05</f>
        <v>0</v>
      </c>
      <c r="M51" s="31">
        <f>C51*G51*I51</f>
        <v>0</v>
      </c>
      <c r="N51" s="37">
        <f>(J51*'Base Data'!$C$5)+(K51*'Base Data'!$C$6)+(L51*'Base Data'!$C$7)</f>
        <v>0</v>
      </c>
      <c r="O51" s="37">
        <f>(D51+E51+F51)*G51*I51</f>
        <v>0</v>
      </c>
      <c r="P51" s="64">
        <f>G51*I51</f>
        <v>0</v>
      </c>
      <c r="Q51" s="66" t="s">
        <v>277</v>
      </c>
      <c r="T51" s="347">
        <v>42642</v>
      </c>
      <c r="U51" s="95">
        <v>2</v>
      </c>
    </row>
    <row r="52" spans="1:21" s="95" customFormat="1" ht="9" x14ac:dyDescent="0.15">
      <c r="A52" s="101" t="s">
        <v>274</v>
      </c>
      <c r="B52" s="31">
        <v>5</v>
      </c>
      <c r="C52" s="31"/>
      <c r="D52" s="37">
        <v>0</v>
      </c>
      <c r="E52" s="37">
        <v>0</v>
      </c>
      <c r="F52" s="37">
        <v>0</v>
      </c>
      <c r="G52" s="31">
        <v>1</v>
      </c>
      <c r="H52" s="31">
        <f>B52*G52</f>
        <v>5</v>
      </c>
      <c r="I52" s="63">
        <v>0</v>
      </c>
      <c r="J52" s="64">
        <f>H52*I52</f>
        <v>0</v>
      </c>
      <c r="K52" s="64">
        <f>J52*0.1</f>
        <v>0</v>
      </c>
      <c r="L52" s="64">
        <f>J52*0.05</f>
        <v>0</v>
      </c>
      <c r="M52" s="31">
        <f>C52*G52*I52</f>
        <v>0</v>
      </c>
      <c r="N52" s="37">
        <f>(J52*'Base Data'!$C$5)+(K52*'Base Data'!$C$6)+(L52*'Base Data'!$C$7)</f>
        <v>0</v>
      </c>
      <c r="O52" s="37">
        <f>(D52+E52+F52)*G52*I52</f>
        <v>0</v>
      </c>
      <c r="P52" s="64">
        <f>G52*I52</f>
        <v>0</v>
      </c>
      <c r="Q52" s="66" t="s">
        <v>277</v>
      </c>
      <c r="T52" s="347">
        <v>42400</v>
      </c>
      <c r="U52" s="95">
        <v>2</v>
      </c>
    </row>
    <row r="53" spans="1:21" s="95" customFormat="1" ht="9" x14ac:dyDescent="0.15">
      <c r="A53" s="92" t="s">
        <v>332</v>
      </c>
      <c r="B53" s="31">
        <v>20</v>
      </c>
      <c r="C53" s="31">
        <v>0</v>
      </c>
      <c r="D53" s="37">
        <v>0</v>
      </c>
      <c r="E53" s="37">
        <v>0</v>
      </c>
      <c r="F53" s="37">
        <v>0</v>
      </c>
      <c r="G53" s="31">
        <v>2</v>
      </c>
      <c r="H53" s="31">
        <f>B53*G53</f>
        <v>40</v>
      </c>
      <c r="I53" s="63">
        <v>0</v>
      </c>
      <c r="J53" s="64">
        <f>H53*I53</f>
        <v>0</v>
      </c>
      <c r="K53" s="64">
        <f>J53*0.1</f>
        <v>0</v>
      </c>
      <c r="L53" s="64">
        <f>J53*0.05</f>
        <v>0</v>
      </c>
      <c r="M53" s="64">
        <f>C53*G53*I53</f>
        <v>0</v>
      </c>
      <c r="N53" s="37">
        <f>(J53*'Base Data'!$C$5)+(K53*'Base Data'!$C$6)+(L53*'Base Data'!$C$7)</f>
        <v>0</v>
      </c>
      <c r="O53" s="37">
        <f>(D53+E53+F53)*G53*I53</f>
        <v>0</v>
      </c>
      <c r="P53" s="64">
        <f>G53*I53</f>
        <v>0</v>
      </c>
      <c r="Q53" s="66" t="s">
        <v>276</v>
      </c>
      <c r="R53" s="108"/>
      <c r="T53" s="95" t="s">
        <v>569</v>
      </c>
      <c r="U53" s="95">
        <v>3</v>
      </c>
    </row>
    <row r="54" spans="1:21" s="95" customFormat="1" ht="9" x14ac:dyDescent="0.15">
      <c r="A54" s="92" t="s">
        <v>416</v>
      </c>
      <c r="B54" s="31">
        <v>30</v>
      </c>
      <c r="C54" s="31"/>
      <c r="D54" s="37">
        <v>0</v>
      </c>
      <c r="E54" s="37">
        <v>0</v>
      </c>
      <c r="F54" s="37">
        <v>0</v>
      </c>
      <c r="G54" s="31">
        <v>1</v>
      </c>
      <c r="H54" s="31">
        <f>B54*G54</f>
        <v>30</v>
      </c>
      <c r="I54" s="63">
        <v>0</v>
      </c>
      <c r="J54" s="64">
        <f>H54*I54</f>
        <v>0</v>
      </c>
      <c r="K54" s="64">
        <f>J54*0.1</f>
        <v>0</v>
      </c>
      <c r="L54" s="64">
        <f>J54*0.05</f>
        <v>0</v>
      </c>
      <c r="M54" s="64">
        <f>C54*G54*I54</f>
        <v>0</v>
      </c>
      <c r="N54" s="37">
        <f>(J54*'Base Data'!$C$5)+(K54*'Base Data'!$C$6)+(L54*'Base Data'!$C$7)</f>
        <v>0</v>
      </c>
      <c r="O54" s="37">
        <f>(D54+E54+F54)*G54*I54</f>
        <v>0</v>
      </c>
      <c r="P54" s="64">
        <f>G54*I54</f>
        <v>0</v>
      </c>
      <c r="Q54" s="66" t="s">
        <v>399</v>
      </c>
      <c r="R54" s="108"/>
      <c r="T54" s="95" t="s">
        <v>570</v>
      </c>
    </row>
    <row r="55" spans="1:21" s="95" customFormat="1" ht="9" x14ac:dyDescent="0.15">
      <c r="A55" s="93" t="s">
        <v>4</v>
      </c>
      <c r="B55" s="31"/>
      <c r="C55" s="31"/>
      <c r="D55" s="37"/>
      <c r="E55" s="37"/>
      <c r="F55" s="37"/>
      <c r="G55" s="31"/>
      <c r="H55" s="31"/>
      <c r="I55" s="63"/>
      <c r="J55" s="64">
        <f t="shared" ref="J55:O55" si="10">SUM(J7:J53)</f>
        <v>4956</v>
      </c>
      <c r="K55" s="64">
        <f t="shared" si="10"/>
        <v>495.6</v>
      </c>
      <c r="L55" s="64">
        <f t="shared" si="10"/>
        <v>247.8</v>
      </c>
      <c r="M55" s="64">
        <f t="shared" si="10"/>
        <v>0</v>
      </c>
      <c r="N55" s="37">
        <f t="shared" si="10"/>
        <v>624101.64599999995</v>
      </c>
      <c r="O55" s="37">
        <f t="shared" si="10"/>
        <v>0</v>
      </c>
      <c r="P55" s="64">
        <f>SUM(P50:P53)</f>
        <v>118</v>
      </c>
      <c r="Q55" s="66"/>
      <c r="R55" s="98">
        <f>SUM(O7,O10:O22,O28,O31,O34,O37,O40,O46)</f>
        <v>0</v>
      </c>
      <c r="S55" s="97">
        <f>SUM(O36,O39,O45,O27,O30,O33)</f>
        <v>0</v>
      </c>
    </row>
    <row r="56" spans="1:21" s="95" customFormat="1" ht="9" x14ac:dyDescent="0.15">
      <c r="A56" s="90" t="s">
        <v>309</v>
      </c>
      <c r="B56" s="31"/>
      <c r="C56" s="31"/>
      <c r="D56" s="37"/>
      <c r="E56" s="37"/>
      <c r="F56" s="37"/>
      <c r="G56" s="31"/>
      <c r="H56" s="31"/>
      <c r="I56" s="64"/>
      <c r="J56" s="64"/>
      <c r="K56" s="64"/>
      <c r="L56" s="64"/>
      <c r="M56" s="31"/>
      <c r="N56" s="37"/>
      <c r="O56" s="37"/>
      <c r="P56" s="37"/>
      <c r="Q56" s="66"/>
    </row>
    <row r="57" spans="1:21" s="95" customFormat="1" ht="9" x14ac:dyDescent="0.15">
      <c r="A57" s="90" t="s">
        <v>297</v>
      </c>
      <c r="B57" s="31" t="s">
        <v>301</v>
      </c>
      <c r="C57" s="31"/>
      <c r="D57" s="37"/>
      <c r="E57" s="37"/>
      <c r="F57" s="37"/>
      <c r="G57" s="31"/>
      <c r="H57" s="31"/>
      <c r="I57" s="64"/>
      <c r="J57" s="64"/>
      <c r="K57" s="64"/>
      <c r="L57" s="64"/>
      <c r="M57" s="31"/>
      <c r="N57" s="37"/>
      <c r="O57" s="37"/>
      <c r="P57" s="37"/>
      <c r="Q57" s="66"/>
    </row>
    <row r="58" spans="1:21" s="95" customFormat="1" ht="9" x14ac:dyDescent="0.15">
      <c r="A58" s="90" t="s">
        <v>298</v>
      </c>
      <c r="B58" s="31" t="s">
        <v>311</v>
      </c>
      <c r="C58" s="31"/>
      <c r="D58" s="37"/>
      <c r="E58" s="37"/>
      <c r="F58" s="37"/>
      <c r="G58" s="31"/>
      <c r="H58" s="31"/>
      <c r="I58" s="64"/>
      <c r="J58" s="64"/>
      <c r="K58" s="64"/>
      <c r="L58" s="64"/>
      <c r="M58" s="31"/>
      <c r="N58" s="37"/>
      <c r="O58" s="37"/>
      <c r="P58" s="37"/>
      <c r="Q58" s="66"/>
    </row>
    <row r="59" spans="1:21" s="95" customFormat="1" ht="9" x14ac:dyDescent="0.15">
      <c r="A59" s="90" t="s">
        <v>299</v>
      </c>
      <c r="B59" s="31" t="s">
        <v>311</v>
      </c>
      <c r="C59" s="31"/>
      <c r="D59" s="37"/>
      <c r="E59" s="37"/>
      <c r="F59" s="37"/>
      <c r="G59" s="31"/>
      <c r="H59" s="31"/>
      <c r="I59" s="64"/>
      <c r="J59" s="64"/>
      <c r="K59" s="64"/>
      <c r="L59" s="64"/>
      <c r="M59" s="31"/>
      <c r="N59" s="37"/>
      <c r="O59" s="37"/>
      <c r="P59" s="37"/>
      <c r="Q59" s="66" t="s">
        <v>278</v>
      </c>
    </row>
    <row r="60" spans="1:21" s="95" customFormat="1" ht="9" x14ac:dyDescent="0.15">
      <c r="A60" s="90" t="s">
        <v>300</v>
      </c>
      <c r="B60" s="31"/>
      <c r="C60" s="31"/>
      <c r="D60" s="37"/>
      <c r="E60" s="37"/>
      <c r="F60" s="37"/>
      <c r="G60" s="31"/>
      <c r="H60" s="31"/>
      <c r="I60" s="64"/>
      <c r="J60" s="64"/>
      <c r="K60" s="64"/>
      <c r="L60" s="64"/>
      <c r="M60" s="31"/>
      <c r="N60" s="37"/>
      <c r="O60" s="37"/>
      <c r="P60" s="37"/>
      <c r="Q60" s="66"/>
    </row>
    <row r="61" spans="1:21" s="95" customFormat="1" ht="9.75" customHeight="1" x14ac:dyDescent="0.15">
      <c r="A61" s="90" t="s">
        <v>307</v>
      </c>
      <c r="B61" s="31">
        <v>20</v>
      </c>
      <c r="C61" s="31"/>
      <c r="D61" s="37">
        <v>0</v>
      </c>
      <c r="E61" s="37">
        <v>0</v>
      </c>
      <c r="F61" s="37">
        <v>0</v>
      </c>
      <c r="G61" s="31">
        <v>1</v>
      </c>
      <c r="H61" s="31">
        <f t="shared" ref="H61:H67" si="11">B61*G61</f>
        <v>20</v>
      </c>
      <c r="I61" s="63">
        <v>0</v>
      </c>
      <c r="J61" s="64">
        <f t="shared" ref="J61:J67" si="12">H61*I61</f>
        <v>0</v>
      </c>
      <c r="K61" s="64">
        <f t="shared" ref="K61:K67" si="13">J61*0.1</f>
        <v>0</v>
      </c>
      <c r="L61" s="64">
        <f t="shared" ref="L61:L67" si="14">J61*0.05</f>
        <v>0</v>
      </c>
      <c r="M61" s="31"/>
      <c r="N61" s="37">
        <f>(J61*'Base Data'!$C$5)+(K61*'Base Data'!$C$6)+(L61*'Base Data'!$C$7)</f>
        <v>0</v>
      </c>
      <c r="O61" s="37">
        <f t="shared" ref="O61:O67" si="15">(D61+E61+F61)*G61*I61</f>
        <v>0</v>
      </c>
      <c r="P61" s="64">
        <v>0</v>
      </c>
      <c r="Q61" s="66" t="s">
        <v>277</v>
      </c>
      <c r="T61" s="347">
        <v>42400</v>
      </c>
      <c r="U61" s="95">
        <v>2</v>
      </c>
    </row>
    <row r="62" spans="1:21" s="95" customFormat="1" ht="9" x14ac:dyDescent="0.15">
      <c r="A62" s="91" t="s">
        <v>303</v>
      </c>
      <c r="B62" s="31">
        <v>15</v>
      </c>
      <c r="C62" s="31">
        <v>0</v>
      </c>
      <c r="D62" s="37">
        <v>0</v>
      </c>
      <c r="E62" s="37">
        <v>0</v>
      </c>
      <c r="F62" s="37">
        <v>0</v>
      </c>
      <c r="G62" s="31">
        <v>1</v>
      </c>
      <c r="H62" s="31">
        <f t="shared" si="11"/>
        <v>15</v>
      </c>
      <c r="I62" s="63">
        <v>0</v>
      </c>
      <c r="J62" s="64">
        <f t="shared" si="12"/>
        <v>0</v>
      </c>
      <c r="K62" s="64">
        <f t="shared" si="13"/>
        <v>0</v>
      </c>
      <c r="L62" s="64">
        <f t="shared" si="14"/>
        <v>0</v>
      </c>
      <c r="M62" s="31">
        <f>C62*G62*I62</f>
        <v>0</v>
      </c>
      <c r="N62" s="37">
        <f>(J62*'Base Data'!$C$5)+(K62*'Base Data'!$C$6)+(L62*'Base Data'!$C$7)</f>
        <v>0</v>
      </c>
      <c r="O62" s="37">
        <f t="shared" si="15"/>
        <v>0</v>
      </c>
      <c r="P62" s="64">
        <v>0</v>
      </c>
      <c r="Q62" s="66" t="s">
        <v>277</v>
      </c>
      <c r="T62" s="347">
        <v>42400</v>
      </c>
      <c r="U62" s="95">
        <v>2</v>
      </c>
    </row>
    <row r="63" spans="1:21" s="95" customFormat="1" ht="9.75" customHeight="1" x14ac:dyDescent="0.15">
      <c r="A63" s="90" t="s">
        <v>304</v>
      </c>
      <c r="B63" s="31">
        <v>2</v>
      </c>
      <c r="C63" s="31"/>
      <c r="D63" s="37">
        <v>0</v>
      </c>
      <c r="E63" s="37">
        <v>0</v>
      </c>
      <c r="F63" s="37">
        <v>0</v>
      </c>
      <c r="G63" s="31">
        <v>1</v>
      </c>
      <c r="H63" s="31">
        <f t="shared" si="11"/>
        <v>2</v>
      </c>
      <c r="I63" s="63">
        <v>0</v>
      </c>
      <c r="J63" s="64">
        <f t="shared" si="12"/>
        <v>0</v>
      </c>
      <c r="K63" s="64">
        <f t="shared" si="13"/>
        <v>0</v>
      </c>
      <c r="L63" s="64">
        <f t="shared" si="14"/>
        <v>0</v>
      </c>
      <c r="M63" s="31"/>
      <c r="N63" s="37">
        <f>(J63*'Base Data'!$C$5)+(K63*'Base Data'!$C$6)+(L63*'Base Data'!$C$7)</f>
        <v>0</v>
      </c>
      <c r="O63" s="37">
        <f t="shared" si="15"/>
        <v>0</v>
      </c>
      <c r="P63" s="64">
        <v>0</v>
      </c>
      <c r="Q63" s="66" t="s">
        <v>277</v>
      </c>
      <c r="T63" s="347">
        <v>42400</v>
      </c>
      <c r="U63" s="95">
        <v>2</v>
      </c>
    </row>
    <row r="64" spans="1:21" s="95" customFormat="1" ht="9" x14ac:dyDescent="0.15">
      <c r="A64" s="91" t="s">
        <v>313</v>
      </c>
      <c r="B64" s="31">
        <v>2</v>
      </c>
      <c r="C64" s="31"/>
      <c r="D64" s="37">
        <v>0</v>
      </c>
      <c r="E64" s="37">
        <v>0</v>
      </c>
      <c r="F64" s="37">
        <v>0</v>
      </c>
      <c r="G64" s="31">
        <v>1</v>
      </c>
      <c r="H64" s="31">
        <f t="shared" si="11"/>
        <v>2</v>
      </c>
      <c r="I64" s="63">
        <v>0</v>
      </c>
      <c r="J64" s="64">
        <f t="shared" si="12"/>
        <v>0</v>
      </c>
      <c r="K64" s="64">
        <f t="shared" si="13"/>
        <v>0</v>
      </c>
      <c r="L64" s="64">
        <f t="shared" si="14"/>
        <v>0</v>
      </c>
      <c r="M64" s="31"/>
      <c r="N64" s="37">
        <f>(J64*'Base Data'!$C$5)+(K64*'Base Data'!$C$6)+(L64*'Base Data'!$C$7)</f>
        <v>0</v>
      </c>
      <c r="O64" s="37">
        <f t="shared" si="15"/>
        <v>0</v>
      </c>
      <c r="P64" s="64">
        <v>0</v>
      </c>
      <c r="Q64" s="66" t="s">
        <v>277</v>
      </c>
      <c r="T64" s="347">
        <v>42400</v>
      </c>
      <c r="U64" s="95">
        <v>2</v>
      </c>
    </row>
    <row r="65" spans="1:21" s="95" customFormat="1" ht="9" x14ac:dyDescent="0.15">
      <c r="A65" s="91" t="s">
        <v>314</v>
      </c>
      <c r="B65" s="31">
        <v>2</v>
      </c>
      <c r="C65" s="31">
        <v>0</v>
      </c>
      <c r="D65" s="37">
        <v>0</v>
      </c>
      <c r="E65" s="37">
        <v>0</v>
      </c>
      <c r="F65" s="37">
        <v>0</v>
      </c>
      <c r="G65" s="31">
        <v>2</v>
      </c>
      <c r="H65" s="31">
        <f t="shared" si="11"/>
        <v>4</v>
      </c>
      <c r="I65" s="63">
        <v>0</v>
      </c>
      <c r="J65" s="64">
        <f t="shared" si="12"/>
        <v>0</v>
      </c>
      <c r="K65" s="64">
        <f t="shared" si="13"/>
        <v>0</v>
      </c>
      <c r="L65" s="64">
        <f t="shared" si="14"/>
        <v>0</v>
      </c>
      <c r="M65" s="31">
        <f>C65*G65*I65</f>
        <v>0</v>
      </c>
      <c r="N65" s="37">
        <f>(J65*'Base Data'!$C$5)+(K65*'Base Data'!$C$6)+(L65*'Base Data'!$C$7)</f>
        <v>0</v>
      </c>
      <c r="O65" s="37">
        <f t="shared" si="15"/>
        <v>0</v>
      </c>
      <c r="P65" s="64">
        <v>0</v>
      </c>
      <c r="Q65" s="66" t="s">
        <v>277</v>
      </c>
      <c r="T65" s="347">
        <v>42400</v>
      </c>
      <c r="U65" s="95">
        <v>2</v>
      </c>
    </row>
    <row r="66" spans="1:21" s="95" customFormat="1" ht="9" x14ac:dyDescent="0.15">
      <c r="A66" s="91" t="s">
        <v>315</v>
      </c>
      <c r="B66" s="31">
        <v>0.5</v>
      </c>
      <c r="C66" s="31"/>
      <c r="D66" s="37">
        <v>0</v>
      </c>
      <c r="E66" s="37">
        <v>0</v>
      </c>
      <c r="F66" s="37">
        <v>0</v>
      </c>
      <c r="G66" s="31">
        <v>12</v>
      </c>
      <c r="H66" s="31">
        <f t="shared" si="11"/>
        <v>6</v>
      </c>
      <c r="I66" s="63">
        <v>0</v>
      </c>
      <c r="J66" s="64">
        <f t="shared" si="12"/>
        <v>0</v>
      </c>
      <c r="K66" s="64">
        <f t="shared" si="13"/>
        <v>0</v>
      </c>
      <c r="L66" s="64">
        <f t="shared" si="14"/>
        <v>0</v>
      </c>
      <c r="M66" s="31"/>
      <c r="N66" s="37">
        <f>(J66*'Base Data'!$C$5)+(K66*'Base Data'!$C$6)+(L66*'Base Data'!$C$7)</f>
        <v>0</v>
      </c>
      <c r="O66" s="37">
        <f t="shared" si="15"/>
        <v>0</v>
      </c>
      <c r="P66" s="64">
        <v>0</v>
      </c>
      <c r="Q66" s="66" t="s">
        <v>277</v>
      </c>
      <c r="T66" s="347">
        <v>42400</v>
      </c>
      <c r="U66" s="95">
        <v>2</v>
      </c>
    </row>
    <row r="67" spans="1:21" s="95" customFormat="1" ht="9" x14ac:dyDescent="0.15">
      <c r="A67" s="90" t="s">
        <v>305</v>
      </c>
      <c r="B67" s="31">
        <v>40</v>
      </c>
      <c r="C67" s="31"/>
      <c r="D67" s="37">
        <v>0</v>
      </c>
      <c r="E67" s="37">
        <v>0</v>
      </c>
      <c r="F67" s="37">
        <v>0</v>
      </c>
      <c r="G67" s="31">
        <v>1</v>
      </c>
      <c r="H67" s="31">
        <f t="shared" si="11"/>
        <v>40</v>
      </c>
      <c r="I67" s="63">
        <v>0</v>
      </c>
      <c r="J67" s="64">
        <f t="shared" si="12"/>
        <v>0</v>
      </c>
      <c r="K67" s="64">
        <f t="shared" si="13"/>
        <v>0</v>
      </c>
      <c r="L67" s="64">
        <f t="shared" si="14"/>
        <v>0</v>
      </c>
      <c r="M67" s="31"/>
      <c r="N67" s="37">
        <f>(J67*'Base Data'!$C$5)+(K67*'Base Data'!$C$6)+(L67*'Base Data'!$C$7)</f>
        <v>0</v>
      </c>
      <c r="O67" s="37">
        <f t="shared" si="15"/>
        <v>0</v>
      </c>
      <c r="P67" s="64">
        <v>0</v>
      </c>
      <c r="Q67" s="66" t="s">
        <v>210</v>
      </c>
      <c r="T67" s="95" t="s">
        <v>574</v>
      </c>
    </row>
    <row r="68" spans="1:21" s="95" customFormat="1" ht="9" x14ac:dyDescent="0.15">
      <c r="A68" s="94" t="s">
        <v>306</v>
      </c>
      <c r="B68" s="31" t="s">
        <v>311</v>
      </c>
      <c r="C68" s="31"/>
      <c r="D68" s="37"/>
      <c r="E68" s="37"/>
      <c r="F68" s="37"/>
      <c r="G68" s="31"/>
      <c r="H68" s="31"/>
      <c r="I68" s="64"/>
      <c r="J68" s="64"/>
      <c r="K68" s="64"/>
      <c r="L68" s="64"/>
      <c r="M68" s="31"/>
      <c r="N68" s="37"/>
      <c r="O68" s="37"/>
      <c r="P68" s="37"/>
      <c r="Q68" s="66"/>
    </row>
    <row r="69" spans="1:21" s="95" customFormat="1" ht="9" x14ac:dyDescent="0.15">
      <c r="A69" s="104" t="s">
        <v>23</v>
      </c>
      <c r="B69" s="139"/>
      <c r="C69" s="139"/>
      <c r="D69" s="140"/>
      <c r="E69" s="140"/>
      <c r="F69" s="140"/>
      <c r="G69" s="139"/>
      <c r="H69" s="139"/>
      <c r="I69" s="141"/>
      <c r="J69" s="141">
        <f t="shared" ref="J69:R69" si="16">SUM(J57:J68)</f>
        <v>0</v>
      </c>
      <c r="K69" s="141">
        <f t="shared" si="16"/>
        <v>0</v>
      </c>
      <c r="L69" s="141">
        <f t="shared" si="16"/>
        <v>0</v>
      </c>
      <c r="M69" s="140">
        <f t="shared" si="16"/>
        <v>0</v>
      </c>
      <c r="N69" s="140">
        <f>SUM(N57:N68)</f>
        <v>0</v>
      </c>
      <c r="O69" s="140">
        <f>SUM(O57:O68)</f>
        <v>0</v>
      </c>
      <c r="P69" s="141"/>
      <c r="Q69" s="142"/>
      <c r="R69" s="322">
        <f t="shared" si="16"/>
        <v>0</v>
      </c>
    </row>
    <row r="70" spans="1:21" s="109" customFormat="1" x14ac:dyDescent="0.2">
      <c r="A70" s="110" t="s">
        <v>283</v>
      </c>
      <c r="B70" s="111"/>
      <c r="C70" s="111"/>
      <c r="D70" s="111"/>
      <c r="E70" s="111"/>
      <c r="F70" s="112"/>
      <c r="G70" s="111"/>
      <c r="H70" s="111"/>
      <c r="I70" s="113"/>
      <c r="J70" s="114">
        <f t="shared" ref="J70:P70" si="17">J55+J69</f>
        <v>4956</v>
      </c>
      <c r="K70" s="114">
        <f t="shared" si="17"/>
        <v>495.6</v>
      </c>
      <c r="L70" s="114">
        <f t="shared" si="17"/>
        <v>247.8</v>
      </c>
      <c r="M70" s="115">
        <f t="shared" si="17"/>
        <v>0</v>
      </c>
      <c r="N70" s="115">
        <f t="shared" si="17"/>
        <v>624101.64599999995</v>
      </c>
      <c r="O70" s="115">
        <f t="shared" si="17"/>
        <v>0</v>
      </c>
      <c r="P70" s="114">
        <f t="shared" si="17"/>
        <v>118</v>
      </c>
      <c r="Q70" s="116"/>
    </row>
    <row r="71" spans="1:21" ht="6" customHeight="1" x14ac:dyDescent="0.2"/>
    <row r="72" spans="1:21" s="38" customFormat="1" ht="9" x14ac:dyDescent="0.15">
      <c r="A72" s="38" t="s">
        <v>452</v>
      </c>
      <c r="B72" s="41"/>
      <c r="C72" s="41"/>
      <c r="D72" s="41"/>
      <c r="E72" s="41"/>
      <c r="F72" s="41"/>
      <c r="G72" s="41"/>
      <c r="H72" s="41"/>
      <c r="I72" s="42"/>
      <c r="J72" s="41"/>
      <c r="K72" s="41"/>
      <c r="L72" s="41"/>
      <c r="M72" s="41"/>
      <c r="N72" s="41"/>
      <c r="O72" s="121"/>
      <c r="P72" s="121"/>
      <c r="Q72" s="41"/>
    </row>
    <row r="73" spans="1:21" s="38" customFormat="1" ht="19.5" customHeight="1" x14ac:dyDescent="0.15">
      <c r="A73" s="682" t="s">
        <v>450</v>
      </c>
      <c r="B73" s="682"/>
      <c r="C73" s="682"/>
      <c r="D73" s="682"/>
      <c r="E73" s="682"/>
      <c r="F73" s="682"/>
      <c r="G73" s="682"/>
      <c r="H73" s="682"/>
      <c r="I73" s="682"/>
      <c r="J73" s="682"/>
      <c r="K73" s="682"/>
      <c r="L73" s="682"/>
      <c r="M73" s="682"/>
      <c r="N73" s="682"/>
      <c r="O73" s="682"/>
      <c r="P73" s="315"/>
      <c r="Q73" s="41"/>
    </row>
    <row r="74" spans="1:21" s="38" customFormat="1" ht="9" x14ac:dyDescent="0.15">
      <c r="A74" s="682" t="s">
        <v>270</v>
      </c>
      <c r="B74" s="682"/>
      <c r="C74" s="682"/>
      <c r="D74" s="682"/>
      <c r="E74" s="682"/>
      <c r="F74" s="682"/>
      <c r="G74" s="682"/>
      <c r="H74" s="682"/>
      <c r="I74" s="682"/>
      <c r="J74" s="682"/>
      <c r="K74" s="682"/>
      <c r="L74" s="682"/>
      <c r="M74" s="682"/>
      <c r="N74" s="682"/>
      <c r="O74" s="682"/>
      <c r="P74" s="315"/>
      <c r="Q74" s="41"/>
    </row>
    <row r="75" spans="1:21" s="38" customFormat="1" ht="17.25" customHeight="1" x14ac:dyDescent="0.15">
      <c r="A75" s="682" t="s">
        <v>88</v>
      </c>
      <c r="B75" s="682"/>
      <c r="C75" s="682"/>
      <c r="D75" s="682"/>
      <c r="E75" s="682"/>
      <c r="F75" s="682"/>
      <c r="G75" s="682"/>
      <c r="H75" s="682"/>
      <c r="I75" s="682"/>
      <c r="J75" s="682"/>
      <c r="K75" s="682"/>
      <c r="L75" s="682"/>
      <c r="M75" s="682"/>
      <c r="N75" s="682"/>
      <c r="O75" s="682"/>
      <c r="P75" s="682"/>
      <c r="Q75" s="682"/>
    </row>
    <row r="76" spans="1:21" s="38" customFormat="1" ht="9" customHeight="1" x14ac:dyDescent="0.15">
      <c r="A76" s="38" t="s">
        <v>317</v>
      </c>
      <c r="B76" s="41"/>
      <c r="C76" s="41"/>
      <c r="D76" s="41"/>
      <c r="E76" s="41"/>
      <c r="F76" s="41"/>
      <c r="G76" s="41"/>
      <c r="H76" s="41"/>
      <c r="I76" s="42"/>
      <c r="J76" s="41"/>
      <c r="K76" s="41"/>
      <c r="L76" s="41"/>
      <c r="M76" s="41"/>
      <c r="N76" s="41"/>
      <c r="O76" s="121"/>
      <c r="P76" s="121"/>
      <c r="Q76" s="41"/>
    </row>
    <row r="77" spans="1:21" s="38" customFormat="1" ht="9" customHeight="1" x14ac:dyDescent="0.15">
      <c r="A77" s="38" t="s">
        <v>397</v>
      </c>
      <c r="B77" s="41"/>
      <c r="C77" s="41"/>
      <c r="D77" s="41"/>
      <c r="E77" s="41"/>
      <c r="F77" s="41"/>
      <c r="G77" s="41"/>
      <c r="H77" s="41"/>
      <c r="I77" s="42"/>
      <c r="J77" s="41"/>
      <c r="K77" s="41"/>
      <c r="L77" s="41"/>
      <c r="M77" s="41"/>
      <c r="N77" s="41"/>
      <c r="O77" s="121"/>
      <c r="P77" s="121"/>
      <c r="Q77" s="41"/>
    </row>
    <row r="78" spans="1:21" s="38" customFormat="1" ht="9" x14ac:dyDescent="0.15">
      <c r="A78" s="38" t="s">
        <v>0</v>
      </c>
      <c r="B78" s="41"/>
      <c r="C78" s="41"/>
      <c r="D78" s="41"/>
      <c r="E78" s="41"/>
      <c r="F78" s="41"/>
      <c r="G78" s="41"/>
      <c r="H78" s="41"/>
      <c r="I78" s="42"/>
      <c r="J78" s="41"/>
      <c r="K78" s="41"/>
      <c r="L78" s="41"/>
      <c r="M78" s="41"/>
      <c r="N78" s="41"/>
      <c r="O78" s="121"/>
      <c r="P78" s="121"/>
      <c r="Q78" s="41"/>
    </row>
    <row r="79" spans="1:21" s="38" customFormat="1" ht="9" x14ac:dyDescent="0.15">
      <c r="A79" s="38" t="s">
        <v>508</v>
      </c>
      <c r="B79" s="41"/>
      <c r="C79" s="41"/>
      <c r="D79" s="41"/>
      <c r="E79" s="41"/>
      <c r="F79" s="41"/>
      <c r="G79" s="41"/>
      <c r="H79" s="41"/>
      <c r="I79" s="42"/>
      <c r="J79" s="41"/>
      <c r="K79" s="41"/>
      <c r="L79" s="41"/>
      <c r="M79" s="41"/>
      <c r="N79" s="41"/>
      <c r="O79" s="121"/>
      <c r="P79" s="121"/>
      <c r="Q79" s="41"/>
    </row>
    <row r="80" spans="1:21" s="38" customFormat="1" ht="9" x14ac:dyDescent="0.15">
      <c r="A80" s="683" t="s">
        <v>385</v>
      </c>
      <c r="B80" s="683"/>
      <c r="C80" s="683"/>
      <c r="D80" s="683"/>
      <c r="E80" s="683"/>
      <c r="F80" s="683"/>
      <c r="G80" s="683"/>
      <c r="H80" s="683"/>
      <c r="I80" s="683"/>
      <c r="J80" s="683"/>
      <c r="K80" s="683"/>
      <c r="L80" s="683"/>
      <c r="M80" s="683"/>
      <c r="N80" s="683"/>
      <c r="O80" s="121"/>
      <c r="P80" s="121"/>
      <c r="Q80" s="41"/>
    </row>
    <row r="81" spans="1:17" s="38" customFormat="1" ht="9" x14ac:dyDescent="0.15">
      <c r="A81" s="38" t="s">
        <v>395</v>
      </c>
      <c r="B81" s="41"/>
      <c r="C81" s="41"/>
      <c r="D81" s="41"/>
      <c r="E81" s="41"/>
      <c r="F81" s="41"/>
      <c r="G81" s="41"/>
      <c r="H81" s="41"/>
      <c r="I81" s="42"/>
      <c r="J81" s="41"/>
      <c r="K81" s="41"/>
      <c r="L81" s="41"/>
      <c r="M81" s="41"/>
      <c r="N81" s="41"/>
      <c r="O81" s="121"/>
      <c r="P81" s="121"/>
      <c r="Q81" s="41"/>
    </row>
    <row r="82" spans="1:17" s="38" customFormat="1" ht="20.25" customHeight="1" x14ac:dyDescent="0.15">
      <c r="A82" s="682" t="s">
        <v>564</v>
      </c>
      <c r="B82" s="682"/>
      <c r="C82" s="682"/>
      <c r="D82" s="682"/>
      <c r="E82" s="682"/>
      <c r="F82" s="682"/>
      <c r="G82" s="682"/>
      <c r="H82" s="682"/>
      <c r="I82" s="682"/>
      <c r="J82" s="682"/>
      <c r="K82" s="682"/>
      <c r="L82" s="682"/>
      <c r="M82" s="682"/>
      <c r="N82" s="682"/>
      <c r="O82" s="682"/>
      <c r="P82" s="682"/>
      <c r="Q82" s="682"/>
    </row>
    <row r="83" spans="1:17" s="38" customFormat="1" ht="9" x14ac:dyDescent="0.15">
      <c r="A83" s="38" t="s">
        <v>449</v>
      </c>
      <c r="B83" s="41"/>
      <c r="C83" s="41"/>
      <c r="D83" s="41"/>
      <c r="E83" s="41"/>
      <c r="F83" s="41"/>
      <c r="G83" s="41"/>
      <c r="H83" s="41"/>
      <c r="I83" s="42"/>
      <c r="J83" s="41"/>
      <c r="K83" s="41"/>
      <c r="L83" s="41"/>
      <c r="M83" s="41"/>
      <c r="N83" s="41"/>
      <c r="O83" s="121"/>
      <c r="P83" s="121"/>
      <c r="Q83" s="41"/>
    </row>
    <row r="84" spans="1:17" s="38" customFormat="1" ht="9" x14ac:dyDescent="0.15">
      <c r="A84" s="38" t="s">
        <v>515</v>
      </c>
      <c r="B84" s="41"/>
      <c r="C84" s="41"/>
      <c r="D84" s="41"/>
      <c r="E84" s="41"/>
      <c r="F84" s="41"/>
      <c r="G84" s="41"/>
      <c r="H84" s="41"/>
      <c r="I84" s="42"/>
      <c r="J84" s="41"/>
      <c r="K84" s="41"/>
      <c r="L84" s="41"/>
      <c r="M84" s="41"/>
      <c r="N84" s="41"/>
      <c r="O84" s="121"/>
      <c r="P84" s="121"/>
      <c r="Q84" s="41"/>
    </row>
    <row r="85" spans="1:17" s="38" customFormat="1" ht="9" x14ac:dyDescent="0.15">
      <c r="A85" s="682" t="s">
        <v>552</v>
      </c>
      <c r="B85" s="682"/>
      <c r="C85" s="682"/>
      <c r="D85" s="682"/>
      <c r="E85" s="682"/>
      <c r="F85" s="682"/>
      <c r="G85" s="682"/>
      <c r="H85" s="682"/>
      <c r="I85" s="682"/>
      <c r="J85" s="682"/>
      <c r="K85" s="682"/>
      <c r="L85" s="682"/>
      <c r="M85" s="682"/>
      <c r="N85" s="682"/>
      <c r="O85" s="682"/>
      <c r="P85" s="682"/>
      <c r="Q85" s="682"/>
    </row>
    <row r="86" spans="1:17" s="38" customFormat="1" ht="9" x14ac:dyDescent="0.15">
      <c r="A86" s="682"/>
      <c r="B86" s="682"/>
      <c r="C86" s="682"/>
      <c r="D86" s="682"/>
      <c r="E86" s="682"/>
      <c r="F86" s="682"/>
      <c r="G86" s="682"/>
      <c r="H86" s="682"/>
      <c r="I86" s="682"/>
      <c r="J86" s="682"/>
      <c r="K86" s="682"/>
      <c r="L86" s="682"/>
      <c r="M86" s="682"/>
      <c r="N86" s="682"/>
      <c r="O86" s="682"/>
      <c r="P86" s="682"/>
      <c r="Q86" s="682"/>
    </row>
    <row r="87" spans="1:17" s="38" customFormat="1" ht="9" x14ac:dyDescent="0.15">
      <c r="A87" s="682"/>
      <c r="B87" s="682"/>
      <c r="C87" s="682"/>
      <c r="D87" s="682"/>
      <c r="E87" s="682"/>
      <c r="F87" s="682"/>
      <c r="G87" s="682"/>
      <c r="H87" s="682"/>
      <c r="I87" s="682"/>
      <c r="J87" s="682"/>
      <c r="K87" s="682"/>
      <c r="L87" s="682"/>
      <c r="M87" s="682"/>
      <c r="N87" s="682"/>
      <c r="O87" s="682"/>
      <c r="P87" s="682"/>
      <c r="Q87" s="682"/>
    </row>
    <row r="88" spans="1:17" s="38" customFormat="1" ht="9" x14ac:dyDescent="0.15">
      <c r="B88" s="41"/>
      <c r="C88" s="41"/>
      <c r="D88" s="41"/>
      <c r="E88" s="41"/>
      <c r="F88" s="41"/>
      <c r="G88" s="41"/>
      <c r="H88" s="41"/>
      <c r="I88" s="42"/>
      <c r="J88" s="41"/>
      <c r="K88" s="41"/>
      <c r="L88" s="41"/>
      <c r="M88" s="41"/>
      <c r="N88" s="41"/>
      <c r="O88" s="121"/>
      <c r="P88" s="121"/>
      <c r="Q88" s="41"/>
    </row>
    <row r="89" spans="1:17" s="38" customFormat="1" ht="9" x14ac:dyDescent="0.15">
      <c r="B89" s="41"/>
      <c r="C89" s="41"/>
      <c r="D89" s="41"/>
      <c r="E89" s="41"/>
      <c r="F89" s="41"/>
      <c r="G89" s="41"/>
      <c r="H89" s="41"/>
      <c r="I89" s="42"/>
      <c r="J89" s="41"/>
      <c r="K89" s="41"/>
      <c r="L89" s="41"/>
      <c r="M89" s="41"/>
      <c r="N89" s="41"/>
      <c r="O89" s="121"/>
      <c r="P89" s="121"/>
      <c r="Q89" s="41"/>
    </row>
    <row r="90" spans="1:17" s="38" customFormat="1" ht="9" x14ac:dyDescent="0.15">
      <c r="B90" s="41"/>
      <c r="C90" s="41"/>
      <c r="D90" s="41"/>
      <c r="E90" s="41"/>
      <c r="F90" s="41"/>
      <c r="G90" s="41"/>
      <c r="H90" s="41"/>
      <c r="I90" s="42"/>
      <c r="J90" s="41"/>
      <c r="K90" s="41"/>
      <c r="L90" s="41"/>
      <c r="M90" s="41"/>
      <c r="N90" s="41"/>
      <c r="O90" s="121"/>
      <c r="P90" s="121"/>
      <c r="Q90" s="41"/>
    </row>
    <row r="91" spans="1:17" s="38" customFormat="1" ht="9" x14ac:dyDescent="0.15">
      <c r="B91" s="41"/>
      <c r="C91" s="41"/>
      <c r="D91" s="41"/>
      <c r="E91" s="41"/>
      <c r="F91" s="41"/>
      <c r="G91" s="41"/>
      <c r="H91" s="41"/>
      <c r="I91" s="42"/>
      <c r="J91" s="41"/>
      <c r="K91" s="41"/>
      <c r="L91" s="41"/>
      <c r="M91" s="41"/>
      <c r="N91" s="41"/>
      <c r="O91" s="121"/>
      <c r="P91" s="121"/>
      <c r="Q91" s="41"/>
    </row>
    <row r="92" spans="1:17" s="38" customFormat="1" ht="9" x14ac:dyDescent="0.15">
      <c r="B92" s="41"/>
      <c r="C92" s="41"/>
      <c r="D92" s="41"/>
      <c r="E92" s="41"/>
      <c r="F92" s="41"/>
      <c r="G92" s="41"/>
      <c r="H92" s="41"/>
      <c r="I92" s="42"/>
      <c r="J92" s="41"/>
      <c r="K92" s="41"/>
      <c r="L92" s="41"/>
      <c r="M92" s="41"/>
      <c r="N92" s="41"/>
      <c r="O92" s="121"/>
      <c r="P92" s="121"/>
      <c r="Q92" s="41"/>
    </row>
    <row r="93" spans="1:17" s="38" customFormat="1" ht="9" x14ac:dyDescent="0.15">
      <c r="B93" s="41"/>
      <c r="C93" s="41"/>
      <c r="D93" s="41"/>
      <c r="E93" s="41"/>
      <c r="F93" s="41"/>
      <c r="G93" s="41"/>
      <c r="H93" s="41"/>
      <c r="I93" s="42"/>
      <c r="J93" s="41"/>
      <c r="K93" s="41"/>
      <c r="L93" s="41"/>
      <c r="M93" s="41"/>
      <c r="N93" s="41"/>
      <c r="O93" s="121"/>
      <c r="P93" s="121"/>
      <c r="Q93" s="41"/>
    </row>
    <row r="94" spans="1:17" s="38" customFormat="1" ht="9" x14ac:dyDescent="0.15">
      <c r="B94" s="41"/>
      <c r="C94" s="41"/>
      <c r="D94" s="41"/>
      <c r="E94" s="41"/>
      <c r="F94" s="41"/>
      <c r="G94" s="41"/>
      <c r="H94" s="41"/>
      <c r="I94" s="42"/>
      <c r="J94" s="41"/>
      <c r="K94" s="41"/>
      <c r="L94" s="41"/>
      <c r="M94" s="41"/>
      <c r="N94" s="41"/>
      <c r="O94" s="121"/>
      <c r="P94" s="121"/>
      <c r="Q94" s="41"/>
    </row>
    <row r="95" spans="1:17" s="38" customFormat="1" ht="9" x14ac:dyDescent="0.15">
      <c r="B95" s="41"/>
      <c r="C95" s="41"/>
      <c r="D95" s="41"/>
      <c r="E95" s="41"/>
      <c r="F95" s="41"/>
      <c r="G95" s="41"/>
      <c r="H95" s="41"/>
      <c r="I95" s="42"/>
      <c r="J95" s="41"/>
      <c r="K95" s="41"/>
      <c r="L95" s="41"/>
      <c r="M95" s="41"/>
      <c r="N95" s="41"/>
      <c r="O95" s="121"/>
      <c r="P95" s="121"/>
      <c r="Q95" s="41"/>
    </row>
    <row r="96" spans="1:17" s="38" customFormat="1" ht="9" x14ac:dyDescent="0.15">
      <c r="B96" s="41"/>
      <c r="C96" s="41"/>
      <c r="D96" s="41"/>
      <c r="E96" s="41"/>
      <c r="F96" s="41"/>
      <c r="G96" s="41"/>
      <c r="H96" s="41"/>
      <c r="I96" s="42"/>
      <c r="J96" s="41"/>
      <c r="K96" s="41"/>
      <c r="L96" s="41"/>
      <c r="M96" s="41"/>
      <c r="N96" s="41"/>
      <c r="O96" s="121"/>
      <c r="P96" s="121"/>
      <c r="Q96" s="41"/>
    </row>
    <row r="97" spans="2:17" s="38" customFormat="1" ht="9" x14ac:dyDescent="0.15">
      <c r="B97" s="41"/>
      <c r="C97" s="41"/>
      <c r="D97" s="41"/>
      <c r="E97" s="41"/>
      <c r="F97" s="41"/>
      <c r="G97" s="41"/>
      <c r="H97" s="41"/>
      <c r="I97" s="42"/>
      <c r="J97" s="41"/>
      <c r="K97" s="41"/>
      <c r="L97" s="41"/>
      <c r="M97" s="41"/>
      <c r="N97" s="41"/>
      <c r="O97" s="121"/>
      <c r="P97" s="121"/>
      <c r="Q97" s="41"/>
    </row>
    <row r="98" spans="2:17" s="38" customFormat="1" ht="9" x14ac:dyDescent="0.15">
      <c r="B98" s="41"/>
      <c r="C98" s="41"/>
      <c r="D98" s="41"/>
      <c r="E98" s="41"/>
      <c r="F98" s="41"/>
      <c r="G98" s="41"/>
      <c r="H98" s="41"/>
      <c r="I98" s="42"/>
      <c r="J98" s="41"/>
      <c r="K98" s="41"/>
      <c r="L98" s="41"/>
      <c r="M98" s="41"/>
      <c r="N98" s="41"/>
      <c r="O98" s="121"/>
      <c r="P98" s="121"/>
      <c r="Q98" s="41"/>
    </row>
    <row r="99" spans="2:17" s="38" customFormat="1" ht="9" x14ac:dyDescent="0.15">
      <c r="B99" s="41"/>
      <c r="C99" s="41"/>
      <c r="D99" s="41"/>
      <c r="E99" s="41"/>
      <c r="F99" s="41"/>
      <c r="G99" s="41"/>
      <c r="H99" s="41"/>
      <c r="I99" s="42"/>
      <c r="J99" s="41"/>
      <c r="K99" s="41"/>
      <c r="L99" s="41"/>
      <c r="M99" s="41"/>
      <c r="N99" s="41"/>
      <c r="O99" s="121"/>
      <c r="P99" s="121"/>
      <c r="Q99" s="41"/>
    </row>
    <row r="100" spans="2:17" s="38" customFormat="1" ht="9" x14ac:dyDescent="0.15">
      <c r="B100" s="41"/>
      <c r="C100" s="41"/>
      <c r="D100" s="41"/>
      <c r="E100" s="41"/>
      <c r="F100" s="41"/>
      <c r="G100" s="41"/>
      <c r="H100" s="41"/>
      <c r="I100" s="42"/>
      <c r="J100" s="41"/>
      <c r="K100" s="41"/>
      <c r="L100" s="41"/>
      <c r="M100" s="41"/>
      <c r="N100" s="41"/>
      <c r="O100" s="121"/>
      <c r="P100" s="121"/>
      <c r="Q100" s="41"/>
    </row>
    <row r="101" spans="2:17" s="38" customFormat="1" ht="9" x14ac:dyDescent="0.15">
      <c r="B101" s="41"/>
      <c r="C101" s="41"/>
      <c r="D101" s="41"/>
      <c r="E101" s="41"/>
      <c r="F101" s="41"/>
      <c r="G101" s="41"/>
      <c r="H101" s="41"/>
      <c r="I101" s="42"/>
      <c r="J101" s="41"/>
      <c r="K101" s="41"/>
      <c r="L101" s="41"/>
      <c r="M101" s="41"/>
      <c r="N101" s="41"/>
      <c r="O101" s="121"/>
      <c r="P101" s="121"/>
      <c r="Q101" s="41"/>
    </row>
    <row r="102" spans="2:17" s="38" customFormat="1" ht="9" x14ac:dyDescent="0.15">
      <c r="B102" s="41"/>
      <c r="C102" s="41"/>
      <c r="D102" s="41"/>
      <c r="E102" s="41"/>
      <c r="F102" s="41"/>
      <c r="G102" s="41"/>
      <c r="H102" s="41"/>
      <c r="I102" s="42"/>
      <c r="J102" s="41"/>
      <c r="K102" s="41"/>
      <c r="L102" s="41"/>
      <c r="M102" s="41"/>
      <c r="N102" s="41"/>
      <c r="O102" s="121"/>
      <c r="P102" s="121"/>
      <c r="Q102" s="41"/>
    </row>
    <row r="103" spans="2:17" s="38" customFormat="1" ht="9" x14ac:dyDescent="0.15">
      <c r="B103" s="41"/>
      <c r="C103" s="41"/>
      <c r="D103" s="41"/>
      <c r="E103" s="41"/>
      <c r="F103" s="41"/>
      <c r="G103" s="41"/>
      <c r="H103" s="41"/>
      <c r="I103" s="42"/>
      <c r="J103" s="41"/>
      <c r="K103" s="41"/>
      <c r="L103" s="41"/>
      <c r="M103" s="41"/>
      <c r="N103" s="41"/>
      <c r="O103" s="121"/>
      <c r="P103" s="121"/>
      <c r="Q103" s="41"/>
    </row>
    <row r="104" spans="2:17" s="38" customFormat="1" ht="9" x14ac:dyDescent="0.15">
      <c r="B104" s="41"/>
      <c r="C104" s="41"/>
      <c r="D104" s="41"/>
      <c r="E104" s="41"/>
      <c r="F104" s="41"/>
      <c r="G104" s="41"/>
      <c r="H104" s="41"/>
      <c r="I104" s="42"/>
      <c r="J104" s="41"/>
      <c r="K104" s="41"/>
      <c r="L104" s="41"/>
      <c r="M104" s="41"/>
      <c r="N104" s="41"/>
      <c r="O104" s="121"/>
      <c r="P104" s="121"/>
      <c r="Q104" s="41"/>
    </row>
    <row r="105" spans="2:17" s="38" customFormat="1" ht="9" x14ac:dyDescent="0.15">
      <c r="B105" s="41"/>
      <c r="C105" s="41"/>
      <c r="D105" s="41"/>
      <c r="E105" s="41"/>
      <c r="F105" s="41"/>
      <c r="G105" s="41"/>
      <c r="H105" s="41"/>
      <c r="I105" s="42"/>
      <c r="J105" s="41"/>
      <c r="K105" s="41"/>
      <c r="L105" s="41"/>
      <c r="M105" s="41"/>
      <c r="N105" s="41"/>
      <c r="O105" s="121"/>
      <c r="P105" s="121"/>
      <c r="Q105" s="41"/>
    </row>
    <row r="106" spans="2:17" s="38" customFormat="1" ht="9" x14ac:dyDescent="0.15">
      <c r="B106" s="41"/>
      <c r="C106" s="41"/>
      <c r="D106" s="41"/>
      <c r="E106" s="41"/>
      <c r="F106" s="41"/>
      <c r="G106" s="41"/>
      <c r="H106" s="41"/>
      <c r="I106" s="42"/>
      <c r="J106" s="41"/>
      <c r="K106" s="41"/>
      <c r="L106" s="41"/>
      <c r="M106" s="41"/>
      <c r="N106" s="41"/>
      <c r="O106" s="121"/>
      <c r="P106" s="121"/>
      <c r="Q106" s="41"/>
    </row>
    <row r="107" spans="2:17" s="38" customFormat="1" ht="9" x14ac:dyDescent="0.15">
      <c r="B107" s="41"/>
      <c r="C107" s="41"/>
      <c r="D107" s="41"/>
      <c r="E107" s="41"/>
      <c r="F107" s="41"/>
      <c r="G107" s="41"/>
      <c r="H107" s="41"/>
      <c r="I107" s="42"/>
      <c r="J107" s="41"/>
      <c r="K107" s="41"/>
      <c r="L107" s="41"/>
      <c r="M107" s="41"/>
      <c r="N107" s="41"/>
      <c r="O107" s="121"/>
      <c r="P107" s="121"/>
      <c r="Q107" s="41"/>
    </row>
    <row r="108" spans="2:17" s="38" customFormat="1" ht="9" x14ac:dyDescent="0.15">
      <c r="B108" s="41"/>
      <c r="C108" s="41"/>
      <c r="D108" s="41"/>
      <c r="E108" s="41"/>
      <c r="F108" s="41"/>
      <c r="G108" s="41"/>
      <c r="H108" s="41"/>
      <c r="I108" s="42"/>
      <c r="J108" s="41"/>
      <c r="K108" s="41"/>
      <c r="L108" s="41"/>
      <c r="M108" s="41"/>
      <c r="N108" s="41"/>
      <c r="O108" s="121"/>
      <c r="P108" s="121"/>
      <c r="Q108" s="41"/>
    </row>
    <row r="109" spans="2:17" s="38" customFormat="1" ht="9" x14ac:dyDescent="0.15">
      <c r="B109" s="41"/>
      <c r="C109" s="41"/>
      <c r="D109" s="41"/>
      <c r="E109" s="41"/>
      <c r="F109" s="41"/>
      <c r="G109" s="41"/>
      <c r="H109" s="41"/>
      <c r="I109" s="42"/>
      <c r="J109" s="41"/>
      <c r="K109" s="41"/>
      <c r="L109" s="41"/>
      <c r="M109" s="41"/>
      <c r="N109" s="41"/>
      <c r="O109" s="121"/>
      <c r="P109" s="121"/>
      <c r="Q109" s="41"/>
    </row>
    <row r="110" spans="2:17" s="38" customFormat="1" ht="9" x14ac:dyDescent="0.15">
      <c r="B110" s="41"/>
      <c r="C110" s="41"/>
      <c r="D110" s="41"/>
      <c r="E110" s="41"/>
      <c r="F110" s="41"/>
      <c r="G110" s="41"/>
      <c r="H110" s="41"/>
      <c r="I110" s="42"/>
      <c r="J110" s="41"/>
      <c r="K110" s="41"/>
      <c r="L110" s="41"/>
      <c r="M110" s="41"/>
      <c r="N110" s="41"/>
      <c r="O110" s="121"/>
      <c r="P110" s="121"/>
      <c r="Q110" s="41"/>
    </row>
    <row r="111" spans="2:17" s="38" customFormat="1" ht="9" x14ac:dyDescent="0.15">
      <c r="B111" s="41"/>
      <c r="C111" s="41"/>
      <c r="D111" s="41"/>
      <c r="E111" s="41"/>
      <c r="F111" s="41"/>
      <c r="G111" s="41"/>
      <c r="H111" s="41"/>
      <c r="I111" s="42"/>
      <c r="J111" s="41"/>
      <c r="K111" s="41"/>
      <c r="L111" s="41"/>
      <c r="M111" s="41"/>
      <c r="N111" s="41"/>
      <c r="O111" s="121"/>
      <c r="P111" s="121"/>
      <c r="Q111" s="41"/>
    </row>
    <row r="112" spans="2:17" s="38" customFormat="1" ht="9" x14ac:dyDescent="0.15">
      <c r="B112" s="41"/>
      <c r="C112" s="41"/>
      <c r="D112" s="41"/>
      <c r="E112" s="41"/>
      <c r="F112" s="41"/>
      <c r="G112" s="41"/>
      <c r="H112" s="41"/>
      <c r="I112" s="42"/>
      <c r="J112" s="41"/>
      <c r="K112" s="41"/>
      <c r="L112" s="41"/>
      <c r="M112" s="41"/>
      <c r="N112" s="41"/>
      <c r="O112" s="121"/>
      <c r="P112" s="121"/>
      <c r="Q112" s="41"/>
    </row>
    <row r="113" spans="2:17" s="38" customFormat="1" ht="9" x14ac:dyDescent="0.15">
      <c r="B113" s="41"/>
      <c r="C113" s="41"/>
      <c r="D113" s="41"/>
      <c r="E113" s="41"/>
      <c r="F113" s="41"/>
      <c r="G113" s="41"/>
      <c r="H113" s="41"/>
      <c r="I113" s="42"/>
      <c r="J113" s="41"/>
      <c r="K113" s="41"/>
      <c r="L113" s="41"/>
      <c r="M113" s="41"/>
      <c r="N113" s="41"/>
      <c r="O113" s="121"/>
      <c r="P113" s="121"/>
      <c r="Q113" s="41"/>
    </row>
    <row r="114" spans="2:17" s="38" customFormat="1" ht="9" x14ac:dyDescent="0.15">
      <c r="B114" s="41"/>
      <c r="C114" s="41"/>
      <c r="D114" s="41"/>
      <c r="E114" s="41"/>
      <c r="F114" s="41"/>
      <c r="G114" s="41"/>
      <c r="H114" s="41"/>
      <c r="I114" s="42"/>
      <c r="J114" s="41"/>
      <c r="K114" s="41"/>
      <c r="L114" s="41"/>
      <c r="M114" s="41"/>
      <c r="N114" s="41"/>
      <c r="O114" s="121"/>
      <c r="P114" s="121"/>
      <c r="Q114" s="41"/>
    </row>
    <row r="115" spans="2:17" s="38" customFormat="1" ht="9" x14ac:dyDescent="0.15">
      <c r="B115" s="41"/>
      <c r="C115" s="41"/>
      <c r="D115" s="41"/>
      <c r="E115" s="41"/>
      <c r="F115" s="41"/>
      <c r="G115" s="41"/>
      <c r="H115" s="41"/>
      <c r="I115" s="42"/>
      <c r="J115" s="41"/>
      <c r="K115" s="41"/>
      <c r="L115" s="41"/>
      <c r="M115" s="41"/>
      <c r="N115" s="41"/>
      <c r="O115" s="121"/>
      <c r="P115" s="121"/>
      <c r="Q115" s="41"/>
    </row>
    <row r="116" spans="2:17" s="38" customFormat="1" ht="9" x14ac:dyDescent="0.15">
      <c r="B116" s="41"/>
      <c r="C116" s="41"/>
      <c r="D116" s="41"/>
      <c r="E116" s="41"/>
      <c r="F116" s="41"/>
      <c r="G116" s="41"/>
      <c r="H116" s="41"/>
      <c r="I116" s="42"/>
      <c r="J116" s="41"/>
      <c r="K116" s="41"/>
      <c r="L116" s="41"/>
      <c r="M116" s="41"/>
      <c r="N116" s="41"/>
      <c r="O116" s="121"/>
      <c r="P116" s="121"/>
      <c r="Q116" s="41"/>
    </row>
    <row r="117" spans="2:17" s="38" customFormat="1" ht="9" x14ac:dyDescent="0.15">
      <c r="B117" s="41"/>
      <c r="C117" s="41"/>
      <c r="D117" s="41"/>
      <c r="E117" s="41"/>
      <c r="F117" s="41"/>
      <c r="G117" s="41"/>
      <c r="H117" s="41"/>
      <c r="I117" s="42"/>
      <c r="J117" s="41"/>
      <c r="K117" s="41"/>
      <c r="L117" s="41"/>
      <c r="M117" s="41"/>
      <c r="N117" s="41"/>
      <c r="O117" s="121"/>
      <c r="P117" s="121"/>
      <c r="Q117" s="41"/>
    </row>
    <row r="118" spans="2:17" s="38" customFormat="1" ht="9" x14ac:dyDescent="0.15">
      <c r="B118" s="41"/>
      <c r="C118" s="41"/>
      <c r="D118" s="41"/>
      <c r="E118" s="41"/>
      <c r="F118" s="41"/>
      <c r="G118" s="41"/>
      <c r="H118" s="41"/>
      <c r="I118" s="42"/>
      <c r="J118" s="41"/>
      <c r="K118" s="41"/>
      <c r="L118" s="41"/>
      <c r="M118" s="41"/>
      <c r="N118" s="41"/>
      <c r="O118" s="121"/>
      <c r="P118" s="121"/>
      <c r="Q118" s="41"/>
    </row>
    <row r="119" spans="2:17" s="38" customFormat="1" ht="9" x14ac:dyDescent="0.15">
      <c r="B119" s="41"/>
      <c r="C119" s="41"/>
      <c r="D119" s="41"/>
      <c r="E119" s="41"/>
      <c r="F119" s="41"/>
      <c r="G119" s="41"/>
      <c r="H119" s="41"/>
      <c r="I119" s="42"/>
      <c r="J119" s="41"/>
      <c r="K119" s="41"/>
      <c r="L119" s="41"/>
      <c r="M119" s="41"/>
      <c r="N119" s="41"/>
      <c r="O119" s="121"/>
      <c r="P119" s="121"/>
      <c r="Q119" s="41"/>
    </row>
    <row r="120" spans="2:17" s="38" customFormat="1" ht="9" x14ac:dyDescent="0.15">
      <c r="B120" s="41"/>
      <c r="C120" s="41"/>
      <c r="D120" s="41"/>
      <c r="E120" s="41"/>
      <c r="F120" s="41"/>
      <c r="G120" s="41"/>
      <c r="H120" s="41"/>
      <c r="I120" s="42"/>
      <c r="J120" s="41"/>
      <c r="K120" s="41"/>
      <c r="L120" s="41"/>
      <c r="M120" s="41"/>
      <c r="N120" s="41"/>
      <c r="O120" s="121"/>
      <c r="P120" s="121"/>
      <c r="Q120" s="41"/>
    </row>
    <row r="121" spans="2:17" s="38" customFormat="1" ht="9" x14ac:dyDescent="0.15">
      <c r="B121" s="41"/>
      <c r="C121" s="41"/>
      <c r="D121" s="41"/>
      <c r="E121" s="41"/>
      <c r="F121" s="41"/>
      <c r="G121" s="41"/>
      <c r="H121" s="41"/>
      <c r="I121" s="42"/>
      <c r="J121" s="41"/>
      <c r="K121" s="41"/>
      <c r="L121" s="41"/>
      <c r="M121" s="41"/>
      <c r="N121" s="41"/>
      <c r="O121" s="121"/>
      <c r="P121" s="121"/>
      <c r="Q121" s="41"/>
    </row>
  </sheetData>
  <mergeCells count="8">
    <mergeCell ref="A85:Q87"/>
    <mergeCell ref="A80:N80"/>
    <mergeCell ref="A1:Q1"/>
    <mergeCell ref="A2:Q2"/>
    <mergeCell ref="A75:Q75"/>
    <mergeCell ref="A73:O73"/>
    <mergeCell ref="A74:O74"/>
    <mergeCell ref="A82:Q82"/>
  </mergeCells>
  <phoneticPr fontId="9" type="noConversion"/>
  <pageMargins left="0.25" right="0.25" top="0.5" bottom="0.5" header="0.5" footer="0.5"/>
  <pageSetup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45"/>
  <sheetViews>
    <sheetView zoomScaleNormal="100" workbookViewId="0">
      <selection activeCell="H38" sqref="H38"/>
    </sheetView>
  </sheetViews>
  <sheetFormatPr defaultColWidth="9.140625" defaultRowHeight="12.75" x14ac:dyDescent="0.2"/>
  <cols>
    <col min="1" max="2" width="2.42578125" style="62" customWidth="1"/>
    <col min="3" max="3" width="2.140625" style="62" customWidth="1"/>
    <col min="4" max="4" width="1.42578125" style="62" customWidth="1"/>
    <col min="5" max="5" width="2.42578125" style="62" customWidth="1"/>
    <col min="6" max="6" width="40.5703125" style="62" customWidth="1"/>
    <col min="7" max="7" width="12" style="122" customWidth="1"/>
    <col min="8" max="8" width="13" style="122" customWidth="1"/>
    <col min="9" max="9" width="14.42578125" style="122" customWidth="1"/>
    <col min="10" max="10" width="10.5703125" style="122" customWidth="1"/>
    <col min="11" max="11" width="11" style="122" customWidth="1"/>
    <col min="12" max="12" width="14" style="122" customWidth="1"/>
    <col min="13" max="13" width="13" style="123" customWidth="1"/>
    <col min="14" max="14" width="3.85546875" style="124" bestFit="1" customWidth="1"/>
    <col min="15" max="15" width="15.42578125" style="62" customWidth="1"/>
    <col min="16" max="16384" width="9.140625" style="62"/>
  </cols>
  <sheetData>
    <row r="1" spans="1:16" x14ac:dyDescent="0.2">
      <c r="A1" s="690" t="s">
        <v>741</v>
      </c>
      <c r="B1" s="690"/>
      <c r="C1" s="690"/>
      <c r="D1" s="690"/>
      <c r="E1" s="690"/>
      <c r="F1" s="690"/>
      <c r="G1" s="690"/>
      <c r="H1" s="690"/>
      <c r="I1" s="690"/>
      <c r="J1" s="690"/>
      <c r="K1" s="690"/>
      <c r="L1" s="690"/>
      <c r="M1" s="690"/>
      <c r="N1" s="690"/>
    </row>
    <row r="2" spans="1:16" ht="12" customHeight="1" x14ac:dyDescent="0.2">
      <c r="A2" s="690" t="s">
        <v>740</v>
      </c>
      <c r="B2" s="690"/>
      <c r="C2" s="690"/>
      <c r="D2" s="690"/>
      <c r="E2" s="690"/>
      <c r="F2" s="690"/>
      <c r="G2" s="690"/>
      <c r="H2" s="690"/>
      <c r="I2" s="690"/>
      <c r="J2" s="690"/>
      <c r="K2" s="690"/>
      <c r="L2" s="690"/>
      <c r="M2" s="690"/>
      <c r="N2" s="690"/>
    </row>
    <row r="3" spans="1:16" ht="15" customHeight="1" thickBot="1" x14ac:dyDescent="0.25"/>
    <row r="4" spans="1:16" s="84" customFormat="1" ht="51" x14ac:dyDescent="0.2">
      <c r="A4" s="125" t="s">
        <v>280</v>
      </c>
      <c r="B4" s="126"/>
      <c r="C4" s="126"/>
      <c r="D4" s="126"/>
      <c r="E4" s="126"/>
      <c r="F4" s="126"/>
      <c r="G4" s="127" t="s">
        <v>43</v>
      </c>
      <c r="H4" s="127" t="s">
        <v>44</v>
      </c>
      <c r="I4" s="127" t="s">
        <v>45</v>
      </c>
      <c r="J4" s="127" t="s">
        <v>46</v>
      </c>
      <c r="K4" s="127" t="s">
        <v>47</v>
      </c>
      <c r="L4" s="127" t="s">
        <v>48</v>
      </c>
      <c r="M4" s="128" t="s">
        <v>21</v>
      </c>
      <c r="N4" s="129" t="s">
        <v>282</v>
      </c>
      <c r="P4" s="352"/>
    </row>
    <row r="5" spans="1:16" ht="15" customHeight="1" x14ac:dyDescent="0.2">
      <c r="A5" s="146" t="s">
        <v>49</v>
      </c>
      <c r="B5" s="570" t="s">
        <v>627</v>
      </c>
      <c r="C5" s="147"/>
      <c r="D5" s="147"/>
      <c r="E5" s="147"/>
      <c r="F5" s="568"/>
      <c r="G5" s="569">
        <v>10</v>
      </c>
      <c r="H5" s="569">
        <v>0</v>
      </c>
      <c r="I5" s="567">
        <f>G5*H5</f>
        <v>0</v>
      </c>
      <c r="J5" s="150">
        <f>I5</f>
        <v>0</v>
      </c>
      <c r="K5" s="150">
        <f>J5*0.05</f>
        <v>0</v>
      </c>
      <c r="L5" s="150">
        <f>J5*0.1</f>
        <v>0</v>
      </c>
      <c r="M5" s="643">
        <f>(J5*'Agency Base Data'!$C$6)+(K5*'Agency Base Data'!$C$4)+(L5*'Agency Base Data'!$C$5)</f>
        <v>0</v>
      </c>
      <c r="N5" s="152" t="s">
        <v>276</v>
      </c>
      <c r="O5" s="29"/>
      <c r="P5" s="351"/>
    </row>
    <row r="6" spans="1:16" ht="27" customHeight="1" x14ac:dyDescent="0.2">
      <c r="A6" s="153" t="s">
        <v>51</v>
      </c>
      <c r="B6" s="691" t="s">
        <v>52</v>
      </c>
      <c r="C6" s="691"/>
      <c r="D6" s="691"/>
      <c r="E6" s="691"/>
      <c r="F6" s="691"/>
      <c r="G6" s="154">
        <v>2</v>
      </c>
      <c r="H6" s="155">
        <f>SUM('Fac-NewLrgSolid-Avg'!$I$44,'Fac-NewLrgLiquid-Avg'!$I$44,'Fac-NewLrgGas-Avg'!$I$42,'Fac-NewSmlSolid-Avg'!$I$13,'Fac-NewSmlLiquid-Avg'!$I$13,'Fac-NewSmlGas-avg'!$I$13)+H18</f>
        <v>156</v>
      </c>
      <c r="I6" s="155">
        <f>G6*H6</f>
        <v>312</v>
      </c>
      <c r="J6" s="155">
        <f>I6</f>
        <v>312</v>
      </c>
      <c r="K6" s="456">
        <f>J6*0.05</f>
        <v>15.600000000000001</v>
      </c>
      <c r="L6" s="456">
        <f>J6*0.1</f>
        <v>31.200000000000003</v>
      </c>
      <c r="M6" s="644">
        <f>(J6*'Agency Base Data'!$C$6)+(K6*'Agency Base Data'!$C$4)+(L6*'Agency Base Data'!$C$5)</f>
        <v>16823.663999999997</v>
      </c>
      <c r="N6" s="157" t="s">
        <v>108</v>
      </c>
      <c r="O6" s="131"/>
      <c r="P6" s="351"/>
    </row>
    <row r="7" spans="1:16" ht="15" customHeight="1" x14ac:dyDescent="0.2">
      <c r="A7" s="153" t="s">
        <v>53</v>
      </c>
      <c r="B7" s="158" t="s">
        <v>54</v>
      </c>
      <c r="C7" s="159"/>
      <c r="D7" s="160"/>
      <c r="E7" s="160"/>
      <c r="F7" s="161"/>
      <c r="G7" s="154"/>
      <c r="H7" s="154"/>
      <c r="I7" s="155"/>
      <c r="J7" s="155"/>
      <c r="K7" s="155"/>
      <c r="L7" s="155"/>
      <c r="M7" s="644"/>
      <c r="N7" s="157"/>
      <c r="O7" s="130"/>
      <c r="P7" s="351"/>
    </row>
    <row r="8" spans="1:16" ht="15" customHeight="1" x14ac:dyDescent="0.2">
      <c r="A8" s="153"/>
      <c r="B8" s="158" t="s">
        <v>55</v>
      </c>
      <c r="C8" s="299" t="s">
        <v>520</v>
      </c>
      <c r="D8" s="160"/>
      <c r="E8" s="162"/>
      <c r="F8" s="161"/>
      <c r="G8" s="154">
        <v>20</v>
      </c>
      <c r="H8" s="155">
        <f>SUM('Fac-ExistLrgSolid-Avg'!I25,'Fac-ExistLrgLiquid-Avg'!I25,'Fac-ExistLrgGas-Avg'!I24,'Fac-NewLrgSolid-Avg'!I22,'Fac-NewLrgLiquid-Avg'!I22,'Fac-NewLrgGas-Avg'!I21)</f>
        <v>3</v>
      </c>
      <c r="I8" s="155">
        <f t="shared" ref="I8:I13" si="0">G8*H8</f>
        <v>60</v>
      </c>
      <c r="J8" s="155">
        <f t="shared" ref="J8:J14" si="1">I8</f>
        <v>60</v>
      </c>
      <c r="K8" s="155">
        <f t="shared" ref="K8:K14" si="2">J8*0.05</f>
        <v>3</v>
      </c>
      <c r="L8" s="155">
        <f t="shared" ref="L8:L14" si="3">J8*0.1</f>
        <v>6</v>
      </c>
      <c r="M8" s="644">
        <f>(J8*'Agency Base Data'!$C$6)+(K8*'Agency Base Data'!$C$4)+(L8*'Agency Base Data'!$C$5)</f>
        <v>3235.3199999999997</v>
      </c>
      <c r="N8" s="300" t="s">
        <v>405</v>
      </c>
      <c r="O8" s="132"/>
      <c r="P8" s="351"/>
    </row>
    <row r="9" spans="1:16" ht="15" customHeight="1" x14ac:dyDescent="0.2">
      <c r="A9" s="153"/>
      <c r="B9" s="299" t="s">
        <v>57</v>
      </c>
      <c r="C9" s="299" t="s">
        <v>525</v>
      </c>
      <c r="D9" s="160"/>
      <c r="E9" s="162"/>
      <c r="F9" s="161"/>
      <c r="G9" s="154">
        <v>20</v>
      </c>
      <c r="H9" s="155">
        <f>SUM('Fac-NewLrgSolid-Avg'!I22,'Fac-NewLrgLiquid-Avg'!I22,'Fac-NewLrgGas-Avg'!I21)+ROUNDDOWN('Base Data'!B123/2,0)</f>
        <v>418</v>
      </c>
      <c r="I9" s="155">
        <f t="shared" si="0"/>
        <v>8360</v>
      </c>
      <c r="J9" s="155">
        <f t="shared" si="1"/>
        <v>8360</v>
      </c>
      <c r="K9" s="155">
        <f t="shared" si="2"/>
        <v>418</v>
      </c>
      <c r="L9" s="155">
        <f t="shared" si="3"/>
        <v>836</v>
      </c>
      <c r="M9" s="644">
        <f>(J9*'Agency Base Data'!$C$6)+(K9*'Agency Base Data'!$C$4)+(L9*'Agency Base Data'!$C$5)</f>
        <v>450787.92000000004</v>
      </c>
      <c r="N9" s="300" t="s">
        <v>417</v>
      </c>
      <c r="O9" s="132"/>
      <c r="P9" s="351"/>
    </row>
    <row r="10" spans="1:16" ht="15" customHeight="1" x14ac:dyDescent="0.2">
      <c r="A10" s="153"/>
      <c r="B10" s="299" t="s">
        <v>59</v>
      </c>
      <c r="C10" s="158" t="s">
        <v>56</v>
      </c>
      <c r="D10" s="160"/>
      <c r="E10" s="162"/>
      <c r="F10" s="161"/>
      <c r="G10" s="154">
        <v>40</v>
      </c>
      <c r="H10" s="155">
        <f>ROUND(0.2*SUM('Fac-ExistLrgSolid-Avg'!$I$12:$I$15,'Fac-ExistLrgLiquid-Avg'!$I$12:$I$15,'Fac-NewLrgSolid-Avg'!$I$9:$I$12,'Fac-NewLrgLiquid-Avg'!$I$9:$I$12,'Fac-ExistLrgGas-Avg'!$I$12:$I$15,'Fac-NewLrgGas-Avg'!$I$9:$I$12),0)</f>
        <v>21</v>
      </c>
      <c r="I10" s="155">
        <f t="shared" si="0"/>
        <v>840</v>
      </c>
      <c r="J10" s="155">
        <f t="shared" si="1"/>
        <v>840</v>
      </c>
      <c r="K10" s="155">
        <f t="shared" si="2"/>
        <v>42</v>
      </c>
      <c r="L10" s="155">
        <f t="shared" si="3"/>
        <v>84</v>
      </c>
      <c r="M10" s="644">
        <f>(J10*'Agency Base Data'!$C$6)+(K10*'Agency Base Data'!$C$4)+(L10*'Agency Base Data'!$C$5)</f>
        <v>45294.479999999996</v>
      </c>
      <c r="N10" s="157" t="s">
        <v>277</v>
      </c>
      <c r="O10" s="132"/>
      <c r="P10" s="351"/>
    </row>
    <row r="11" spans="1:16" ht="15" customHeight="1" x14ac:dyDescent="0.2">
      <c r="A11" s="153"/>
      <c r="B11" s="299" t="s">
        <v>61</v>
      </c>
      <c r="C11" s="158" t="s">
        <v>58</v>
      </c>
      <c r="D11" s="160"/>
      <c r="E11" s="162"/>
      <c r="F11" s="161"/>
      <c r="G11" s="154">
        <v>40</v>
      </c>
      <c r="H11" s="155">
        <f>ROUND(0.1*SUM('Fac-ExistLrgSolid-Avg'!$I$12:$I$15,'Fac-ExistLrgLiquid-Avg'!$I$12:$I$15,'Fac-NewLrgSolid-Avg'!$I$9:$I$12,'Fac-NewLrgLiquid-Avg'!$I$9:$I$12,'Fac-ExistLrgGas-Avg'!I12:I15,'Fac-NewLrgGas-Avg'!I9:I12,'Fac-ExistLrgSolid-Avg'!$I$20,'Fac-NewLrgSolid-Avg'!$I$17),0)</f>
        <v>117</v>
      </c>
      <c r="I11" s="155">
        <f t="shared" si="0"/>
        <v>4680</v>
      </c>
      <c r="J11" s="155">
        <f t="shared" si="1"/>
        <v>4680</v>
      </c>
      <c r="K11" s="155">
        <f t="shared" si="2"/>
        <v>234</v>
      </c>
      <c r="L11" s="155">
        <f t="shared" si="3"/>
        <v>468</v>
      </c>
      <c r="M11" s="644">
        <f>(J11*'Agency Base Data'!$C$6)+(K11*'Agency Base Data'!$C$4)+(L11*'Agency Base Data'!$C$5)</f>
        <v>252354.96000000002</v>
      </c>
      <c r="N11" s="157" t="s">
        <v>209</v>
      </c>
      <c r="O11" s="133"/>
      <c r="P11" s="351"/>
    </row>
    <row r="12" spans="1:16" ht="15" customHeight="1" x14ac:dyDescent="0.2">
      <c r="A12" s="153"/>
      <c r="B12" s="299" t="s">
        <v>528</v>
      </c>
      <c r="C12" s="158" t="s">
        <v>60</v>
      </c>
      <c r="D12" s="160"/>
      <c r="E12" s="162"/>
      <c r="F12" s="161"/>
      <c r="G12" s="154">
        <v>2</v>
      </c>
      <c r="H12" s="155">
        <f>ROUND(SUM('Fac-ExistLrgSolid-Avg'!$I$12:$I$15,'Fac-ExistLrgLiquid-Avg'!$I$12:$I$15,'Fac-NewLrgSolid-Avg'!$I$9:$I$12,'Fac-NewLrgLiquid-Avg'!$I$9:$I$12,'Fac-ExistLrgGas-Avg'!I12:I15,'Fac-NewLrgGas-Avg'!I9:I12),0)</f>
        <v>104</v>
      </c>
      <c r="I12" s="155">
        <f t="shared" si="0"/>
        <v>208</v>
      </c>
      <c r="J12" s="155">
        <f t="shared" si="1"/>
        <v>208</v>
      </c>
      <c r="K12" s="456">
        <f t="shared" si="2"/>
        <v>10.4</v>
      </c>
      <c r="L12" s="456">
        <f t="shared" si="3"/>
        <v>20.8</v>
      </c>
      <c r="M12" s="644">
        <f>(J12*'Agency Base Data'!$C$6)+(K12*'Agency Base Data'!$C$4)+(L12*'Agency Base Data'!$C$5)</f>
        <v>11215.776</v>
      </c>
      <c r="N12" s="157" t="s">
        <v>278</v>
      </c>
      <c r="O12" s="131"/>
      <c r="P12" s="351"/>
    </row>
    <row r="13" spans="1:16" ht="15" customHeight="1" x14ac:dyDescent="0.2">
      <c r="A13" s="153"/>
      <c r="B13" s="299" t="s">
        <v>529</v>
      </c>
      <c r="C13" s="158" t="s">
        <v>62</v>
      </c>
      <c r="D13" s="160"/>
      <c r="E13" s="162"/>
      <c r="F13" s="161"/>
      <c r="G13" s="154">
        <v>2</v>
      </c>
      <c r="H13" s="155">
        <f>SUM('Fac-ExistLrgSolid-Avg'!I61,'Fac-ExistLrgLiquid-Avg'!I61,'Fac-NewLrgSolid-Avg'!I55,'Fac-NewLrgLiquid-Avg'!I54,'Fac-ExistLrgGas-Avg'!I58,'Fac-NewLrgGas-Avg'!I54)</f>
        <v>1714</v>
      </c>
      <c r="I13" s="155">
        <f t="shared" si="0"/>
        <v>3428</v>
      </c>
      <c r="J13" s="155">
        <f t="shared" si="1"/>
        <v>3428</v>
      </c>
      <c r="K13" s="456">
        <f t="shared" si="2"/>
        <v>171.4</v>
      </c>
      <c r="L13" s="456">
        <f t="shared" si="3"/>
        <v>342.8</v>
      </c>
      <c r="M13" s="644">
        <f>(J13*'Agency Base Data'!$C$6)+(K13*'Agency Base Data'!$C$4)+(L13*'Agency Base Data'!$C$5)</f>
        <v>184844.61599999998</v>
      </c>
      <c r="N13" s="157" t="s">
        <v>210</v>
      </c>
      <c r="O13" s="130"/>
      <c r="P13" s="351"/>
    </row>
    <row r="14" spans="1:16" ht="15" customHeight="1" x14ac:dyDescent="0.2">
      <c r="A14" s="153" t="s">
        <v>63</v>
      </c>
      <c r="B14" s="158" t="s">
        <v>64</v>
      </c>
      <c r="C14" s="158"/>
      <c r="D14" s="160"/>
      <c r="E14" s="162"/>
      <c r="F14" s="161"/>
      <c r="G14" s="154">
        <v>24</v>
      </c>
      <c r="H14" s="155">
        <f>ROUND(0.1*SUM('Fac-ExistLrgSolid-Avg'!$I$12:$I$15,'Fac-ExistLrgLiquid-Avg'!$I$12:$I$15,'Fac-NewLrgSolid-Avg'!$I$9:$I$12,'Fac-NewLrgLiquid-Avg'!$I$9:$I$12,'Fac-ExistLrgGas-Avg'!I12:I15,'Fac-NewLrgGas-Avg'!I9:I12),0)</f>
        <v>10</v>
      </c>
      <c r="I14" s="155">
        <v>0</v>
      </c>
      <c r="J14" s="155">
        <f t="shared" si="1"/>
        <v>0</v>
      </c>
      <c r="K14" s="155">
        <f t="shared" si="2"/>
        <v>0</v>
      </c>
      <c r="L14" s="155">
        <f t="shared" si="3"/>
        <v>0</v>
      </c>
      <c r="M14" s="156">
        <f>(J14*'Agency Base Data'!$C$6)+(K14*'Agency Base Data'!$C$4)+(L14*'Agency Base Data'!$C$5)</f>
        <v>0</v>
      </c>
      <c r="N14" s="157" t="s">
        <v>65</v>
      </c>
      <c r="O14" s="130"/>
      <c r="P14" s="351"/>
    </row>
    <row r="15" spans="1:16" ht="15.75" customHeight="1" x14ac:dyDescent="0.2">
      <c r="A15" s="153" t="s">
        <v>66</v>
      </c>
      <c r="B15" s="158" t="s">
        <v>67</v>
      </c>
      <c r="C15" s="159"/>
      <c r="D15" s="163"/>
      <c r="E15" s="162"/>
      <c r="F15" s="161"/>
      <c r="G15" s="154"/>
      <c r="H15" s="155"/>
      <c r="I15" s="155"/>
      <c r="J15" s="155"/>
      <c r="K15" s="155"/>
      <c r="L15" s="155"/>
      <c r="M15" s="644"/>
      <c r="N15" s="157"/>
      <c r="O15" s="130"/>
      <c r="P15" s="351"/>
    </row>
    <row r="16" spans="1:16" ht="27" customHeight="1" x14ac:dyDescent="0.2">
      <c r="A16" s="153"/>
      <c r="B16" s="158" t="s">
        <v>55</v>
      </c>
      <c r="C16" s="691" t="s">
        <v>68</v>
      </c>
      <c r="D16" s="691"/>
      <c r="E16" s="691"/>
      <c r="F16" s="691"/>
      <c r="G16" s="154">
        <v>2</v>
      </c>
      <c r="H16" s="155">
        <f>SUM('Fac-ExistLrgSolid-Avg'!$I$50,'Fac-ExistLrgLiquid-Avg'!$I$50,'Fac-ExistLrgGas-Avg'!$I$45,'Fac-NewLrgSolid-Avg'!$I$44,'Fac-NewLrgLiquid-Avg'!$I$44,'Fac-NewLrgGas-Avg'!$I$42,'Fac - ExistSmlSolid-Avg'!$I$16,'Fac - ExistSmlLiquid-Avg'!$I$16,'Fac - ExistSmlGas-Avg'!$I$16,'Fac-NewSmlSolid-Avg'!$I$13,'Fac-NewSmlLiquid-Avg'!$I$13,'Fac-NewSmlGas-avg'!$I$13)</f>
        <v>78</v>
      </c>
      <c r="I16" s="155">
        <f t="shared" ref="I16:I23" si="4">G16*H16</f>
        <v>156</v>
      </c>
      <c r="J16" s="155">
        <f t="shared" ref="J16:J23" si="5">I16</f>
        <v>156</v>
      </c>
      <c r="K16" s="456">
        <f t="shared" ref="K16:K23" si="6">J16*0.05</f>
        <v>7.8000000000000007</v>
      </c>
      <c r="L16" s="456">
        <f t="shared" ref="L16:L23" si="7">J16*0.1</f>
        <v>15.600000000000001</v>
      </c>
      <c r="M16" s="644">
        <f>(J16*'Agency Base Data'!$C$6)+(K16*'Agency Base Data'!$C$4)+(L16*'Agency Base Data'!$C$5)</f>
        <v>8411.8319999999985</v>
      </c>
      <c r="N16" s="157" t="s">
        <v>108</v>
      </c>
      <c r="O16" s="130"/>
      <c r="P16" s="351"/>
    </row>
    <row r="17" spans="1:16" ht="27" customHeight="1" x14ac:dyDescent="0.2">
      <c r="A17" s="153"/>
      <c r="B17" s="158" t="s">
        <v>57</v>
      </c>
      <c r="C17" s="691" t="s">
        <v>69</v>
      </c>
      <c r="D17" s="691"/>
      <c r="E17" s="691"/>
      <c r="F17" s="691"/>
      <c r="G17" s="154">
        <v>20</v>
      </c>
      <c r="H17" s="155">
        <f>ROUND(SUM('Fac-ExistLrgSolid-Avg'!$I$12:$I$15,'Fac-ExistLrgLiquid-Avg'!$I$12:$I$15,'Fac-NewLrgSolid-Avg'!$I$9:$I$12,'Fac-NewLrgLiquid-Avg'!$I$9:$I$12,'Fac-ExistLrgGas-Avg'!I12:I15,'Fac-NewLrgGas-Avg'!I9:I12),0)</f>
        <v>104</v>
      </c>
      <c r="I17" s="155">
        <f t="shared" si="4"/>
        <v>2080</v>
      </c>
      <c r="J17" s="155">
        <f t="shared" si="5"/>
        <v>2080</v>
      </c>
      <c r="K17" s="155">
        <f t="shared" si="6"/>
        <v>104</v>
      </c>
      <c r="L17" s="155">
        <f t="shared" si="7"/>
        <v>208</v>
      </c>
      <c r="M17" s="644">
        <f>(J17*'Agency Base Data'!$C$6)+(K17*'Agency Base Data'!$C$4)+(L17*'Agency Base Data'!$C$5)</f>
        <v>112157.75999999999</v>
      </c>
      <c r="N17" s="157" t="s">
        <v>278</v>
      </c>
      <c r="O17" s="130"/>
      <c r="P17" s="351"/>
    </row>
    <row r="18" spans="1:16" ht="15" customHeight="1" x14ac:dyDescent="0.2">
      <c r="A18" s="153"/>
      <c r="B18" s="158" t="s">
        <v>59</v>
      </c>
      <c r="C18" s="158" t="s">
        <v>70</v>
      </c>
      <c r="D18" s="162"/>
      <c r="E18" s="162"/>
      <c r="F18" s="161"/>
      <c r="G18" s="154">
        <v>2</v>
      </c>
      <c r="H18" s="155">
        <f>SUM('Fac-NewLrgSolid-Avg'!$I$45,'Fac-NewLrgLiquid-Avg'!$I$45,'Fac-NewLrgGas-Avg'!$I$43,'Fac-NewSmlSolid-Avg'!$I$14,'Fac-NewSmlLiquid-Avg'!$I$14,'Fac-NewSmlGas-avg'!$I$14)</f>
        <v>78</v>
      </c>
      <c r="I18" s="155">
        <f t="shared" si="4"/>
        <v>156</v>
      </c>
      <c r="J18" s="155">
        <f t="shared" si="5"/>
        <v>156</v>
      </c>
      <c r="K18" s="456">
        <f t="shared" si="6"/>
        <v>7.8000000000000007</v>
      </c>
      <c r="L18" s="456">
        <f t="shared" si="7"/>
        <v>15.600000000000001</v>
      </c>
      <c r="M18" s="644">
        <f>(J18*'Agency Base Data'!$C$6)+(K18*'Agency Base Data'!$C$4)+(L18*'Agency Base Data'!$C$5)</f>
        <v>8411.8319999999985</v>
      </c>
      <c r="N18" s="157" t="s">
        <v>108</v>
      </c>
      <c r="O18" s="130"/>
      <c r="P18" s="351"/>
    </row>
    <row r="19" spans="1:16" ht="15" customHeight="1" x14ac:dyDescent="0.2">
      <c r="A19" s="153" t="s">
        <v>71</v>
      </c>
      <c r="B19" s="158" t="s">
        <v>72</v>
      </c>
      <c r="C19" s="158"/>
      <c r="D19" s="160"/>
      <c r="E19" s="162"/>
      <c r="F19" s="161"/>
      <c r="G19" s="154"/>
      <c r="H19" s="155"/>
      <c r="I19" s="155">
        <f t="shared" si="4"/>
        <v>0</v>
      </c>
      <c r="J19" s="155">
        <f t="shared" si="5"/>
        <v>0</v>
      </c>
      <c r="K19" s="155">
        <f t="shared" si="6"/>
        <v>0</v>
      </c>
      <c r="L19" s="155">
        <f t="shared" si="7"/>
        <v>0</v>
      </c>
      <c r="M19" s="644">
        <f>(J19*'Agency Base Data'!$C$6)+(K19*'Agency Base Data'!$C$4)+(L19*'Agency Base Data'!$C$5)</f>
        <v>0</v>
      </c>
      <c r="N19" s="157"/>
      <c r="O19" s="130"/>
      <c r="P19" s="351"/>
    </row>
    <row r="20" spans="1:16" ht="15" customHeight="1" x14ac:dyDescent="0.2">
      <c r="A20" s="153"/>
      <c r="B20" s="158" t="s">
        <v>55</v>
      </c>
      <c r="C20" s="158" t="s">
        <v>73</v>
      </c>
      <c r="D20" s="158"/>
      <c r="E20" s="162"/>
      <c r="F20" s="161"/>
      <c r="G20" s="154">
        <v>4</v>
      </c>
      <c r="H20" s="155">
        <f>2*SUM('Fac-ExistLrgSolid-Avg'!$I$53,'Fac-ExistLrgLiquid-Avg'!$I$53,,'Fac-NewLrgSolid-Avg'!$I$46,'Fac-NewLrgLiquid-Avg'!$I$46,'Fac-ExistLrgGas-Avg'!$I$49,'Fac-NewLrgGas-Avg'!$I$45)</f>
        <v>398</v>
      </c>
      <c r="I20" s="155">
        <f t="shared" si="4"/>
        <v>1592</v>
      </c>
      <c r="J20" s="155">
        <f t="shared" si="5"/>
        <v>1592</v>
      </c>
      <c r="K20" s="456">
        <f t="shared" si="6"/>
        <v>79.600000000000009</v>
      </c>
      <c r="L20" s="456">
        <f t="shared" si="7"/>
        <v>159.20000000000002</v>
      </c>
      <c r="M20" s="644">
        <f>(J20*'Agency Base Data'!$C$6)+(K20*'Agency Base Data'!$C$4)+(L20*'Agency Base Data'!$C$5)</f>
        <v>85843.824000000008</v>
      </c>
      <c r="N20" s="157" t="s">
        <v>74</v>
      </c>
      <c r="P20" s="351"/>
    </row>
    <row r="21" spans="1:16" ht="12" customHeight="1" x14ac:dyDescent="0.2">
      <c r="A21" s="153"/>
      <c r="B21" s="158" t="s">
        <v>57</v>
      </c>
      <c r="C21" s="158" t="s">
        <v>11</v>
      </c>
      <c r="D21" s="158"/>
      <c r="E21" s="162"/>
      <c r="F21" s="161"/>
      <c r="G21" s="154">
        <v>2</v>
      </c>
      <c r="H21" s="155">
        <f>SUM('Fac-ExistLrgGas-Avg'!$I$48,'Fac-NewLrgGas-Avg'!$I$45)</f>
        <v>660</v>
      </c>
      <c r="I21" s="155">
        <f t="shared" si="4"/>
        <v>1320</v>
      </c>
      <c r="J21" s="155">
        <f t="shared" si="5"/>
        <v>1320</v>
      </c>
      <c r="K21" s="456">
        <f t="shared" si="6"/>
        <v>66</v>
      </c>
      <c r="L21" s="456">
        <f t="shared" si="7"/>
        <v>132</v>
      </c>
      <c r="M21" s="644">
        <f>(J21*'Agency Base Data'!$C$6)+(K21*'Agency Base Data'!$C$4)+(L21*'Agency Base Data'!$C$5)</f>
        <v>71177.039999999994</v>
      </c>
      <c r="N21" s="157" t="s">
        <v>80</v>
      </c>
      <c r="P21" s="351"/>
    </row>
    <row r="22" spans="1:16" ht="15" customHeight="1" x14ac:dyDescent="0.2">
      <c r="A22" s="153"/>
      <c r="B22" s="158" t="s">
        <v>59</v>
      </c>
      <c r="C22" s="158" t="s">
        <v>12</v>
      </c>
      <c r="D22" s="158"/>
      <c r="E22" s="162"/>
      <c r="F22" s="161"/>
      <c r="G22" s="154">
        <v>1</v>
      </c>
      <c r="H22" s="155">
        <f>0.5*SUM('Fac - ExistSmlSolid-Avg'!$I$18,'Fac - ExistSmlLiquid-Avg'!$I$18,'Fac - ExistSmlGas-Avg'!$I$18,'Fac-NewSmlGas-avg'!$I$15,'Fac-NewSmlLiquid-Avg'!$I$15,'Fac-NewSmlSolid-Avg'!$I$15)</f>
        <v>559.5</v>
      </c>
      <c r="I22" s="155">
        <f t="shared" si="4"/>
        <v>559.5</v>
      </c>
      <c r="J22" s="155">
        <f t="shared" si="5"/>
        <v>559.5</v>
      </c>
      <c r="K22" s="155">
        <f t="shared" si="6"/>
        <v>27.975000000000001</v>
      </c>
      <c r="L22" s="155">
        <f t="shared" si="7"/>
        <v>55.95</v>
      </c>
      <c r="M22" s="644">
        <f>(J22*'Agency Base Data'!$C$6)+(K22*'Agency Base Data'!$C$4)+(L22*'Agency Base Data'!$C$5)</f>
        <v>30169.358999999997</v>
      </c>
      <c r="N22" s="157" t="s">
        <v>13</v>
      </c>
      <c r="P22" s="351"/>
    </row>
    <row r="23" spans="1:16" ht="15" customHeight="1" x14ac:dyDescent="0.2">
      <c r="A23" s="153"/>
      <c r="B23" s="158" t="s">
        <v>75</v>
      </c>
      <c r="C23" s="158" t="s">
        <v>76</v>
      </c>
      <c r="D23" s="158"/>
      <c r="E23" s="162"/>
      <c r="F23" s="164"/>
      <c r="G23" s="154">
        <v>2</v>
      </c>
      <c r="H23" s="155">
        <f>SUM('Fac-ExistLrgSolid-Avg'!$I$52,'Fac-ExistLrgLiquid-Avg'!$I$52,'Fac-ExistLrgGas-Avg'!$I$47,'Fac - ExistSmlSolid-Avg'!$I$19,'Fac - ExistSmlLiquid-Avg'!$I$19,'Fac - ExistSmlGas-Avg'!$I$19)</f>
        <v>0</v>
      </c>
      <c r="I23" s="155">
        <f t="shared" si="4"/>
        <v>0</v>
      </c>
      <c r="J23" s="155">
        <f t="shared" si="5"/>
        <v>0</v>
      </c>
      <c r="K23" s="155">
        <f t="shared" si="6"/>
        <v>0</v>
      </c>
      <c r="L23" s="155">
        <f t="shared" si="7"/>
        <v>0</v>
      </c>
      <c r="M23" s="156">
        <f>(J23*'Agency Base Data'!$C$6)+(K23*'Agency Base Data'!$C$4)+(L23*'Agency Base Data'!$C$5)</f>
        <v>0</v>
      </c>
      <c r="N23" s="157" t="s">
        <v>14</v>
      </c>
      <c r="P23" s="351"/>
    </row>
    <row r="24" spans="1:16" ht="27.75" customHeight="1" thickBot="1" x14ac:dyDescent="0.25">
      <c r="A24" s="165" t="s">
        <v>77</v>
      </c>
      <c r="B24" s="166" t="s">
        <v>78</v>
      </c>
      <c r="C24" s="167"/>
      <c r="D24" s="168"/>
      <c r="E24" s="168"/>
      <c r="F24" s="169"/>
      <c r="G24" s="687" t="s">
        <v>696</v>
      </c>
      <c r="H24" s="688"/>
      <c r="I24" s="688"/>
      <c r="J24" s="689"/>
      <c r="K24" s="170"/>
      <c r="L24" s="171"/>
      <c r="M24" s="172">
        <f>(('Agency Base Data'!$C$14*('Agency Base Data'!$C$11+'Agency Base Data'!$C$12))+'Agency Base Data'!$C$13)*SUM(H10:H11)</f>
        <v>204516</v>
      </c>
      <c r="N24" s="173" t="s">
        <v>15</v>
      </c>
    </row>
    <row r="25" spans="1:16" ht="18.75" customHeight="1" thickBot="1" x14ac:dyDescent="0.25">
      <c r="A25" s="645" t="s">
        <v>766</v>
      </c>
      <c r="B25" s="646"/>
      <c r="C25" s="647"/>
      <c r="D25" s="646"/>
      <c r="E25" s="648"/>
      <c r="F25" s="649"/>
      <c r="G25" s="650"/>
      <c r="H25" s="650"/>
      <c r="I25" s="650"/>
      <c r="J25" s="692">
        <f>ROUND((SUM(J5:J23))+(SUM(K5:K23))+(SUM(L5:L23)),-2)</f>
        <v>27300</v>
      </c>
      <c r="K25" s="693"/>
      <c r="L25" s="694"/>
      <c r="M25" s="651">
        <f>ROUND(SUM(M5:M24),-4)</f>
        <v>1490000</v>
      </c>
      <c r="N25" s="652" t="s">
        <v>544</v>
      </c>
    </row>
    <row r="26" spans="1:16" ht="6.75" customHeight="1" x14ac:dyDescent="0.2">
      <c r="G26" s="62"/>
      <c r="H26" s="62"/>
      <c r="I26" s="62"/>
    </row>
    <row r="27" spans="1:16" s="77" customFormat="1" ht="23.25" customHeight="1" x14ac:dyDescent="0.2">
      <c r="A27" s="686" t="s">
        <v>789</v>
      </c>
      <c r="B27" s="686"/>
      <c r="C27" s="686"/>
      <c r="D27" s="686"/>
      <c r="E27" s="686"/>
      <c r="F27" s="686"/>
      <c r="G27" s="686"/>
      <c r="H27" s="686"/>
      <c r="I27" s="686"/>
      <c r="J27" s="686"/>
      <c r="K27" s="686"/>
      <c r="L27" s="686"/>
      <c r="M27" s="686"/>
      <c r="N27" s="686"/>
    </row>
    <row r="28" spans="1:16" s="77" customFormat="1" ht="20.45" customHeight="1" x14ac:dyDescent="0.2">
      <c r="A28" s="686" t="s">
        <v>738</v>
      </c>
      <c r="B28" s="686"/>
      <c r="C28" s="686"/>
      <c r="D28" s="686"/>
      <c r="E28" s="686"/>
      <c r="F28" s="686"/>
      <c r="G28" s="686"/>
      <c r="H28" s="686"/>
      <c r="I28" s="686"/>
      <c r="J28" s="686"/>
      <c r="K28" s="686"/>
      <c r="L28" s="686"/>
      <c r="M28" s="686"/>
      <c r="N28" s="686"/>
    </row>
    <row r="29" spans="1:16" s="77" customFormat="1" ht="11.25" x14ac:dyDescent="0.2">
      <c r="A29" s="686" t="s">
        <v>367</v>
      </c>
      <c r="B29" s="686"/>
      <c r="C29" s="686"/>
      <c r="D29" s="686"/>
      <c r="E29" s="686"/>
      <c r="F29" s="686"/>
      <c r="G29" s="686"/>
      <c r="H29" s="686"/>
      <c r="I29" s="686"/>
      <c r="J29" s="686"/>
      <c r="K29" s="686"/>
      <c r="L29" s="686"/>
      <c r="M29" s="686"/>
      <c r="N29" s="686"/>
    </row>
    <row r="30" spans="1:16" s="77" customFormat="1" ht="23.25" customHeight="1" x14ac:dyDescent="0.2">
      <c r="A30" s="686" t="s">
        <v>392</v>
      </c>
      <c r="B30" s="686"/>
      <c r="C30" s="686"/>
      <c r="D30" s="686"/>
      <c r="E30" s="686"/>
      <c r="F30" s="686"/>
      <c r="G30" s="686"/>
      <c r="H30" s="686"/>
      <c r="I30" s="686"/>
      <c r="J30" s="686"/>
      <c r="K30" s="686"/>
      <c r="L30" s="686"/>
      <c r="M30" s="686"/>
      <c r="N30" s="686"/>
    </row>
    <row r="31" spans="1:16" s="77" customFormat="1" ht="12.75" customHeight="1" x14ac:dyDescent="0.2">
      <c r="A31" s="686" t="s">
        <v>368</v>
      </c>
      <c r="B31" s="686"/>
      <c r="C31" s="686"/>
      <c r="D31" s="686"/>
      <c r="E31" s="686"/>
      <c r="F31" s="686"/>
      <c r="G31" s="686"/>
      <c r="H31" s="686"/>
      <c r="I31" s="686"/>
      <c r="J31" s="686"/>
      <c r="K31" s="686"/>
      <c r="L31" s="686"/>
      <c r="M31" s="686"/>
      <c r="N31" s="686"/>
    </row>
    <row r="32" spans="1:16" s="77" customFormat="1" ht="11.25" x14ac:dyDescent="0.2">
      <c r="A32" s="77" t="s">
        <v>739</v>
      </c>
      <c r="J32" s="78"/>
      <c r="K32" s="78"/>
      <c r="L32" s="78"/>
      <c r="M32" s="79"/>
      <c r="N32" s="39"/>
      <c r="P32" s="276"/>
    </row>
    <row r="33" spans="1:15" s="77" customFormat="1" ht="11.25" x14ac:dyDescent="0.2">
      <c r="A33" s="77" t="s">
        <v>369</v>
      </c>
      <c r="J33" s="78"/>
      <c r="K33" s="78"/>
      <c r="L33" s="78"/>
      <c r="M33" s="79"/>
      <c r="N33" s="39"/>
    </row>
    <row r="34" spans="1:15" x14ac:dyDescent="0.2">
      <c r="A34" s="686" t="s">
        <v>370</v>
      </c>
      <c r="B34" s="686"/>
      <c r="C34" s="686"/>
      <c r="D34" s="686"/>
      <c r="E34" s="686"/>
      <c r="F34" s="686"/>
      <c r="G34" s="686"/>
      <c r="H34" s="686"/>
      <c r="I34" s="686"/>
      <c r="J34" s="686"/>
      <c r="K34" s="686"/>
      <c r="L34" s="686"/>
      <c r="M34" s="686"/>
      <c r="N34" s="686"/>
    </row>
    <row r="35" spans="1:15" x14ac:dyDescent="0.2">
      <c r="A35" s="77" t="s">
        <v>371</v>
      </c>
      <c r="G35" s="62"/>
      <c r="H35" s="62"/>
      <c r="I35" s="62"/>
    </row>
    <row r="36" spans="1:15" ht="14.25" customHeight="1" x14ac:dyDescent="0.2">
      <c r="A36" s="77" t="s">
        <v>372</v>
      </c>
      <c r="G36" s="62"/>
      <c r="H36" s="62"/>
      <c r="I36" s="62"/>
    </row>
    <row r="37" spans="1:15" ht="25.5" customHeight="1" x14ac:dyDescent="0.2">
      <c r="A37" s="686" t="s">
        <v>18</v>
      </c>
      <c r="B37" s="686"/>
      <c r="C37" s="686"/>
      <c r="D37" s="686"/>
      <c r="E37" s="686"/>
      <c r="F37" s="686"/>
      <c r="G37" s="686"/>
      <c r="H37" s="686"/>
      <c r="I37" s="686"/>
      <c r="J37" s="686"/>
      <c r="K37" s="686"/>
      <c r="L37" s="686"/>
      <c r="M37" s="686"/>
      <c r="N37" s="686"/>
    </row>
    <row r="38" spans="1:15" x14ac:dyDescent="0.2">
      <c r="A38" s="83" t="s">
        <v>17</v>
      </c>
    </row>
    <row r="39" spans="1:15" ht="27" customHeight="1" x14ac:dyDescent="0.2">
      <c r="A39" s="686" t="s">
        <v>697</v>
      </c>
      <c r="B39" s="686"/>
      <c r="C39" s="686"/>
      <c r="D39" s="686"/>
      <c r="E39" s="686"/>
      <c r="F39" s="686"/>
      <c r="G39" s="686"/>
      <c r="H39" s="686"/>
      <c r="I39" s="686"/>
      <c r="J39" s="686"/>
      <c r="K39" s="686"/>
      <c r="L39" s="686"/>
      <c r="M39" s="686"/>
      <c r="N39" s="686"/>
    </row>
    <row r="40" spans="1:15" x14ac:dyDescent="0.2">
      <c r="A40" s="83" t="s">
        <v>767</v>
      </c>
      <c r="O40" s="224"/>
    </row>
    <row r="41" spans="1:15" x14ac:dyDescent="0.2">
      <c r="A41" s="83" t="s">
        <v>527</v>
      </c>
      <c r="H41" s="80"/>
      <c r="I41" s="134"/>
      <c r="J41" s="123"/>
      <c r="L41" s="135"/>
    </row>
    <row r="42" spans="1:15" x14ac:dyDescent="0.2">
      <c r="A42" s="83" t="s">
        <v>765</v>
      </c>
      <c r="I42" s="123"/>
      <c r="J42" s="123"/>
    </row>
    <row r="43" spans="1:15" x14ac:dyDescent="0.2">
      <c r="I43" s="134"/>
      <c r="J43" s="123"/>
    </row>
    <row r="44" spans="1:15" x14ac:dyDescent="0.2">
      <c r="I44" s="123"/>
    </row>
    <row r="45" spans="1:15" x14ac:dyDescent="0.2">
      <c r="J45" s="123"/>
    </row>
  </sheetData>
  <mergeCells count="15">
    <mergeCell ref="A37:N37"/>
    <mergeCell ref="A39:N39"/>
    <mergeCell ref="A34:N34"/>
    <mergeCell ref="G24:J24"/>
    <mergeCell ref="A1:N1"/>
    <mergeCell ref="A2:N2"/>
    <mergeCell ref="A28:N28"/>
    <mergeCell ref="A31:N31"/>
    <mergeCell ref="B6:F6"/>
    <mergeCell ref="C17:F17"/>
    <mergeCell ref="C16:F16"/>
    <mergeCell ref="A29:N29"/>
    <mergeCell ref="J25:L25"/>
    <mergeCell ref="A27:N27"/>
    <mergeCell ref="A30:N30"/>
  </mergeCells>
  <phoneticPr fontId="9" type="noConversion"/>
  <printOptions horizontalCentered="1"/>
  <pageMargins left="0.5" right="0.5" top="0.5" bottom="0.5" header="0.5" footer="0.5"/>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1"/>
  <sheetViews>
    <sheetView workbookViewId="0">
      <selection activeCell="D7" sqref="D7"/>
    </sheetView>
  </sheetViews>
  <sheetFormatPr defaultRowHeight="12.75" x14ac:dyDescent="0.2"/>
  <cols>
    <col min="1" max="1" width="26.5703125" customWidth="1"/>
    <col min="2" max="2" width="11.28515625" customWidth="1"/>
    <col min="3" max="3" width="10" customWidth="1"/>
    <col min="4" max="4" width="12.140625" customWidth="1"/>
    <col min="5" max="5" width="9" customWidth="1"/>
    <col min="6" max="6" width="10.85546875" customWidth="1"/>
    <col min="7" max="7" width="7.85546875" customWidth="1"/>
    <col min="8" max="8" width="11.7109375" customWidth="1"/>
    <col min="9" max="9" width="7.42578125" customWidth="1"/>
    <col min="10" max="10" width="13.85546875" customWidth="1"/>
    <col min="11" max="11" width="9" customWidth="1"/>
  </cols>
  <sheetData>
    <row r="1" spans="1:14" ht="13.5" thickBot="1" x14ac:dyDescent="0.25">
      <c r="A1" s="695" t="s">
        <v>786</v>
      </c>
      <c r="B1" s="695"/>
      <c r="C1" s="695"/>
      <c r="D1" s="695"/>
      <c r="E1" s="695"/>
      <c r="F1" s="695"/>
      <c r="G1" s="695"/>
      <c r="H1" s="695"/>
      <c r="I1" s="695"/>
      <c r="J1" s="695"/>
      <c r="K1" s="695"/>
      <c r="L1" s="663"/>
      <c r="M1" s="663"/>
      <c r="N1" s="663"/>
    </row>
    <row r="2" spans="1:14" ht="14.25" thickBot="1" x14ac:dyDescent="0.25">
      <c r="A2" s="638"/>
      <c r="B2" s="639"/>
      <c r="C2" s="639"/>
      <c r="D2" s="639"/>
      <c r="E2" s="640"/>
      <c r="F2" s="675" t="s">
        <v>692</v>
      </c>
      <c r="G2" s="677"/>
      <c r="H2" s="675" t="s">
        <v>693</v>
      </c>
      <c r="I2" s="677"/>
      <c r="J2" s="675" t="s">
        <v>694</v>
      </c>
      <c r="K2" s="677"/>
    </row>
    <row r="3" spans="1:14" ht="50.1" customHeight="1" thickBot="1" x14ac:dyDescent="0.25">
      <c r="A3" s="623" t="s">
        <v>673</v>
      </c>
      <c r="B3" s="624" t="s">
        <v>760</v>
      </c>
      <c r="C3" s="624" t="s">
        <v>759</v>
      </c>
      <c r="D3" s="624" t="s">
        <v>761</v>
      </c>
      <c r="E3" s="626" t="s">
        <v>762</v>
      </c>
      <c r="F3" s="623" t="s">
        <v>764</v>
      </c>
      <c r="G3" s="625" t="s">
        <v>763</v>
      </c>
      <c r="H3" s="623" t="s">
        <v>764</v>
      </c>
      <c r="I3" s="625" t="s">
        <v>763</v>
      </c>
      <c r="J3" s="623" t="s">
        <v>764</v>
      </c>
      <c r="K3" s="625" t="s">
        <v>763</v>
      </c>
    </row>
    <row r="4" spans="1:14" x14ac:dyDescent="0.2">
      <c r="A4" s="613" t="s">
        <v>753</v>
      </c>
      <c r="B4" s="620">
        <f>SUM('Base Data'!$H$18:$H$20,'Base Data'!$H$23:$H$25)</f>
        <v>118</v>
      </c>
      <c r="C4" s="616">
        <f>SUM('Base Data'!$D$18:$D$20,'Base Data'!$D$23:$D$25)</f>
        <v>1014</v>
      </c>
      <c r="D4" s="616">
        <f>ROUND(SUM('Base Data'!$H$63:$H$65)/3,0)</f>
        <v>3</v>
      </c>
      <c r="E4" s="627">
        <f>ROUND(SUM('Base Data'!$D$63:$D$65)/3,0)</f>
        <v>26</v>
      </c>
      <c r="F4" s="630">
        <f>SUM('Base Data'!$H$18:$H$20,'Base Data'!$H$23:$H$25)+(SUM('Base Data'!$H$63:$H$65)/3)</f>
        <v>121.33333333333333</v>
      </c>
      <c r="G4" s="631">
        <f>C4+E4</f>
        <v>1040</v>
      </c>
      <c r="H4" s="635">
        <f>F4+(SUM('Base Data'!$H$63:$H$65)/3)</f>
        <v>124.66666666666666</v>
      </c>
      <c r="I4" s="631">
        <f>E4+G4</f>
        <v>1066</v>
      </c>
      <c r="J4" s="635">
        <f>H4+(SUM('Base Data'!$H$63:$H$65)/3)</f>
        <v>127.99999999999999</v>
      </c>
      <c r="K4" s="631">
        <f>E4+I4</f>
        <v>1092</v>
      </c>
    </row>
    <row r="5" spans="1:14" ht="28.5" x14ac:dyDescent="0.2">
      <c r="A5" s="614" t="s">
        <v>784</v>
      </c>
      <c r="B5" s="621">
        <f>SUM('Base Data'!$H$16:$H$17,'Base Data'!$H$21:$H$22)</f>
        <v>5</v>
      </c>
      <c r="C5" s="546">
        <f>SUM('Base Data'!$D$16:$D$17,'Base Data'!$D$21:$D$22)</f>
        <v>40</v>
      </c>
      <c r="D5" s="546">
        <f>ROUNDUP(SUM('Base Data'!$H$62,'Base Data'!$H$66)/3, 0)</f>
        <v>1</v>
      </c>
      <c r="E5" s="628">
        <f>ROUNDUP(SUM('Base Data'!$D$62,'Base Data'!$D$66)/3, 0)</f>
        <v>2</v>
      </c>
      <c r="F5" s="632">
        <f>SUM('Base Data'!$H$16:$H$17,'Base Data'!$H$21:$H$22)+(SUM('Base Data'!$H$62,'Base Data'!$H$66)/3)</f>
        <v>5.333333333333333</v>
      </c>
      <c r="G5" s="633">
        <f t="shared" ref="G5:G9" si="0">C5+E5</f>
        <v>42</v>
      </c>
      <c r="H5" s="636">
        <f>F5+(SUM('Base Data'!$H$62,'Base Data'!$H$66)/3)</f>
        <v>5.6666666666666661</v>
      </c>
      <c r="I5" s="633">
        <f t="shared" ref="I5:I9" si="1">E5+G5</f>
        <v>44</v>
      </c>
      <c r="J5" s="636">
        <f>H5+(SUM('Base Data'!$H$62,'Base Data'!$H$66)/3)</f>
        <v>5.9999999999999991</v>
      </c>
      <c r="K5" s="631">
        <f t="shared" ref="K5:K9" si="2">E5+I5</f>
        <v>46</v>
      </c>
    </row>
    <row r="6" spans="1:14" x14ac:dyDescent="0.2">
      <c r="A6" s="614" t="s">
        <v>754</v>
      </c>
      <c r="B6" s="621">
        <f>SUM('Base Data'!$H$43:$H$45)</f>
        <v>66</v>
      </c>
      <c r="C6" s="546">
        <f>SUM('Base Data'!$D$43:$D$45)</f>
        <v>570</v>
      </c>
      <c r="D6" s="546">
        <f>ROUND(SUM('Base Data'!$H$79:$H$81)/3,0)</f>
        <v>0</v>
      </c>
      <c r="E6" s="628">
        <f>ROUND(SUM('Base Data'!$D$79:$D$81)/3,0)</f>
        <v>0</v>
      </c>
      <c r="F6" s="632">
        <f>SUM('Base Data'!$H$43:$H$45)+(SUM('Base Data'!$H$79:$H$81)/3)</f>
        <v>66</v>
      </c>
      <c r="G6" s="633">
        <f t="shared" si="0"/>
        <v>570</v>
      </c>
      <c r="H6" s="636">
        <f>F6+(SUM('Base Data'!$H$79:$H$81)/3)</f>
        <v>66</v>
      </c>
      <c r="I6" s="633">
        <f t="shared" si="1"/>
        <v>570</v>
      </c>
      <c r="J6" s="636">
        <f>H6+(SUM('Base Data'!$H$79:$H$81)/3)</f>
        <v>66</v>
      </c>
      <c r="K6" s="631">
        <f t="shared" si="2"/>
        <v>570</v>
      </c>
    </row>
    <row r="7" spans="1:14" ht="25.5" x14ac:dyDescent="0.2">
      <c r="A7" s="614" t="s">
        <v>756</v>
      </c>
      <c r="B7" s="621">
        <f>SUM('Base Data'!$H$41:$H$42)</f>
        <v>45</v>
      </c>
      <c r="C7" s="546">
        <f>SUM('Base Data'!$D$41:$D$42)</f>
        <v>385</v>
      </c>
      <c r="D7" s="546">
        <f>'Base Data'!H76/3</f>
        <v>0</v>
      </c>
      <c r="E7" s="628">
        <f>'Base Data'!$D$78/3</f>
        <v>0</v>
      </c>
      <c r="F7" s="632">
        <f>SUM('Base Data'!$H$41:$H$42)+'Base Data'!$H$78/3</f>
        <v>45</v>
      </c>
      <c r="G7" s="633">
        <f t="shared" si="0"/>
        <v>385</v>
      </c>
      <c r="H7" s="636">
        <f>F7+'Base Data'!$H$78/3</f>
        <v>45</v>
      </c>
      <c r="I7" s="633">
        <f t="shared" si="1"/>
        <v>385</v>
      </c>
      <c r="J7" s="636">
        <f>H7+'Base Data'!$H$78/3</f>
        <v>45</v>
      </c>
      <c r="K7" s="631">
        <f t="shared" si="2"/>
        <v>385</v>
      </c>
    </row>
    <row r="8" spans="1:14" x14ac:dyDescent="0.2">
      <c r="A8" s="614" t="s">
        <v>755</v>
      </c>
      <c r="B8" s="621">
        <f>SUM('Base Data'!$H$28:$H$30,'Base Data'!$H$33:$H$35,'Base Data'!$H$38:$H$40)</f>
        <v>636</v>
      </c>
      <c r="C8" s="546">
        <f>SUM('Base Data'!$D$28:$D$30,'Base Data'!$D$33:$D$35,'Base Data'!$D$38:$D$40)</f>
        <v>5472</v>
      </c>
      <c r="D8" s="546">
        <f>SUM('Base Data'!$H$71:$H$73)/3</f>
        <v>33.333333333333336</v>
      </c>
      <c r="E8" s="628">
        <f>SUM('Base Data'!$D$71:$D$73)/3</f>
        <v>261.33333333333331</v>
      </c>
      <c r="F8" s="632">
        <f>SUM('Base Data'!$H$28:$H$30,'Base Data'!$H$33:$H$35,'Base Data'!$H$38:$H$40)+(SUM('Base Data'!$H$71:$H$73)/3)</f>
        <v>669.33333333333337</v>
      </c>
      <c r="G8" s="633">
        <f t="shared" si="0"/>
        <v>5733.333333333333</v>
      </c>
      <c r="H8" s="636">
        <f>F8+(SUM('Base Data'!$H$71:$H$73)/3)</f>
        <v>702.66666666666674</v>
      </c>
      <c r="I8" s="633">
        <f t="shared" si="1"/>
        <v>5994.6666666666661</v>
      </c>
      <c r="J8" s="636">
        <f>H8+(SUM('Base Data'!$H$71:$H$73)/3)</f>
        <v>736.00000000000011</v>
      </c>
      <c r="K8" s="631">
        <f t="shared" si="2"/>
        <v>6255.9999999999991</v>
      </c>
    </row>
    <row r="9" spans="1:14" ht="25.5" x14ac:dyDescent="0.2">
      <c r="A9" s="614" t="s">
        <v>757</v>
      </c>
      <c r="B9" s="621">
        <f>SUM('Base Data'!$H$26:$H$27,'Base Data'!$H$31:$H$32,'Base Data'!$H$36:$H$37)</f>
        <v>986</v>
      </c>
      <c r="C9" s="546">
        <f>SUM('Base Data'!$D$26:$D$27,'Base Data'!$D$31:$D$32,'Base Data'!$D$36:$D$37)</f>
        <v>8485</v>
      </c>
      <c r="D9" s="617">
        <f>SUM('Base Data'!$H$70)/3</f>
        <v>41</v>
      </c>
      <c r="E9" s="629">
        <f>'Base Data'!$D$70/3</f>
        <v>326</v>
      </c>
      <c r="F9" s="632">
        <f>SUM('Base Data'!$H$26:$H$27,'Base Data'!$H$31:$H$32,'Base Data'!$H$36:$H$37)+(SUM('Base Data'!$H$70)/3)</f>
        <v>1027</v>
      </c>
      <c r="G9" s="633">
        <f t="shared" si="0"/>
        <v>8811</v>
      </c>
      <c r="H9" s="636">
        <f>F9+(SUM('Base Data'!$H$70)/3)</f>
        <v>1068</v>
      </c>
      <c r="I9" s="633">
        <f t="shared" si="1"/>
        <v>9137</v>
      </c>
      <c r="J9" s="636">
        <f>H9+(SUM('Base Data'!$H$70)/3)</f>
        <v>1109</v>
      </c>
      <c r="K9" s="631">
        <f t="shared" si="2"/>
        <v>9463</v>
      </c>
    </row>
    <row r="10" spans="1:14" ht="14.25" thickBot="1" x14ac:dyDescent="0.25">
      <c r="A10" s="615" t="s">
        <v>758</v>
      </c>
      <c r="B10" s="619">
        <f t="shared" ref="B10:J10" si="3">SUM(B4:B9)</f>
        <v>1856</v>
      </c>
      <c r="C10" s="619">
        <f t="shared" si="3"/>
        <v>15966</v>
      </c>
      <c r="D10" s="619">
        <f t="shared" si="3"/>
        <v>78.333333333333343</v>
      </c>
      <c r="E10" s="618">
        <f t="shared" si="3"/>
        <v>615.33333333333326</v>
      </c>
      <c r="F10" s="634">
        <f t="shared" si="3"/>
        <v>1934</v>
      </c>
      <c r="G10" s="622">
        <f t="shared" si="3"/>
        <v>16581.333333333332</v>
      </c>
      <c r="H10" s="637">
        <f t="shared" si="3"/>
        <v>2012</v>
      </c>
      <c r="I10" s="622">
        <f t="shared" si="3"/>
        <v>17196.666666666664</v>
      </c>
      <c r="J10" s="637">
        <f t="shared" si="3"/>
        <v>2090</v>
      </c>
      <c r="K10" s="622">
        <f>SUM(K4:K9)</f>
        <v>17812</v>
      </c>
    </row>
    <row r="11" spans="1:14" x14ac:dyDescent="0.2">
      <c r="A11" s="662" t="s">
        <v>785</v>
      </c>
    </row>
  </sheetData>
  <mergeCells count="4">
    <mergeCell ref="F2:G2"/>
    <mergeCell ref="H2:I2"/>
    <mergeCell ref="J2:K2"/>
    <mergeCell ref="A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29</vt:i4>
      </vt:variant>
    </vt:vector>
  </HeadingPairs>
  <TitlesOfParts>
    <vt:vector size="68" baseType="lpstr">
      <vt:lpstr>Summary 2</vt:lpstr>
      <vt:lpstr>Testing Costs</vt:lpstr>
      <vt:lpstr>Sheet1</vt:lpstr>
      <vt:lpstr>SUMMARY TABLE 1</vt:lpstr>
      <vt:lpstr>Responses</vt:lpstr>
      <vt:lpstr>QA</vt:lpstr>
      <vt:lpstr>Fac-ExistLrgSolid-Yr0</vt:lpstr>
      <vt:lpstr>SUMMARY TABLE 2-Agency</vt:lpstr>
      <vt:lpstr>SUMMARY TBL 3 UNIT-SUBCAT</vt:lpstr>
      <vt:lpstr>BURDEN SUMMARY</vt:lpstr>
      <vt:lpstr>Respondents</vt:lpstr>
      <vt:lpstr>Base Data</vt:lpstr>
      <vt:lpstr>Monitors</vt:lpstr>
      <vt:lpstr>Agency Base Data</vt:lpstr>
      <vt:lpstr>Fac-ExistLrgSolid-Avg</vt:lpstr>
      <vt:lpstr>Fac-ExistLrgLiquid-Yr0</vt:lpstr>
      <vt:lpstr>Fac-ExistLrgLiquid-Avg</vt:lpstr>
      <vt:lpstr>Fac-ExistLrgGas-Yr0</vt:lpstr>
      <vt:lpstr>Fac-ExistLrgGas-Avg</vt:lpstr>
      <vt:lpstr>Fac-NewLrgSolid-Yr0</vt:lpstr>
      <vt:lpstr>Fac-NewLrgSolid-Avg</vt:lpstr>
      <vt:lpstr>Fac-NewLrgLiquid-Yr0</vt:lpstr>
      <vt:lpstr>Fac-NewLrgLiquid-Avg</vt:lpstr>
      <vt:lpstr>Fac-NewLrgGas-Yr0</vt:lpstr>
      <vt:lpstr>Fac-NewLrgGas-Avg</vt:lpstr>
      <vt:lpstr>Fac - ExistSmlSolid-Yr0</vt:lpstr>
      <vt:lpstr>Fac - ExistSmlSolid-Avg</vt:lpstr>
      <vt:lpstr>Fac - ExistSmlLiquid-Yr0</vt:lpstr>
      <vt:lpstr>Fac - ExistSmlLiquid-Avg</vt:lpstr>
      <vt:lpstr>Fac - ExistSmlGas-Yr0</vt:lpstr>
      <vt:lpstr>Fac - ExistSmlGas-Avg</vt:lpstr>
      <vt:lpstr>Fac-NewSmlSolid-Yr0</vt:lpstr>
      <vt:lpstr>Fac-NewSmlSolid-Avg</vt:lpstr>
      <vt:lpstr>Fac-NewSmlLiquid-Yr0</vt:lpstr>
      <vt:lpstr>Fac-NewSmlLiquid-Avg</vt:lpstr>
      <vt:lpstr>Fac-NewSmlGas-Yr0</vt:lpstr>
      <vt:lpstr>Fac-NewSmlGas-avg</vt:lpstr>
      <vt:lpstr>AgencyYR0</vt:lpstr>
      <vt:lpstr>Capital vs. O&amp;M</vt:lpstr>
      <vt:lpstr>AgencyYR0!Print_Area</vt:lpstr>
      <vt:lpstr>'Fac-ExistLrgLiquid-Yr0'!Print_Area</vt:lpstr>
      <vt:lpstr>'Fac-NewLrgGas-Yr0'!Print_Area</vt:lpstr>
      <vt:lpstr>'Fac-NewLrgSolid-Yr0'!Print_Area</vt:lpstr>
      <vt:lpstr>'SUMMARY TABLE 2-Agency'!Print_Area</vt:lpstr>
      <vt:lpstr>'Fac - ExistSmlGas-Avg'!Print_Titles</vt:lpstr>
      <vt:lpstr>'Fac - ExistSmlGas-Yr0'!Print_Titles</vt:lpstr>
      <vt:lpstr>'Fac - ExistSmlLiquid-Avg'!Print_Titles</vt:lpstr>
      <vt:lpstr>'Fac - ExistSmlLiquid-Yr0'!Print_Titles</vt:lpstr>
      <vt:lpstr>'Fac - ExistSmlSolid-Avg'!Print_Titles</vt:lpstr>
      <vt:lpstr>'Fac - ExistSmlSolid-Yr0'!Print_Titles</vt:lpstr>
      <vt:lpstr>'Fac-ExistLrgGas-Avg'!Print_Titles</vt:lpstr>
      <vt:lpstr>'Fac-ExistLrgGas-Yr0'!Print_Titles</vt:lpstr>
      <vt:lpstr>'Fac-ExistLrgLiquid-Avg'!Print_Titles</vt:lpstr>
      <vt:lpstr>'Fac-ExistLrgLiquid-Yr0'!Print_Titles</vt:lpstr>
      <vt:lpstr>'Fac-ExistLrgSolid-Avg'!Print_Titles</vt:lpstr>
      <vt:lpstr>'Fac-ExistLrgSolid-Yr0'!Print_Titles</vt:lpstr>
      <vt:lpstr>'Fac-NewLrgGas-Avg'!Print_Titles</vt:lpstr>
      <vt:lpstr>'Fac-NewLrgGas-Yr0'!Print_Titles</vt:lpstr>
      <vt:lpstr>'Fac-NewLrgLiquid-Avg'!Print_Titles</vt:lpstr>
      <vt:lpstr>'Fac-NewLrgLiquid-Yr0'!Print_Titles</vt:lpstr>
      <vt:lpstr>'Fac-NewLrgSolid-Avg'!Print_Titles</vt:lpstr>
      <vt:lpstr>'Fac-NewLrgSolid-Yr0'!Print_Titles</vt:lpstr>
      <vt:lpstr>'Fac-NewSmlGas-avg'!Print_Titles</vt:lpstr>
      <vt:lpstr>'Fac-NewSmlGas-Yr0'!Print_Titles</vt:lpstr>
      <vt:lpstr>'Fac-NewSmlLiquid-Avg'!Print_Titles</vt:lpstr>
      <vt:lpstr>'Fac-NewSmlLiquid-Yr0'!Print_Titles</vt:lpstr>
      <vt:lpstr>'Fac-NewSmlSolid-Avg'!Print_Titles</vt:lpstr>
      <vt:lpstr>'Fac-NewSmlSolid-Yr0'!Print_Titles</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wwrigley</cp:lastModifiedBy>
  <cp:lastPrinted>2014-05-30T13:36:20Z</cp:lastPrinted>
  <dcterms:created xsi:type="dcterms:W3CDTF">2000-08-03T19:32:28Z</dcterms:created>
  <dcterms:modified xsi:type="dcterms:W3CDTF">2018-09-17T17:20:09Z</dcterms:modified>
</cp:coreProperties>
</file>