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F:\"/>
    </mc:Choice>
  </mc:AlternateContent>
  <bookViews>
    <workbookView xWindow="0" yWindow="90" windowWidth="19155" windowHeight="8640"/>
  </bookViews>
  <sheets>
    <sheet name="Table 1a" sheetId="3" r:id="rId1"/>
    <sheet name="Table 1b" sheetId="1" r:id="rId2"/>
    <sheet name="Table 1c-Affect Sector Summary" sheetId="4" r:id="rId3"/>
    <sheet name="Table 2" sheetId="2" r:id="rId4"/>
    <sheet name="Responses" sheetId="5" r:id="rId5"/>
  </sheets>
  <calcPr calcId="171027"/>
</workbook>
</file>

<file path=xl/calcChain.xml><?xml version="1.0" encoding="utf-8"?>
<calcChain xmlns="http://schemas.openxmlformats.org/spreadsheetml/2006/main">
  <c r="I26" i="3" l="1"/>
  <c r="E7" i="4" l="1"/>
  <c r="E9" i="4" s="1"/>
  <c r="B12" i="4" s="1"/>
  <c r="F8" i="4"/>
  <c r="B8" i="4" l="1"/>
  <c r="B7" i="4" s="1"/>
  <c r="B9" i="4" s="1"/>
  <c r="E13" i="5"/>
  <c r="E8" i="5"/>
  <c r="E9" i="5"/>
  <c r="E10" i="5"/>
  <c r="E11" i="5"/>
  <c r="E12" i="5"/>
  <c r="E7" i="5"/>
  <c r="G7" i="4"/>
  <c r="G9" i="4" s="1"/>
  <c r="D17" i="1"/>
  <c r="F17" i="1" s="1"/>
  <c r="G17" i="1" s="1"/>
  <c r="F17" i="3"/>
  <c r="D17" i="3"/>
  <c r="E9" i="3"/>
  <c r="E18" i="3"/>
  <c r="I28" i="3"/>
  <c r="I28" i="1"/>
  <c r="G8" i="4" s="1"/>
  <c r="H17" i="1" l="1"/>
  <c r="I17" i="1" s="1"/>
  <c r="G17" i="3"/>
  <c r="I17" i="3" s="1"/>
  <c r="H17" i="3"/>
  <c r="E8" i="2" l="1"/>
  <c r="E7" i="2"/>
  <c r="E9" i="2" l="1"/>
  <c r="D25" i="3"/>
  <c r="F25" i="3" s="1"/>
  <c r="D24" i="3"/>
  <c r="F24" i="3" s="1"/>
  <c r="D23" i="3"/>
  <c r="F23" i="3" s="1"/>
  <c r="D22" i="3"/>
  <c r="F22" i="3" s="1"/>
  <c r="H22" i="3" s="1"/>
  <c r="D19" i="3"/>
  <c r="F19" i="3" s="1"/>
  <c r="D18" i="3"/>
  <c r="F18" i="3" s="1"/>
  <c r="D13" i="3"/>
  <c r="F13" i="3" s="1"/>
  <c r="D12" i="3"/>
  <c r="F12" i="3" s="1"/>
  <c r="H12" i="3" s="1"/>
  <c r="D11" i="3"/>
  <c r="F11" i="3" s="1"/>
  <c r="H11" i="3" s="1"/>
  <c r="D9" i="3"/>
  <c r="F9" i="3" s="1"/>
  <c r="G13" i="3" l="1"/>
  <c r="H13" i="3"/>
  <c r="H18" i="3"/>
  <c r="G18" i="3"/>
  <c r="G25" i="3"/>
  <c r="H25" i="3"/>
  <c r="G24" i="3"/>
  <c r="H24" i="3"/>
  <c r="H19" i="3"/>
  <c r="G19" i="3"/>
  <c r="H23" i="3"/>
  <c r="G23" i="3"/>
  <c r="I23" i="3" s="1"/>
  <c r="G22" i="3"/>
  <c r="G11" i="3"/>
  <c r="I11" i="3" s="1"/>
  <c r="G9" i="3"/>
  <c r="H9" i="3"/>
  <c r="G12" i="3"/>
  <c r="I12" i="3" s="1"/>
  <c r="D19" i="1"/>
  <c r="F19" i="1" s="1"/>
  <c r="D15" i="2"/>
  <c r="F15" i="2" s="1"/>
  <c r="D14" i="2"/>
  <c r="D13" i="2"/>
  <c r="F13" i="2" s="1"/>
  <c r="D11" i="2"/>
  <c r="F11" i="2" s="1"/>
  <c r="D9" i="2"/>
  <c r="D8" i="2"/>
  <c r="F8" i="2" s="1"/>
  <c r="D7" i="2"/>
  <c r="F7" i="2" s="1"/>
  <c r="D5" i="2"/>
  <c r="F5" i="2" s="1"/>
  <c r="D25" i="1"/>
  <c r="D24" i="1"/>
  <c r="F24" i="1" s="1"/>
  <c r="D23" i="1"/>
  <c r="F23" i="1" s="1"/>
  <c r="D22" i="1"/>
  <c r="F22" i="1" s="1"/>
  <c r="D18" i="1"/>
  <c r="F18" i="1" s="1"/>
  <c r="D13" i="1"/>
  <c r="F13" i="1" s="1"/>
  <c r="D12" i="1"/>
  <c r="F12" i="1" s="1"/>
  <c r="D11" i="1"/>
  <c r="F11" i="1" s="1"/>
  <c r="D9" i="1"/>
  <c r="F9" i="1" s="1"/>
  <c r="I18" i="3" l="1"/>
  <c r="I19" i="3"/>
  <c r="I9" i="3"/>
  <c r="I24" i="3"/>
  <c r="I25" i="3"/>
  <c r="I13" i="3"/>
  <c r="G20" i="3"/>
  <c r="C7" i="4" s="1"/>
  <c r="I22" i="3"/>
  <c r="G26" i="3"/>
  <c r="D7" i="4" s="1"/>
  <c r="F25" i="1"/>
  <c r="G18" i="1"/>
  <c r="H18" i="1"/>
  <c r="H5" i="2"/>
  <c r="G5" i="2"/>
  <c r="H15" i="2"/>
  <c r="G15" i="2"/>
  <c r="F9" i="2"/>
  <c r="H9" i="2" s="1"/>
  <c r="G8" i="2"/>
  <c r="H8" i="2"/>
  <c r="G7" i="2"/>
  <c r="G13" i="2"/>
  <c r="H7" i="2"/>
  <c r="H13" i="2"/>
  <c r="F14" i="2"/>
  <c r="G14" i="2" s="1"/>
  <c r="G11" i="2"/>
  <c r="H11" i="2"/>
  <c r="G24" i="1"/>
  <c r="H11" i="1"/>
  <c r="G11" i="1"/>
  <c r="H23" i="1"/>
  <c r="G23" i="1"/>
  <c r="I23" i="1" s="1"/>
  <c r="H9" i="1"/>
  <c r="G9" i="1"/>
  <c r="H13" i="1"/>
  <c r="G13" i="1"/>
  <c r="H22" i="1"/>
  <c r="G22" i="1"/>
  <c r="H12" i="1"/>
  <c r="G12" i="1"/>
  <c r="H19" i="1"/>
  <c r="G19" i="1"/>
  <c r="I20" i="3" l="1"/>
  <c r="G27" i="3"/>
  <c r="I19" i="1"/>
  <c r="I13" i="1"/>
  <c r="G25" i="1"/>
  <c r="H25" i="1"/>
  <c r="F16" i="2"/>
  <c r="G20" i="1"/>
  <c r="C8" i="4" s="1"/>
  <c r="I5" i="2"/>
  <c r="I11" i="2"/>
  <c r="I13" i="2"/>
  <c r="I7" i="2"/>
  <c r="I8" i="2"/>
  <c r="I12" i="1"/>
  <c r="I18" i="1"/>
  <c r="I9" i="1"/>
  <c r="I15" i="2"/>
  <c r="I22" i="1"/>
  <c r="G9" i="2"/>
  <c r="G16" i="2" s="1"/>
  <c r="I11" i="1"/>
  <c r="H14" i="2"/>
  <c r="I14" i="2" s="1"/>
  <c r="H24" i="1"/>
  <c r="C9" i="4" l="1"/>
  <c r="I27" i="3"/>
  <c r="G26" i="1"/>
  <c r="I25" i="1"/>
  <c r="I26" i="1" s="1"/>
  <c r="H16" i="2"/>
  <c r="F17" i="2" s="1"/>
  <c r="I20" i="1"/>
  <c r="I9" i="2"/>
  <c r="I24" i="1"/>
  <c r="I29" i="3" l="1"/>
  <c r="F7" i="4"/>
  <c r="F9" i="4" s="1"/>
  <c r="L29" i="1"/>
  <c r="G27" i="1"/>
  <c r="L27" i="1" s="1"/>
  <c r="D8" i="4"/>
  <c r="I27" i="1"/>
  <c r="I29" i="1" s="1"/>
  <c r="I16" i="2"/>
  <c r="I17" i="2" s="1"/>
  <c r="D9" i="4" l="1"/>
  <c r="E8" i="4"/>
</calcChain>
</file>

<file path=xl/sharedStrings.xml><?xml version="1.0" encoding="utf-8"?>
<sst xmlns="http://schemas.openxmlformats.org/spreadsheetml/2006/main" count="162" uniqueCount="129">
  <si>
    <t>Burden item</t>
  </si>
  <si>
    <t>1.  Applications</t>
  </si>
  <si>
    <t>N/A</t>
  </si>
  <si>
    <t>2.  Surveys and studies</t>
  </si>
  <si>
    <t>3.  Reporting requirements</t>
  </si>
  <si>
    <t xml:space="preserve">          Initial notifications</t>
  </si>
  <si>
    <t xml:space="preserve">          Notification of construction/reconstruction</t>
  </si>
  <si>
    <t xml:space="preserve">          Notification of actual startup</t>
  </si>
  <si>
    <t xml:space="preserve">    C.  Create information</t>
  </si>
  <si>
    <t>See 3B</t>
  </si>
  <si>
    <t xml:space="preserve">    D.  Gather existing information</t>
  </si>
  <si>
    <t>See 3E</t>
  </si>
  <si>
    <t xml:space="preserve">    E.  Write report</t>
  </si>
  <si>
    <t>4.  Recordkeeping requirements</t>
  </si>
  <si>
    <t>Assumptions:</t>
  </si>
  <si>
    <t>Activity</t>
  </si>
  <si>
    <t>1.  Attend CEMS performance evaluation</t>
  </si>
  <si>
    <t>2.  Repeat performance evaluation</t>
  </si>
  <si>
    <t>4.  Reporting requirements</t>
  </si>
  <si>
    <t>Subtotals Labor Burden and cost</t>
  </si>
  <si>
    <r>
      <t>a.</t>
    </r>
    <r>
      <rPr>
        <sz val="7"/>
        <color theme="1"/>
        <rFont val="Arial"/>
        <family val="2"/>
      </rPr>
      <t xml:space="preserve">       </t>
    </r>
    <r>
      <rPr>
        <sz val="10"/>
        <color theme="1"/>
        <rFont val="Arial"/>
        <family val="2"/>
      </rPr>
      <t xml:space="preserve"> Retesting preparation</t>
    </r>
  </si>
  <si>
    <r>
      <t>b.</t>
    </r>
    <r>
      <rPr>
        <sz val="7"/>
        <color theme="1"/>
        <rFont val="Arial"/>
        <family val="2"/>
      </rPr>
      <t xml:space="preserve">       </t>
    </r>
    <r>
      <rPr>
        <sz val="10"/>
        <color theme="1"/>
        <rFont val="Arial"/>
        <family val="2"/>
      </rPr>
      <t xml:space="preserve"> Attend retesting </t>
    </r>
  </si>
  <si>
    <t xml:space="preserve">             Review initial notifications</t>
  </si>
  <si>
    <r>
      <t>i</t>
    </r>
    <r>
      <rPr>
        <sz val="10"/>
        <color theme="1"/>
        <rFont val="Arial"/>
        <family val="2"/>
      </rPr>
      <t xml:space="preserve">  We have assumed that owners and operators will maintain monitoring records on a weekly basis.</t>
    </r>
  </si>
  <si>
    <t>(A)
Person hours per occurrence</t>
  </si>
  <si>
    <t>(B)
No. of occurrences per respondent per year</t>
  </si>
  <si>
    <t>(A)
EPA person- hours per occurrence</t>
  </si>
  <si>
    <t>(B)
No. of occurrences per plant per year</t>
  </si>
  <si>
    <t>(C)
EPA person- hours per plant per year
(C=AxB)</t>
  </si>
  <si>
    <t>(E)
Technical person- hours per year
(E=CxD)</t>
  </si>
  <si>
    <t>(F)
Management person-hours per year
(Ex0.05)</t>
  </si>
  <si>
    <t>(G)
Clerical person-hours per year
(Ex0.1)</t>
  </si>
  <si>
    <r>
      <t xml:space="preserve">b  </t>
    </r>
    <r>
      <rPr>
        <sz val="10"/>
        <color theme="1"/>
        <rFont val="Arial"/>
        <family val="2"/>
      </rPr>
      <t>This cost is based on the following hourly labor rates, increased by 60% to account for the benefit packages available to government employees: $64.80 for Managerial (GS-13, Step 5, $40.50+60%), $48.08 for Technical (GS-12, Step 1, $30.05 + 60%) and $26.02 Clerical (GS-6, Step 3, $16.26 + 60%).  These rates are from the Office of Personnel Management (OPM) “2017 General Schedule” which excludes locality rates of pay.</t>
    </r>
  </si>
  <si>
    <t>(C)
Person hours per respondent per year
(C=AxB)</t>
  </si>
  <si>
    <t>(F)
Management person hours per year 
(Ex0.05)</t>
  </si>
  <si>
    <t>(G)
Clerical person hours per year 
(Ex0.1)</t>
  </si>
  <si>
    <t>Subtotal for Reporting Requirements</t>
  </si>
  <si>
    <t xml:space="preserve">             Performance evaluation report </t>
  </si>
  <si>
    <r>
      <t>Total CAPITAL and O&amp;M COST (rounded)</t>
    </r>
    <r>
      <rPr>
        <b/>
        <vertAlign val="superscript"/>
        <sz val="10"/>
        <color theme="1"/>
        <rFont val="Arial"/>
        <family val="2"/>
      </rPr>
      <t>k</t>
    </r>
  </si>
  <si>
    <r>
      <t>TOTAL LABOR BURDEN AND COST (rounded)</t>
    </r>
    <r>
      <rPr>
        <b/>
        <vertAlign val="superscript"/>
        <sz val="10"/>
        <color theme="1"/>
        <rFont val="Arial"/>
        <family val="2"/>
      </rPr>
      <t>k</t>
    </r>
  </si>
  <si>
    <r>
      <t>Subtotal  for Recordkeeping Requirements</t>
    </r>
    <r>
      <rPr>
        <b/>
        <i/>
        <vertAlign val="superscript"/>
        <sz val="10"/>
        <color theme="1"/>
        <rFont val="Arial"/>
        <family val="2"/>
      </rPr>
      <t>k</t>
    </r>
  </si>
  <si>
    <r>
      <t xml:space="preserve">k </t>
    </r>
    <r>
      <rPr>
        <sz val="10"/>
        <color theme="1"/>
        <rFont val="Arial"/>
        <family val="2"/>
      </rPr>
      <t>Totals have been rounded to 3 significant figures. Figures may not add exactly due to rounding.</t>
    </r>
  </si>
  <si>
    <r>
      <t xml:space="preserve">    A.  Familiarization with regulatory requirements</t>
    </r>
    <r>
      <rPr>
        <vertAlign val="superscript"/>
        <sz val="10"/>
        <color theme="1"/>
        <rFont val="Arial"/>
        <family val="2"/>
      </rPr>
      <t>c</t>
    </r>
    <r>
      <rPr>
        <sz val="10"/>
        <color theme="1"/>
        <rFont val="Arial"/>
        <family val="2"/>
      </rPr>
      <t xml:space="preserve"> </t>
    </r>
  </si>
  <si>
    <r>
      <t xml:space="preserve">    B.  Notifications</t>
    </r>
    <r>
      <rPr>
        <vertAlign val="superscript"/>
        <sz val="10"/>
        <color theme="1"/>
        <rFont val="Arial"/>
        <family val="2"/>
      </rPr>
      <t>c</t>
    </r>
  </si>
  <si>
    <r>
      <t xml:space="preserve">          Compliance status report</t>
    </r>
    <r>
      <rPr>
        <vertAlign val="superscript"/>
        <sz val="10"/>
        <color theme="1"/>
        <rFont val="Arial"/>
        <family val="2"/>
      </rPr>
      <t>d</t>
    </r>
  </si>
  <si>
    <r>
      <t xml:space="preserve">          Performance evaluation report</t>
    </r>
    <r>
      <rPr>
        <vertAlign val="superscript"/>
        <sz val="10"/>
        <rFont val="Arial"/>
        <family val="2"/>
      </rPr>
      <t>e</t>
    </r>
  </si>
  <si>
    <r>
      <t xml:space="preserve">    A.  Initial performance evaluation</t>
    </r>
    <r>
      <rPr>
        <vertAlign val="superscript"/>
        <sz val="10"/>
        <rFont val="Arial"/>
        <family val="2"/>
      </rPr>
      <t>f, g</t>
    </r>
  </si>
  <si>
    <r>
      <t xml:space="preserve">    B.  Monitoring demonstration</t>
    </r>
    <r>
      <rPr>
        <vertAlign val="superscript"/>
        <sz val="10"/>
        <rFont val="Arial"/>
        <family val="2"/>
      </rPr>
      <t>f, g</t>
    </r>
  </si>
  <si>
    <r>
      <t xml:space="preserve">    C.  Repeat performance evaluation</t>
    </r>
    <r>
      <rPr>
        <vertAlign val="superscript"/>
        <sz val="10"/>
        <rFont val="Arial"/>
        <family val="2"/>
      </rPr>
      <t>f, g, h</t>
    </r>
  </si>
  <si>
    <r>
      <t xml:space="preserve">    D.  Maintain records of CEMS performance</t>
    </r>
    <r>
      <rPr>
        <vertAlign val="superscript"/>
        <sz val="10"/>
        <color theme="1"/>
        <rFont val="Arial"/>
        <family val="2"/>
      </rPr>
      <t>i</t>
    </r>
  </si>
  <si>
    <r>
      <t>GRAND TOTAL (rounded)</t>
    </r>
    <r>
      <rPr>
        <b/>
        <vertAlign val="superscript"/>
        <sz val="10"/>
        <color theme="1"/>
        <rFont val="Arial"/>
        <family val="2"/>
      </rPr>
      <t>k</t>
    </r>
  </si>
  <si>
    <r>
      <t>(D)
Respondents per year</t>
    </r>
    <r>
      <rPr>
        <b/>
        <vertAlign val="superscript"/>
        <sz val="10"/>
        <color theme="1"/>
        <rFont val="Arial"/>
        <family val="2"/>
      </rPr>
      <t>a</t>
    </r>
  </si>
  <si>
    <r>
      <t>(H)
Total Cost per year</t>
    </r>
    <r>
      <rPr>
        <b/>
        <vertAlign val="superscript"/>
        <sz val="10"/>
        <color theme="1"/>
        <rFont val="Arial"/>
        <family val="2"/>
      </rPr>
      <t>b</t>
    </r>
  </si>
  <si>
    <r>
      <t>(D)
Plants per year</t>
    </r>
    <r>
      <rPr>
        <b/>
        <vertAlign val="superscript"/>
        <sz val="12"/>
        <color theme="1"/>
        <rFont val="Arial"/>
        <family val="2"/>
      </rPr>
      <t>a</t>
    </r>
  </si>
  <si>
    <r>
      <t>(H)
Cost, $</t>
    </r>
    <r>
      <rPr>
        <b/>
        <vertAlign val="superscript"/>
        <sz val="12"/>
        <color theme="1"/>
        <rFont val="Arial"/>
        <family val="2"/>
      </rPr>
      <t>b</t>
    </r>
  </si>
  <si>
    <r>
      <t>3.  Deviation – enforcement activities</t>
    </r>
    <r>
      <rPr>
        <vertAlign val="superscript"/>
        <sz val="10"/>
        <rFont val="Arial"/>
        <family val="2"/>
      </rPr>
      <t>c</t>
    </r>
  </si>
  <si>
    <t>Table 1b:  Annual Respondent Burden and Cost for Federal Facilities – NESHAP for Engine Test Cells/Stands (40 CFR Part 63, Subpart PPPPP) (Renewal)</t>
  </si>
  <si>
    <t>Table 1a:  Annual Respondent Burden and Cost for Private Facilities– NESHAP for Engine Test Cells/Stands (40 CFR Part 63, Subpart PPPPP) (Renewal)</t>
  </si>
  <si>
    <t xml:space="preserve">          Performance evaluation report</t>
  </si>
  <si>
    <r>
      <t>g</t>
    </r>
    <r>
      <rPr>
        <sz val="10"/>
        <color theme="1"/>
        <rFont val="Arial"/>
        <family val="2"/>
      </rPr>
      <t xml:space="preserve"> The technical persons-hours per occurrence were taken from the ESD manual Table 4 “Burden of Performance Tests and Continuous Monitoring System (CMS) Demonstrations” (Volume X, Section 2.2).</t>
    </r>
  </si>
  <si>
    <r>
      <t>c</t>
    </r>
    <r>
      <rPr>
        <sz val="10"/>
        <color theme="1"/>
        <rFont val="Arial"/>
        <family val="2"/>
      </rPr>
      <t xml:space="preserve"> We have assumed that there will be no new or reconstructed Federal sources over the next three years.</t>
    </r>
  </si>
  <si>
    <r>
      <t>b</t>
    </r>
    <r>
      <rPr>
        <sz val="10"/>
        <color theme="1"/>
        <rFont val="Arial"/>
        <family val="2"/>
      </rPr>
      <t xml:space="preserve"> This ICR uses the following labor rates:  $149.35 per hour for Managerial labor; $112.98 per hour for Technical labor, and $54.31 per hour for Clerical labor.  These rates are from the United States Department of Labor, Bureau of Labor Statistics, June 2017, Table 2. Civilian Workers, by Occupational and Industry group.  The rates are from column 1, Total Compensation.  The rates have been increased by 110 percent to account for the benefit packages available to those employed by private industry.</t>
    </r>
  </si>
  <si>
    <r>
      <t xml:space="preserve">j  </t>
    </r>
    <r>
      <rPr>
        <sz val="10"/>
        <color theme="1"/>
        <rFont val="Arial"/>
        <family val="2"/>
      </rPr>
      <t>We assume all of the recordkeeping and reporting burden from the rule at federal facilities will be conducted by federal employees.</t>
    </r>
  </si>
  <si>
    <t>Subtotal  for Recordkeeping Requirement</t>
  </si>
  <si>
    <r>
      <t>c</t>
    </r>
    <r>
      <rPr>
        <sz val="10"/>
        <color theme="1"/>
        <rFont val="Arial"/>
        <family val="2"/>
      </rPr>
      <t xml:space="preserve"> We have assumed that there will be one new or reconstructed source over the next three years.</t>
    </r>
  </si>
  <si>
    <r>
      <t>b</t>
    </r>
    <r>
      <rPr>
        <sz val="10"/>
        <color theme="1"/>
        <rFont val="Arial"/>
        <family val="2"/>
      </rPr>
      <t xml:space="preserve"> This cost is based on the following hourly labor rates, increased by 60% to account for the benefit packages available to government employees: $64.80 for Managerial (GS-13, Step 5, $40.50+60%), $48.08 for Technical (GS-12, Step 1, $30.05 + 60%) and $26.02 Clerical (GS-6, Step 3, $16.26 + 60%).  These rates are from the Office of Personnel Management (OPM) “2017 General Schedule” which excludes locality rates of pay.</t>
    </r>
  </si>
  <si>
    <r>
      <t>e</t>
    </r>
    <r>
      <rPr>
        <sz val="10"/>
        <rFont val="Arial"/>
        <family val="2"/>
      </rPr>
      <t xml:space="preserve"> We have assumed that no Federal respondents need to conduct the initial performance evaluation, since there are no new or reconstructed Federal sources over the next three years.</t>
    </r>
  </si>
  <si>
    <r>
      <t>f</t>
    </r>
    <r>
      <rPr>
        <sz val="10"/>
        <rFont val="Arial"/>
        <family val="2"/>
      </rPr>
      <t xml:space="preserve"> We have assumed that no Federal respondents need to keep records for initial performance evaluation related activities, since there are no new or reconstructed Federal sources over the next three years.</t>
    </r>
  </si>
  <si>
    <t>Table 2:  Average Annual EPA Burden and Cost - NESHAP for Engine Test Cells/Stands (40 CFR Part 63, Subpart PPPPP) (Renewal)</t>
  </si>
  <si>
    <r>
      <t xml:space="preserve">    A.  Familiarization with regulatory requirements</t>
    </r>
    <r>
      <rPr>
        <vertAlign val="superscript"/>
        <sz val="10"/>
        <color theme="1"/>
        <rFont val="Arial"/>
        <family val="2"/>
      </rPr>
      <t xml:space="preserve"> a</t>
    </r>
  </si>
  <si>
    <r>
      <t>a</t>
    </r>
    <r>
      <rPr>
        <sz val="10"/>
        <color theme="1"/>
        <rFont val="Arial"/>
        <family val="2"/>
      </rPr>
      <t xml:space="preserve"> We have assumed that the average number of existing Federal sources subject to the rule will be 3, and that no new Federal facilities will become subject to the rule over the three-year period of this ICR. This ICR assumes that all sources will incur a burden to re-familiarize themselves with the regulatory requirements each year.</t>
    </r>
  </si>
  <si>
    <r>
      <t>c</t>
    </r>
    <r>
      <rPr>
        <sz val="10"/>
        <rFont val="Arial"/>
        <family val="2"/>
      </rPr>
      <t xml:space="preserve">  We have assumed that 20 percent of all respondents will be out of compliance.</t>
    </r>
  </si>
  <si>
    <r>
      <t>b.</t>
    </r>
    <r>
      <rPr>
        <sz val="7"/>
        <color theme="1"/>
        <rFont val="Arial"/>
        <family val="2"/>
      </rPr>
      <t xml:space="preserve">        </t>
    </r>
    <r>
      <rPr>
        <sz val="10"/>
        <color theme="1"/>
        <rFont val="Arial"/>
        <family val="2"/>
      </rPr>
      <t xml:space="preserve"> Review reports </t>
    </r>
  </si>
  <si>
    <r>
      <t>h</t>
    </r>
    <r>
      <rPr>
        <sz val="10"/>
        <color theme="1"/>
        <rFont val="Arial"/>
        <family val="2"/>
      </rPr>
      <t xml:space="preserve"> Since there are no new respondents, it is assumed no respondents will have to repeat the performance evaluations due to failure.</t>
    </r>
  </si>
  <si>
    <r>
      <t>a.</t>
    </r>
    <r>
      <rPr>
        <sz val="7"/>
        <color theme="1"/>
        <rFont val="Arial"/>
        <family val="2"/>
      </rPr>
      <t xml:space="preserve">       </t>
    </r>
    <r>
      <rPr>
        <sz val="10"/>
        <color theme="1"/>
        <rFont val="Arial"/>
        <family val="2"/>
      </rPr>
      <t xml:space="preserve"> Review waivers</t>
    </r>
    <r>
      <rPr>
        <vertAlign val="superscript"/>
        <sz val="10"/>
        <color theme="1"/>
        <rFont val="Arial"/>
        <family val="2"/>
      </rPr>
      <t>d</t>
    </r>
  </si>
  <si>
    <r>
      <t xml:space="preserve">             Compliance status report</t>
    </r>
    <r>
      <rPr>
        <vertAlign val="superscript"/>
        <sz val="10"/>
        <color theme="1"/>
        <rFont val="Arial"/>
        <family val="2"/>
      </rPr>
      <t>e</t>
    </r>
  </si>
  <si>
    <r>
      <t>e</t>
    </r>
    <r>
      <rPr>
        <sz val="10"/>
        <color theme="1"/>
        <rFont val="Arial"/>
        <family val="2"/>
      </rPr>
      <t xml:space="preserve">  Compliance status reports review is required semiannually. We assumed that deviations get reported as part of the semiannual compliance status report</t>
    </r>
    <r>
      <rPr>
        <b/>
        <sz val="10"/>
        <color theme="1"/>
        <rFont val="Arial"/>
        <family val="2"/>
      </rPr>
      <t>.</t>
    </r>
  </si>
  <si>
    <r>
      <t>TOTAL ANNUAL BURDEN AND COST (rounded)</t>
    </r>
    <r>
      <rPr>
        <b/>
        <vertAlign val="superscript"/>
        <sz val="10"/>
        <color theme="1"/>
        <rFont val="Arial"/>
        <family val="2"/>
      </rPr>
      <t>f</t>
    </r>
  </si>
  <si>
    <r>
      <t xml:space="preserve">f  </t>
    </r>
    <r>
      <rPr>
        <sz val="10"/>
        <color theme="1"/>
        <rFont val="Arial"/>
        <family val="2"/>
      </rPr>
      <t>Totals have been rounded to 3 significant figures. Figures may not add exactly due to rounding.</t>
    </r>
  </si>
  <si>
    <r>
      <t xml:space="preserve">         Start-up Shutdown and Malfunction Plan</t>
    </r>
    <r>
      <rPr>
        <vertAlign val="superscript"/>
        <sz val="10"/>
        <rFont val="Arial"/>
        <family val="2"/>
      </rPr>
      <t>d</t>
    </r>
  </si>
  <si>
    <r>
      <t>f</t>
    </r>
    <r>
      <rPr>
        <sz val="10"/>
        <color theme="1"/>
        <rFont val="Arial"/>
        <family val="2"/>
      </rPr>
      <t xml:space="preserve"> The technical persons-hours per occurrence were taken from the ESD manual Table 4 “Burden of Performance Tests and Continuous Monitoring System (CMS) Demonstrations” (Volume X, Section 2.2).</t>
    </r>
  </si>
  <si>
    <r>
      <t>g</t>
    </r>
    <r>
      <rPr>
        <sz val="10"/>
        <color theme="1"/>
        <rFont val="Arial"/>
        <family val="2"/>
      </rPr>
      <t xml:space="preserve"> Since there is only one new respondent, we have assumed that it will not have to repeat the performance evaluations due to failure.</t>
    </r>
  </si>
  <si>
    <r>
      <t>h</t>
    </r>
    <r>
      <rPr>
        <sz val="10"/>
        <color theme="1"/>
        <rFont val="Arial"/>
        <family val="2"/>
      </rPr>
      <t xml:space="preserve"> We have assumed that owners and operators will maintain monitoring records on a weekly basis.</t>
    </r>
  </si>
  <si>
    <r>
      <t xml:space="preserve">i </t>
    </r>
    <r>
      <rPr>
        <sz val="10"/>
        <color theme="1"/>
        <rFont val="Arial"/>
        <family val="2"/>
      </rPr>
      <t>We assume all of the recordkeeping and reporting burden from the rule at federal facilities will be conducted by federal employees.</t>
    </r>
  </si>
  <si>
    <r>
      <t xml:space="preserve">j  </t>
    </r>
    <r>
      <rPr>
        <sz val="10"/>
        <color theme="1"/>
        <rFont val="Arial"/>
        <family val="2"/>
      </rPr>
      <t>Totals have been rounded to 3 significant figures. Figures may not add exactly due to rounding.</t>
    </r>
  </si>
  <si>
    <r>
      <t xml:space="preserve">          Compliance status report</t>
    </r>
    <r>
      <rPr>
        <vertAlign val="superscript"/>
        <sz val="10"/>
        <color theme="1"/>
        <rFont val="Arial"/>
        <family val="2"/>
      </rPr>
      <t>e</t>
    </r>
  </si>
  <si>
    <r>
      <t xml:space="preserve">    A.  Initial performance evaluation</t>
    </r>
    <r>
      <rPr>
        <vertAlign val="superscript"/>
        <sz val="10"/>
        <rFont val="Arial"/>
        <family val="2"/>
      </rPr>
      <t>f</t>
    </r>
  </si>
  <si>
    <r>
      <t xml:space="preserve">    B.  Monitoring demonstration</t>
    </r>
    <r>
      <rPr>
        <vertAlign val="superscript"/>
        <sz val="10"/>
        <rFont val="Arial"/>
        <family val="2"/>
      </rPr>
      <t>g</t>
    </r>
  </si>
  <si>
    <r>
      <t xml:space="preserve">    C.  Repeat performance evaluation</t>
    </r>
    <r>
      <rPr>
        <vertAlign val="superscript"/>
        <sz val="10"/>
        <rFont val="Arial"/>
        <family val="2"/>
      </rPr>
      <t>h</t>
    </r>
  </si>
  <si>
    <r>
      <t>TOTAL LABOR BURDEN AND COST (rounded)</t>
    </r>
    <r>
      <rPr>
        <b/>
        <vertAlign val="superscript"/>
        <sz val="10"/>
        <color theme="1"/>
        <rFont val="Arial"/>
        <family val="2"/>
      </rPr>
      <t>j</t>
    </r>
  </si>
  <si>
    <r>
      <t>Total CAPITAL and O&amp;M COST (rounded)</t>
    </r>
    <r>
      <rPr>
        <b/>
        <vertAlign val="superscript"/>
        <sz val="10"/>
        <color theme="1"/>
        <rFont val="Arial"/>
        <family val="2"/>
      </rPr>
      <t>j</t>
    </r>
  </si>
  <si>
    <r>
      <t>GRAND TOTAL (rounded)</t>
    </r>
    <r>
      <rPr>
        <b/>
        <vertAlign val="superscript"/>
        <sz val="10"/>
        <color theme="1"/>
        <rFont val="Arial"/>
        <family val="2"/>
      </rPr>
      <t>j</t>
    </r>
  </si>
  <si>
    <r>
      <t xml:space="preserve">         Start-up Shutdown and Malfunction Plan</t>
    </r>
    <r>
      <rPr>
        <vertAlign val="superscript"/>
        <sz val="10"/>
        <color theme="1"/>
        <rFont val="Arial"/>
        <family val="2"/>
      </rPr>
      <t>c</t>
    </r>
  </si>
  <si>
    <r>
      <t>d</t>
    </r>
    <r>
      <rPr>
        <sz val="10"/>
        <color theme="1"/>
        <rFont val="Arial"/>
        <family val="2"/>
      </rPr>
      <t xml:space="preserve"> Compliance status reports are required semiannually. We have assumed that deviations get reported as part of the semiannual compliance status report. We have assumed that all of the sources that had an SSM of a control device was consistent with the SSM plan and therefore no separate SSM report burden is estimated.</t>
    </r>
  </si>
  <si>
    <r>
      <t>e</t>
    </r>
    <r>
      <rPr>
        <sz val="10"/>
        <color theme="1"/>
        <rFont val="Arial"/>
        <family val="2"/>
      </rPr>
      <t xml:space="preserve"> Compliance status reports are required semiannually. We have assumed that deviations get reported as part of the semiannual compliance status report. We have assumed that all of the sources that had an SSM of a control device was consistent with the SSM plan and therefore no separate SSM report burden is estimated.</t>
    </r>
  </si>
  <si>
    <t>Reporting</t>
  </si>
  <si>
    <t>Recordkeeping</t>
  </si>
  <si>
    <t>Total</t>
  </si>
  <si>
    <t>Total Annual Responses</t>
  </si>
  <si>
    <t>(A)</t>
  </si>
  <si>
    <t>Information Collection Activity</t>
  </si>
  <si>
    <t>(B)</t>
  </si>
  <si>
    <t>Number of Respondents</t>
  </si>
  <si>
    <t>(C)</t>
  </si>
  <si>
    <t>Number of Responses</t>
  </si>
  <si>
    <t>(D)</t>
  </si>
  <si>
    <t>Number of Existing Respondents That Keep Records But Do Not Submit Reports</t>
  </si>
  <si>
    <t>(E)</t>
  </si>
  <si>
    <t>E=(BxC)+D</t>
  </si>
  <si>
    <t>Compliance status report</t>
  </si>
  <si>
    <t>Initial notifications</t>
  </si>
  <si>
    <t>Notification of construction/reconstruction</t>
  </si>
  <si>
    <t>Notification of actual startup</t>
  </si>
  <si>
    <t>Start-up Shutdown and Malfunction Plan</t>
  </si>
  <si>
    <t>Performance evaluation report</t>
  </si>
  <si>
    <t>Affected Sector</t>
  </si>
  <si>
    <r>
      <t xml:space="preserve">d </t>
    </r>
    <r>
      <rPr>
        <sz val="10"/>
        <color theme="1"/>
        <rFont val="Arial"/>
        <family val="2"/>
      </rPr>
      <t>We have assumed that the one new source will use controls to comply with the standard and therefore the one-time SSM plan requirement will occur during this ICR period. We have assumed that this one new source will not develop a site-specific monitoring and inspection plan for catalytic oxidizer controls.</t>
    </r>
  </si>
  <si>
    <r>
      <t>a</t>
    </r>
    <r>
      <rPr>
        <sz val="10"/>
        <rFont val="Arial"/>
        <family val="2"/>
      </rPr>
      <t xml:space="preserve"> We have assumed that the average number of private sources subject to the rule will be 15, and that one new facility will become subject to the rule over the three-year period of this ICR. This ICR assumes that all sources will incur a burden to re-familiarize themselves with the regulatory requirements each year.</t>
    </r>
  </si>
  <si>
    <t>Table 1c:  Annual Respondent Burden and Cost Breakdown by Affected Sector– NESHAP for Engine Test Cells/Stands (40 CFR Part 63, Subpart PPPPP) (Renewal)</t>
  </si>
  <si>
    <r>
      <t xml:space="preserve">d  </t>
    </r>
    <r>
      <rPr>
        <sz val="10"/>
        <rFont val="Arial"/>
        <family val="2"/>
      </rPr>
      <t>We have assumed that none of the respondents are submitting waivers for recordkeeping and reporting requirements.</t>
    </r>
  </si>
  <si>
    <r>
      <t xml:space="preserve">a  </t>
    </r>
    <r>
      <rPr>
        <sz val="10"/>
        <rFont val="Arial"/>
        <family val="2"/>
      </rPr>
      <t>We have assumed that the average number of existing sources subject to the rule will be 18, and that one new facility will become subject to the rule over the three-year period of this ICR.  That facility is not assumed to require repeat performance evaluation testing.</t>
    </r>
  </si>
  <si>
    <t>Note: Number of occurrences updated to 52 weeks (footnote says weekly basis.)</t>
  </si>
  <si>
    <t>Private</t>
  </si>
  <si>
    <t>Public (Federal)</t>
  </si>
  <si>
    <t>Number of Response</t>
  </si>
  <si>
    <t>Labor Hours</t>
  </si>
  <si>
    <t>Labor Cost</t>
  </si>
  <si>
    <t>Capital and O&amp;M Cost</t>
  </si>
  <si>
    <t>Total hours per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</si>
</sst>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8" formatCode="&quot;$&quot;#,##0.00_);[Red]\(&quot;$&quot;#,##0.00\)"/>
    <numFmt numFmtId="164" formatCode="0.0"/>
    <numFmt numFmtId="165" formatCode="&quot;$&quot;#,##0"/>
  </numFmts>
  <fonts count="27" x14ac:knownFonts="1">
    <font>
      <sz val="11"/>
      <color theme="1"/>
      <name val="Calibri"/>
      <family val="2"/>
      <scheme val="minor"/>
    </font>
    <font>
      <sz val="10"/>
      <color theme="1"/>
      <name val="Arial"/>
      <family val="2"/>
    </font>
    <font>
      <sz val="10"/>
      <color theme="1"/>
      <name val="Arial"/>
      <family val="2"/>
    </font>
    <font>
      <b/>
      <sz val="12"/>
      <color theme="1"/>
      <name val="Times New Roman"/>
      <family val="1"/>
    </font>
    <font>
      <b/>
      <sz val="10"/>
      <color theme="1"/>
      <name val="Arial"/>
      <family val="2"/>
    </font>
    <font>
      <b/>
      <vertAlign val="superscript"/>
      <sz val="12"/>
      <color theme="1"/>
      <name val="Arial"/>
      <family val="2"/>
    </font>
    <font>
      <b/>
      <vertAlign val="superscript"/>
      <sz val="10"/>
      <color theme="1"/>
      <name val="Arial"/>
      <family val="2"/>
    </font>
    <font>
      <sz val="10"/>
      <color theme="1"/>
      <name val="Arial"/>
      <family val="2"/>
    </font>
    <font>
      <vertAlign val="superscript"/>
      <sz val="10"/>
      <color theme="1"/>
      <name val="Arial"/>
      <family val="2"/>
    </font>
    <font>
      <sz val="10"/>
      <color rgb="FFFF0000"/>
      <name val="Arial"/>
      <family val="2"/>
    </font>
    <font>
      <sz val="7"/>
      <color theme="1"/>
      <name val="Arial"/>
      <family val="2"/>
    </font>
    <font>
      <sz val="10"/>
      <name val="Arial"/>
      <family val="2"/>
    </font>
    <font>
      <vertAlign val="superscript"/>
      <sz val="10"/>
      <name val="Arial"/>
      <family val="2"/>
    </font>
    <font>
      <b/>
      <i/>
      <sz val="10"/>
      <color theme="1"/>
      <name val="Arial"/>
      <family val="2"/>
    </font>
    <font>
      <sz val="14"/>
      <color theme="1"/>
      <name val="Arial"/>
      <family val="2"/>
    </font>
    <font>
      <b/>
      <i/>
      <vertAlign val="superscript"/>
      <sz val="10"/>
      <color theme="1"/>
      <name val="Arial"/>
      <family val="2"/>
    </font>
    <font>
      <b/>
      <sz val="11"/>
      <color theme="1"/>
      <name val="Calibri"/>
      <family val="2"/>
      <scheme val="minor"/>
    </font>
    <font>
      <sz val="12"/>
      <color rgb="FF000000"/>
      <name val="Times New Roman"/>
      <family val="1"/>
    </font>
    <font>
      <b/>
      <sz val="12"/>
      <color rgb="FF000000"/>
      <name val="Times New Roman"/>
      <family val="1"/>
    </font>
    <font>
      <b/>
      <sz val="9"/>
      <color rgb="FF000000"/>
      <name val="Times New Roman"/>
      <family val="1"/>
    </font>
    <font>
      <sz val="9"/>
      <color rgb="FF000000"/>
      <name val="Times New Roman"/>
      <family val="1"/>
    </font>
    <font>
      <sz val="9"/>
      <color theme="1"/>
      <name val="Times New Roman"/>
      <family val="1"/>
    </font>
    <font>
      <sz val="9"/>
      <name val="Times New Roman"/>
      <family val="1"/>
    </font>
    <font>
      <sz val="12"/>
      <color theme="1"/>
      <name val="Times New Roman"/>
      <family val="1"/>
    </font>
    <font>
      <b/>
      <i/>
      <sz val="12"/>
      <color theme="1"/>
      <name val="Times New Roman"/>
      <family val="1"/>
    </font>
    <font>
      <i/>
      <sz val="12"/>
      <color theme="1"/>
      <name val="Times New Roman"/>
      <family val="1"/>
    </font>
    <font>
      <b/>
      <sz val="9"/>
      <color theme="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s>
  <cellStyleXfs count="1">
    <xf numFmtId="0" fontId="0" fillId="0" borderId="0"/>
  </cellStyleXfs>
  <cellXfs count="96">
    <xf numFmtId="0" fontId="0" fillId="0" borderId="0" xfId="0"/>
    <xf numFmtId="0" fontId="4" fillId="0" borderId="0" xfId="0" applyFont="1"/>
    <xf numFmtId="0" fontId="7" fillId="0" borderId="0" xfId="0" applyFont="1"/>
    <xf numFmtId="0" fontId="3" fillId="0" borderId="0" xfId="0" applyFont="1"/>
    <xf numFmtId="0" fontId="7" fillId="0" borderId="1" xfId="0" applyFont="1" applyFill="1" applyBorder="1" applyAlignment="1">
      <alignment horizontal="center" vertical="top" wrapText="1"/>
    </xf>
    <xf numFmtId="0" fontId="7" fillId="0" borderId="1" xfId="0" applyFont="1" applyFill="1" applyBorder="1" applyAlignment="1">
      <alignment horizontal="left" vertical="top" wrapText="1" indent="1"/>
    </xf>
    <xf numFmtId="0" fontId="7" fillId="0" borderId="1" xfId="0" applyFont="1" applyFill="1" applyBorder="1" applyAlignment="1">
      <alignment horizontal="right" vertical="top" wrapText="1" indent="1"/>
    </xf>
    <xf numFmtId="6" fontId="7" fillId="0" borderId="1" xfId="0" applyNumberFormat="1" applyFont="1" applyFill="1" applyBorder="1" applyAlignment="1">
      <alignment horizontal="right" vertical="top" wrapText="1" indent="1"/>
    </xf>
    <xf numFmtId="0" fontId="8" fillId="0" borderId="0" xfId="0" applyFont="1" applyFill="1"/>
    <xf numFmtId="0" fontId="7" fillId="0" borderId="0" xfId="0" applyFont="1" applyFill="1"/>
    <xf numFmtId="164" fontId="7" fillId="0" borderId="1" xfId="0" applyNumberFormat="1" applyFont="1" applyFill="1" applyBorder="1" applyAlignment="1">
      <alignment horizontal="center" vertical="top" wrapText="1"/>
    </xf>
    <xf numFmtId="8" fontId="7" fillId="0" borderId="1" xfId="0" applyNumberFormat="1" applyFont="1" applyFill="1" applyBorder="1" applyAlignment="1">
      <alignment horizontal="right" vertical="top" wrapText="1" indent="1"/>
    </xf>
    <xf numFmtId="0" fontId="0" fillId="0" borderId="0" xfId="0" applyFill="1"/>
    <xf numFmtId="0" fontId="7" fillId="0" borderId="1" xfId="0" applyFont="1" applyFill="1" applyBorder="1" applyAlignment="1">
      <alignment horizontal="left" vertical="top" wrapText="1" indent="4"/>
    </xf>
    <xf numFmtId="0" fontId="11" fillId="0" borderId="1" xfId="0" applyFont="1" applyFill="1" applyBorder="1" applyAlignment="1">
      <alignment horizontal="left" vertical="top" wrapText="1" indent="1"/>
    </xf>
    <xf numFmtId="0" fontId="2" fillId="0" borderId="0" xfId="0" applyFont="1"/>
    <xf numFmtId="0" fontId="9" fillId="0" borderId="0" xfId="0" applyFont="1"/>
    <xf numFmtId="0" fontId="2" fillId="0" borderId="1" xfId="0" applyFont="1" applyFill="1" applyBorder="1" applyAlignment="1">
      <alignment horizontal="left" vertical="top" wrapText="1" indent="1"/>
    </xf>
    <xf numFmtId="0" fontId="11" fillId="0" borderId="1" xfId="0" applyFont="1" applyFill="1" applyBorder="1" applyAlignment="1">
      <alignment horizontal="center" vertical="top" wrapText="1"/>
    </xf>
    <xf numFmtId="8" fontId="11" fillId="0" borderId="1" xfId="0" applyNumberFormat="1" applyFont="1" applyFill="1" applyBorder="1" applyAlignment="1">
      <alignment horizontal="right" vertical="top" wrapText="1" indent="1"/>
    </xf>
    <xf numFmtId="0" fontId="11" fillId="0" borderId="1" xfId="0" applyFont="1" applyFill="1" applyBorder="1" applyAlignment="1">
      <alignment horizontal="right" vertical="top" wrapText="1" indent="1"/>
    </xf>
    <xf numFmtId="6" fontId="11" fillId="0" borderId="1" xfId="0" applyNumberFormat="1" applyFont="1" applyFill="1" applyBorder="1" applyAlignment="1">
      <alignment horizontal="right" vertical="top" wrapText="1" indent="1"/>
    </xf>
    <xf numFmtId="0" fontId="12" fillId="0" borderId="0" xfId="0" applyFont="1" applyFill="1"/>
    <xf numFmtId="0" fontId="7" fillId="0" borderId="1" xfId="0" applyFont="1" applyFill="1" applyBorder="1" applyAlignment="1">
      <alignment horizontal="center" vertical="top" wrapText="1"/>
    </xf>
    <xf numFmtId="0" fontId="7" fillId="0" borderId="1" xfId="0" applyFont="1" applyFill="1" applyBorder="1" applyAlignment="1">
      <alignment horizontal="left" vertical="top" wrapText="1" indent="1"/>
    </xf>
    <xf numFmtId="164" fontId="11" fillId="0" borderId="1" xfId="0" applyNumberFormat="1" applyFont="1" applyFill="1" applyBorder="1" applyAlignment="1">
      <alignment horizontal="center" vertical="top" wrapText="1"/>
    </xf>
    <xf numFmtId="1" fontId="11" fillId="0" borderId="1" xfId="0" applyNumberFormat="1"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center" vertical="top" wrapText="1"/>
    </xf>
    <xf numFmtId="164" fontId="13" fillId="0" borderId="1" xfId="0" applyNumberFormat="1" applyFont="1" applyFill="1" applyBorder="1" applyAlignment="1">
      <alignment horizontal="center" vertical="top" wrapText="1"/>
    </xf>
    <xf numFmtId="6" fontId="13" fillId="0" borderId="1" xfId="0" applyNumberFormat="1" applyFont="1" applyFill="1" applyBorder="1" applyAlignment="1">
      <alignment horizontal="right" vertical="top" wrapText="1" indent="1"/>
    </xf>
    <xf numFmtId="0" fontId="7" fillId="0" borderId="1" xfId="0" applyFont="1" applyFill="1" applyBorder="1" applyAlignment="1">
      <alignment horizontal="center" vertical="top" wrapText="1"/>
    </xf>
    <xf numFmtId="0" fontId="7" fillId="0" borderId="1" xfId="0" applyFont="1" applyFill="1" applyBorder="1" applyAlignment="1">
      <alignment horizontal="left" vertical="top" wrapText="1" indent="1"/>
    </xf>
    <xf numFmtId="0" fontId="7" fillId="0" borderId="1" xfId="0" applyFont="1" applyFill="1" applyBorder="1" applyAlignment="1">
      <alignment horizontal="left" wrapText="1" indent="1"/>
    </xf>
    <xf numFmtId="0" fontId="1" fillId="0" borderId="1" xfId="0" applyFont="1" applyFill="1" applyBorder="1" applyAlignment="1">
      <alignment horizontal="left" vertical="top" wrapText="1" indent="1"/>
    </xf>
    <xf numFmtId="0" fontId="4" fillId="0" borderId="1" xfId="0" applyFont="1" applyFill="1" applyBorder="1" applyAlignment="1">
      <alignment horizontal="left" indent="1"/>
    </xf>
    <xf numFmtId="0" fontId="4" fillId="0" borderId="1" xfId="0" applyFont="1" applyFill="1" applyBorder="1" applyAlignment="1"/>
    <xf numFmtId="0" fontId="4" fillId="0" borderId="2" xfId="0" applyFont="1" applyFill="1" applyBorder="1" applyAlignment="1">
      <alignment wrapText="1"/>
    </xf>
    <xf numFmtId="0" fontId="4" fillId="0" borderId="1" xfId="0" applyFont="1" applyFill="1" applyBorder="1" applyAlignment="1">
      <alignment horizontal="center" vertical="top" wrapText="1"/>
    </xf>
    <xf numFmtId="6" fontId="4" fillId="0" borderId="1" xfId="0" applyNumberFormat="1" applyFont="1" applyFill="1" applyBorder="1" applyAlignment="1">
      <alignment horizontal="right" vertical="top" wrapText="1" indent="1"/>
    </xf>
    <xf numFmtId="0" fontId="7" fillId="0" borderId="1" xfId="0" applyFont="1" applyBorder="1"/>
    <xf numFmtId="0" fontId="4" fillId="0" borderId="1" xfId="0" applyFont="1" applyBorder="1"/>
    <xf numFmtId="6" fontId="4" fillId="0" borderId="1" xfId="0" applyNumberFormat="1" applyFont="1" applyFill="1" applyBorder="1" applyAlignment="1">
      <alignment horizontal="right" wrapText="1" indent="1"/>
    </xf>
    <xf numFmtId="0" fontId="4" fillId="0" borderId="2" xfId="0" applyFont="1" applyFill="1" applyBorder="1" applyAlignment="1">
      <alignment horizontal="center" wrapText="1"/>
    </xf>
    <xf numFmtId="3" fontId="4" fillId="0" borderId="1" xfId="0" applyNumberFormat="1" applyFont="1" applyFill="1" applyBorder="1" applyAlignment="1">
      <alignment horizontal="center" vertical="top" wrapText="1"/>
    </xf>
    <xf numFmtId="0" fontId="1" fillId="0" borderId="0" xfId="0" applyFont="1"/>
    <xf numFmtId="3" fontId="7" fillId="0" borderId="0" xfId="0" applyNumberFormat="1" applyFont="1"/>
    <xf numFmtId="6" fontId="7" fillId="0" borderId="0" xfId="0" applyNumberFormat="1" applyFont="1"/>
    <xf numFmtId="1" fontId="13" fillId="0" borderId="1" xfId="0" applyNumberFormat="1" applyFont="1" applyFill="1" applyBorder="1" applyAlignment="1">
      <alignment horizontal="center" vertical="top" wrapText="1"/>
    </xf>
    <xf numFmtId="0" fontId="1" fillId="0" borderId="0" xfId="0" applyFont="1" applyFill="1"/>
    <xf numFmtId="1" fontId="7" fillId="0" borderId="1" xfId="0" applyNumberFormat="1" applyFont="1" applyFill="1" applyBorder="1" applyAlignment="1">
      <alignment horizontal="center" vertical="top" wrapText="1"/>
    </xf>
    <xf numFmtId="0" fontId="1" fillId="0" borderId="1" xfId="0" applyFont="1" applyFill="1" applyBorder="1" applyAlignment="1">
      <alignment horizontal="left" vertical="top" wrapText="1" indent="4"/>
    </xf>
    <xf numFmtId="165" fontId="7" fillId="0" borderId="1" xfId="0" applyNumberFormat="1" applyFont="1" applyFill="1" applyBorder="1" applyAlignment="1">
      <alignment horizontal="right" vertical="top" wrapText="1" indent="1"/>
    </xf>
    <xf numFmtId="3" fontId="13" fillId="0" borderId="1" xfId="0" applyNumberFormat="1" applyFont="1" applyFill="1" applyBorder="1" applyAlignment="1">
      <alignment horizontal="center" vertical="top" wrapText="1"/>
    </xf>
    <xf numFmtId="0" fontId="19" fillId="0" borderId="9"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21" fillId="0" borderId="10" xfId="0" applyFont="1" applyBorder="1" applyAlignment="1">
      <alignment vertical="top" wrapText="1"/>
    </xf>
    <xf numFmtId="0" fontId="21" fillId="0" borderId="1" xfId="0" applyFont="1" applyFill="1" applyBorder="1" applyAlignment="1">
      <alignment horizontal="left" vertical="top" wrapText="1" indent="1"/>
    </xf>
    <xf numFmtId="0" fontId="22" fillId="0" borderId="1" xfId="0" applyFont="1" applyFill="1" applyBorder="1" applyAlignment="1">
      <alignment horizontal="left" vertical="top" wrapText="1" indent="1"/>
    </xf>
    <xf numFmtId="0" fontId="20" fillId="0" borderId="9" xfId="0" applyFont="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Border="1" applyAlignment="1">
      <alignment horizontal="center"/>
    </xf>
    <xf numFmtId="0" fontId="16" fillId="0" borderId="0" xfId="0" applyFont="1"/>
    <xf numFmtId="0" fontId="23" fillId="0" borderId="0" xfId="0" applyFont="1"/>
    <xf numFmtId="0" fontId="23" fillId="0" borderId="1" xfId="0" applyFont="1" applyBorder="1"/>
    <xf numFmtId="165" fontId="23" fillId="0" borderId="1" xfId="0" applyNumberFormat="1" applyFont="1" applyFill="1" applyBorder="1"/>
    <xf numFmtId="3" fontId="23" fillId="0" borderId="1" xfId="0" applyNumberFormat="1" applyFont="1" applyFill="1" applyBorder="1"/>
    <xf numFmtId="1" fontId="23" fillId="0" borderId="0" xfId="0" applyNumberFormat="1" applyFont="1" applyAlignment="1">
      <alignment horizontal="center"/>
    </xf>
    <xf numFmtId="3" fontId="23" fillId="0" borderId="1" xfId="0" applyNumberFormat="1" applyFont="1" applyBorder="1"/>
    <xf numFmtId="6" fontId="23" fillId="0" borderId="1" xfId="0" applyNumberFormat="1" applyFont="1" applyBorder="1"/>
    <xf numFmtId="0" fontId="3" fillId="2" borderId="1" xfId="0" applyFont="1" applyFill="1" applyBorder="1" applyAlignment="1">
      <alignment horizontal="center" vertical="center"/>
    </xf>
    <xf numFmtId="0" fontId="24" fillId="0" borderId="1" xfId="0" applyFont="1" applyBorder="1"/>
    <xf numFmtId="3" fontId="24" fillId="0" borderId="1" xfId="0" applyNumberFormat="1" applyFont="1" applyBorder="1"/>
    <xf numFmtId="165" fontId="24" fillId="0" borderId="1" xfId="0" applyNumberFormat="1" applyFont="1" applyBorder="1"/>
    <xf numFmtId="0" fontId="24" fillId="0" borderId="0" xfId="0" applyFont="1"/>
    <xf numFmtId="0" fontId="25" fillId="0" borderId="0" xfId="0" applyFont="1"/>
    <xf numFmtId="0" fontId="19" fillId="0" borderId="1" xfId="0" applyFont="1" applyBorder="1" applyAlignment="1">
      <alignment horizontal="center" vertical="center" wrapText="1"/>
    </xf>
    <xf numFmtId="0" fontId="26" fillId="0" borderId="1" xfId="0" applyFont="1" applyBorder="1" applyAlignment="1">
      <alignment horizontal="center" vertical="center" wrapText="1"/>
    </xf>
    <xf numFmtId="8" fontId="7" fillId="0" borderId="0" xfId="0" applyNumberFormat="1" applyFont="1"/>
    <xf numFmtId="0" fontId="12" fillId="0" borderId="0" xfId="0" applyFont="1" applyFill="1" applyAlignment="1">
      <alignment horizontal="left" wrapText="1"/>
    </xf>
    <xf numFmtId="0" fontId="8" fillId="0" borderId="0" xfId="0" applyFont="1" applyFill="1" applyAlignment="1">
      <alignment horizontal="left" wrapText="1"/>
    </xf>
    <xf numFmtId="0" fontId="0" fillId="0" borderId="0" xfId="0" applyFill="1" applyAlignment="1">
      <alignment horizontal="left"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2" fillId="0" borderId="0" xfId="0" applyFont="1" applyAlignment="1">
      <alignment horizontal="left" wrapText="1"/>
    </xf>
    <xf numFmtId="0" fontId="14" fillId="0" borderId="0" xfId="0" applyFont="1" applyFill="1" applyAlignment="1">
      <alignment horizontal="left" wrapText="1"/>
    </xf>
    <xf numFmtId="1" fontId="4" fillId="0" borderId="1" xfId="0" applyNumberFormat="1" applyFont="1" applyFill="1" applyBorder="1" applyAlignment="1">
      <alignment horizont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7" fillId="0" borderId="5" xfId="0" applyFont="1" applyBorder="1" applyAlignment="1">
      <alignment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tabSelected="1" workbookViewId="0">
      <selection activeCell="K26" sqref="K26"/>
    </sheetView>
  </sheetViews>
  <sheetFormatPr defaultRowHeight="12.75" x14ac:dyDescent="0.2"/>
  <cols>
    <col min="1" max="1" width="45.140625" style="2" customWidth="1"/>
    <col min="2" max="2" width="12.5703125" style="2" customWidth="1"/>
    <col min="3" max="3" width="14.140625" style="2" customWidth="1"/>
    <col min="4" max="4" width="12" style="2" customWidth="1"/>
    <col min="5" max="5" width="13" style="2" customWidth="1"/>
    <col min="6" max="6" width="11" style="2" customWidth="1"/>
    <col min="7" max="7" width="13.140625" style="2" customWidth="1"/>
    <col min="8" max="8" width="10.140625" style="2" customWidth="1"/>
    <col min="9" max="9" width="13.42578125" style="2" customWidth="1"/>
    <col min="10" max="10" width="2.140625" style="2" customWidth="1"/>
    <col min="11" max="11" width="11.7109375" style="2" bestFit="1" customWidth="1"/>
    <col min="12" max="12" width="9.140625" style="2"/>
    <col min="13" max="13" width="7.85546875" style="2" customWidth="1"/>
    <col min="14" max="16384" width="9.140625" style="2"/>
  </cols>
  <sheetData>
    <row r="1" spans="1:14" ht="15.75" x14ac:dyDescent="0.25">
      <c r="A1" s="3" t="s">
        <v>57</v>
      </c>
    </row>
    <row r="2" spans="1:14" ht="15.75" x14ac:dyDescent="0.25">
      <c r="A2" s="3"/>
    </row>
    <row r="4" spans="1:14" ht="15" customHeight="1" x14ac:dyDescent="0.25">
      <c r="F4" s="2">
        <v>112.98</v>
      </c>
      <c r="G4" s="2">
        <v>149.35</v>
      </c>
      <c r="H4" s="2">
        <v>54.81</v>
      </c>
      <c r="K4" s="45"/>
      <c r="L4"/>
      <c r="M4"/>
      <c r="N4"/>
    </row>
    <row r="5" spans="1:14" ht="76.5" x14ac:dyDescent="0.2">
      <c r="A5" s="37" t="s">
        <v>0</v>
      </c>
      <c r="B5" s="38" t="s">
        <v>24</v>
      </c>
      <c r="C5" s="38" t="s">
        <v>25</v>
      </c>
      <c r="D5" s="38" t="s">
        <v>33</v>
      </c>
      <c r="E5" s="38" t="s">
        <v>51</v>
      </c>
      <c r="F5" s="38" t="s">
        <v>29</v>
      </c>
      <c r="G5" s="38" t="s">
        <v>34</v>
      </c>
      <c r="H5" s="38" t="s">
        <v>35</v>
      </c>
      <c r="I5" s="38" t="s">
        <v>52</v>
      </c>
    </row>
    <row r="6" spans="1:14" x14ac:dyDescent="0.2">
      <c r="A6" s="32" t="s">
        <v>1</v>
      </c>
      <c r="B6" s="31" t="s">
        <v>2</v>
      </c>
      <c r="C6" s="31"/>
      <c r="D6" s="31"/>
      <c r="E6" s="31"/>
      <c r="F6" s="31"/>
      <c r="G6" s="31"/>
      <c r="H6" s="31"/>
      <c r="I6" s="6"/>
    </row>
    <row r="7" spans="1:14" x14ac:dyDescent="0.2">
      <c r="A7" s="32" t="s">
        <v>3</v>
      </c>
      <c r="B7" s="31" t="s">
        <v>2</v>
      </c>
      <c r="C7" s="31"/>
      <c r="D7" s="31"/>
      <c r="E7" s="31"/>
      <c r="F7" s="31"/>
      <c r="G7" s="31"/>
      <c r="H7" s="31"/>
      <c r="I7" s="6"/>
    </row>
    <row r="8" spans="1:14" x14ac:dyDescent="0.2">
      <c r="A8" s="32" t="s">
        <v>4</v>
      </c>
      <c r="B8" s="31"/>
      <c r="C8" s="31"/>
      <c r="D8" s="31"/>
      <c r="E8" s="31"/>
      <c r="F8" s="31"/>
      <c r="G8" s="31"/>
      <c r="H8" s="31"/>
      <c r="I8" s="6"/>
    </row>
    <row r="9" spans="1:14" ht="28.5" x14ac:dyDescent="0.2">
      <c r="A9" s="34" t="s">
        <v>69</v>
      </c>
      <c r="B9" s="31">
        <v>4</v>
      </c>
      <c r="C9" s="31">
        <v>1</v>
      </c>
      <c r="D9" s="31">
        <f>B9*C9</f>
        <v>4</v>
      </c>
      <c r="E9" s="31">
        <f>15+1</f>
        <v>16</v>
      </c>
      <c r="F9" s="31">
        <f>D9*E9</f>
        <v>64</v>
      </c>
      <c r="G9" s="31">
        <f>F9*0.05</f>
        <v>3.2</v>
      </c>
      <c r="H9" s="31">
        <f>F9*0.1</f>
        <v>6.4</v>
      </c>
      <c r="I9" s="11">
        <f>F9*$F$4+G9*$G$4+H9*$H$4</f>
        <v>8059.424</v>
      </c>
      <c r="K9" s="45"/>
    </row>
    <row r="10" spans="1:14" ht="14.25" x14ac:dyDescent="0.2">
      <c r="A10" s="34" t="s">
        <v>43</v>
      </c>
      <c r="B10" s="31"/>
      <c r="C10" s="31"/>
      <c r="D10" s="31"/>
      <c r="E10" s="31"/>
      <c r="F10" s="31"/>
      <c r="G10" s="31"/>
      <c r="H10" s="31"/>
      <c r="I10" s="6"/>
    </row>
    <row r="11" spans="1:14" s="9" customFormat="1" x14ac:dyDescent="0.2">
      <c r="A11" s="32" t="s">
        <v>5</v>
      </c>
      <c r="B11" s="31">
        <v>2</v>
      </c>
      <c r="C11" s="31">
        <v>0.3</v>
      </c>
      <c r="D11" s="31">
        <f>B11*C11</f>
        <v>0.6</v>
      </c>
      <c r="E11" s="31">
        <v>1</v>
      </c>
      <c r="F11" s="31">
        <f>D11*E11</f>
        <v>0.6</v>
      </c>
      <c r="G11" s="31">
        <f>F11*0.05</f>
        <v>0.03</v>
      </c>
      <c r="H11" s="31">
        <f>F11*0.1</f>
        <v>0.06</v>
      </c>
      <c r="I11" s="11">
        <f>F11*$F$4+G11*$G$4+H11*$H$4</f>
        <v>75.557099999999991</v>
      </c>
      <c r="K11" s="49"/>
    </row>
    <row r="12" spans="1:14" s="9" customFormat="1" x14ac:dyDescent="0.2">
      <c r="A12" s="32" t="s">
        <v>6</v>
      </c>
      <c r="B12" s="31">
        <v>2</v>
      </c>
      <c r="C12" s="31">
        <v>0.3</v>
      </c>
      <c r="D12" s="31">
        <f>B12*C12</f>
        <v>0.6</v>
      </c>
      <c r="E12" s="31">
        <v>1</v>
      </c>
      <c r="F12" s="31">
        <f>D12*E12</f>
        <v>0.6</v>
      </c>
      <c r="G12" s="31">
        <f>F12*0.05</f>
        <v>0.03</v>
      </c>
      <c r="H12" s="31">
        <f>F12*0.1</f>
        <v>0.06</v>
      </c>
      <c r="I12" s="11">
        <f>F12*$F$4+G12*$G$4+H12*$H$4</f>
        <v>75.557099999999991</v>
      </c>
    </row>
    <row r="13" spans="1:14" s="9" customFormat="1" x14ac:dyDescent="0.2">
      <c r="A13" s="32" t="s">
        <v>7</v>
      </c>
      <c r="B13" s="31">
        <v>2</v>
      </c>
      <c r="C13" s="31">
        <v>0.3</v>
      </c>
      <c r="D13" s="31">
        <f>B13*C13</f>
        <v>0.6</v>
      </c>
      <c r="E13" s="31">
        <v>1</v>
      </c>
      <c r="F13" s="31">
        <f>D13*E13</f>
        <v>0.6</v>
      </c>
      <c r="G13" s="31">
        <f>F13*0.05</f>
        <v>0.03</v>
      </c>
      <c r="H13" s="31">
        <f>F13*0.1</f>
        <v>0.06</v>
      </c>
      <c r="I13" s="11">
        <f>F13*$F$4+G13*$G$4+H13*$H$4</f>
        <v>75.557099999999991</v>
      </c>
      <c r="K13" s="49"/>
    </row>
    <row r="14" spans="1:14" s="9" customFormat="1" x14ac:dyDescent="0.2">
      <c r="A14" s="32" t="s">
        <v>8</v>
      </c>
      <c r="B14" s="31" t="s">
        <v>9</v>
      </c>
      <c r="C14" s="31"/>
      <c r="D14" s="31"/>
      <c r="E14" s="31"/>
      <c r="F14" s="31"/>
      <c r="G14" s="31"/>
      <c r="H14" s="31"/>
      <c r="I14" s="6"/>
    </row>
    <row r="15" spans="1:14" s="9" customFormat="1" x14ac:dyDescent="0.2">
      <c r="A15" s="32" t="s">
        <v>10</v>
      </c>
      <c r="B15" s="31" t="s">
        <v>11</v>
      </c>
      <c r="C15" s="31"/>
      <c r="D15" s="31"/>
      <c r="E15" s="31"/>
      <c r="F15" s="31"/>
      <c r="G15" s="31"/>
      <c r="H15" s="31"/>
      <c r="I15" s="6"/>
    </row>
    <row r="16" spans="1:14" s="9" customFormat="1" x14ac:dyDescent="0.2">
      <c r="A16" s="32" t="s">
        <v>12</v>
      </c>
      <c r="B16" s="31"/>
      <c r="C16" s="31"/>
      <c r="D16" s="31"/>
      <c r="E16" s="31"/>
      <c r="F16" s="31"/>
      <c r="G16" s="31"/>
      <c r="H16" s="31"/>
      <c r="I16" s="6"/>
    </row>
    <row r="17" spans="1:11" s="9" customFormat="1" ht="14.25" x14ac:dyDescent="0.2">
      <c r="A17" s="14" t="s">
        <v>79</v>
      </c>
      <c r="B17" s="31">
        <v>20</v>
      </c>
      <c r="C17" s="31">
        <v>0.3</v>
      </c>
      <c r="D17" s="31">
        <f>B17*C17</f>
        <v>6</v>
      </c>
      <c r="E17" s="31">
        <v>1</v>
      </c>
      <c r="F17" s="31">
        <f>D17*E17</f>
        <v>6</v>
      </c>
      <c r="G17" s="50">
        <f>F17*0.05</f>
        <v>0.30000000000000004</v>
      </c>
      <c r="H17" s="50">
        <f>F17*0.1</f>
        <v>0.60000000000000009</v>
      </c>
      <c r="I17" s="11">
        <f>F17*$F$4+G17*$G$4+H17*$H$4</f>
        <v>755.57099999999991</v>
      </c>
      <c r="K17" s="49"/>
    </row>
    <row r="18" spans="1:11" ht="14.25" x14ac:dyDescent="0.2">
      <c r="A18" s="34" t="s">
        <v>85</v>
      </c>
      <c r="B18" s="31">
        <v>4</v>
      </c>
      <c r="C18" s="31">
        <v>2</v>
      </c>
      <c r="D18" s="31">
        <f>B18*C18</f>
        <v>8</v>
      </c>
      <c r="E18" s="31">
        <f>15+1</f>
        <v>16</v>
      </c>
      <c r="F18" s="31">
        <f>D18*E18</f>
        <v>128</v>
      </c>
      <c r="G18" s="50">
        <f>F18*0.05</f>
        <v>6.4</v>
      </c>
      <c r="H18" s="50">
        <f>F18*0.1</f>
        <v>12.8</v>
      </c>
      <c r="I18" s="11">
        <f>F18*$F$4+G18*$G$4+H18*$H$4</f>
        <v>16118.848</v>
      </c>
      <c r="K18" s="45"/>
    </row>
    <row r="19" spans="1:11" x14ac:dyDescent="0.2">
      <c r="A19" s="14" t="s">
        <v>58</v>
      </c>
      <c r="B19" s="18">
        <v>16</v>
      </c>
      <c r="C19" s="18">
        <v>0.3</v>
      </c>
      <c r="D19" s="18">
        <f>B19*C19</f>
        <v>4.8</v>
      </c>
      <c r="E19" s="18">
        <v>1</v>
      </c>
      <c r="F19" s="18">
        <f>D19*E19</f>
        <v>4.8</v>
      </c>
      <c r="G19" s="25">
        <f>F19*0.05</f>
        <v>0.24</v>
      </c>
      <c r="H19" s="25">
        <f>F19*0.1</f>
        <v>0.48</v>
      </c>
      <c r="I19" s="19">
        <f>F19*$F$4+G19*$G$4+H19*$H$4</f>
        <v>604.45679999999993</v>
      </c>
      <c r="K19" s="16"/>
    </row>
    <row r="20" spans="1:11" x14ac:dyDescent="0.2">
      <c r="A20" s="27" t="s">
        <v>36</v>
      </c>
      <c r="B20" s="28"/>
      <c r="C20" s="28"/>
      <c r="D20" s="28"/>
      <c r="E20" s="28"/>
      <c r="F20" s="28"/>
      <c r="G20" s="48">
        <f>ROUND(SUM(F9:H19), 0)</f>
        <v>235</v>
      </c>
      <c r="H20" s="29"/>
      <c r="I20" s="30">
        <f>ROUND(SUM(I9:I19), 0)</f>
        <v>25765</v>
      </c>
    </row>
    <row r="21" spans="1:11" x14ac:dyDescent="0.2">
      <c r="A21" s="32" t="s">
        <v>13</v>
      </c>
      <c r="B21" s="31"/>
      <c r="C21" s="31"/>
      <c r="D21" s="31"/>
      <c r="E21" s="31"/>
      <c r="F21" s="31"/>
      <c r="G21" s="10"/>
      <c r="H21" s="10"/>
      <c r="I21" s="11"/>
    </row>
    <row r="22" spans="1:11" ht="15" customHeight="1" x14ac:dyDescent="0.2">
      <c r="A22" s="14" t="s">
        <v>86</v>
      </c>
      <c r="B22" s="18">
        <v>330</v>
      </c>
      <c r="C22" s="18">
        <v>0.3</v>
      </c>
      <c r="D22" s="18">
        <f>B22*C22</f>
        <v>99</v>
      </c>
      <c r="E22" s="18">
        <v>1</v>
      </c>
      <c r="F22" s="18">
        <f>D22*E22</f>
        <v>99</v>
      </c>
      <c r="G22" s="25">
        <f>F22*0.05</f>
        <v>4.95</v>
      </c>
      <c r="H22" s="25">
        <f>F22*0.1</f>
        <v>9.9</v>
      </c>
      <c r="I22" s="19">
        <f>F22*$F$4+G22*$G$4+H22*$H$4</f>
        <v>12466.9215</v>
      </c>
      <c r="K22" s="15"/>
    </row>
    <row r="23" spans="1:11" ht="15" customHeight="1" x14ac:dyDescent="0.2">
      <c r="A23" s="14" t="s">
        <v>87</v>
      </c>
      <c r="B23" s="18">
        <v>148</v>
      </c>
      <c r="C23" s="18">
        <v>0.3</v>
      </c>
      <c r="D23" s="18">
        <f>B23*C23</f>
        <v>44.4</v>
      </c>
      <c r="E23" s="18">
        <v>1</v>
      </c>
      <c r="F23" s="18">
        <f>D23*E23</f>
        <v>44.4</v>
      </c>
      <c r="G23" s="25">
        <f>F23*0.05</f>
        <v>2.2200000000000002</v>
      </c>
      <c r="H23" s="25">
        <f>F23*0.1</f>
        <v>4.4400000000000004</v>
      </c>
      <c r="I23" s="19">
        <f>F23*$F$4+G23*$G$4+H23*$H$4</f>
        <v>5591.2253999999994</v>
      </c>
      <c r="K23" s="15"/>
    </row>
    <row r="24" spans="1:11" ht="15" customHeight="1" x14ac:dyDescent="0.2">
      <c r="A24" s="14" t="s">
        <v>88</v>
      </c>
      <c r="B24" s="18">
        <v>330</v>
      </c>
      <c r="C24" s="18">
        <v>1</v>
      </c>
      <c r="D24" s="18">
        <f>B24*C24</f>
        <v>330</v>
      </c>
      <c r="E24" s="26">
        <v>0</v>
      </c>
      <c r="F24" s="18">
        <f>D24*E24</f>
        <v>0</v>
      </c>
      <c r="G24" s="26">
        <f>F24*0.05</f>
        <v>0</v>
      </c>
      <c r="H24" s="26">
        <f>F24*0.1</f>
        <v>0</v>
      </c>
      <c r="I24" s="21">
        <f>F24*$F$4+G24*$G$4+H24*$H$4</f>
        <v>0</v>
      </c>
      <c r="K24" s="15"/>
    </row>
    <row r="25" spans="1:11" ht="14.25" x14ac:dyDescent="0.2">
      <c r="A25" s="34" t="s">
        <v>49</v>
      </c>
      <c r="B25" s="31">
        <v>1.5</v>
      </c>
      <c r="C25" s="31">
        <v>52</v>
      </c>
      <c r="D25" s="31">
        <f>B25*C25</f>
        <v>78</v>
      </c>
      <c r="E25" s="31">
        <v>16</v>
      </c>
      <c r="F25" s="31">
        <f>D25*E25</f>
        <v>1248</v>
      </c>
      <c r="G25" s="10">
        <f>F25*0.05</f>
        <v>62.400000000000006</v>
      </c>
      <c r="H25" s="31">
        <f>F25*0.1</f>
        <v>124.80000000000001</v>
      </c>
      <c r="I25" s="11">
        <f>F25*$F$4+G25*$G$4+H25*$H$4</f>
        <v>157158.76800000001</v>
      </c>
      <c r="K25" s="45" t="s">
        <v>121</v>
      </c>
    </row>
    <row r="26" spans="1:11" x14ac:dyDescent="0.2">
      <c r="A26" s="27" t="s">
        <v>63</v>
      </c>
      <c r="B26" s="28"/>
      <c r="C26" s="28"/>
      <c r="D26" s="28"/>
      <c r="E26" s="28"/>
      <c r="F26" s="28"/>
      <c r="G26" s="53">
        <f>ROUND(SUM(F22:H25), 0)</f>
        <v>1600</v>
      </c>
      <c r="H26" s="28"/>
      <c r="I26" s="30">
        <f>ROUND(SUM(I22:I25), 0)</f>
        <v>175217</v>
      </c>
      <c r="K26" s="81"/>
    </row>
    <row r="27" spans="1:11" ht="14.25" x14ac:dyDescent="0.2">
      <c r="A27" s="36" t="s">
        <v>89</v>
      </c>
      <c r="B27" s="32"/>
      <c r="C27" s="32"/>
      <c r="D27" s="32"/>
      <c r="E27" s="32"/>
      <c r="F27" s="31"/>
      <c r="G27" s="44">
        <f>ROUND(SUM(G20,G26),-1)</f>
        <v>1840</v>
      </c>
      <c r="H27" s="31"/>
      <c r="I27" s="39">
        <f>ROUND(SUM(I26,I20),-3)</f>
        <v>201000</v>
      </c>
    </row>
    <row r="28" spans="1:11" ht="14.25" x14ac:dyDescent="0.2">
      <c r="A28" s="41" t="s">
        <v>90</v>
      </c>
      <c r="B28" s="40"/>
      <c r="C28" s="40"/>
      <c r="D28" s="40"/>
      <c r="E28" s="40"/>
      <c r="F28" s="40"/>
      <c r="G28" s="40"/>
      <c r="H28" s="40"/>
      <c r="I28" s="39">
        <f>16*300+500</f>
        <v>5300</v>
      </c>
    </row>
    <row r="29" spans="1:11" ht="14.25" x14ac:dyDescent="0.2">
      <c r="A29" s="41" t="s">
        <v>91</v>
      </c>
      <c r="B29" s="40"/>
      <c r="C29" s="40"/>
      <c r="D29" s="40"/>
      <c r="E29" s="40"/>
      <c r="F29" s="40"/>
      <c r="G29" s="40"/>
      <c r="H29" s="40"/>
      <c r="I29" s="39">
        <f>ROUND(SUM(I27,I28),-3)</f>
        <v>206000</v>
      </c>
    </row>
    <row r="31" spans="1:11" x14ac:dyDescent="0.2">
      <c r="A31" s="1" t="s">
        <v>14</v>
      </c>
    </row>
    <row r="32" spans="1:11" ht="27.75" customHeight="1" x14ac:dyDescent="0.2">
      <c r="A32" s="82" t="s">
        <v>117</v>
      </c>
      <c r="B32" s="82"/>
      <c r="C32" s="82"/>
      <c r="D32" s="82"/>
      <c r="E32" s="82"/>
      <c r="F32" s="82"/>
      <c r="G32" s="82"/>
      <c r="H32" s="82"/>
      <c r="I32" s="82"/>
      <c r="K32" s="45"/>
    </row>
    <row r="33" spans="1:11" ht="56.25" customHeight="1" x14ac:dyDescent="0.25">
      <c r="A33" s="83" t="s">
        <v>61</v>
      </c>
      <c r="B33" s="84"/>
      <c r="C33" s="84"/>
      <c r="D33" s="84"/>
      <c r="E33" s="84"/>
      <c r="F33" s="84"/>
      <c r="G33" s="84"/>
      <c r="H33" s="84"/>
      <c r="I33" s="84"/>
    </row>
    <row r="34" spans="1:11" s="9" customFormat="1" ht="14.25" x14ac:dyDescent="0.2">
      <c r="A34" s="8" t="s">
        <v>64</v>
      </c>
    </row>
    <row r="35" spans="1:11" s="9" customFormat="1" ht="24.75" customHeight="1" x14ac:dyDescent="0.2">
      <c r="A35" s="83" t="s">
        <v>116</v>
      </c>
      <c r="B35" s="83"/>
      <c r="C35" s="83"/>
      <c r="D35" s="83"/>
      <c r="E35" s="83"/>
      <c r="F35" s="83"/>
      <c r="G35" s="83"/>
      <c r="H35" s="83"/>
      <c r="I35" s="83"/>
      <c r="K35" s="49"/>
    </row>
    <row r="36" spans="1:11" s="9" customFormat="1" ht="31.5" customHeight="1" x14ac:dyDescent="0.2">
      <c r="A36" s="83" t="s">
        <v>94</v>
      </c>
      <c r="B36" s="83"/>
      <c r="C36" s="83"/>
      <c r="D36" s="83"/>
      <c r="E36" s="83"/>
      <c r="F36" s="83"/>
      <c r="G36" s="83"/>
      <c r="H36" s="83"/>
      <c r="I36" s="83"/>
    </row>
    <row r="37" spans="1:11" s="9" customFormat="1" ht="29.25" customHeight="1" x14ac:dyDescent="0.25">
      <c r="A37" s="83" t="s">
        <v>80</v>
      </c>
      <c r="B37" s="84"/>
      <c r="C37" s="84"/>
      <c r="D37" s="84"/>
      <c r="E37" s="84"/>
      <c r="F37" s="84"/>
      <c r="G37" s="84"/>
      <c r="H37" s="84"/>
      <c r="I37" s="84"/>
    </row>
    <row r="38" spans="1:11" s="9" customFormat="1" ht="14.25" x14ac:dyDescent="0.2">
      <c r="A38" s="8" t="s">
        <v>81</v>
      </c>
      <c r="K38" s="49"/>
    </row>
    <row r="39" spans="1:11" s="9" customFormat="1" ht="14.25" x14ac:dyDescent="0.2">
      <c r="A39" s="8" t="s">
        <v>82</v>
      </c>
    </row>
    <row r="40" spans="1:11" s="9" customFormat="1" ht="15" x14ac:dyDescent="0.25">
      <c r="A40" s="83" t="s">
        <v>83</v>
      </c>
      <c r="B40" s="84"/>
      <c r="C40" s="84"/>
      <c r="D40" s="84"/>
      <c r="E40" s="84"/>
      <c r="F40" s="84"/>
      <c r="G40" s="84"/>
      <c r="H40" s="84"/>
      <c r="I40" s="84"/>
    </row>
    <row r="41" spans="1:11" ht="14.25" x14ac:dyDescent="0.2">
      <c r="A41" s="8" t="s">
        <v>84</v>
      </c>
    </row>
  </sheetData>
  <mergeCells count="6">
    <mergeCell ref="A32:I32"/>
    <mergeCell ref="A33:I33"/>
    <mergeCell ref="A37:I37"/>
    <mergeCell ref="A40:I40"/>
    <mergeCell ref="A35:I35"/>
    <mergeCell ref="A36:I3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workbookViewId="0">
      <selection activeCell="L29" sqref="L29"/>
    </sheetView>
  </sheetViews>
  <sheetFormatPr defaultRowHeight="12.75" x14ac:dyDescent="0.2"/>
  <cols>
    <col min="1" max="1" width="45.140625" style="2" customWidth="1"/>
    <col min="2" max="2" width="12.5703125" style="2" customWidth="1"/>
    <col min="3" max="3" width="14.140625" style="2" customWidth="1"/>
    <col min="4" max="4" width="12" style="2" customWidth="1"/>
    <col min="5" max="5" width="13" style="2" customWidth="1"/>
    <col min="6" max="6" width="11" style="2" customWidth="1"/>
    <col min="7" max="7" width="13.140625" style="2" customWidth="1"/>
    <col min="8" max="8" width="10.140625" style="2" customWidth="1"/>
    <col min="9" max="9" width="13.42578125" style="2" customWidth="1"/>
    <col min="10" max="10" width="2.140625" style="2" customWidth="1"/>
    <col min="11" max="12" width="9.140625" style="2"/>
    <col min="13" max="13" width="7.85546875" style="2" customWidth="1"/>
    <col min="14" max="16384" width="9.140625" style="2"/>
  </cols>
  <sheetData>
    <row r="1" spans="1:14" ht="15.75" x14ac:dyDescent="0.25">
      <c r="A1" s="3" t="s">
        <v>56</v>
      </c>
    </row>
    <row r="2" spans="1:14" ht="15.75" x14ac:dyDescent="0.25">
      <c r="A2" s="3"/>
    </row>
    <row r="3" spans="1:14" x14ac:dyDescent="0.2">
      <c r="A3" s="45"/>
    </row>
    <row r="4" spans="1:14" ht="15" customHeight="1" x14ac:dyDescent="0.25">
      <c r="F4">
        <v>48.08</v>
      </c>
      <c r="G4">
        <v>64.8</v>
      </c>
      <c r="H4">
        <v>26.02</v>
      </c>
      <c r="L4"/>
      <c r="M4"/>
      <c r="N4"/>
    </row>
    <row r="5" spans="1:14" ht="76.5" x14ac:dyDescent="0.2">
      <c r="A5" s="37" t="s">
        <v>0</v>
      </c>
      <c r="B5" s="38" t="s">
        <v>24</v>
      </c>
      <c r="C5" s="38" t="s">
        <v>25</v>
      </c>
      <c r="D5" s="38" t="s">
        <v>33</v>
      </c>
      <c r="E5" s="38" t="s">
        <v>51</v>
      </c>
      <c r="F5" s="38" t="s">
        <v>29</v>
      </c>
      <c r="G5" s="38" t="s">
        <v>34</v>
      </c>
      <c r="H5" s="38" t="s">
        <v>35</v>
      </c>
      <c r="I5" s="38" t="s">
        <v>52</v>
      </c>
    </row>
    <row r="6" spans="1:14" x14ac:dyDescent="0.2">
      <c r="A6" s="5" t="s">
        <v>1</v>
      </c>
      <c r="B6" s="4" t="s">
        <v>2</v>
      </c>
      <c r="C6" s="4"/>
      <c r="D6" s="4"/>
      <c r="E6" s="4"/>
      <c r="F6" s="4"/>
      <c r="G6" s="4"/>
      <c r="H6" s="4"/>
      <c r="I6" s="6"/>
    </row>
    <row r="7" spans="1:14" x14ac:dyDescent="0.2">
      <c r="A7" s="5" t="s">
        <v>3</v>
      </c>
      <c r="B7" s="4" t="s">
        <v>2</v>
      </c>
      <c r="C7" s="4"/>
      <c r="D7" s="4"/>
      <c r="E7" s="4"/>
      <c r="F7" s="4"/>
      <c r="G7" s="4"/>
      <c r="H7" s="4"/>
      <c r="I7" s="6"/>
    </row>
    <row r="8" spans="1:14" x14ac:dyDescent="0.2">
      <c r="A8" s="5" t="s">
        <v>4</v>
      </c>
      <c r="B8" s="4"/>
      <c r="C8" s="4"/>
      <c r="D8" s="4"/>
      <c r="E8" s="4"/>
      <c r="F8" s="4"/>
      <c r="G8" s="4"/>
      <c r="H8" s="4"/>
      <c r="I8" s="6"/>
    </row>
    <row r="9" spans="1:14" ht="27" x14ac:dyDescent="0.2">
      <c r="A9" s="34" t="s">
        <v>42</v>
      </c>
      <c r="B9" s="4">
        <v>4</v>
      </c>
      <c r="C9" s="4">
        <v>1</v>
      </c>
      <c r="D9" s="4">
        <f>B9*C9</f>
        <v>4</v>
      </c>
      <c r="E9" s="31">
        <v>3</v>
      </c>
      <c r="F9" s="4">
        <f>D9*E9</f>
        <v>12</v>
      </c>
      <c r="G9" s="4">
        <f>F9*0.05</f>
        <v>0.60000000000000009</v>
      </c>
      <c r="H9" s="4">
        <f>F9*0.1</f>
        <v>1.2000000000000002</v>
      </c>
      <c r="I9" s="11">
        <f>F9*$F$4+G9*$G$4+H9*$H$4</f>
        <v>647.06400000000008</v>
      </c>
      <c r="K9" s="45"/>
    </row>
    <row r="10" spans="1:14" ht="14.25" x14ac:dyDescent="0.2">
      <c r="A10" s="34" t="s">
        <v>43</v>
      </c>
      <c r="B10" s="4"/>
      <c r="C10" s="4"/>
      <c r="D10" s="4"/>
      <c r="E10" s="4"/>
      <c r="F10" s="4"/>
      <c r="G10" s="4"/>
      <c r="H10" s="4"/>
      <c r="I10" s="6"/>
    </row>
    <row r="11" spans="1:14" s="9" customFormat="1" x14ac:dyDescent="0.2">
      <c r="A11" s="5" t="s">
        <v>5</v>
      </c>
      <c r="B11" s="4">
        <v>2</v>
      </c>
      <c r="C11" s="4">
        <v>1</v>
      </c>
      <c r="D11" s="4">
        <f>B11*C11</f>
        <v>2</v>
      </c>
      <c r="E11" s="4">
        <v>0</v>
      </c>
      <c r="F11" s="4">
        <f>D11*E11</f>
        <v>0</v>
      </c>
      <c r="G11" s="4">
        <f>F11*0.05</f>
        <v>0</v>
      </c>
      <c r="H11" s="4">
        <f>F11*0.1</f>
        <v>0</v>
      </c>
      <c r="I11" s="7">
        <f>F11*$F$4+G11*$G$4+H11*$H$4</f>
        <v>0</v>
      </c>
    </row>
    <row r="12" spans="1:14" s="9" customFormat="1" x14ac:dyDescent="0.2">
      <c r="A12" s="5" t="s">
        <v>6</v>
      </c>
      <c r="B12" s="4">
        <v>2</v>
      </c>
      <c r="C12" s="4">
        <v>1</v>
      </c>
      <c r="D12" s="4">
        <f>B12*C12</f>
        <v>2</v>
      </c>
      <c r="E12" s="4">
        <v>0</v>
      </c>
      <c r="F12" s="4">
        <f>D12*E12</f>
        <v>0</v>
      </c>
      <c r="G12" s="4">
        <f>F12*0.05</f>
        <v>0</v>
      </c>
      <c r="H12" s="4">
        <f>F12*0.1</f>
        <v>0</v>
      </c>
      <c r="I12" s="7">
        <f>F12*$F$4+G12*$G$4+H12*$H$4</f>
        <v>0</v>
      </c>
    </row>
    <row r="13" spans="1:14" s="9" customFormat="1" x14ac:dyDescent="0.2">
      <c r="A13" s="5" t="s">
        <v>7</v>
      </c>
      <c r="B13" s="4">
        <v>2</v>
      </c>
      <c r="C13" s="4">
        <v>1</v>
      </c>
      <c r="D13" s="4">
        <f>B13*C13</f>
        <v>2</v>
      </c>
      <c r="E13" s="4">
        <v>0</v>
      </c>
      <c r="F13" s="4">
        <f>D13*E13</f>
        <v>0</v>
      </c>
      <c r="G13" s="4">
        <f>F13*0.05</f>
        <v>0</v>
      </c>
      <c r="H13" s="4">
        <f>F13*0.1</f>
        <v>0</v>
      </c>
      <c r="I13" s="7">
        <f>F13*$F$4+G13*$G$4+H13*$H$4</f>
        <v>0</v>
      </c>
    </row>
    <row r="14" spans="1:14" s="9" customFormat="1" x14ac:dyDescent="0.2">
      <c r="A14" s="5" t="s">
        <v>8</v>
      </c>
      <c r="B14" s="4" t="s">
        <v>9</v>
      </c>
      <c r="C14" s="4"/>
      <c r="D14" s="4"/>
      <c r="E14" s="4"/>
      <c r="F14" s="4"/>
      <c r="G14" s="4"/>
      <c r="H14" s="4"/>
      <c r="I14" s="6"/>
    </row>
    <row r="15" spans="1:14" s="9" customFormat="1" x14ac:dyDescent="0.2">
      <c r="A15" s="5" t="s">
        <v>10</v>
      </c>
      <c r="B15" s="4" t="s">
        <v>11</v>
      </c>
      <c r="C15" s="4"/>
      <c r="D15" s="4"/>
      <c r="E15" s="4"/>
      <c r="F15" s="4"/>
      <c r="G15" s="4"/>
      <c r="H15" s="4"/>
      <c r="I15" s="6"/>
    </row>
    <row r="16" spans="1:14" s="9" customFormat="1" x14ac:dyDescent="0.2">
      <c r="A16" s="5" t="s">
        <v>12</v>
      </c>
      <c r="B16" s="4"/>
      <c r="C16" s="4"/>
      <c r="D16" s="4"/>
      <c r="E16" s="4"/>
      <c r="F16" s="4"/>
      <c r="G16" s="4"/>
      <c r="H16" s="4"/>
      <c r="I16" s="6"/>
    </row>
    <row r="17" spans="1:12" s="9" customFormat="1" ht="14.25" x14ac:dyDescent="0.2">
      <c r="A17" s="34" t="s">
        <v>92</v>
      </c>
      <c r="B17" s="31">
        <v>20</v>
      </c>
      <c r="C17" s="31">
        <v>0.3</v>
      </c>
      <c r="D17" s="31">
        <f>B17*C17</f>
        <v>6</v>
      </c>
      <c r="E17" s="31">
        <v>0</v>
      </c>
      <c r="F17" s="50">
        <f>D17*E17</f>
        <v>0</v>
      </c>
      <c r="G17" s="50">
        <f>F17*0.05</f>
        <v>0</v>
      </c>
      <c r="H17" s="50">
        <f>F17*0.1</f>
        <v>0</v>
      </c>
      <c r="I17" s="52">
        <f>F17*$F$4+G17*$G$4+H17*$H$4</f>
        <v>0</v>
      </c>
      <c r="K17" s="49"/>
    </row>
    <row r="18" spans="1:12" ht="14.25" x14ac:dyDescent="0.2">
      <c r="A18" s="34" t="s">
        <v>44</v>
      </c>
      <c r="B18" s="4">
        <v>4</v>
      </c>
      <c r="C18" s="4">
        <v>2</v>
      </c>
      <c r="D18" s="4">
        <f>B18*C18</f>
        <v>8</v>
      </c>
      <c r="E18" s="4">
        <v>3</v>
      </c>
      <c r="F18" s="4">
        <f>D18*E18</f>
        <v>24</v>
      </c>
      <c r="G18" s="10">
        <f>F18*0.05</f>
        <v>1.2000000000000002</v>
      </c>
      <c r="H18" s="10">
        <f>F18*0.1</f>
        <v>2.4000000000000004</v>
      </c>
      <c r="I18" s="11">
        <f>F18*$F$4+G18*$G$4+H18*$H$4</f>
        <v>1294.1280000000002</v>
      </c>
    </row>
    <row r="19" spans="1:12" ht="14.25" x14ac:dyDescent="0.2">
      <c r="A19" s="14" t="s">
        <v>45</v>
      </c>
      <c r="B19" s="18">
        <v>16</v>
      </c>
      <c r="C19" s="18">
        <v>1</v>
      </c>
      <c r="D19" s="18">
        <f>B19*C19</f>
        <v>16</v>
      </c>
      <c r="E19" s="18">
        <v>0</v>
      </c>
      <c r="F19" s="18">
        <f>D19*E19</f>
        <v>0</v>
      </c>
      <c r="G19" s="26">
        <f>F19*0.05</f>
        <v>0</v>
      </c>
      <c r="H19" s="26">
        <f>F19*0.1</f>
        <v>0</v>
      </c>
      <c r="I19" s="21">
        <f>F19*$F$4+G19*$G$4+H19*$H$4</f>
        <v>0</v>
      </c>
      <c r="K19" s="45"/>
    </row>
    <row r="20" spans="1:12" x14ac:dyDescent="0.2">
      <c r="A20" s="27" t="s">
        <v>36</v>
      </c>
      <c r="B20" s="28"/>
      <c r="C20" s="28"/>
      <c r="D20" s="28"/>
      <c r="E20" s="28"/>
      <c r="F20" s="28"/>
      <c r="G20" s="48">
        <f>ROUND(SUM(F9:H19), 0)</f>
        <v>41</v>
      </c>
      <c r="H20" s="29"/>
      <c r="I20" s="30">
        <f>ROUND(SUM(I9:I19), 0)</f>
        <v>1941</v>
      </c>
    </row>
    <row r="21" spans="1:12" x14ac:dyDescent="0.2">
      <c r="A21" s="5" t="s">
        <v>13</v>
      </c>
      <c r="B21" s="4"/>
      <c r="C21" s="4"/>
      <c r="D21" s="4"/>
      <c r="E21" s="4"/>
      <c r="F21" s="4"/>
      <c r="G21" s="10"/>
      <c r="H21" s="10"/>
      <c r="I21" s="11"/>
    </row>
    <row r="22" spans="1:12" ht="15" customHeight="1" x14ac:dyDescent="0.2">
      <c r="A22" s="14" t="s">
        <v>46</v>
      </c>
      <c r="B22" s="18">
        <v>330</v>
      </c>
      <c r="C22" s="18">
        <v>1</v>
      </c>
      <c r="D22" s="18">
        <f>B22*C22</f>
        <v>330</v>
      </c>
      <c r="E22" s="18">
        <v>0</v>
      </c>
      <c r="F22" s="18">
        <f>D22*E22</f>
        <v>0</v>
      </c>
      <c r="G22" s="26">
        <f>F22*0.05</f>
        <v>0</v>
      </c>
      <c r="H22" s="26">
        <f>F22*0.1</f>
        <v>0</v>
      </c>
      <c r="I22" s="21">
        <f>F22*$F$4+G22*$G$4+H22*$H$4</f>
        <v>0</v>
      </c>
      <c r="K22" s="45"/>
    </row>
    <row r="23" spans="1:12" ht="15" customHeight="1" x14ac:dyDescent="0.2">
      <c r="A23" s="14" t="s">
        <v>47</v>
      </c>
      <c r="B23" s="18">
        <v>148</v>
      </c>
      <c r="C23" s="18">
        <v>1</v>
      </c>
      <c r="D23" s="18">
        <f>B23*C23</f>
        <v>148</v>
      </c>
      <c r="E23" s="18">
        <v>0</v>
      </c>
      <c r="F23" s="18">
        <f>D23*E23</f>
        <v>0</v>
      </c>
      <c r="G23" s="26">
        <f>F23*0.05</f>
        <v>0</v>
      </c>
      <c r="H23" s="26">
        <f>F23*0.1</f>
        <v>0</v>
      </c>
      <c r="I23" s="21">
        <f>F23*$F$4+G23*$G$4+H23*$H$4</f>
        <v>0</v>
      </c>
      <c r="K23" s="15"/>
    </row>
    <row r="24" spans="1:12" ht="15" customHeight="1" x14ac:dyDescent="0.2">
      <c r="A24" s="14" t="s">
        <v>48</v>
      </c>
      <c r="B24" s="18">
        <v>330</v>
      </c>
      <c r="C24" s="18">
        <v>1</v>
      </c>
      <c r="D24" s="18">
        <f>B24*C24</f>
        <v>330</v>
      </c>
      <c r="E24" s="26">
        <v>0</v>
      </c>
      <c r="F24" s="18">
        <f>D24*E24</f>
        <v>0</v>
      </c>
      <c r="G24" s="26">
        <f>F24*0.05</f>
        <v>0</v>
      </c>
      <c r="H24" s="26">
        <f>F24*0.1</f>
        <v>0</v>
      </c>
      <c r="I24" s="21">
        <f>F24*$F$4+G24*$G$4+H24*$H$4</f>
        <v>0</v>
      </c>
      <c r="K24" s="15"/>
    </row>
    <row r="25" spans="1:12" ht="14.25" x14ac:dyDescent="0.2">
      <c r="A25" s="34" t="s">
        <v>49</v>
      </c>
      <c r="B25" s="4">
        <v>1.5</v>
      </c>
      <c r="C25" s="31">
        <v>52</v>
      </c>
      <c r="D25" s="4">
        <f>B25*C25</f>
        <v>78</v>
      </c>
      <c r="E25" s="4">
        <v>3</v>
      </c>
      <c r="F25" s="4">
        <f>D25*E25</f>
        <v>234</v>
      </c>
      <c r="G25" s="10">
        <f>F25*0.05</f>
        <v>11.700000000000001</v>
      </c>
      <c r="H25" s="4">
        <f>F25*0.1</f>
        <v>23.400000000000002</v>
      </c>
      <c r="I25" s="11">
        <f>F25*$F$4+G25*$G$4+H25*$H$4</f>
        <v>12617.748</v>
      </c>
    </row>
    <row r="26" spans="1:12" ht="14.25" x14ac:dyDescent="0.2">
      <c r="A26" s="27" t="s">
        <v>40</v>
      </c>
      <c r="B26" s="28"/>
      <c r="C26" s="28"/>
      <c r="D26" s="28"/>
      <c r="E26" s="28"/>
      <c r="F26" s="28"/>
      <c r="G26" s="48">
        <f>ROUND(SUM(F22:H25), 0)</f>
        <v>269</v>
      </c>
      <c r="H26" s="28"/>
      <c r="I26" s="30">
        <f>ROUND(SUM(I25), 0)</f>
        <v>12618</v>
      </c>
    </row>
    <row r="27" spans="1:12" ht="14.25" x14ac:dyDescent="0.2">
      <c r="A27" s="36" t="s">
        <v>39</v>
      </c>
      <c r="B27" s="32"/>
      <c r="C27" s="32"/>
      <c r="D27" s="32"/>
      <c r="E27" s="32"/>
      <c r="F27" s="31"/>
      <c r="G27" s="44">
        <f>ROUND(SUM(G20,G26),-1)</f>
        <v>310</v>
      </c>
      <c r="H27" s="31"/>
      <c r="I27" s="39">
        <f>ROUND(SUM(I26,I20),-2)</f>
        <v>14600</v>
      </c>
      <c r="L27" s="46">
        <f>+G27+'Table 1a'!G27</f>
        <v>2150</v>
      </c>
    </row>
    <row r="28" spans="1:12" ht="14.25" x14ac:dyDescent="0.2">
      <c r="A28" s="41" t="s">
        <v>38</v>
      </c>
      <c r="B28" s="40"/>
      <c r="C28" s="40"/>
      <c r="D28" s="40"/>
      <c r="E28" s="40"/>
      <c r="F28" s="40"/>
      <c r="G28" s="40"/>
      <c r="H28" s="40"/>
      <c r="I28" s="39">
        <f>3*300</f>
        <v>900</v>
      </c>
      <c r="K28" s="49"/>
    </row>
    <row r="29" spans="1:12" ht="14.25" x14ac:dyDescent="0.2">
      <c r="A29" s="41" t="s">
        <v>50</v>
      </c>
      <c r="B29" s="40"/>
      <c r="C29" s="40"/>
      <c r="D29" s="40"/>
      <c r="E29" s="40"/>
      <c r="F29" s="40"/>
      <c r="G29" s="40"/>
      <c r="H29" s="40"/>
      <c r="I29" s="39">
        <f>ROUND(SUM(I27,I28),-2)</f>
        <v>15500</v>
      </c>
      <c r="L29" s="47">
        <f>+I27+'Table 1a'!I27</f>
        <v>215600</v>
      </c>
    </row>
    <row r="31" spans="1:12" x14ac:dyDescent="0.2">
      <c r="A31" s="1" t="s">
        <v>14</v>
      </c>
    </row>
    <row r="32" spans="1:12" ht="27.75" customHeight="1" x14ac:dyDescent="0.2">
      <c r="A32" s="83" t="s">
        <v>70</v>
      </c>
      <c r="B32" s="83"/>
      <c r="C32" s="83"/>
      <c r="D32" s="83"/>
      <c r="E32" s="83"/>
      <c r="F32" s="83"/>
      <c r="G32" s="83"/>
      <c r="H32" s="83"/>
      <c r="I32" s="83"/>
    </row>
    <row r="33" spans="1:11" ht="41.25" customHeight="1" x14ac:dyDescent="0.25">
      <c r="A33" s="83" t="s">
        <v>65</v>
      </c>
      <c r="B33" s="84"/>
      <c r="C33" s="84"/>
      <c r="D33" s="84"/>
      <c r="E33" s="84"/>
      <c r="F33" s="84"/>
      <c r="G33" s="84"/>
      <c r="H33" s="84"/>
      <c r="I33" s="84"/>
    </row>
    <row r="34" spans="1:11" s="9" customFormat="1" ht="14.25" x14ac:dyDescent="0.2">
      <c r="A34" s="8" t="s">
        <v>60</v>
      </c>
    </row>
    <row r="35" spans="1:11" s="9" customFormat="1" ht="30" customHeight="1" x14ac:dyDescent="0.25">
      <c r="A35" s="83" t="s">
        <v>93</v>
      </c>
      <c r="B35" s="84"/>
      <c r="C35" s="84"/>
      <c r="D35" s="84"/>
      <c r="E35" s="84"/>
      <c r="F35" s="84"/>
      <c r="G35" s="84"/>
      <c r="H35" s="84"/>
      <c r="I35" s="84"/>
    </row>
    <row r="36" spans="1:11" s="9" customFormat="1" ht="31.5" customHeight="1" x14ac:dyDescent="0.25">
      <c r="A36" s="83" t="s">
        <v>66</v>
      </c>
      <c r="B36" s="84"/>
      <c r="C36" s="84"/>
      <c r="D36" s="84"/>
      <c r="E36" s="84"/>
      <c r="F36" s="84"/>
      <c r="G36" s="84"/>
      <c r="H36" s="84"/>
      <c r="I36" s="84"/>
    </row>
    <row r="37" spans="1:11" s="9" customFormat="1" ht="30.75" customHeight="1" x14ac:dyDescent="0.25">
      <c r="A37" s="83" t="s">
        <v>67</v>
      </c>
      <c r="B37" s="84"/>
      <c r="C37" s="84"/>
      <c r="D37" s="84"/>
      <c r="E37" s="84"/>
      <c r="F37" s="84"/>
      <c r="G37" s="84"/>
      <c r="H37" s="84"/>
      <c r="I37" s="84"/>
    </row>
    <row r="38" spans="1:11" s="9" customFormat="1" ht="29.25" customHeight="1" x14ac:dyDescent="0.25">
      <c r="A38" s="83" t="s">
        <v>59</v>
      </c>
      <c r="B38" s="84"/>
      <c r="C38" s="84"/>
      <c r="D38" s="84"/>
      <c r="E38" s="84"/>
      <c r="F38" s="84"/>
      <c r="G38" s="84"/>
      <c r="H38" s="84"/>
      <c r="I38" s="84"/>
    </row>
    <row r="39" spans="1:11" s="9" customFormat="1" ht="14.25" x14ac:dyDescent="0.2">
      <c r="A39" s="8" t="s">
        <v>73</v>
      </c>
      <c r="K39" s="49"/>
    </row>
    <row r="40" spans="1:11" s="9" customFormat="1" ht="14.25" x14ac:dyDescent="0.2">
      <c r="A40" s="8" t="s">
        <v>23</v>
      </c>
    </row>
    <row r="41" spans="1:11" s="9" customFormat="1" ht="15" x14ac:dyDescent="0.25">
      <c r="A41" s="83" t="s">
        <v>62</v>
      </c>
      <c r="B41" s="84"/>
      <c r="C41" s="84"/>
      <c r="D41" s="84"/>
      <c r="E41" s="84"/>
      <c r="F41" s="84"/>
      <c r="G41" s="84"/>
      <c r="H41" s="84"/>
      <c r="I41" s="84"/>
    </row>
    <row r="42" spans="1:11" ht="14.25" x14ac:dyDescent="0.2">
      <c r="A42" s="8" t="s">
        <v>41</v>
      </c>
    </row>
  </sheetData>
  <mergeCells count="7">
    <mergeCell ref="A38:I38"/>
    <mergeCell ref="A32:I32"/>
    <mergeCell ref="A33:I33"/>
    <mergeCell ref="A41:I41"/>
    <mergeCell ref="A37:I37"/>
    <mergeCell ref="A35:I35"/>
    <mergeCell ref="A36:I36"/>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B12" sqref="B12"/>
    </sheetView>
  </sheetViews>
  <sheetFormatPr defaultRowHeight="15.75" x14ac:dyDescent="0.25"/>
  <cols>
    <col min="1" max="1" width="24.140625" style="66" customWidth="1"/>
    <col min="2" max="2" width="14.7109375" style="66" customWidth="1"/>
    <col min="3" max="3" width="14" style="66" customWidth="1"/>
    <col min="4" max="4" width="15.42578125" style="66" customWidth="1"/>
    <col min="5" max="5" width="13.7109375" style="66" customWidth="1"/>
    <col min="6" max="6" width="18.140625" style="66" customWidth="1"/>
    <col min="7" max="7" width="17.28515625" style="66" customWidth="1"/>
    <col min="8" max="8" width="34.7109375" style="66" customWidth="1"/>
    <col min="9" max="16384" width="9.140625" style="66"/>
  </cols>
  <sheetData>
    <row r="1" spans="1:7" x14ac:dyDescent="0.25">
      <c r="A1" s="3" t="s">
        <v>118</v>
      </c>
    </row>
    <row r="5" spans="1:7" x14ac:dyDescent="0.25">
      <c r="A5" s="86" t="s">
        <v>115</v>
      </c>
      <c r="B5" s="85" t="s">
        <v>124</v>
      </c>
      <c r="C5" s="86" t="s">
        <v>125</v>
      </c>
      <c r="D5" s="86"/>
      <c r="E5" s="86"/>
      <c r="F5" s="86" t="s">
        <v>126</v>
      </c>
      <c r="G5" s="85" t="s">
        <v>127</v>
      </c>
    </row>
    <row r="6" spans="1:7" x14ac:dyDescent="0.25">
      <c r="A6" s="86"/>
      <c r="B6" s="85"/>
      <c r="C6" s="73" t="s">
        <v>95</v>
      </c>
      <c r="D6" s="73" t="s">
        <v>96</v>
      </c>
      <c r="E6" s="73" t="s">
        <v>97</v>
      </c>
      <c r="F6" s="86"/>
      <c r="G6" s="85"/>
    </row>
    <row r="7" spans="1:7" x14ac:dyDescent="0.25">
      <c r="A7" s="67" t="s">
        <v>122</v>
      </c>
      <c r="B7" s="69">
        <f>Responses!E13-'Table 1c-Affect Sector Summary'!B8</f>
        <v>34</v>
      </c>
      <c r="C7" s="69">
        <f>'Table 1a'!G20</f>
        <v>235</v>
      </c>
      <c r="D7" s="69">
        <f>'Table 1a'!G26</f>
        <v>1600</v>
      </c>
      <c r="E7" s="71">
        <f>ROUND(C7+D7, -1)</f>
        <v>1840</v>
      </c>
      <c r="F7" s="72">
        <f>'Table 1a'!I27</f>
        <v>201000</v>
      </c>
      <c r="G7" s="68">
        <f>'Table 1a'!I28</f>
        <v>5300</v>
      </c>
    </row>
    <row r="8" spans="1:7" x14ac:dyDescent="0.25">
      <c r="A8" s="67" t="s">
        <v>123</v>
      </c>
      <c r="B8" s="69">
        <f>3*2</f>
        <v>6</v>
      </c>
      <c r="C8" s="69">
        <f>'Table 1b'!G20</f>
        <v>41</v>
      </c>
      <c r="D8" s="69">
        <f>'Table 1b'!G26</f>
        <v>269</v>
      </c>
      <c r="E8" s="71">
        <f>C8+D8</f>
        <v>310</v>
      </c>
      <c r="F8" s="72">
        <f>'Table 1b'!I27</f>
        <v>14600</v>
      </c>
      <c r="G8" s="68">
        <f>'Table 1b'!I28</f>
        <v>900</v>
      </c>
    </row>
    <row r="9" spans="1:7" s="77" customFormat="1" x14ac:dyDescent="0.25">
      <c r="A9" s="74" t="s">
        <v>97</v>
      </c>
      <c r="B9" s="75">
        <f t="shared" ref="B9:D9" si="0">SUM(B7:B8)</f>
        <v>40</v>
      </c>
      <c r="C9" s="75">
        <f t="shared" si="0"/>
        <v>276</v>
      </c>
      <c r="D9" s="75">
        <f t="shared" si="0"/>
        <v>1869</v>
      </c>
      <c r="E9" s="75">
        <f>ROUND(SUM(E7:E8), -1)</f>
        <v>2150</v>
      </c>
      <c r="F9" s="76">
        <f>ROUND(SUM(F7:F8), -3)</f>
        <v>216000</v>
      </c>
      <c r="G9" s="76">
        <f>SUM(G7:G8)</f>
        <v>6200</v>
      </c>
    </row>
    <row r="12" spans="1:7" x14ac:dyDescent="0.25">
      <c r="A12" s="78" t="s">
        <v>128</v>
      </c>
      <c r="B12" s="70">
        <f>E9/B9</f>
        <v>53.75</v>
      </c>
    </row>
  </sheetData>
  <mergeCells count="5">
    <mergeCell ref="G5:G6"/>
    <mergeCell ref="A5:A6"/>
    <mergeCell ref="C5:E5"/>
    <mergeCell ref="B5:B6"/>
    <mergeCell ref="F5:F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Normal="100" workbookViewId="0">
      <selection activeCell="K16" sqref="K16"/>
    </sheetView>
  </sheetViews>
  <sheetFormatPr defaultRowHeight="15" x14ac:dyDescent="0.25"/>
  <cols>
    <col min="1" max="1" width="37.28515625" customWidth="1"/>
    <col min="2" max="2" width="14" customWidth="1"/>
    <col min="3" max="3" width="11.85546875" customWidth="1"/>
    <col min="5" max="5" width="10.7109375" customWidth="1"/>
    <col min="6" max="6" width="10.5703125" customWidth="1"/>
    <col min="9" max="9" width="17.7109375" customWidth="1"/>
    <col min="10" max="10" width="4" customWidth="1"/>
  </cols>
  <sheetData>
    <row r="1" spans="1:9" ht="15.75" x14ac:dyDescent="0.25">
      <c r="A1" s="3" t="s">
        <v>68</v>
      </c>
    </row>
    <row r="3" spans="1:9" ht="17.25" customHeight="1" x14ac:dyDescent="0.25">
      <c r="F3">
        <v>48.08</v>
      </c>
      <c r="G3">
        <v>64.8</v>
      </c>
      <c r="H3">
        <v>26.02</v>
      </c>
    </row>
    <row r="4" spans="1:9" ht="89.25" x14ac:dyDescent="0.25">
      <c r="A4" s="43" t="s">
        <v>15</v>
      </c>
      <c r="B4" s="38" t="s">
        <v>26</v>
      </c>
      <c r="C4" s="38" t="s">
        <v>27</v>
      </c>
      <c r="D4" s="38" t="s">
        <v>28</v>
      </c>
      <c r="E4" s="38" t="s">
        <v>53</v>
      </c>
      <c r="F4" s="38" t="s">
        <v>29</v>
      </c>
      <c r="G4" s="38" t="s">
        <v>30</v>
      </c>
      <c r="H4" s="38" t="s">
        <v>31</v>
      </c>
      <c r="I4" s="38" t="s">
        <v>54</v>
      </c>
    </row>
    <row r="5" spans="1:9" x14ac:dyDescent="0.25">
      <c r="A5" s="5" t="s">
        <v>16</v>
      </c>
      <c r="B5" s="4">
        <v>32</v>
      </c>
      <c r="C5" s="31">
        <v>0.3</v>
      </c>
      <c r="D5" s="31">
        <f>B5*C5</f>
        <v>9.6</v>
      </c>
      <c r="E5" s="31">
        <v>1</v>
      </c>
      <c r="F5" s="31">
        <f>D5*E5</f>
        <v>9.6</v>
      </c>
      <c r="G5" s="4">
        <f>F5*0.05</f>
        <v>0.48</v>
      </c>
      <c r="H5" s="4">
        <f>F5*0.1</f>
        <v>0.96</v>
      </c>
      <c r="I5" s="11">
        <f>F5*$F$3+G5*$G$3+H5*$H$3</f>
        <v>517.65120000000002</v>
      </c>
    </row>
    <row r="6" spans="1:9" s="12" customFormat="1" x14ac:dyDescent="0.25">
      <c r="A6" s="5" t="s">
        <v>17</v>
      </c>
      <c r="B6" s="4"/>
      <c r="C6" s="31"/>
      <c r="D6" s="31"/>
      <c r="E6" s="31"/>
      <c r="F6" s="31"/>
      <c r="G6" s="4"/>
      <c r="H6" s="4"/>
      <c r="I6" s="6"/>
    </row>
    <row r="7" spans="1:9" s="12" customFormat="1" x14ac:dyDescent="0.25">
      <c r="A7" s="13" t="s">
        <v>20</v>
      </c>
      <c r="B7" s="4">
        <v>12</v>
      </c>
      <c r="C7" s="31">
        <v>1</v>
      </c>
      <c r="D7" s="31">
        <f>B7*C7</f>
        <v>12</v>
      </c>
      <c r="E7" s="31">
        <f>'Table 1a'!E24</f>
        <v>0</v>
      </c>
      <c r="F7" s="31">
        <f>D7*E7</f>
        <v>0</v>
      </c>
      <c r="G7" s="4">
        <f>F7*0.05</f>
        <v>0</v>
      </c>
      <c r="H7" s="4">
        <f>F7*0.1</f>
        <v>0</v>
      </c>
      <c r="I7" s="7">
        <f>F7*$F$3+G7*$G$3+H7*$H$3</f>
        <v>0</v>
      </c>
    </row>
    <row r="8" spans="1:9" s="12" customFormat="1" x14ac:dyDescent="0.25">
      <c r="A8" s="13" t="s">
        <v>21</v>
      </c>
      <c r="B8" s="4">
        <v>32</v>
      </c>
      <c r="C8" s="31">
        <v>1</v>
      </c>
      <c r="D8" s="31">
        <f>B8*C8</f>
        <v>32</v>
      </c>
      <c r="E8" s="31">
        <f>'Table 1a'!E24</f>
        <v>0</v>
      </c>
      <c r="F8" s="31">
        <f>D8*E8</f>
        <v>0</v>
      </c>
      <c r="G8" s="4">
        <f>F8*0.05</f>
        <v>0</v>
      </c>
      <c r="H8" s="4">
        <f>F8*0.1</f>
        <v>0</v>
      </c>
      <c r="I8" s="7">
        <f>F8*$F$3+G8*$G$3+H8*$H$3</f>
        <v>0</v>
      </c>
    </row>
    <row r="9" spans="1:9" s="12" customFormat="1" x14ac:dyDescent="0.25">
      <c r="A9" s="14" t="s">
        <v>55</v>
      </c>
      <c r="B9" s="4">
        <v>16</v>
      </c>
      <c r="C9" s="31">
        <v>1</v>
      </c>
      <c r="D9" s="31">
        <f>B9*C9</f>
        <v>16</v>
      </c>
      <c r="E9" s="26">
        <f>ROUND(19*0.2, 0)</f>
        <v>4</v>
      </c>
      <c r="F9" s="18">
        <f>D9*E9</f>
        <v>64</v>
      </c>
      <c r="G9" s="18">
        <f>F9*0.05</f>
        <v>3.2</v>
      </c>
      <c r="H9" s="18">
        <f>F9*0.1</f>
        <v>6.4</v>
      </c>
      <c r="I9" s="19">
        <f>F9*$F$3+G9*$G$3+H9*$H$3</f>
        <v>3451.0079999999998</v>
      </c>
    </row>
    <row r="10" spans="1:9" s="12" customFormat="1" x14ac:dyDescent="0.25">
      <c r="A10" s="5" t="s">
        <v>18</v>
      </c>
      <c r="B10" s="4"/>
      <c r="C10" s="31"/>
      <c r="D10" s="31"/>
      <c r="E10" s="31"/>
      <c r="F10" s="18"/>
      <c r="G10" s="18"/>
      <c r="H10" s="18"/>
      <c r="I10" s="20"/>
    </row>
    <row r="11" spans="1:9" s="12" customFormat="1" x14ac:dyDescent="0.25">
      <c r="A11" s="51" t="s">
        <v>74</v>
      </c>
      <c r="B11" s="4">
        <v>2</v>
      </c>
      <c r="C11" s="31">
        <v>2</v>
      </c>
      <c r="D11" s="31">
        <f>B11*C11</f>
        <v>4</v>
      </c>
      <c r="E11" s="31">
        <v>0</v>
      </c>
      <c r="F11" s="18">
        <f>D11*E11</f>
        <v>0</v>
      </c>
      <c r="G11" s="18">
        <f>F11*0.05</f>
        <v>0</v>
      </c>
      <c r="H11" s="18">
        <f>F11*0.1</f>
        <v>0</v>
      </c>
      <c r="I11" s="21">
        <f>F11*$F$3+G11*$G$3+H11*$H$3</f>
        <v>0</v>
      </c>
    </row>
    <row r="12" spans="1:9" s="12" customFormat="1" x14ac:dyDescent="0.25">
      <c r="A12" s="51" t="s">
        <v>72</v>
      </c>
      <c r="B12" s="4"/>
      <c r="C12" s="31"/>
      <c r="D12" s="31"/>
      <c r="E12" s="31"/>
      <c r="F12" s="18"/>
      <c r="G12" s="18"/>
      <c r="H12" s="18"/>
      <c r="I12" s="20"/>
    </row>
    <row r="13" spans="1:9" s="12" customFormat="1" x14ac:dyDescent="0.25">
      <c r="A13" s="17" t="s">
        <v>22</v>
      </c>
      <c r="B13" s="4">
        <v>2</v>
      </c>
      <c r="C13" s="31">
        <v>0.3</v>
      </c>
      <c r="D13" s="31">
        <f>B13*C13</f>
        <v>0.6</v>
      </c>
      <c r="E13" s="31">
        <v>1</v>
      </c>
      <c r="F13" s="31">
        <f>D13*E13</f>
        <v>0.6</v>
      </c>
      <c r="G13" s="4">
        <f>F13*0.05</f>
        <v>0.03</v>
      </c>
      <c r="H13" s="4">
        <f>F13*0.1</f>
        <v>0.06</v>
      </c>
      <c r="I13" s="7">
        <f>F13*$F$3+G13*$G$3+H13*$H$3</f>
        <v>32.353200000000001</v>
      </c>
    </row>
    <row r="14" spans="1:9" x14ac:dyDescent="0.25">
      <c r="A14" s="34" t="s">
        <v>75</v>
      </c>
      <c r="B14" s="4">
        <v>2</v>
      </c>
      <c r="C14" s="31">
        <v>2</v>
      </c>
      <c r="D14" s="31">
        <f>B14*C14</f>
        <v>4</v>
      </c>
      <c r="E14" s="18">
        <v>19</v>
      </c>
      <c r="F14" s="18">
        <f>D14*E14</f>
        <v>76</v>
      </c>
      <c r="G14" s="18">
        <f>F14*0.05</f>
        <v>3.8000000000000003</v>
      </c>
      <c r="H14" s="18">
        <f>F14*0.1</f>
        <v>7.6000000000000005</v>
      </c>
      <c r="I14" s="19">
        <f>F14*$F$3+G14*$G$3+H14*$H$3</f>
        <v>4098.0720000000001</v>
      </c>
    </row>
    <row r="15" spans="1:9" x14ac:dyDescent="0.25">
      <c r="A15" s="14" t="s">
        <v>37</v>
      </c>
      <c r="B15" s="18">
        <v>2</v>
      </c>
      <c r="C15" s="18">
        <v>0.3</v>
      </c>
      <c r="D15" s="18">
        <f>B15*C15</f>
        <v>0.6</v>
      </c>
      <c r="E15" s="18">
        <v>1</v>
      </c>
      <c r="F15" s="18">
        <f>D15*E15</f>
        <v>0.6</v>
      </c>
      <c r="G15" s="25">
        <f>F15*0.05</f>
        <v>0.03</v>
      </c>
      <c r="H15" s="18">
        <f>F15*0.1</f>
        <v>0.06</v>
      </c>
      <c r="I15" s="19">
        <f>F15*$F$3+G15*$G$3+H15*$H$3</f>
        <v>32.353200000000001</v>
      </c>
    </row>
    <row r="16" spans="1:9" s="12" customFormat="1" x14ac:dyDescent="0.25">
      <c r="A16" s="24" t="s">
        <v>19</v>
      </c>
      <c r="B16" s="23"/>
      <c r="C16" s="23"/>
      <c r="D16" s="23"/>
      <c r="E16" s="23"/>
      <c r="F16" s="10">
        <f>SUM(F5:F15)</f>
        <v>150.79999999999998</v>
      </c>
      <c r="G16" s="23">
        <f>SUM(G5:G15)</f>
        <v>7.54</v>
      </c>
      <c r="H16" s="23">
        <f>SUM(H5:H15)</f>
        <v>15.08</v>
      </c>
      <c r="I16" s="11">
        <f>F16*$F$3+G16*$G$3+H16*$H$3</f>
        <v>8131.4375999999984</v>
      </c>
    </row>
    <row r="17" spans="1:9" x14ac:dyDescent="0.25">
      <c r="A17" s="35" t="s">
        <v>77</v>
      </c>
      <c r="B17" s="33"/>
      <c r="C17" s="33"/>
      <c r="D17" s="33"/>
      <c r="E17" s="33"/>
      <c r="F17" s="89">
        <f>ROUND(SUM(F16:H16),0)</f>
        <v>173</v>
      </c>
      <c r="G17" s="89"/>
      <c r="H17" s="89"/>
      <c r="I17" s="42">
        <f>ROUND(I16,-1)</f>
        <v>8130</v>
      </c>
    </row>
    <row r="19" spans="1:9" x14ac:dyDescent="0.25">
      <c r="A19" s="1" t="s">
        <v>14</v>
      </c>
    </row>
    <row r="20" spans="1:9" ht="29.25" customHeight="1" x14ac:dyDescent="0.25">
      <c r="A20" s="87" t="s">
        <v>120</v>
      </c>
      <c r="B20" s="87"/>
      <c r="C20" s="87"/>
      <c r="D20" s="87"/>
      <c r="E20" s="87"/>
      <c r="F20" s="87"/>
      <c r="G20" s="87"/>
      <c r="H20" s="87"/>
      <c r="I20" s="87"/>
    </row>
    <row r="21" spans="1:9" ht="41.25" customHeight="1" x14ac:dyDescent="0.25">
      <c r="A21" s="83" t="s">
        <v>32</v>
      </c>
      <c r="B21" s="88"/>
      <c r="C21" s="88"/>
      <c r="D21" s="88"/>
      <c r="E21" s="88"/>
      <c r="F21" s="88"/>
      <c r="G21" s="88"/>
      <c r="H21" s="88"/>
      <c r="I21" s="88"/>
    </row>
    <row r="22" spans="1:9" s="12" customFormat="1" x14ac:dyDescent="0.25">
      <c r="A22" s="22" t="s">
        <v>71</v>
      </c>
    </row>
    <row r="23" spans="1:9" s="12" customFormat="1" x14ac:dyDescent="0.25">
      <c r="A23" s="22" t="s">
        <v>119</v>
      </c>
    </row>
    <row r="24" spans="1:9" s="12" customFormat="1" x14ac:dyDescent="0.25">
      <c r="A24" s="8" t="s">
        <v>76</v>
      </c>
    </row>
    <row r="25" spans="1:9" x14ac:dyDescent="0.25">
      <c r="A25" s="8" t="s">
        <v>78</v>
      </c>
    </row>
  </sheetData>
  <mergeCells count="3">
    <mergeCell ref="A20:I20"/>
    <mergeCell ref="A21:I21"/>
    <mergeCell ref="F17:H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opLeftCell="A4" workbookViewId="0">
      <selection activeCell="B17" sqref="B17"/>
    </sheetView>
  </sheetViews>
  <sheetFormatPr defaultRowHeight="15" x14ac:dyDescent="0.25"/>
  <cols>
    <col min="1" max="5" width="18.85546875" customWidth="1"/>
  </cols>
  <sheetData>
    <row r="1" spans="1:5" ht="15.75" x14ac:dyDescent="0.25">
      <c r="A1" s="90"/>
      <c r="B1" s="91"/>
      <c r="C1" s="91"/>
      <c r="D1" s="91"/>
      <c r="E1" s="92"/>
    </row>
    <row r="2" spans="1:5" ht="16.5" thickBot="1" x14ac:dyDescent="0.3">
      <c r="A2" s="93" t="s">
        <v>98</v>
      </c>
      <c r="B2" s="94"/>
      <c r="C2" s="94"/>
      <c r="D2" s="94"/>
      <c r="E2" s="95"/>
    </row>
    <row r="3" spans="1:5" x14ac:dyDescent="0.25">
      <c r="A3" s="54"/>
      <c r="B3" s="56"/>
      <c r="C3" s="56"/>
      <c r="D3" s="56"/>
      <c r="E3" s="56"/>
    </row>
    <row r="4" spans="1:5" x14ac:dyDescent="0.25">
      <c r="A4" s="55" t="s">
        <v>99</v>
      </c>
      <c r="B4" s="56" t="s">
        <v>101</v>
      </c>
      <c r="C4" s="56" t="s">
        <v>103</v>
      </c>
      <c r="D4" s="56" t="s">
        <v>105</v>
      </c>
      <c r="E4" s="56" t="s">
        <v>107</v>
      </c>
    </row>
    <row r="5" spans="1:5" ht="48" x14ac:dyDescent="0.25">
      <c r="A5" s="55"/>
      <c r="B5" s="56"/>
      <c r="C5" s="56"/>
      <c r="D5" s="56" t="s">
        <v>106</v>
      </c>
      <c r="E5" s="56" t="s">
        <v>98</v>
      </c>
    </row>
    <row r="6" spans="1:5" ht="24" x14ac:dyDescent="0.25">
      <c r="A6" s="62" t="s">
        <v>100</v>
      </c>
      <c r="B6" s="56" t="s">
        <v>102</v>
      </c>
      <c r="C6" s="56" t="s">
        <v>104</v>
      </c>
      <c r="D6" s="59"/>
      <c r="E6" s="56" t="s">
        <v>108</v>
      </c>
    </row>
    <row r="7" spans="1:5" x14ac:dyDescent="0.25">
      <c r="A7" s="63" t="s">
        <v>109</v>
      </c>
      <c r="B7" s="57">
        <v>19</v>
      </c>
      <c r="C7" s="57">
        <v>2</v>
      </c>
      <c r="D7" s="57">
        <v>0</v>
      </c>
      <c r="E7" s="57">
        <f>B7*C7</f>
        <v>38</v>
      </c>
    </row>
    <row r="8" spans="1:5" x14ac:dyDescent="0.25">
      <c r="A8" s="60" t="s">
        <v>110</v>
      </c>
      <c r="B8" s="57">
        <v>1</v>
      </c>
      <c r="C8" s="57">
        <v>0.3</v>
      </c>
      <c r="D8" s="64">
        <v>0</v>
      </c>
      <c r="E8" s="57">
        <f t="shared" ref="E8:E12" si="0">B8*C8</f>
        <v>0.3</v>
      </c>
    </row>
    <row r="9" spans="1:5" ht="36" x14ac:dyDescent="0.25">
      <c r="A9" s="60" t="s">
        <v>111</v>
      </c>
      <c r="B9" s="64">
        <v>1</v>
      </c>
      <c r="C9" s="64">
        <v>0.3</v>
      </c>
      <c r="D9" s="64">
        <v>0</v>
      </c>
      <c r="E9" s="57">
        <f t="shared" si="0"/>
        <v>0.3</v>
      </c>
    </row>
    <row r="10" spans="1:5" ht="24" x14ac:dyDescent="0.25">
      <c r="A10" s="60" t="s">
        <v>112</v>
      </c>
      <c r="B10" s="58">
        <v>1</v>
      </c>
      <c r="C10" s="58">
        <v>0.3</v>
      </c>
      <c r="D10" s="64">
        <v>0</v>
      </c>
      <c r="E10" s="57">
        <f t="shared" si="0"/>
        <v>0.3</v>
      </c>
    </row>
    <row r="11" spans="1:5" ht="24" x14ac:dyDescent="0.25">
      <c r="A11" s="61" t="s">
        <v>113</v>
      </c>
      <c r="B11" s="58">
        <v>1</v>
      </c>
      <c r="C11" s="58">
        <v>0.3</v>
      </c>
      <c r="D11" s="64">
        <v>0</v>
      </c>
      <c r="E11" s="57">
        <f t="shared" si="0"/>
        <v>0.3</v>
      </c>
    </row>
    <row r="12" spans="1:5" ht="24" x14ac:dyDescent="0.25">
      <c r="A12" s="61" t="s">
        <v>114</v>
      </c>
      <c r="B12" s="58">
        <v>1</v>
      </c>
      <c r="C12" s="58">
        <v>0.3</v>
      </c>
      <c r="D12" s="64">
        <v>0</v>
      </c>
      <c r="E12" s="57">
        <f t="shared" si="0"/>
        <v>0.3</v>
      </c>
    </row>
    <row r="13" spans="1:5" s="65" customFormat="1" x14ac:dyDescent="0.25">
      <c r="D13" s="79" t="s">
        <v>97</v>
      </c>
      <c r="E13" s="80">
        <f>ROUND(SUM(E7:E12),0)</f>
        <v>40</v>
      </c>
    </row>
  </sheetData>
  <mergeCells count="2">
    <mergeCell ref="A1:E1"/>
    <mergeCell ref="A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1a</vt:lpstr>
      <vt:lpstr>Table 1b</vt:lpstr>
      <vt:lpstr>Table 1c-Affect Sector Summary</vt:lpstr>
      <vt:lpstr>Table 2</vt:lpstr>
      <vt:lpstr>Responses</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dcterms:created xsi:type="dcterms:W3CDTF">2014-07-16T19:05:18Z</dcterms:created>
  <dcterms:modified xsi:type="dcterms:W3CDTF">2018-10-29T14:17:56Z</dcterms:modified>
</cp:coreProperties>
</file>