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0584-0616 FINI 8-6-15 Eric Williams\FINI Change Just or Revision 10-23-17\Change Memo Updates 10-31-17\"/>
    </mc:Choice>
  </mc:AlternateContent>
  <bookViews>
    <workbookView xWindow="0" yWindow="0" windowWidth="20475" windowHeight="8700"/>
  </bookViews>
  <sheets>
    <sheet name="Task 1 + Task 2 Burden Table" sheetId="1" r:id="rId1"/>
    <sheet name="Burden check" sheetId="3" r:id="rId2"/>
    <sheet name="Sheet2" sheetId="2" state="hidden" r:id="rId3"/>
  </sheets>
  <externalReferences>
    <externalReference r:id="rId4"/>
    <externalReference r:id="rId5"/>
  </externalReferences>
  <definedNames>
    <definedName name="OLE_LINK3" localSheetId="0">'Task 1 + Task 2 Burden Table'!#REF!</definedName>
    <definedName name="_xlnm.Print_Area" localSheetId="0">'Task 1 + Task 2 Burden Table'!$A$1:$R$145</definedName>
  </definedNames>
  <calcPr calcId="162913"/>
</workbook>
</file>

<file path=xl/calcChain.xml><?xml version="1.0" encoding="utf-8"?>
<calcChain xmlns="http://schemas.openxmlformats.org/spreadsheetml/2006/main">
  <c r="I101" i="1" l="1"/>
  <c r="F116" i="1" l="1"/>
  <c r="F112" i="1"/>
  <c r="J71" i="1"/>
  <c r="I27" i="3" l="1"/>
  <c r="N27" i="3"/>
  <c r="Q27" i="3"/>
  <c r="I28" i="3"/>
  <c r="I30" i="3" s="1"/>
  <c r="N28" i="3"/>
  <c r="N30" i="3" s="1"/>
  <c r="Q28" i="3"/>
  <c r="Q30" i="3" s="1"/>
  <c r="I26" i="3"/>
  <c r="K26" i="3"/>
  <c r="L26" i="3"/>
  <c r="M26" i="3"/>
  <c r="N26" i="3"/>
  <c r="O26" i="3"/>
  <c r="Q26" i="3"/>
  <c r="N71" i="1"/>
  <c r="M71" i="1"/>
  <c r="F71" i="1"/>
  <c r="K71" i="1" s="1"/>
  <c r="G71" i="1"/>
  <c r="L71" i="1" s="1"/>
  <c r="O71" i="1" l="1"/>
  <c r="P71" i="1"/>
  <c r="R71" i="1" s="1"/>
  <c r="N119" i="1"/>
  <c r="L119" i="1"/>
  <c r="F119" i="1"/>
  <c r="K119" i="1" s="1"/>
  <c r="E114" i="1"/>
  <c r="E118" i="1"/>
  <c r="K113" i="1"/>
  <c r="E110" i="1"/>
  <c r="K110" i="1" s="1"/>
  <c r="E109" i="1"/>
  <c r="E108" i="1"/>
  <c r="K108" i="1" s="1"/>
  <c r="E107" i="1"/>
  <c r="K107" i="1" s="1"/>
  <c r="E106" i="1"/>
  <c r="K106" i="1" s="1"/>
  <c r="E105" i="1"/>
  <c r="K105" i="1" s="1"/>
  <c r="E104" i="1"/>
  <c r="N96" i="1"/>
  <c r="N97" i="1"/>
  <c r="N98" i="1"/>
  <c r="N99" i="1"/>
  <c r="N100" i="1"/>
  <c r="N101" i="1"/>
  <c r="N102" i="1"/>
  <c r="N103" i="1"/>
  <c r="N104" i="1"/>
  <c r="N105" i="1"/>
  <c r="N106" i="1"/>
  <c r="N107" i="1"/>
  <c r="N108" i="1"/>
  <c r="N109" i="1"/>
  <c r="N110" i="1"/>
  <c r="N112" i="1"/>
  <c r="N113" i="1"/>
  <c r="N114" i="1"/>
  <c r="N116" i="1"/>
  <c r="N117" i="1"/>
  <c r="N118" i="1"/>
  <c r="L95" i="1"/>
  <c r="L96" i="1"/>
  <c r="L97" i="1"/>
  <c r="L98" i="1"/>
  <c r="L99" i="1"/>
  <c r="L100" i="1"/>
  <c r="L101" i="1"/>
  <c r="L102" i="1"/>
  <c r="L103" i="1"/>
  <c r="L104" i="1"/>
  <c r="L105" i="1"/>
  <c r="L106" i="1"/>
  <c r="L107" i="1"/>
  <c r="L108" i="1"/>
  <c r="L109" i="1"/>
  <c r="L110" i="1"/>
  <c r="L112" i="1"/>
  <c r="L113" i="1"/>
  <c r="L114" i="1"/>
  <c r="L116" i="1"/>
  <c r="L117" i="1"/>
  <c r="L118" i="1"/>
  <c r="K96" i="1"/>
  <c r="K97" i="1"/>
  <c r="K98" i="1"/>
  <c r="K99" i="1"/>
  <c r="K100" i="1"/>
  <c r="K101" i="1"/>
  <c r="K102" i="1"/>
  <c r="K103" i="1"/>
  <c r="H96" i="1"/>
  <c r="J96" i="1" s="1"/>
  <c r="H97" i="1"/>
  <c r="J97" i="1" s="1"/>
  <c r="H98" i="1"/>
  <c r="J98" i="1" s="1"/>
  <c r="H99" i="1"/>
  <c r="J99" i="1" s="1"/>
  <c r="H100" i="1"/>
  <c r="J100" i="1" s="1"/>
  <c r="H101" i="1"/>
  <c r="J101" i="1" s="1"/>
  <c r="H102" i="1"/>
  <c r="J102" i="1" s="1"/>
  <c r="H103" i="1"/>
  <c r="J103" i="1" s="1"/>
  <c r="H104" i="1"/>
  <c r="J104" i="1" s="1"/>
  <c r="H105" i="1"/>
  <c r="J105" i="1" s="1"/>
  <c r="H106" i="1"/>
  <c r="J106" i="1" s="1"/>
  <c r="H107" i="1"/>
  <c r="J107" i="1" s="1"/>
  <c r="H108" i="1"/>
  <c r="J108" i="1" s="1"/>
  <c r="H109" i="1"/>
  <c r="J109" i="1" s="1"/>
  <c r="H110" i="1"/>
  <c r="J110" i="1" s="1"/>
  <c r="H113" i="1"/>
  <c r="J113" i="1" s="1"/>
  <c r="H117" i="1"/>
  <c r="J117" i="1" s="1"/>
  <c r="N57" i="1"/>
  <c r="O57" i="1" s="1"/>
  <c r="P57" i="1" s="1"/>
  <c r="R57" i="1" s="1"/>
  <c r="N58" i="1"/>
  <c r="O58" i="1" s="1"/>
  <c r="P58" i="1" s="1"/>
  <c r="R58" i="1" s="1"/>
  <c r="N59" i="1"/>
  <c r="O59" i="1" s="1"/>
  <c r="P59" i="1" s="1"/>
  <c r="R59" i="1" s="1"/>
  <c r="N60" i="1"/>
  <c r="O60" i="1" s="1"/>
  <c r="P60" i="1" s="1"/>
  <c r="R60" i="1" s="1"/>
  <c r="N61" i="1"/>
  <c r="O61" i="1" s="1"/>
  <c r="N62" i="1"/>
  <c r="O62" i="1" s="1"/>
  <c r="P62" i="1" s="1"/>
  <c r="R62" i="1" s="1"/>
  <c r="N63" i="1"/>
  <c r="O63" i="1" s="1"/>
  <c r="P63" i="1" s="1"/>
  <c r="R63" i="1" s="1"/>
  <c r="N54" i="1"/>
  <c r="L57" i="1"/>
  <c r="L58" i="1"/>
  <c r="L59" i="1"/>
  <c r="L60" i="1"/>
  <c r="L61" i="1"/>
  <c r="L62" i="1"/>
  <c r="L63" i="1"/>
  <c r="L54" i="1"/>
  <c r="F57" i="1"/>
  <c r="K57" i="1" s="1"/>
  <c r="F58" i="1"/>
  <c r="K58" i="1" s="1"/>
  <c r="F59" i="1"/>
  <c r="K59" i="1" s="1"/>
  <c r="F60" i="1"/>
  <c r="K60" i="1" s="1"/>
  <c r="F61" i="1"/>
  <c r="K61" i="1" s="1"/>
  <c r="F62" i="1"/>
  <c r="K62" i="1" s="1"/>
  <c r="F63" i="1"/>
  <c r="K63" i="1" s="1"/>
  <c r="F54" i="1"/>
  <c r="E64" i="1"/>
  <c r="G64" i="1"/>
  <c r="L64" i="1" s="1"/>
  <c r="H64" i="1"/>
  <c r="I64" i="1"/>
  <c r="N64" i="1" s="1"/>
  <c r="J64" i="1"/>
  <c r="M64" i="1"/>
  <c r="Q64" i="1"/>
  <c r="E65" i="1"/>
  <c r="G65" i="1"/>
  <c r="L65" i="1" s="1"/>
  <c r="H65" i="1"/>
  <c r="I65" i="1"/>
  <c r="N65" i="1" s="1"/>
  <c r="J65" i="1"/>
  <c r="M65" i="1"/>
  <c r="Q65" i="1"/>
  <c r="E66" i="1"/>
  <c r="G66" i="1"/>
  <c r="L66" i="1" s="1"/>
  <c r="H66" i="1"/>
  <c r="I66" i="1"/>
  <c r="N66" i="1" s="1"/>
  <c r="J66" i="1"/>
  <c r="M66" i="1"/>
  <c r="Q66" i="1"/>
  <c r="E67" i="1"/>
  <c r="G67" i="1"/>
  <c r="L67" i="1" s="1"/>
  <c r="H67" i="1"/>
  <c r="I67" i="1"/>
  <c r="N67" i="1" s="1"/>
  <c r="J67" i="1"/>
  <c r="M67" i="1"/>
  <c r="Q67" i="1"/>
  <c r="E68" i="1"/>
  <c r="G68" i="1"/>
  <c r="L68" i="1" s="1"/>
  <c r="H68" i="1"/>
  <c r="I68" i="1"/>
  <c r="N68" i="1" s="1"/>
  <c r="J68" i="1"/>
  <c r="M68" i="1"/>
  <c r="Q68" i="1"/>
  <c r="E69" i="1"/>
  <c r="G69" i="1"/>
  <c r="L69" i="1" s="1"/>
  <c r="H69" i="1"/>
  <c r="I69" i="1"/>
  <c r="N69" i="1" s="1"/>
  <c r="J69" i="1"/>
  <c r="M69" i="1"/>
  <c r="Q69" i="1"/>
  <c r="E70" i="1"/>
  <c r="G70" i="1"/>
  <c r="L70" i="1" s="1"/>
  <c r="H70" i="1"/>
  <c r="I70" i="1"/>
  <c r="N70" i="1" s="1"/>
  <c r="J70" i="1"/>
  <c r="M70" i="1"/>
  <c r="Q70" i="1"/>
  <c r="M108" i="1" l="1"/>
  <c r="O108" i="1" s="1"/>
  <c r="M102" i="1"/>
  <c r="M100" i="1"/>
  <c r="M98" i="1"/>
  <c r="M96" i="1"/>
  <c r="M106" i="1"/>
  <c r="O106" i="1" s="1"/>
  <c r="P106" i="1" s="1"/>
  <c r="R106" i="1" s="1"/>
  <c r="M110" i="1"/>
  <c r="O110" i="1" s="1"/>
  <c r="P110" i="1" s="1"/>
  <c r="R110" i="1" s="1"/>
  <c r="M119" i="1"/>
  <c r="O119" i="1" s="1"/>
  <c r="M103" i="1"/>
  <c r="O103" i="1" s="1"/>
  <c r="P103" i="1" s="1"/>
  <c r="R103" i="1" s="1"/>
  <c r="M101" i="1"/>
  <c r="O101" i="1" s="1"/>
  <c r="P101" i="1" s="1"/>
  <c r="R101" i="1" s="1"/>
  <c r="M99" i="1"/>
  <c r="O99" i="1" s="1"/>
  <c r="P99" i="1" s="1"/>
  <c r="R99" i="1" s="1"/>
  <c r="M97" i="1"/>
  <c r="O97" i="1" s="1"/>
  <c r="P97" i="1" s="1"/>
  <c r="R97" i="1" s="1"/>
  <c r="O102" i="1"/>
  <c r="P102" i="1" s="1"/>
  <c r="R102" i="1" s="1"/>
  <c r="O100" i="1"/>
  <c r="P100" i="1" s="1"/>
  <c r="R100" i="1" s="1"/>
  <c r="O98" i="1"/>
  <c r="P98" i="1" s="1"/>
  <c r="R98" i="1" s="1"/>
  <c r="O96" i="1"/>
  <c r="M105" i="1"/>
  <c r="O105" i="1" s="1"/>
  <c r="P105" i="1" s="1"/>
  <c r="R105" i="1" s="1"/>
  <c r="M107" i="1"/>
  <c r="O107" i="1" s="1"/>
  <c r="P107" i="1" s="1"/>
  <c r="R107" i="1" s="1"/>
  <c r="M113" i="1"/>
  <c r="K109" i="1"/>
  <c r="M109" i="1" s="1"/>
  <c r="O109" i="1" s="1"/>
  <c r="P109" i="1" s="1"/>
  <c r="R109" i="1" s="1"/>
  <c r="E120" i="1"/>
  <c r="E27" i="3" s="1"/>
  <c r="P108" i="1"/>
  <c r="R108" i="1" s="1"/>
  <c r="H119" i="1"/>
  <c r="J119" i="1" s="1"/>
  <c r="P119" i="1" s="1"/>
  <c r="R119" i="1" s="1"/>
  <c r="O70" i="1"/>
  <c r="O68" i="1"/>
  <c r="P68" i="1" s="1"/>
  <c r="R68" i="1" s="1"/>
  <c r="O66" i="1"/>
  <c r="P66" i="1" s="1"/>
  <c r="R66" i="1" s="1"/>
  <c r="O64" i="1"/>
  <c r="P64" i="1" s="1"/>
  <c r="R64" i="1" s="1"/>
  <c r="P70" i="1"/>
  <c r="R70" i="1" s="1"/>
  <c r="K104" i="1"/>
  <c r="M104" i="1" s="1"/>
  <c r="O69" i="1"/>
  <c r="P69" i="1" s="1"/>
  <c r="R69" i="1" s="1"/>
  <c r="O67" i="1"/>
  <c r="O65" i="1"/>
  <c r="P65" i="1" s="1"/>
  <c r="R65" i="1" s="1"/>
  <c r="F68" i="1"/>
  <c r="K68" i="1" s="1"/>
  <c r="F64" i="1"/>
  <c r="K64" i="1" s="1"/>
  <c r="P67" i="1"/>
  <c r="R67" i="1" s="1"/>
  <c r="F70" i="1"/>
  <c r="K70" i="1" s="1"/>
  <c r="F66" i="1"/>
  <c r="K66" i="1" s="1"/>
  <c r="F69" i="1"/>
  <c r="K69" i="1" s="1"/>
  <c r="F67" i="1"/>
  <c r="K67" i="1" s="1"/>
  <c r="F65" i="1"/>
  <c r="K65" i="1" s="1"/>
  <c r="E72" i="1"/>
  <c r="E26" i="3" s="1"/>
  <c r="O104" i="1" l="1"/>
  <c r="F72" i="1"/>
  <c r="F26" i="3" s="1"/>
  <c r="J61" i="1"/>
  <c r="P61" i="1" s="1"/>
  <c r="R61" i="1" s="1"/>
  <c r="P104" i="1" l="1"/>
  <c r="R104" i="1" s="1"/>
  <c r="F22" i="3"/>
  <c r="G22" i="3"/>
  <c r="H22" i="3"/>
  <c r="I22" i="3"/>
  <c r="J22" i="3"/>
  <c r="K22" i="3"/>
  <c r="L22" i="3"/>
  <c r="M22" i="3"/>
  <c r="N22" i="3"/>
  <c r="O22" i="3"/>
  <c r="P22" i="3"/>
  <c r="Q22" i="3"/>
  <c r="R22" i="3"/>
  <c r="E22" i="3"/>
  <c r="F21" i="3"/>
  <c r="G21" i="3"/>
  <c r="H21" i="3"/>
  <c r="I21" i="3"/>
  <c r="J21" i="3"/>
  <c r="K21" i="3"/>
  <c r="L21" i="3"/>
  <c r="M21" i="3"/>
  <c r="N21" i="3"/>
  <c r="O21" i="3"/>
  <c r="P21" i="3"/>
  <c r="Q21" i="3"/>
  <c r="R21" i="3"/>
  <c r="E21" i="3"/>
  <c r="F20" i="3"/>
  <c r="G20" i="3"/>
  <c r="H20" i="3"/>
  <c r="I20" i="3"/>
  <c r="J20" i="3"/>
  <c r="K20" i="3"/>
  <c r="L20" i="3"/>
  <c r="M20" i="3"/>
  <c r="N20" i="3"/>
  <c r="O20" i="3"/>
  <c r="P20" i="3"/>
  <c r="Q20" i="3"/>
  <c r="R20" i="3"/>
  <c r="E20" i="3"/>
  <c r="F19" i="3"/>
  <c r="G19" i="3"/>
  <c r="H19" i="3"/>
  <c r="I19" i="3"/>
  <c r="J19" i="3"/>
  <c r="K19" i="3"/>
  <c r="L19" i="3"/>
  <c r="M19" i="3"/>
  <c r="N19" i="3"/>
  <c r="O19" i="3"/>
  <c r="P19" i="3"/>
  <c r="Q19" i="3"/>
  <c r="R19" i="3"/>
  <c r="E19" i="3"/>
  <c r="K117" i="1" l="1"/>
  <c r="M117" i="1" s="1"/>
  <c r="O117" i="1" s="1"/>
  <c r="N115" i="1"/>
  <c r="G115" i="1"/>
  <c r="L115" i="1" s="1"/>
  <c r="F115" i="1"/>
  <c r="E56" i="1"/>
  <c r="G56" i="1"/>
  <c r="L56" i="1" s="1"/>
  <c r="H56" i="1"/>
  <c r="I56" i="1"/>
  <c r="N56" i="1" s="1"/>
  <c r="J56" i="1"/>
  <c r="M56" i="1"/>
  <c r="Q56" i="1"/>
  <c r="E55" i="1"/>
  <c r="G55" i="1"/>
  <c r="L55" i="1" s="1"/>
  <c r="H55" i="1"/>
  <c r="I55" i="1"/>
  <c r="N55" i="1" s="1"/>
  <c r="J55" i="1"/>
  <c r="M55" i="1"/>
  <c r="Q55" i="1"/>
  <c r="K116" i="1" l="1"/>
  <c r="M116" i="1" s="1"/>
  <c r="O116" i="1" s="1"/>
  <c r="H116" i="1"/>
  <c r="J116" i="1" s="1"/>
  <c r="O55" i="1"/>
  <c r="P55" i="1" s="1"/>
  <c r="R55" i="1" s="1"/>
  <c r="F56" i="1"/>
  <c r="K56" i="1" s="1"/>
  <c r="F55" i="1"/>
  <c r="K55" i="1" s="1"/>
  <c r="O56" i="1"/>
  <c r="P56" i="1" s="1"/>
  <c r="R56" i="1" s="1"/>
  <c r="F118" i="1"/>
  <c r="H118" i="1" s="1"/>
  <c r="K112" i="1"/>
  <c r="M112" i="1" s="1"/>
  <c r="O112" i="1" s="1"/>
  <c r="H112" i="1"/>
  <c r="J112" i="1" s="1"/>
  <c r="H115" i="1"/>
  <c r="J115" i="1" s="1"/>
  <c r="K115" i="1"/>
  <c r="M115" i="1" s="1"/>
  <c r="O115" i="1" s="1"/>
  <c r="P116" i="1"/>
  <c r="R116" i="1" s="1"/>
  <c r="P117" i="1"/>
  <c r="R117" i="1" s="1"/>
  <c r="P115" i="1" l="1"/>
  <c r="R115" i="1" s="1"/>
  <c r="K118" i="1"/>
  <c r="M118" i="1" s="1"/>
  <c r="O118" i="1" s="1"/>
  <c r="J118" i="1"/>
  <c r="E77" i="1"/>
  <c r="E78" i="1" s="1"/>
  <c r="E79" i="1" s="1"/>
  <c r="E80" i="1" s="1"/>
  <c r="E81" i="1" s="1"/>
  <c r="E82" i="1" s="1"/>
  <c r="E83" i="1" s="1"/>
  <c r="E84" i="1" s="1"/>
  <c r="E85" i="1" s="1"/>
  <c r="P118" i="1" l="1"/>
  <c r="R118" i="1" s="1"/>
  <c r="F111" i="1"/>
  <c r="G111" i="1"/>
  <c r="L111" i="1" s="1"/>
  <c r="N111" i="1"/>
  <c r="I95" i="1"/>
  <c r="F95" i="1"/>
  <c r="N95" i="1" l="1"/>
  <c r="K95" i="1"/>
  <c r="M95" i="1" s="1"/>
  <c r="H95" i="1"/>
  <c r="J95" i="1" s="1"/>
  <c r="H111" i="1"/>
  <c r="J111" i="1" s="1"/>
  <c r="K111" i="1"/>
  <c r="M111" i="1" s="1"/>
  <c r="O111" i="1" s="1"/>
  <c r="H73" i="1"/>
  <c r="O95" i="1" l="1"/>
  <c r="P95" i="1" s="1"/>
  <c r="R95" i="1" s="1"/>
  <c r="P111" i="1"/>
  <c r="R111" i="1" s="1"/>
  <c r="P96" i="1"/>
  <c r="R96" i="1" s="1"/>
  <c r="I93" i="1" l="1"/>
  <c r="I91" i="1"/>
  <c r="I90" i="1"/>
  <c r="I87" i="1"/>
  <c r="I86" i="1"/>
  <c r="I80" i="1"/>
  <c r="I79" i="1"/>
  <c r="I53" i="1"/>
  <c r="I51" i="1"/>
  <c r="I50" i="1"/>
  <c r="I47" i="1"/>
  <c r="I46" i="1"/>
  <c r="I40" i="1"/>
  <c r="I39" i="1"/>
  <c r="I27" i="1"/>
  <c r="I22" i="1"/>
  <c r="I19" i="1"/>
  <c r="I11" i="1"/>
  <c r="I8" i="1"/>
  <c r="E32" i="1" l="1"/>
  <c r="E121" i="1" s="1"/>
  <c r="E28" i="3" s="1"/>
  <c r="E30" i="3" s="1"/>
  <c r="H4" i="1"/>
  <c r="J4" i="1" s="1"/>
  <c r="Q75" i="1" l="1"/>
  <c r="Q74" i="1"/>
  <c r="Q35" i="1"/>
  <c r="Q34" i="1"/>
  <c r="N75" i="1" l="1"/>
  <c r="O75" i="1" s="1"/>
  <c r="L75" i="1"/>
  <c r="K75" i="1"/>
  <c r="H75" i="1"/>
  <c r="J75" i="1" s="1"/>
  <c r="N74" i="1"/>
  <c r="O74" i="1" s="1"/>
  <c r="L74" i="1"/>
  <c r="K74" i="1"/>
  <c r="H74" i="1"/>
  <c r="H34" i="1"/>
  <c r="J34" i="1" s="1"/>
  <c r="K34" i="1"/>
  <c r="L34" i="1"/>
  <c r="N34" i="1"/>
  <c r="O34" i="1" s="1"/>
  <c r="H35" i="1"/>
  <c r="J35" i="1" s="1"/>
  <c r="K35" i="1"/>
  <c r="L35" i="1"/>
  <c r="N35" i="1"/>
  <c r="O35" i="1" s="1"/>
  <c r="N33" i="1"/>
  <c r="O33" i="1" s="1"/>
  <c r="L33" i="1"/>
  <c r="K33" i="1"/>
  <c r="H33" i="1"/>
  <c r="I24" i="1"/>
  <c r="I13" i="1"/>
  <c r="J74" i="1" l="1"/>
  <c r="P74" i="1" s="1"/>
  <c r="R74" i="1" s="1"/>
  <c r="J33" i="1"/>
  <c r="P75" i="1"/>
  <c r="R75" i="1" s="1"/>
  <c r="P35" i="1"/>
  <c r="R35" i="1" s="1"/>
  <c r="P34" i="1"/>
  <c r="R34" i="1" s="1"/>
  <c r="F94" i="1"/>
  <c r="H94" i="1" s="1"/>
  <c r="L94" i="1"/>
  <c r="N94" i="1"/>
  <c r="O54" i="1"/>
  <c r="J94" i="1" l="1"/>
  <c r="P33" i="1"/>
  <c r="R33" i="1" s="1"/>
  <c r="K94" i="1"/>
  <c r="M94" i="1" s="1"/>
  <c r="O94" i="1" s="1"/>
  <c r="N93" i="1"/>
  <c r="L93" i="1"/>
  <c r="L92" i="1"/>
  <c r="N92" i="1"/>
  <c r="N53" i="1"/>
  <c r="O53" i="1" s="1"/>
  <c r="L53" i="1"/>
  <c r="F53" i="1"/>
  <c r="E53" i="1"/>
  <c r="P94" i="1" l="1"/>
  <c r="R94" i="1" s="1"/>
  <c r="K53" i="1"/>
  <c r="H53" i="1"/>
  <c r="J53" i="1" s="1"/>
  <c r="P53" i="1" s="1"/>
  <c r="R53" i="1" s="1"/>
  <c r="H54" i="1"/>
  <c r="J54" i="1" s="1"/>
  <c r="P54" i="1" s="1"/>
  <c r="K54" i="1"/>
  <c r="F15" i="1"/>
  <c r="H15" i="1" s="1"/>
  <c r="J15" i="1" s="1"/>
  <c r="N6" i="1"/>
  <c r="O6" i="1" s="1"/>
  <c r="N7" i="1"/>
  <c r="O7" i="1" s="1"/>
  <c r="N8" i="1"/>
  <c r="O8" i="1" s="1"/>
  <c r="N9" i="1"/>
  <c r="O9" i="1" s="1"/>
  <c r="N10" i="1"/>
  <c r="O10" i="1" s="1"/>
  <c r="N11" i="1"/>
  <c r="O11" i="1" s="1"/>
  <c r="N12" i="1"/>
  <c r="O12" i="1" s="1"/>
  <c r="N13" i="1"/>
  <c r="O13" i="1" s="1"/>
  <c r="N14" i="1"/>
  <c r="O14" i="1" s="1"/>
  <c r="N15" i="1"/>
  <c r="N16" i="1"/>
  <c r="O16" i="1" s="1"/>
  <c r="N17" i="1"/>
  <c r="O17" i="1" s="1"/>
  <c r="N18" i="1"/>
  <c r="O18" i="1" s="1"/>
  <c r="N19" i="1"/>
  <c r="O19" i="1" s="1"/>
  <c r="N20" i="1"/>
  <c r="O20" i="1" s="1"/>
  <c r="N21" i="1"/>
  <c r="O21" i="1" s="1"/>
  <c r="N22" i="1"/>
  <c r="O22" i="1" s="1"/>
  <c r="N23" i="1"/>
  <c r="O23" i="1" s="1"/>
  <c r="N24" i="1"/>
  <c r="O24" i="1" s="1"/>
  <c r="N25" i="1"/>
  <c r="N26" i="1"/>
  <c r="N27" i="1"/>
  <c r="N28" i="1"/>
  <c r="N29" i="1"/>
  <c r="N30" i="1"/>
  <c r="N31" i="1"/>
  <c r="N5" i="1"/>
  <c r="O5" i="1" s="1"/>
  <c r="N36" i="1"/>
  <c r="N37" i="1"/>
  <c r="N38" i="1"/>
  <c r="N39" i="1"/>
  <c r="N40" i="1"/>
  <c r="N41" i="1"/>
  <c r="N42" i="1"/>
  <c r="N43" i="1"/>
  <c r="N44" i="1"/>
  <c r="N45" i="1"/>
  <c r="N46" i="1"/>
  <c r="N47" i="1"/>
  <c r="N48" i="1"/>
  <c r="N49" i="1"/>
  <c r="N50" i="1"/>
  <c r="N51" i="1"/>
  <c r="N52" i="1"/>
  <c r="R54" i="1" l="1"/>
  <c r="O36" i="1"/>
  <c r="L36" i="1"/>
  <c r="F36" i="1"/>
  <c r="K36" i="1" s="1"/>
  <c r="O52" i="1"/>
  <c r="L52" i="1"/>
  <c r="K52" i="1"/>
  <c r="H52" i="1"/>
  <c r="J52" i="1" s="1"/>
  <c r="O51" i="1"/>
  <c r="L51" i="1"/>
  <c r="O50" i="1"/>
  <c r="L50" i="1"/>
  <c r="L49" i="1"/>
  <c r="E49" i="1"/>
  <c r="E50" i="1" s="1"/>
  <c r="O48" i="1"/>
  <c r="L48" i="1"/>
  <c r="K48" i="1"/>
  <c r="H48" i="1"/>
  <c r="J48" i="1" s="1"/>
  <c r="O47" i="1"/>
  <c r="L47" i="1"/>
  <c r="O46" i="1"/>
  <c r="L46" i="1"/>
  <c r="O45" i="1"/>
  <c r="L45" i="1"/>
  <c r="E45" i="1"/>
  <c r="F45" i="1" s="1"/>
  <c r="H45" i="1" s="1"/>
  <c r="J45" i="1" s="1"/>
  <c r="O44" i="1"/>
  <c r="L44" i="1"/>
  <c r="E44" i="1"/>
  <c r="F44" i="1" s="1"/>
  <c r="H44" i="1" s="1"/>
  <c r="J44" i="1" s="1"/>
  <c r="O43" i="1"/>
  <c r="L43" i="1"/>
  <c r="F43" i="1"/>
  <c r="K43" i="1" s="1"/>
  <c r="L42" i="1"/>
  <c r="E42" i="1"/>
  <c r="F42" i="1" s="1"/>
  <c r="H42" i="1" s="1"/>
  <c r="J42" i="1" s="1"/>
  <c r="O41" i="1"/>
  <c r="L41" i="1"/>
  <c r="K41" i="1"/>
  <c r="H41" i="1"/>
  <c r="J41" i="1" s="1"/>
  <c r="O40" i="1"/>
  <c r="L40" i="1"/>
  <c r="O39" i="1"/>
  <c r="L39" i="1"/>
  <c r="O38" i="1"/>
  <c r="L38" i="1"/>
  <c r="F38" i="1"/>
  <c r="H38" i="1" s="1"/>
  <c r="J38" i="1" s="1"/>
  <c r="O37" i="1"/>
  <c r="L37" i="1"/>
  <c r="F37" i="1"/>
  <c r="H37" i="1" s="1"/>
  <c r="P44" i="1" l="1"/>
  <c r="R44" i="1" s="1"/>
  <c r="P45" i="1"/>
  <c r="R45" i="1" s="1"/>
  <c r="P52" i="1"/>
  <c r="R52" i="1" s="1"/>
  <c r="P38" i="1"/>
  <c r="R38" i="1" s="1"/>
  <c r="J37" i="1"/>
  <c r="H43" i="1"/>
  <c r="J43" i="1" s="1"/>
  <c r="P43" i="1" s="1"/>
  <c r="R43" i="1" s="1"/>
  <c r="P41" i="1"/>
  <c r="R41" i="1" s="1"/>
  <c r="H36" i="1"/>
  <c r="K37" i="1"/>
  <c r="K42" i="1"/>
  <c r="M42" i="1" s="1"/>
  <c r="K38" i="1"/>
  <c r="E39" i="1"/>
  <c r="P48" i="1"/>
  <c r="R48" i="1" s="1"/>
  <c r="E51" i="1"/>
  <c r="F50" i="1"/>
  <c r="K50" i="1" s="1"/>
  <c r="K44" i="1"/>
  <c r="K45" i="1"/>
  <c r="E46" i="1"/>
  <c r="F49" i="1"/>
  <c r="H49" i="1" s="1"/>
  <c r="J49" i="1" s="1"/>
  <c r="N91" i="1"/>
  <c r="L91" i="1"/>
  <c r="N90" i="1"/>
  <c r="L90" i="1"/>
  <c r="N89" i="1"/>
  <c r="L89" i="1"/>
  <c r="N88" i="1"/>
  <c r="O88" i="1" s="1"/>
  <c r="L88" i="1"/>
  <c r="N87" i="1"/>
  <c r="O87" i="1" s="1"/>
  <c r="L87" i="1"/>
  <c r="N86" i="1"/>
  <c r="O86" i="1" s="1"/>
  <c r="L86" i="1"/>
  <c r="N85" i="1"/>
  <c r="O85" i="1" s="1"/>
  <c r="L85" i="1"/>
  <c r="N84" i="1"/>
  <c r="O84" i="1" s="1"/>
  <c r="L84" i="1"/>
  <c r="N83" i="1"/>
  <c r="O83" i="1" s="1"/>
  <c r="L83" i="1"/>
  <c r="P37" i="1" l="1"/>
  <c r="R37" i="1" s="1"/>
  <c r="O42" i="1"/>
  <c r="J36" i="1"/>
  <c r="F46" i="1"/>
  <c r="K46" i="1" s="1"/>
  <c r="E47" i="1"/>
  <c r="F39" i="1"/>
  <c r="K39" i="1" s="1"/>
  <c r="E40" i="1"/>
  <c r="K49" i="1"/>
  <c r="M49" i="1" s="1"/>
  <c r="O49" i="1" s="1"/>
  <c r="H50" i="1"/>
  <c r="J50" i="1" s="1"/>
  <c r="P50" i="1" s="1"/>
  <c r="R50" i="1" s="1"/>
  <c r="F51" i="1"/>
  <c r="H51" i="1" s="1"/>
  <c r="J51" i="1" s="1"/>
  <c r="P51" i="1" s="1"/>
  <c r="R51" i="1" s="1"/>
  <c r="F27" i="1"/>
  <c r="P49" i="1" l="1"/>
  <c r="R49" i="1" s="1"/>
  <c r="P42" i="1"/>
  <c r="R42" i="1" s="1"/>
  <c r="K51" i="1"/>
  <c r="E28" i="1"/>
  <c r="F28" i="1" s="1"/>
  <c r="H28" i="1" s="1"/>
  <c r="J28" i="1" s="1"/>
  <c r="H27" i="1"/>
  <c r="J27" i="1" s="1"/>
  <c r="P36" i="1"/>
  <c r="F47" i="1"/>
  <c r="H47" i="1" s="1"/>
  <c r="J47" i="1" s="1"/>
  <c r="P47" i="1" s="1"/>
  <c r="R47" i="1" s="1"/>
  <c r="H46" i="1"/>
  <c r="J46" i="1" s="1"/>
  <c r="P46" i="1" s="1"/>
  <c r="R46" i="1" s="1"/>
  <c r="F40" i="1"/>
  <c r="H40" i="1" s="1"/>
  <c r="J40" i="1" s="1"/>
  <c r="P40" i="1" s="1"/>
  <c r="R40" i="1" s="1"/>
  <c r="H39" i="1"/>
  <c r="N76" i="1"/>
  <c r="O76" i="1" s="1"/>
  <c r="N77" i="1"/>
  <c r="O77" i="1" s="1"/>
  <c r="N78" i="1"/>
  <c r="O78" i="1" s="1"/>
  <c r="N79" i="1"/>
  <c r="O79" i="1" s="1"/>
  <c r="N80" i="1"/>
  <c r="O80" i="1" s="1"/>
  <c r="N81" i="1"/>
  <c r="O81" i="1" s="1"/>
  <c r="N82" i="1"/>
  <c r="N73" i="1"/>
  <c r="O73" i="1" s="1"/>
  <c r="N4" i="1"/>
  <c r="O4" i="1" s="1"/>
  <c r="P4" i="1" s="1"/>
  <c r="R4" i="1" s="1"/>
  <c r="L76" i="1"/>
  <c r="L77" i="1"/>
  <c r="L78" i="1"/>
  <c r="L79" i="1"/>
  <c r="L80" i="1"/>
  <c r="L81" i="1"/>
  <c r="L82" i="1"/>
  <c r="L73" i="1"/>
  <c r="L5" i="1"/>
  <c r="L6" i="1"/>
  <c r="L7" i="1"/>
  <c r="L8" i="1"/>
  <c r="L9" i="1"/>
  <c r="L10" i="1"/>
  <c r="L11" i="1"/>
  <c r="L12" i="1"/>
  <c r="L13" i="1"/>
  <c r="L14" i="1"/>
  <c r="L15" i="1"/>
  <c r="L16" i="1"/>
  <c r="L18" i="1"/>
  <c r="L17" i="1"/>
  <c r="L19" i="1"/>
  <c r="L20" i="1"/>
  <c r="L21" i="1"/>
  <c r="L22" i="1"/>
  <c r="L23" i="1"/>
  <c r="L24" i="1"/>
  <c r="L25" i="1"/>
  <c r="L26" i="1"/>
  <c r="L27" i="1"/>
  <c r="L28" i="1"/>
  <c r="L29" i="1"/>
  <c r="L30" i="1"/>
  <c r="L31" i="1"/>
  <c r="L4" i="1"/>
  <c r="K27" i="1"/>
  <c r="K4" i="1"/>
  <c r="H72" i="1" l="1"/>
  <c r="H26" i="3" s="1"/>
  <c r="R36" i="1"/>
  <c r="J39" i="1"/>
  <c r="J72" i="1" s="1"/>
  <c r="J26" i="3" s="1"/>
  <c r="K40" i="1"/>
  <c r="K47" i="1"/>
  <c r="K73" i="1"/>
  <c r="G72" i="1" l="1"/>
  <c r="G26" i="3" s="1"/>
  <c r="J73" i="1"/>
  <c r="P39" i="1"/>
  <c r="R39" i="1" l="1"/>
  <c r="P72" i="1"/>
  <c r="P26" i="3" s="1"/>
  <c r="P73" i="1"/>
  <c r="R72" i="1" l="1"/>
  <c r="R26" i="3" s="1"/>
  <c r="R73" i="1"/>
  <c r="F26" i="1"/>
  <c r="H26" i="1" s="1"/>
  <c r="J26" i="1" s="1"/>
  <c r="E18" i="1"/>
  <c r="F16" i="1"/>
  <c r="H16" i="1" s="1"/>
  <c r="J16" i="1" s="1"/>
  <c r="P16" i="1" s="1"/>
  <c r="R16" i="1" s="1"/>
  <c r="E7" i="1"/>
  <c r="F7" i="1" l="1"/>
  <c r="K7" i="1" s="1"/>
  <c r="E17" i="1"/>
  <c r="K16" i="1"/>
  <c r="K26" i="1"/>
  <c r="M26" i="1" s="1"/>
  <c r="O26" i="1" s="1"/>
  <c r="P26" i="1" s="1"/>
  <c r="R26" i="1" s="1"/>
  <c r="F18" i="1"/>
  <c r="M27" i="1"/>
  <c r="O27" i="1" s="1"/>
  <c r="P27" i="1" s="1"/>
  <c r="R27" i="1" s="1"/>
  <c r="K18" i="1" l="1"/>
  <c r="H18" i="1"/>
  <c r="J18" i="1" s="1"/>
  <c r="P18" i="1" s="1"/>
  <c r="R18" i="1" s="1"/>
  <c r="H7" i="1"/>
  <c r="J7" i="1" s="1"/>
  <c r="P7" i="1" s="1"/>
  <c r="R7" i="1" s="1"/>
  <c r="F17" i="1"/>
  <c r="H17" i="1" s="1"/>
  <c r="J17" i="1" s="1"/>
  <c r="P17" i="1" l="1"/>
  <c r="R17" i="1" s="1"/>
  <c r="E19" i="1"/>
  <c r="K17" i="1"/>
  <c r="O113" i="1" l="1"/>
  <c r="P112" i="1"/>
  <c r="R112" i="1" s="1"/>
  <c r="P113" i="1" l="1"/>
  <c r="R113" i="1" s="1"/>
  <c r="F114" i="1"/>
  <c r="F76" i="1"/>
  <c r="F120" i="1" s="1"/>
  <c r="F27" i="3" s="1"/>
  <c r="K120" i="1" l="1"/>
  <c r="K27" i="3" s="1"/>
  <c r="K114" i="1"/>
  <c r="M114" i="1" s="1"/>
  <c r="O114" i="1" s="1"/>
  <c r="H114" i="1"/>
  <c r="J114" i="1" s="1"/>
  <c r="F77" i="1"/>
  <c r="H77" i="1" s="1"/>
  <c r="J77" i="1" s="1"/>
  <c r="P77" i="1" s="1"/>
  <c r="R77" i="1" s="1"/>
  <c r="H76" i="1"/>
  <c r="K76" i="1"/>
  <c r="P114" i="1" l="1"/>
  <c r="R114" i="1" s="1"/>
  <c r="F78" i="1"/>
  <c r="H78" i="1" s="1"/>
  <c r="J78" i="1" s="1"/>
  <c r="P78" i="1" s="1"/>
  <c r="R78" i="1" s="1"/>
  <c r="K77" i="1"/>
  <c r="J76" i="1"/>
  <c r="K78" i="1" l="1"/>
  <c r="F79" i="1"/>
  <c r="P76" i="1"/>
  <c r="K79" i="1" l="1"/>
  <c r="H79" i="1"/>
  <c r="F80" i="1"/>
  <c r="H80" i="1" s="1"/>
  <c r="J80" i="1" s="1"/>
  <c r="P80" i="1" s="1"/>
  <c r="R80" i="1" s="1"/>
  <c r="R76" i="1"/>
  <c r="J79" i="1" l="1"/>
  <c r="P79" i="1" s="1"/>
  <c r="R79" i="1" s="1"/>
  <c r="K80" i="1"/>
  <c r="F81" i="1"/>
  <c r="H81" i="1" s="1"/>
  <c r="J81" i="1" s="1"/>
  <c r="P81" i="1" s="1"/>
  <c r="R81" i="1" s="1"/>
  <c r="K81" i="1" l="1"/>
  <c r="F82" i="1"/>
  <c r="H82" i="1" s="1"/>
  <c r="F5" i="1"/>
  <c r="F32" i="1" s="1"/>
  <c r="F121" i="1" s="1"/>
  <c r="F28" i="3" s="1"/>
  <c r="F30" i="3" s="1"/>
  <c r="K32" i="1" l="1"/>
  <c r="K121" i="1" s="1"/>
  <c r="K28" i="3" s="1"/>
  <c r="K30" i="3" s="1"/>
  <c r="J82" i="1"/>
  <c r="K82" i="1"/>
  <c r="M82" i="1" s="1"/>
  <c r="F83" i="1"/>
  <c r="H83" i="1" s="1"/>
  <c r="J83" i="1" s="1"/>
  <c r="P83" i="1" s="1"/>
  <c r="R83" i="1" s="1"/>
  <c r="E6" i="1"/>
  <c r="H5" i="1"/>
  <c r="J5" i="1" s="1"/>
  <c r="K5" i="1"/>
  <c r="F6" i="1" l="1"/>
  <c r="K6" i="1" s="1"/>
  <c r="P5" i="1"/>
  <c r="R5" i="1" s="1"/>
  <c r="O82" i="1"/>
  <c r="K83" i="1"/>
  <c r="F84" i="1"/>
  <c r="H84" i="1" s="1"/>
  <c r="J84" i="1" s="1"/>
  <c r="P84" i="1" s="1"/>
  <c r="R84" i="1" s="1"/>
  <c r="P82" i="1" l="1"/>
  <c r="R82" i="1" s="1"/>
  <c r="K84" i="1"/>
  <c r="E86" i="1"/>
  <c r="F85" i="1"/>
  <c r="H85" i="1" s="1"/>
  <c r="H6" i="1"/>
  <c r="E8" i="1"/>
  <c r="K15" i="1"/>
  <c r="J6" i="1" l="1"/>
  <c r="J85" i="1"/>
  <c r="K85" i="1"/>
  <c r="E87" i="1"/>
  <c r="F86" i="1"/>
  <c r="H86" i="1" s="1"/>
  <c r="J86" i="1" s="1"/>
  <c r="E10" i="1"/>
  <c r="F8" i="1"/>
  <c r="M15" i="1"/>
  <c r="P86" i="1" l="1"/>
  <c r="R86" i="1" s="1"/>
  <c r="P6" i="1"/>
  <c r="R6" i="1" s="1"/>
  <c r="O15" i="1"/>
  <c r="P15" i="1" s="1"/>
  <c r="R15" i="1" s="1"/>
  <c r="K86" i="1"/>
  <c r="E88" i="1"/>
  <c r="F87" i="1"/>
  <c r="H87" i="1" s="1"/>
  <c r="P85" i="1"/>
  <c r="R85" i="1" s="1"/>
  <c r="K8" i="1"/>
  <c r="H8" i="1"/>
  <c r="F10" i="1"/>
  <c r="H10" i="1" s="1"/>
  <c r="J10" i="1" s="1"/>
  <c r="P10" i="1" s="1"/>
  <c r="R10" i="1" s="1"/>
  <c r="E9" i="1"/>
  <c r="J8" i="1" l="1"/>
  <c r="J87" i="1"/>
  <c r="K87" i="1"/>
  <c r="E89" i="1"/>
  <c r="F88" i="1"/>
  <c r="H88" i="1" s="1"/>
  <c r="K10" i="1"/>
  <c r="F9" i="1"/>
  <c r="D8" i="2"/>
  <c r="C17" i="2"/>
  <c r="D16" i="2" s="1"/>
  <c r="C6" i="2"/>
  <c r="C3" i="2"/>
  <c r="C5" i="2"/>
  <c r="C4" i="2"/>
  <c r="C12" i="2"/>
  <c r="C14" i="2"/>
  <c r="C15" i="2"/>
  <c r="C13" i="2"/>
  <c r="C10" i="2"/>
  <c r="C7" i="2"/>
  <c r="C11" i="2"/>
  <c r="P8" i="1" l="1"/>
  <c r="R8" i="1" s="1"/>
  <c r="J88" i="1"/>
  <c r="P88" i="1" s="1"/>
  <c r="R88" i="1" s="1"/>
  <c r="K88" i="1"/>
  <c r="E90" i="1"/>
  <c r="F89" i="1"/>
  <c r="H89" i="1" s="1"/>
  <c r="P87" i="1"/>
  <c r="K9" i="1"/>
  <c r="H9" i="1"/>
  <c r="E11" i="1"/>
  <c r="J9" i="1" l="1"/>
  <c r="R87" i="1"/>
  <c r="J89" i="1"/>
  <c r="K89" i="1"/>
  <c r="M89" i="1" s="1"/>
  <c r="E91" i="1"/>
  <c r="E92" i="1" s="1"/>
  <c r="F90" i="1"/>
  <c r="H90" i="1" s="1"/>
  <c r="J90" i="1" s="1"/>
  <c r="F11" i="1"/>
  <c r="H11" i="1" s="1"/>
  <c r="J11" i="1" s="1"/>
  <c r="P11" i="1" s="1"/>
  <c r="R11" i="1" s="1"/>
  <c r="O89" i="1" l="1"/>
  <c r="P9" i="1"/>
  <c r="R9" i="1" s="1"/>
  <c r="E93" i="1"/>
  <c r="F92" i="1"/>
  <c r="H92" i="1" s="1"/>
  <c r="J92" i="1" s="1"/>
  <c r="K90" i="1"/>
  <c r="M90" i="1" s="1"/>
  <c r="O90" i="1" s="1"/>
  <c r="P90" i="1" s="1"/>
  <c r="R90" i="1" s="1"/>
  <c r="F91" i="1"/>
  <c r="H91" i="1" s="1"/>
  <c r="K11" i="1"/>
  <c r="E12" i="1"/>
  <c r="P89" i="1" l="1"/>
  <c r="R89" i="1" s="1"/>
  <c r="J91" i="1"/>
  <c r="K92" i="1"/>
  <c r="M92" i="1" s="1"/>
  <c r="O92" i="1" s="1"/>
  <c r="P92" i="1" s="1"/>
  <c r="R92" i="1" s="1"/>
  <c r="F93" i="1"/>
  <c r="H93" i="1" s="1"/>
  <c r="K91" i="1"/>
  <c r="M91" i="1" s="1"/>
  <c r="F12" i="1"/>
  <c r="F13" i="1" s="1"/>
  <c r="E13" i="1" s="1"/>
  <c r="O91" i="1" l="1"/>
  <c r="H120" i="1"/>
  <c r="H27" i="3" s="1"/>
  <c r="J93" i="1"/>
  <c r="J120" i="1" s="1"/>
  <c r="P91" i="1"/>
  <c r="R91" i="1" s="1"/>
  <c r="K93" i="1"/>
  <c r="M93" i="1" s="1"/>
  <c r="O93" i="1" s="1"/>
  <c r="O120" i="1" s="1"/>
  <c r="O27" i="3" s="1"/>
  <c r="H12" i="1"/>
  <c r="E14" i="1"/>
  <c r="K12" i="1"/>
  <c r="H13" i="1"/>
  <c r="J13" i="1" s="1"/>
  <c r="P13" i="1" s="1"/>
  <c r="R13" i="1" s="1"/>
  <c r="G120" i="1" l="1"/>
  <c r="G27" i="3" s="1"/>
  <c r="M120" i="1"/>
  <c r="P93" i="1"/>
  <c r="R93" i="1" s="1"/>
  <c r="J27" i="3"/>
  <c r="J12" i="1"/>
  <c r="K13" i="1"/>
  <c r="M27" i="3" l="1"/>
  <c r="L120" i="1"/>
  <c r="L27" i="3" s="1"/>
  <c r="R120" i="1"/>
  <c r="R27" i="3" s="1"/>
  <c r="P120" i="1"/>
  <c r="P27" i="3" s="1"/>
  <c r="P12" i="1"/>
  <c r="R12" i="1" s="1"/>
  <c r="F14" i="1"/>
  <c r="K14" i="1" l="1"/>
  <c r="H14" i="1"/>
  <c r="J14" i="1" s="1"/>
  <c r="P14" i="1" s="1"/>
  <c r="R14" i="1" s="1"/>
  <c r="F19" i="1" l="1"/>
  <c r="E21" i="1" l="1"/>
  <c r="E20" i="1" s="1"/>
  <c r="F20" i="1" s="1"/>
  <c r="H19" i="1"/>
  <c r="J19" i="1" s="1"/>
  <c r="P19" i="1" s="1"/>
  <c r="R19" i="1" s="1"/>
  <c r="K19" i="1"/>
  <c r="F21" i="1" l="1"/>
  <c r="K21" i="1" s="1"/>
  <c r="H21" i="1" l="1"/>
  <c r="J21" i="1" s="1"/>
  <c r="P21" i="1" s="1"/>
  <c r="R21" i="1" s="1"/>
  <c r="E22" i="1"/>
  <c r="F22" i="1" s="1"/>
  <c r="H20" i="1"/>
  <c r="J20" i="1" s="1"/>
  <c r="P20" i="1" s="1"/>
  <c r="R20" i="1" s="1"/>
  <c r="K20" i="1"/>
  <c r="H22" i="1" l="1"/>
  <c r="J22" i="1" s="1"/>
  <c r="P22" i="1" s="1"/>
  <c r="R22" i="1" s="1"/>
  <c r="E23" i="1"/>
  <c r="F23" i="1" s="1"/>
  <c r="F24" i="1" s="1"/>
  <c r="K22" i="1"/>
  <c r="E25" i="1" l="1"/>
  <c r="E24" i="1"/>
  <c r="K23" i="1"/>
  <c r="H23" i="1" l="1"/>
  <c r="J23" i="1" s="1"/>
  <c r="P23" i="1" s="1"/>
  <c r="R23" i="1" s="1"/>
  <c r="H24" i="1" l="1"/>
  <c r="J24" i="1" s="1"/>
  <c r="P24" i="1" s="1"/>
  <c r="R24" i="1" s="1"/>
  <c r="K24" i="1"/>
  <c r="F25" i="1" l="1"/>
  <c r="M25" i="1" l="1"/>
  <c r="H25" i="1"/>
  <c r="J25" i="1" s="1"/>
  <c r="K25" i="1"/>
  <c r="O25" i="1" l="1"/>
  <c r="P25" i="1" s="1"/>
  <c r="R25" i="1" s="1"/>
  <c r="E29" i="1" l="1"/>
  <c r="F29" i="1" s="1"/>
  <c r="H29" i="1" s="1"/>
  <c r="J29" i="1" s="1"/>
  <c r="K28" i="1"/>
  <c r="M28" i="1" s="1"/>
  <c r="O28" i="1" l="1"/>
  <c r="P28" i="1" s="1"/>
  <c r="R28" i="1" s="1"/>
  <c r="E30" i="1"/>
  <c r="K29" i="1"/>
  <c r="M29" i="1" s="1"/>
  <c r="O29" i="1" s="1"/>
  <c r="P29" i="1" s="1"/>
  <c r="R29" i="1" s="1"/>
  <c r="F30" i="1" l="1"/>
  <c r="H30" i="1" s="1"/>
  <c r="J30" i="1" s="1"/>
  <c r="K30" i="1" l="1"/>
  <c r="M30" i="1" s="1"/>
  <c r="E31" i="1"/>
  <c r="O30" i="1" l="1"/>
  <c r="F31" i="1"/>
  <c r="H31" i="1" s="1"/>
  <c r="J31" i="1" l="1"/>
  <c r="J32" i="1" s="1"/>
  <c r="J121" i="1" s="1"/>
  <c r="J28" i="3" s="1"/>
  <c r="J30" i="3" s="1"/>
  <c r="H32" i="1"/>
  <c r="P30" i="1"/>
  <c r="R30" i="1" s="1"/>
  <c r="K31" i="1"/>
  <c r="M31" i="1" s="1"/>
  <c r="M32" i="1" s="1"/>
  <c r="M121" i="1" s="1"/>
  <c r="M28" i="3" s="1"/>
  <c r="M30" i="3" s="1"/>
  <c r="L121" i="1" l="1"/>
  <c r="L28" i="3" s="1"/>
  <c r="L30" i="3" s="1"/>
  <c r="G32" i="1"/>
  <c r="H121" i="1"/>
  <c r="H28" i="3" s="1"/>
  <c r="H30" i="3" s="1"/>
  <c r="L32" i="1"/>
  <c r="O31" i="1"/>
  <c r="P31" i="1" s="1"/>
  <c r="R31" i="1" s="1"/>
  <c r="N129" i="1" l="1"/>
  <c r="G121" i="1"/>
  <c r="G28" i="3" s="1"/>
  <c r="G30" i="3" s="1"/>
  <c r="O32" i="1"/>
  <c r="O121" i="1" s="1"/>
  <c r="O28" i="3" s="1"/>
  <c r="O30" i="3" s="1"/>
  <c r="P32" i="1" l="1"/>
  <c r="R32" i="1"/>
  <c r="R121" i="1" s="1"/>
  <c r="R28" i="3" s="1"/>
  <c r="R30" i="3" s="1"/>
  <c r="P121" i="1" l="1"/>
  <c r="P28" i="3" s="1"/>
  <c r="P30" i="3" s="1"/>
  <c r="E123" i="1"/>
  <c r="E124" i="1" l="1"/>
  <c r="E122" i="1"/>
</calcChain>
</file>

<file path=xl/sharedStrings.xml><?xml version="1.0" encoding="utf-8"?>
<sst xmlns="http://schemas.openxmlformats.org/spreadsheetml/2006/main" count="361" uniqueCount="201">
  <si>
    <t>Type of Survey Instrument</t>
  </si>
  <si>
    <t>Number of Respondents</t>
  </si>
  <si>
    <t>Frequency of Response (annual)</t>
  </si>
  <si>
    <t>Total Annual Responses</t>
  </si>
  <si>
    <t>Average Hours per Response</t>
  </si>
  <si>
    <t>Average Hours per response</t>
  </si>
  <si>
    <t>Hospital record data manager</t>
  </si>
  <si>
    <t>Respondent Description</t>
  </si>
  <si>
    <t>Number of non -respondents</t>
  </si>
  <si>
    <t>Table A.3.1. Paper and electronic instruments by annual responses</t>
  </si>
  <si>
    <t>Paper Instruments</t>
  </si>
  <si>
    <t>Completed by</t>
  </si>
  <si>
    <t xml:space="preserve">Appendix C:  Participant Referral Form </t>
  </si>
  <si>
    <t>WIC Participant</t>
  </si>
  <si>
    <t>WIC Service Site staff</t>
  </si>
  <si>
    <t>Appendix FF:  State/local Key Informant Interview</t>
  </si>
  <si>
    <t>State/Local WIC personnel</t>
  </si>
  <si>
    <t xml:space="preserve">Appendix V:  Note sheet </t>
  </si>
  <si>
    <t>Daycare providers</t>
  </si>
  <si>
    <t>Appendix BB:  Home Health Care Provider Length/Weight</t>
  </si>
  <si>
    <t>Home health care providers (Westat staff)</t>
  </si>
  <si>
    <t>Subtotal paper instruments</t>
  </si>
  <si>
    <t>Electronic Instruments</t>
  </si>
  <si>
    <t>Appendices E:  Screening &amp; Enrollment Participant Interviews</t>
  </si>
  <si>
    <t>Westat recruiters</t>
  </si>
  <si>
    <t>Appendices I-S:  Participant Interviews</t>
  </si>
  <si>
    <t>Westat interviewers</t>
  </si>
  <si>
    <t>Appendix EE:  Local WIC Staff Online Survey</t>
  </si>
  <si>
    <t>Appendix Y:  WIC Administrative Data Request</t>
  </si>
  <si>
    <t>State/local WIC personnel</t>
  </si>
  <si>
    <t>Appendix Z:  Hospital Data Request</t>
  </si>
  <si>
    <t xml:space="preserve">Appendix AA:  Provider Data Request </t>
  </si>
  <si>
    <t>Health care provider data manager</t>
  </si>
  <si>
    <t>Subtotal electronic instruments</t>
  </si>
  <si>
    <t>Total</t>
  </si>
  <si>
    <t>Sub-Total Annual Burden</t>
  </si>
  <si>
    <t>Hourly Rate</t>
  </si>
  <si>
    <t>Total Annualized Cost</t>
  </si>
  <si>
    <t>Individuals and Households Subtotal</t>
  </si>
  <si>
    <t>Profit/Non-Profit Business Subtotal</t>
  </si>
  <si>
    <t>GRAND TOTAL</t>
  </si>
  <si>
    <t>Frequency of response</t>
  </si>
  <si>
    <t>Estimated annual responses</t>
  </si>
  <si>
    <t>Average annual burden</t>
  </si>
  <si>
    <t>Appendices</t>
  </si>
  <si>
    <t>Sample size</t>
  </si>
  <si>
    <t>Household and Individuals</t>
  </si>
  <si>
    <t>SNAP participants</t>
  </si>
  <si>
    <t xml:space="preserve">D </t>
  </si>
  <si>
    <t>E</t>
  </si>
  <si>
    <t>F</t>
  </si>
  <si>
    <t>G</t>
  </si>
  <si>
    <t>H</t>
  </si>
  <si>
    <t>I</t>
  </si>
  <si>
    <t>J</t>
  </si>
  <si>
    <t>K</t>
  </si>
  <si>
    <t>L</t>
  </si>
  <si>
    <t>M</t>
  </si>
  <si>
    <t>P</t>
  </si>
  <si>
    <t>Q</t>
  </si>
  <si>
    <t>State/Local Government Subtotal (i)</t>
  </si>
  <si>
    <t>Grantees and Administrators/ Retailers/Local Community Org.  Staff</t>
  </si>
  <si>
    <t>R</t>
  </si>
  <si>
    <t>U</t>
  </si>
  <si>
    <t>V</t>
  </si>
  <si>
    <t>W</t>
  </si>
  <si>
    <t>X</t>
  </si>
  <si>
    <t>Y</t>
  </si>
  <si>
    <t>Z</t>
  </si>
  <si>
    <t>T</t>
  </si>
  <si>
    <t>S</t>
  </si>
  <si>
    <t>AA</t>
  </si>
  <si>
    <t>AB</t>
  </si>
  <si>
    <t>AC</t>
  </si>
  <si>
    <t>Outlet Survey Cognitive Testing</t>
  </si>
  <si>
    <t>(n) Assume all grantees will be contacted to schedule KII</t>
  </si>
  <si>
    <t>(o) Assume all grantees will participate in KII</t>
  </si>
  <si>
    <t>(p) Assume all grantees will read the  program data form request email</t>
  </si>
  <si>
    <t>(r) Assume all outlet operators will read the invitation letter</t>
  </si>
  <si>
    <t>Annual Core Program Data Form, Year 2 (q)</t>
  </si>
  <si>
    <t>Grantee Administrator Interview Scheduling (script), Year 2 (n)</t>
  </si>
  <si>
    <t>Grantee Administrator Interview Discussion Guide, Year 2 (o)</t>
  </si>
  <si>
    <t>Quarterly Core Program Data Form Request Email, Year 2 (p)</t>
  </si>
  <si>
    <t>Annual Core Program Data Form Request Email, Year 2 (p)</t>
  </si>
  <si>
    <t>Quarterly Core Program Data Form, Year 2 (q)</t>
  </si>
  <si>
    <t>Quarterly Core Program Data Form Request Email, Year 3 (p)</t>
  </si>
  <si>
    <t>Annual Core Program Data Form Request Email, Year 3 (p)</t>
  </si>
  <si>
    <t>Quarterly Core Program Data Form, Year 3 (q)</t>
  </si>
  <si>
    <t>Grantee Administrator Interview Scheduling (script), Year 1 (n)</t>
  </si>
  <si>
    <t>Grantee Administrator Interview Discussion Guide, Year 1 (o)</t>
  </si>
  <si>
    <t>Quarterly Core Program Data Form Request Email, Year 1 (p)</t>
  </si>
  <si>
    <t>Annual Core Program Data Form Request Email , Year 1(p)</t>
  </si>
  <si>
    <t>Annual Core Program Data Form, Year 1 (q)</t>
  </si>
  <si>
    <t>N,O</t>
  </si>
  <si>
    <t>AD</t>
  </si>
  <si>
    <t>AE</t>
  </si>
  <si>
    <t>Annual Core Program Data Form, Year 3 (q)</t>
  </si>
  <si>
    <t>AF</t>
  </si>
  <si>
    <t>AJ</t>
  </si>
  <si>
    <t>Pre-SPS  Invitation Letter (a)</t>
  </si>
  <si>
    <t>Pre-SPS Teleform - 1 (e)</t>
  </si>
  <si>
    <t>Pre-SPS Teleform -2 (f)</t>
  </si>
  <si>
    <t>Pre-SPS - Telephone Survey (g)</t>
  </si>
  <si>
    <t>Pre-SPS Thank You Letter (i)</t>
  </si>
  <si>
    <t>Post-SPS Web Invitation letter (j)</t>
  </si>
  <si>
    <t>Post-SPS Thank You Letter (i)</t>
  </si>
  <si>
    <t>Post-SPS Teleform - 2 (f)</t>
  </si>
  <si>
    <t>Post-SPS - Telephone Survey (g)</t>
  </si>
  <si>
    <t>SNAP Participant KII Discussion Guide (m)</t>
  </si>
  <si>
    <t>Pretest for 2 SPS questions</t>
  </si>
  <si>
    <t>AO</t>
  </si>
  <si>
    <t xml:space="preserve">AP </t>
  </si>
  <si>
    <t>Email to Grantees for Followup with Nonresponding Outlets</t>
  </si>
  <si>
    <t>Quarterly Core Program Data Form, Year 1 (q)</t>
  </si>
  <si>
    <t>SPS Reminder Postcard - 1 (b)</t>
  </si>
  <si>
    <t xml:space="preserve">Pre-SPS  - Web(c) </t>
  </si>
  <si>
    <t>SPS Reminder Postcard -2 (b)</t>
  </si>
  <si>
    <t xml:space="preserve">SPS Reminder Postcard - 2 (b) </t>
  </si>
  <si>
    <t>Pre-SPS Reminder Letter 1 (d)</t>
  </si>
  <si>
    <t>Pre-SPS Reminder Letter 2 (d)</t>
  </si>
  <si>
    <t>Post-SPS Reminder Letter 1 (d)</t>
  </si>
  <si>
    <t>Post-SPS Reminder Letter 2 (d)</t>
  </si>
  <si>
    <t>Post-SPS Teleform - 1 (e)</t>
  </si>
  <si>
    <t>SNAP participant KII Thank you Letter (i)</t>
  </si>
  <si>
    <t>Grantee Administrator Interview Thank you Postcard , Year 1(i)</t>
  </si>
  <si>
    <t>Grantee Administrator Thank you Postcard, Year 2 (i)</t>
  </si>
  <si>
    <t>SNAP Participant KII Invitation Letter (k)</t>
  </si>
  <si>
    <t>SNAP Participant KII Recruitment Script (l)</t>
  </si>
  <si>
    <t>(k) Assume all SNAP participants will read the KII invitation letter and KII Confirmation Letter</t>
  </si>
  <si>
    <t>SNAP participant KII Confirmation Letter (k)</t>
  </si>
  <si>
    <t>Post-SPS - Web (c)</t>
  </si>
  <si>
    <t>(i) Thank you letters will be read by all respondents</t>
  </si>
  <si>
    <t>(a) Assume 90 percent of sampled participants will read the invitation letter - 5 percent postal nondeliverables and 5 percent not read</t>
  </si>
  <si>
    <t>(b) Assume 60 percent of sampled participants will receive a reminder postcard</t>
  </si>
  <si>
    <t>(c) Assume 15 percent of participants who read the invitation letter will complete the pre survey by web and 18 percent will complete the post survey by web</t>
  </si>
  <si>
    <t>(d) Reminder letters will be sent to all non-respondents; assume 90 percent will read the letter - 5 percent postal nondeliverables and 5 percent not read</t>
  </si>
  <si>
    <t>(e) Assume 35 percent of those who read the first reminder letter will complete the teleform survey</t>
  </si>
  <si>
    <t>(f) Assume 25 percent of those who read the second reminder letter will complete the teleform survey</t>
  </si>
  <si>
    <t xml:space="preserve">(g) Assume Non-respondents will be contacted by phone to achieve the targeted number of completes; assume 7 percent will complete the survey by phone </t>
  </si>
  <si>
    <t>(j) Post-SPS invitation letters will be mailed to all those who completed the pre-SPS; 90 percent will read the invitation letter</t>
  </si>
  <si>
    <t>(l) Assume 85 percent of those contacted by phone will be scheduled for KII</t>
  </si>
  <si>
    <t>(m) Assume 80 percent of those who are scheduled for KII will participate in KII</t>
  </si>
  <si>
    <t>(s) Assume 50 percent of outlet operators will need a reminder letter and 95 percent of these will read it</t>
  </si>
  <si>
    <t>(t) Assume 80 percent of outlet operators will complete the outlet survey</t>
  </si>
  <si>
    <t>(q) Assume all grantees will complete the program data forms. If grantees request to submit more than one respose on the annual form to accomdate subawardees or partner organizations, the agency will work with them on an individual basis.</t>
  </si>
  <si>
    <t>(h) Non-respondents will be contacted by phone to achieve the targeted number of completes; messages will be left on voicemail for 60 percent with working phone numbers and voicemails</t>
  </si>
  <si>
    <t xml:space="preserve">Request to complete Outlet Characteristics Form </t>
  </si>
  <si>
    <t>Outlet Characteristics Form</t>
  </si>
  <si>
    <t xml:space="preserve">Email to accompany Outlet Characteristics Form </t>
  </si>
  <si>
    <t>Voicemail Reminder for Telephone Survey  (h)</t>
  </si>
  <si>
    <t>Voicemail Reminder for Telephone Survey (h)</t>
  </si>
  <si>
    <t>AG</t>
  </si>
  <si>
    <t>AH</t>
  </si>
  <si>
    <t xml:space="preserve">AI </t>
  </si>
  <si>
    <t>-</t>
  </si>
  <si>
    <t>Submit SNAP administrative file</t>
  </si>
  <si>
    <t>Affected Public</t>
  </si>
  <si>
    <t>Responses</t>
  </si>
  <si>
    <t>Non-Responses</t>
  </si>
  <si>
    <t>Grand Total</t>
  </si>
  <si>
    <t>Est. Grand Total Burden hours for respondents and non respondents</t>
  </si>
  <si>
    <t>Estimated Sample Size and Respondent Burden</t>
  </si>
  <si>
    <t>Quarterly Core Program Data Form Request Email, Year 4 (p)</t>
  </si>
  <si>
    <t>Quarterly Core Program Data Form, Year 4 (q)</t>
  </si>
  <si>
    <t>Grantee Administrator Interview Scheduling (script), Year 5 (n)</t>
  </si>
  <si>
    <t>Grantee Administrator Thank you Postcard, Year 5(i)</t>
  </si>
  <si>
    <t>Quarterly Core Program Data Form Request Email, Year 5 (p)</t>
  </si>
  <si>
    <t>Annual Core Program Data Form Request Email, Year 5 (p)</t>
  </si>
  <si>
    <t>Quarterly Core Program Data Form, Year 5 (q)</t>
  </si>
  <si>
    <t>Annual Core Program Data Form, Year 5 (q)</t>
  </si>
  <si>
    <t>Grantee Administrator Interview Discussion Guide, Year 5 (o)</t>
  </si>
  <si>
    <t>Grantee Administrator Interview Discussion Guide, Year 6 (o)</t>
  </si>
  <si>
    <t>Quarterly Core Program Data Form Request Email, Year 6 (p)</t>
  </si>
  <si>
    <t>Annual Core Program Data Form Request Email, Year 6 (p)</t>
  </si>
  <si>
    <t>Quarterly Core Program Data Form, Year 6 (q)</t>
  </si>
  <si>
    <t>Annual Core Program Data Form, Year 6 (q)</t>
  </si>
  <si>
    <t>Grantee Administrator Thank you Postcard, Year 6 (i)</t>
  </si>
  <si>
    <t xml:space="preserve">Years 1 to 3: Outlet Survey Invitation Letter (r) </t>
  </si>
  <si>
    <t>Years 1 to 3: Outlet Survey Reminder Letter (s)</t>
  </si>
  <si>
    <t>Years 1 to 3: Outlet Survey (t)</t>
  </si>
  <si>
    <t xml:space="preserve">Years4 to 6: Outlet Survey Invitation Letter (r) </t>
  </si>
  <si>
    <t>Years 4 to 6: Outlet Survey Reminder Letter (s)</t>
  </si>
  <si>
    <t>Years 4 to 6: Outlet Survey (t)</t>
  </si>
  <si>
    <t>Years 4 to 6: Outlet Survey Thank you Postcard (i)</t>
  </si>
  <si>
    <t>Years 1 to 3: Outlet Survey Thank you Postcard (i)</t>
  </si>
  <si>
    <t xml:space="preserve">State/Local Government </t>
  </si>
  <si>
    <t>Grantees and Administrators</t>
  </si>
  <si>
    <t>TOTAL ANNUAL RESPONSES</t>
  </si>
  <si>
    <t>TASK 1</t>
  </si>
  <si>
    <t>TASK 2</t>
  </si>
  <si>
    <t>Profit/Nonprofit Business Subtotal</t>
  </si>
  <si>
    <t>State/Local Government Subtotal</t>
  </si>
  <si>
    <t>Table 2. Respondent Burden and Cost Estimate</t>
  </si>
  <si>
    <t>Grantee Administrator Interview Scheduling (script), Year 6 (n)</t>
  </si>
  <si>
    <t>NOTES</t>
  </si>
  <si>
    <t>Task 1 and Task 2 combined - SUBMITTED</t>
  </si>
  <si>
    <t>Task 1 and Task 2 combined - CORRECTED</t>
  </si>
  <si>
    <t>Planned to send emails to 40 grantees for the outlet survey -- in 2018 and 2019</t>
  </si>
  <si>
    <t>Years 4 to 6: Email to Grantees for Followup with Nonresponding Outlets</t>
  </si>
  <si>
    <t>spread over 6 years</t>
  </si>
  <si>
    <t>GRANT TOTAL: DIFFERENCE BETWEEN SUBMITTED AND CORRECTED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</si>
</sst>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0.000"/>
    <numFmt numFmtId="165" formatCode="0.0000"/>
    <numFmt numFmtId="166" formatCode="0.0"/>
    <numFmt numFmtId="167" formatCode="_(* #,##0_);_(* \(#,##0\);_(* &quot;-&quot;??_);_(@_)"/>
    <numFmt numFmtId="168" formatCode="_(* #,##0.000_);_(* \(#,##0.000\);_(* &quot;-&quot;??_);_(@_)"/>
    <numFmt numFmtId="169" formatCode="#,##0.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Garamond"/>
      <family val="1"/>
    </font>
    <font>
      <b/>
      <sz val="11"/>
      <color theme="1"/>
      <name val="Calibri"/>
      <family val="2"/>
    </font>
    <font>
      <sz val="11"/>
      <color theme="1"/>
      <name val="Calibri"/>
      <family val="2"/>
    </font>
    <font>
      <b/>
      <i/>
      <sz val="11"/>
      <color theme="1"/>
      <name val="Calibri"/>
      <family val="2"/>
    </font>
    <font>
      <sz val="8"/>
      <name val="Calibri"/>
      <family val="2"/>
      <scheme val="minor"/>
    </font>
    <font>
      <sz val="8"/>
      <color theme="1"/>
      <name val="Calibri"/>
      <family val="2"/>
      <scheme val="minor"/>
    </font>
    <font>
      <b/>
      <sz val="7"/>
      <name val="Calibri"/>
      <family val="2"/>
      <scheme val="minor"/>
    </font>
    <font>
      <sz val="7"/>
      <name val="Calibri"/>
      <family val="2"/>
      <scheme val="minor"/>
    </font>
    <font>
      <b/>
      <sz val="7"/>
      <color rgb="FF000000"/>
      <name val="Arial Narrow"/>
      <family val="2"/>
    </font>
    <font>
      <sz val="7"/>
      <color theme="1"/>
      <name val="Calibri"/>
      <family val="2"/>
      <scheme val="minor"/>
    </font>
    <font>
      <b/>
      <sz val="8"/>
      <name val="Calibri"/>
      <family val="2"/>
      <scheme val="minor"/>
    </font>
    <font>
      <b/>
      <sz val="7"/>
      <name val="Arial Narrow"/>
      <family val="2"/>
    </font>
    <font>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2F2F2"/>
        <bgColor indexed="64"/>
      </patternFill>
    </fill>
    <fill>
      <patternFill patternType="solid">
        <fgColor rgb="FFFFFF0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3" tint="0.79998168889431442"/>
        <bgColor indexed="64"/>
      </patternFill>
    </fill>
  </fills>
  <borders count="24">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214">
    <xf numFmtId="0" fontId="0" fillId="0" borderId="0" xfId="0"/>
    <xf numFmtId="0" fontId="0" fillId="0" borderId="4" xfId="0" applyBorder="1"/>
    <xf numFmtId="0" fontId="3" fillId="0" borderId="0" xfId="0" applyFont="1" applyAlignment="1">
      <alignment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wrapText="1"/>
    </xf>
    <xf numFmtId="0" fontId="5" fillId="3" borderId="2" xfId="0" applyFont="1" applyFill="1" applyBorder="1" applyAlignment="1">
      <alignment vertical="center"/>
    </xf>
    <xf numFmtId="0" fontId="5" fillId="3" borderId="1" xfId="0" applyFont="1" applyFill="1" applyBorder="1" applyAlignment="1">
      <alignment horizontal="center" vertical="center" wrapText="1"/>
    </xf>
    <xf numFmtId="3" fontId="5" fillId="3" borderId="8" xfId="0" applyNumberFormat="1" applyFont="1" applyFill="1" applyBorder="1" applyAlignment="1">
      <alignment horizontal="right" vertical="center"/>
    </xf>
    <xf numFmtId="0" fontId="5" fillId="3" borderId="1" xfId="0" applyFont="1" applyFill="1" applyBorder="1" applyAlignment="1">
      <alignment horizontal="right" vertical="center" wrapText="1"/>
    </xf>
    <xf numFmtId="0" fontId="5" fillId="3" borderId="2" xfId="0" applyFont="1" applyFill="1" applyBorder="1" applyAlignment="1">
      <alignment horizontal="justify" vertical="center"/>
    </xf>
    <xf numFmtId="0" fontId="6" fillId="3" borderId="2" xfId="0" applyFont="1" applyFill="1" applyBorder="1" applyAlignment="1">
      <alignment vertical="center"/>
    </xf>
    <xf numFmtId="0" fontId="6" fillId="3"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2" fontId="5" fillId="3" borderId="8" xfId="0" applyNumberFormat="1" applyFont="1" applyFill="1" applyBorder="1" applyAlignment="1">
      <alignment horizontal="right" vertical="center"/>
    </xf>
    <xf numFmtId="0" fontId="6" fillId="3" borderId="10" xfId="0" applyFont="1" applyFill="1" applyBorder="1" applyAlignment="1">
      <alignment vertical="center"/>
    </xf>
    <xf numFmtId="0" fontId="6" fillId="3" borderId="11" xfId="0" applyFont="1" applyFill="1" applyBorder="1" applyAlignment="1">
      <alignment horizontal="center" vertical="center" wrapText="1"/>
    </xf>
    <xf numFmtId="0" fontId="5" fillId="3" borderId="4" xfId="0" applyFont="1" applyFill="1" applyBorder="1" applyAlignment="1">
      <alignment vertical="center"/>
    </xf>
    <xf numFmtId="3" fontId="6" fillId="3" borderId="0" xfId="0" applyNumberFormat="1" applyFont="1" applyFill="1" applyBorder="1" applyAlignment="1">
      <alignment vertical="center"/>
    </xf>
    <xf numFmtId="3" fontId="2" fillId="0" borderId="6" xfId="0" applyNumberFormat="1" applyFont="1" applyBorder="1" applyAlignment="1">
      <alignment horizontal="right"/>
    </xf>
    <xf numFmtId="3" fontId="2" fillId="0" borderId="5" xfId="0" applyNumberFormat="1" applyFont="1" applyBorder="1" applyAlignment="1">
      <alignment horizontal="right"/>
    </xf>
    <xf numFmtId="9" fontId="6" fillId="3" borderId="1" xfId="1" applyFont="1" applyFill="1" applyBorder="1" applyAlignment="1">
      <alignment horizontal="center" vertical="center" wrapText="1"/>
    </xf>
    <xf numFmtId="9" fontId="6" fillId="3" borderId="11" xfId="1" applyFont="1" applyFill="1" applyBorder="1" applyAlignment="1">
      <alignment horizontal="center" vertical="center" wrapText="1"/>
    </xf>
    <xf numFmtId="4" fontId="5" fillId="3" borderId="8" xfId="0" applyNumberFormat="1" applyFont="1" applyFill="1" applyBorder="1" applyAlignment="1">
      <alignment horizontal="right" vertical="center"/>
    </xf>
    <xf numFmtId="4" fontId="6" fillId="3" borderId="8" xfId="0" applyNumberFormat="1" applyFont="1" applyFill="1" applyBorder="1" applyAlignment="1">
      <alignment horizontal="right" vertical="center"/>
    </xf>
    <xf numFmtId="0" fontId="7" fillId="0" borderId="0" xfId="0" applyFont="1" applyFill="1" applyBorder="1" applyAlignment="1">
      <alignment horizontal="left" wrapText="1"/>
    </xf>
    <xf numFmtId="2" fontId="7" fillId="0" borderId="0" xfId="0" applyNumberFormat="1" applyFont="1" applyFill="1" applyAlignment="1">
      <alignment horizontal="right" wrapText="1"/>
    </xf>
    <xf numFmtId="0" fontId="7" fillId="0" borderId="0" xfId="0" applyFont="1" applyFill="1" applyAlignment="1">
      <alignment wrapText="1"/>
    </xf>
    <xf numFmtId="0" fontId="7" fillId="0" borderId="0" xfId="0" applyFont="1" applyFill="1" applyAlignment="1">
      <alignment horizontal="left" wrapText="1"/>
    </xf>
    <xf numFmtId="0" fontId="7" fillId="0" borderId="0" xfId="0" applyFont="1" applyFill="1"/>
    <xf numFmtId="168" fontId="7" fillId="0" borderId="0" xfId="0" applyNumberFormat="1" applyFont="1" applyFill="1" applyAlignment="1">
      <alignment horizontal="left" wrapText="1"/>
    </xf>
    <xf numFmtId="43" fontId="7" fillId="0" borderId="0" xfId="0" applyNumberFormat="1" applyFont="1" applyFill="1" applyAlignment="1">
      <alignment horizontal="left" wrapText="1"/>
    </xf>
    <xf numFmtId="0" fontId="7" fillId="0" borderId="0" xfId="0" applyFont="1" applyFill="1" applyBorder="1" applyAlignment="1">
      <alignment horizontal="center" vertical="center" wrapText="1"/>
    </xf>
    <xf numFmtId="3" fontId="7" fillId="0" borderId="0" xfId="0" applyNumberFormat="1" applyFont="1" applyFill="1"/>
    <xf numFmtId="0" fontId="7" fillId="0" borderId="0" xfId="0" applyFont="1" applyFill="1" applyBorder="1"/>
    <xf numFmtId="0" fontId="7" fillId="0" borderId="0" xfId="0" applyFont="1" applyFill="1" applyAlignment="1">
      <alignment horizont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3" fontId="7" fillId="0" borderId="0" xfId="0" applyNumberFormat="1" applyFont="1" applyFill="1" applyBorder="1"/>
    <xf numFmtId="0" fontId="9" fillId="0" borderId="4" xfId="0" applyFont="1" applyFill="1" applyBorder="1" applyAlignment="1">
      <alignment horizontal="center" wrapText="1"/>
    </xf>
    <xf numFmtId="0" fontId="9" fillId="0" borderId="4" xfId="0" applyFont="1" applyFill="1" applyBorder="1" applyAlignment="1">
      <alignment horizontal="center" textRotation="90" wrapText="1"/>
    </xf>
    <xf numFmtId="0" fontId="10" fillId="0" borderId="4" xfId="0" applyFont="1" applyFill="1" applyBorder="1" applyAlignment="1">
      <alignment horizontal="right" vertical="center" wrapText="1" readingOrder="1"/>
    </xf>
    <xf numFmtId="167" fontId="10" fillId="0" borderId="4" xfId="2" applyNumberFormat="1" applyFont="1" applyFill="1" applyBorder="1" applyAlignment="1">
      <alignment horizontal="right" vertical="center" readingOrder="1"/>
    </xf>
    <xf numFmtId="165" fontId="10" fillId="0" borderId="4" xfId="0" applyNumberFormat="1" applyFont="1" applyFill="1" applyBorder="1" applyAlignment="1">
      <alignment horizontal="right" vertical="center" wrapText="1" readingOrder="1"/>
    </xf>
    <xf numFmtId="164" fontId="10" fillId="0" borderId="4" xfId="0" applyNumberFormat="1" applyFont="1" applyFill="1" applyBorder="1" applyAlignment="1">
      <alignment horizontal="right" vertical="center" wrapText="1" readingOrder="1"/>
    </xf>
    <xf numFmtId="2" fontId="10" fillId="0" borderId="4" xfId="0" applyNumberFormat="1" applyFont="1" applyFill="1" applyBorder="1" applyAlignment="1">
      <alignment horizontal="right" vertical="center" wrapText="1" readingOrder="1"/>
    </xf>
    <xf numFmtId="3" fontId="10" fillId="0" borderId="4" xfId="0" applyNumberFormat="1" applyFont="1" applyFill="1" applyBorder="1" applyAlignment="1">
      <alignment horizontal="right" vertical="center" wrapText="1" readingOrder="1"/>
    </xf>
    <xf numFmtId="3" fontId="10" fillId="0" borderId="4" xfId="0" applyNumberFormat="1" applyFont="1" applyFill="1" applyBorder="1" applyAlignment="1">
      <alignment horizontal="right" vertical="center" readingOrder="1"/>
    </xf>
    <xf numFmtId="1" fontId="10" fillId="0" borderId="4" xfId="0" applyNumberFormat="1" applyFont="1" applyFill="1" applyBorder="1" applyAlignment="1">
      <alignment horizontal="right" vertical="center" readingOrder="1"/>
    </xf>
    <xf numFmtId="165" fontId="10" fillId="0" borderId="4" xfId="0" applyNumberFormat="1" applyFont="1" applyFill="1" applyBorder="1" applyAlignment="1">
      <alignment horizontal="right" vertical="center" readingOrder="1"/>
    </xf>
    <xf numFmtId="1" fontId="10" fillId="0" borderId="4" xfId="0" applyNumberFormat="1" applyFont="1" applyFill="1" applyBorder="1" applyAlignment="1">
      <alignment horizontal="right" vertical="center" wrapText="1" readingOrder="1"/>
    </xf>
    <xf numFmtId="0" fontId="10" fillId="0" borderId="4" xfId="0" applyFont="1" applyFill="1" applyBorder="1" applyAlignment="1">
      <alignment horizontal="right" vertical="center" readingOrder="1"/>
    </xf>
    <xf numFmtId="0" fontId="10" fillId="0" borderId="12" xfId="0" applyFont="1" applyFill="1" applyBorder="1" applyAlignment="1">
      <alignment horizontal="right" vertical="center" wrapText="1" readingOrder="1"/>
    </xf>
    <xf numFmtId="167" fontId="10" fillId="0" borderId="12" xfId="2" applyNumberFormat="1" applyFont="1" applyFill="1" applyBorder="1" applyAlignment="1">
      <alignment horizontal="right" vertical="center" readingOrder="1"/>
    </xf>
    <xf numFmtId="165" fontId="10" fillId="0" borderId="12" xfId="0" applyNumberFormat="1" applyFont="1" applyFill="1" applyBorder="1" applyAlignment="1">
      <alignment horizontal="right" vertical="center" wrapText="1" readingOrder="1"/>
    </xf>
    <xf numFmtId="164" fontId="10" fillId="0" borderId="12" xfId="0" applyNumberFormat="1" applyFont="1" applyFill="1" applyBorder="1" applyAlignment="1">
      <alignment horizontal="right" vertical="center" wrapText="1" readingOrder="1"/>
    </xf>
    <xf numFmtId="0" fontId="11" fillId="0" borderId="4" xfId="0" applyFont="1" applyBorder="1" applyAlignment="1">
      <alignment horizontal="center" vertical="center" textRotation="90" wrapText="1"/>
    </xf>
    <xf numFmtId="0" fontId="10" fillId="0" borderId="12"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4" xfId="0" applyFont="1" applyFill="1" applyBorder="1" applyAlignment="1">
      <alignment horizontal="left" wrapText="1"/>
    </xf>
    <xf numFmtId="0" fontId="10" fillId="6" borderId="4" xfId="0" applyFont="1" applyFill="1" applyBorder="1" applyAlignment="1">
      <alignment horizontal="center" wrapText="1"/>
    </xf>
    <xf numFmtId="0" fontId="10" fillId="5"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0" fillId="9" borderId="4" xfId="0" applyFont="1" applyFill="1" applyBorder="1" applyAlignment="1">
      <alignment horizontal="center" vertical="center" wrapText="1"/>
    </xf>
    <xf numFmtId="3" fontId="10" fillId="0" borderId="4" xfId="0" applyNumberFormat="1" applyFont="1" applyFill="1" applyBorder="1" applyAlignment="1">
      <alignment vertical="center" wrapText="1" readingOrder="1"/>
    </xf>
    <xf numFmtId="1" fontId="10" fillId="0" borderId="4" xfId="0" applyNumberFormat="1" applyFont="1" applyFill="1" applyBorder="1" applyAlignment="1">
      <alignment vertical="center" readingOrder="1"/>
    </xf>
    <xf numFmtId="1" fontId="10" fillId="0" borderId="4" xfId="0" applyNumberFormat="1" applyFont="1" applyFill="1" applyBorder="1" applyAlignment="1">
      <alignment vertical="center" wrapText="1" readingOrder="1"/>
    </xf>
    <xf numFmtId="165" fontId="10" fillId="0" borderId="4" xfId="0" applyNumberFormat="1" applyFont="1" applyFill="1" applyBorder="1" applyAlignment="1">
      <alignment vertical="center" readingOrder="1"/>
    </xf>
    <xf numFmtId="165" fontId="10" fillId="0" borderId="4" xfId="0" applyNumberFormat="1" applyFont="1" applyFill="1" applyBorder="1" applyAlignment="1">
      <alignment vertical="center" wrapText="1" readingOrder="1"/>
    </xf>
    <xf numFmtId="164" fontId="10" fillId="0" borderId="4" xfId="0" applyNumberFormat="1" applyFont="1" applyFill="1" applyBorder="1" applyAlignment="1">
      <alignment vertical="center" readingOrder="1"/>
    </xf>
    <xf numFmtId="2" fontId="10" fillId="0" borderId="4" xfId="0" applyNumberFormat="1" applyFont="1" applyFill="1" applyBorder="1" applyAlignment="1">
      <alignment vertical="center" wrapText="1" readingOrder="1"/>
    </xf>
    <xf numFmtId="0" fontId="7" fillId="0" borderId="6" xfId="0" applyFont="1" applyFill="1" applyBorder="1"/>
    <xf numFmtId="0" fontId="7" fillId="0" borderId="15" xfId="0" applyFont="1" applyFill="1" applyBorder="1"/>
    <xf numFmtId="0" fontId="7" fillId="0" borderId="5" xfId="0" applyFont="1" applyFill="1" applyBorder="1"/>
    <xf numFmtId="0" fontId="7" fillId="0" borderId="0" xfId="0" applyFont="1" applyFill="1" applyBorder="1" applyAlignment="1">
      <alignment horizontal="center" vertical="center" wrapText="1"/>
    </xf>
    <xf numFmtId="0" fontId="13" fillId="0" borderId="0" xfId="0" applyFont="1" applyFill="1"/>
    <xf numFmtId="0" fontId="0" fillId="0" borderId="0" xfId="0"/>
    <xf numFmtId="0" fontId="14" fillId="0" borderId="4" xfId="0" applyFont="1" applyBorder="1" applyAlignment="1">
      <alignment horizontal="center" vertical="center" textRotation="90" wrapText="1"/>
    </xf>
    <xf numFmtId="0" fontId="0" fillId="0" borderId="0" xfId="0"/>
    <xf numFmtId="0" fontId="7" fillId="0" borderId="0" xfId="0" applyFont="1" applyFill="1"/>
    <xf numFmtId="0" fontId="7" fillId="0" borderId="0" xfId="0" applyFont="1" applyFill="1" applyAlignment="1">
      <alignment horizontal="center"/>
    </xf>
    <xf numFmtId="0" fontId="9" fillId="0" borderId="4" xfId="0" applyFont="1" applyFill="1" applyBorder="1" applyAlignment="1">
      <alignment horizontal="center" wrapText="1"/>
    </xf>
    <xf numFmtId="0" fontId="9" fillId="0" borderId="4" xfId="0" applyFont="1" applyFill="1" applyBorder="1" applyAlignment="1">
      <alignment horizontal="center" textRotation="90" wrapText="1"/>
    </xf>
    <xf numFmtId="3" fontId="9" fillId="6" borderId="4" xfId="0" applyNumberFormat="1" applyFont="1" applyFill="1" applyBorder="1" applyAlignment="1">
      <alignment horizontal="right" vertical="center" wrapText="1" readingOrder="1"/>
    </xf>
    <xf numFmtId="2" fontId="9" fillId="6" borderId="4" xfId="0" applyNumberFormat="1" applyFont="1" applyFill="1" applyBorder="1" applyAlignment="1">
      <alignment horizontal="right" vertical="center" wrapText="1" readingOrder="1"/>
    </xf>
    <xf numFmtId="165" fontId="9" fillId="6" borderId="4" xfId="0" applyNumberFormat="1" applyFont="1" applyFill="1" applyBorder="1" applyAlignment="1">
      <alignment horizontal="right" vertical="center" wrapText="1" readingOrder="1"/>
    </xf>
    <xf numFmtId="165" fontId="9" fillId="6" borderId="4" xfId="0" applyNumberFormat="1" applyFont="1" applyFill="1" applyBorder="1" applyAlignment="1">
      <alignment horizontal="right" vertical="center" readingOrder="1"/>
    </xf>
    <xf numFmtId="1" fontId="9" fillId="6" borderId="4" xfId="0" applyNumberFormat="1" applyFont="1" applyFill="1" applyBorder="1" applyAlignment="1">
      <alignment horizontal="right" vertical="center" readingOrder="1"/>
    </xf>
    <xf numFmtId="164" fontId="9" fillId="6" borderId="4" xfId="0" applyNumberFormat="1" applyFont="1" applyFill="1" applyBorder="1" applyAlignment="1">
      <alignment horizontal="right" vertical="center" readingOrder="1"/>
    </xf>
    <xf numFmtId="166" fontId="9" fillId="6" borderId="4" xfId="0" applyNumberFormat="1" applyFont="1" applyFill="1" applyBorder="1" applyAlignment="1">
      <alignment horizontal="right" vertical="center" readingOrder="1"/>
    </xf>
    <xf numFmtId="1" fontId="7" fillId="0" borderId="0" xfId="0" applyNumberFormat="1" applyFont="1" applyFill="1"/>
    <xf numFmtId="0" fontId="10" fillId="0" borderId="12" xfId="0" applyFont="1" applyFill="1" applyBorder="1" applyAlignment="1">
      <alignment horizontal="center" vertical="center" wrapText="1"/>
    </xf>
    <xf numFmtId="0" fontId="10" fillId="0" borderId="4" xfId="0"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0" fillId="0" borderId="4" xfId="0"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4" xfId="0" applyFont="1" applyFill="1" applyBorder="1" applyAlignment="1">
      <alignment vertical="center"/>
    </xf>
    <xf numFmtId="0" fontId="10" fillId="0" borderId="4" xfId="0" applyFont="1" applyFill="1" applyBorder="1" applyAlignment="1">
      <alignment vertical="center" wrapText="1"/>
    </xf>
    <xf numFmtId="0" fontId="9" fillId="9" borderId="4" xfId="0" applyFont="1" applyFill="1" applyBorder="1" applyAlignment="1">
      <alignment vertical="center" wrapText="1"/>
    </xf>
    <xf numFmtId="0" fontId="10" fillId="6" borderId="4" xfId="0" applyFont="1" applyFill="1" applyBorder="1" applyAlignment="1">
      <alignment vertical="center" wrapText="1"/>
    </xf>
    <xf numFmtId="0" fontId="9" fillId="5" borderId="4"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3" fontId="10" fillId="0" borderId="4" xfId="0" applyNumberFormat="1" applyFont="1" applyFill="1" applyBorder="1" applyAlignment="1">
      <alignment horizontal="center" vertical="center" wrapText="1"/>
    </xf>
    <xf numFmtId="1" fontId="10" fillId="0" borderId="4" xfId="0" applyNumberFormat="1" applyFont="1" applyFill="1" applyBorder="1" applyAlignment="1">
      <alignment horizontal="center" vertical="center"/>
    </xf>
    <xf numFmtId="1" fontId="10" fillId="0" borderId="4" xfId="0" applyNumberFormat="1" applyFont="1" applyFill="1" applyBorder="1" applyAlignment="1">
      <alignment horizontal="center" vertical="center" wrapText="1"/>
    </xf>
    <xf numFmtId="165" fontId="10" fillId="0" borderId="4" xfId="0" applyNumberFormat="1" applyFont="1" applyFill="1" applyBorder="1" applyAlignment="1">
      <alignment horizontal="center" vertical="center"/>
    </xf>
    <xf numFmtId="165" fontId="10" fillId="0" borderId="4" xfId="0" applyNumberFormat="1" applyFont="1" applyFill="1" applyBorder="1" applyAlignment="1">
      <alignment horizontal="center" vertical="center" wrapText="1"/>
    </xf>
    <xf numFmtId="164" fontId="10" fillId="0" borderId="4" xfId="0" applyNumberFormat="1" applyFont="1" applyFill="1" applyBorder="1" applyAlignment="1">
      <alignment horizontal="center" vertical="center"/>
    </xf>
    <xf numFmtId="1" fontId="12" fillId="0" borderId="4" xfId="0" applyNumberFormat="1" applyFont="1" applyFill="1" applyBorder="1" applyAlignment="1">
      <alignment horizontal="center" vertical="center"/>
    </xf>
    <xf numFmtId="2" fontId="10" fillId="0" borderId="4" xfId="0" applyNumberFormat="1" applyFont="1" applyFill="1" applyBorder="1" applyAlignment="1">
      <alignment horizontal="center" vertical="center"/>
    </xf>
    <xf numFmtId="3" fontId="9" fillId="9" borderId="4" xfId="0" applyNumberFormat="1" applyFont="1" applyFill="1" applyBorder="1" applyAlignment="1">
      <alignment horizontal="center" vertical="center" wrapText="1"/>
    </xf>
    <xf numFmtId="2" fontId="9" fillId="9" borderId="4" xfId="0" applyNumberFormat="1" applyFont="1" applyFill="1" applyBorder="1" applyAlignment="1">
      <alignment horizontal="center" vertical="center"/>
    </xf>
    <xf numFmtId="1" fontId="9" fillId="9" borderId="4" xfId="0" applyNumberFormat="1" applyFont="1" applyFill="1" applyBorder="1" applyAlignment="1">
      <alignment horizontal="center" vertical="center" wrapText="1"/>
    </xf>
    <xf numFmtId="165" fontId="9" fillId="9" borderId="4" xfId="0" applyNumberFormat="1" applyFont="1" applyFill="1" applyBorder="1" applyAlignment="1">
      <alignment horizontal="center" vertical="center"/>
    </xf>
    <xf numFmtId="1" fontId="9" fillId="9" borderId="4" xfId="0" applyNumberFormat="1" applyFont="1" applyFill="1" applyBorder="1" applyAlignment="1">
      <alignment horizontal="center" vertical="center"/>
    </xf>
    <xf numFmtId="164" fontId="9" fillId="9" borderId="4" xfId="0" applyNumberFormat="1" applyFont="1" applyFill="1" applyBorder="1" applyAlignment="1">
      <alignment horizontal="center" vertical="center"/>
    </xf>
    <xf numFmtId="2" fontId="9" fillId="9" borderId="4" xfId="0" applyNumberFormat="1" applyFont="1" applyFill="1" applyBorder="1" applyAlignment="1">
      <alignment horizontal="center" vertical="center" wrapText="1"/>
    </xf>
    <xf numFmtId="3" fontId="9" fillId="6" borderId="4" xfId="0" applyNumberFormat="1" applyFont="1" applyFill="1" applyBorder="1" applyAlignment="1">
      <alignment horizontal="center" vertical="center" wrapText="1"/>
    </xf>
    <xf numFmtId="1" fontId="9" fillId="6" borderId="4" xfId="0" applyNumberFormat="1" applyFont="1" applyFill="1" applyBorder="1" applyAlignment="1">
      <alignment horizontal="center" vertical="center" wrapText="1"/>
    </xf>
    <xf numFmtId="165" fontId="9" fillId="6" borderId="4" xfId="0" applyNumberFormat="1" applyFont="1" applyFill="1" applyBorder="1" applyAlignment="1">
      <alignment horizontal="center" vertical="center" wrapText="1"/>
    </xf>
    <xf numFmtId="164" fontId="9" fillId="6" borderId="4" xfId="0" applyNumberFormat="1" applyFont="1" applyFill="1" applyBorder="1" applyAlignment="1">
      <alignment horizontal="center" vertical="center" wrapText="1"/>
    </xf>
    <xf numFmtId="2" fontId="9" fillId="6" borderId="4" xfId="0" applyNumberFormat="1"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169" fontId="9" fillId="6" borderId="4" xfId="0" applyNumberFormat="1" applyFont="1" applyFill="1" applyBorder="1" applyAlignment="1">
      <alignment horizontal="center" vertical="center" wrapText="1"/>
    </xf>
    <xf numFmtId="3" fontId="0" fillId="0" borderId="4" xfId="0" applyNumberFormat="1"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1" xfId="0" applyBorder="1"/>
    <xf numFmtId="0" fontId="0" fillId="0" borderId="22" xfId="0" applyBorder="1"/>
    <xf numFmtId="3" fontId="0" fillId="0" borderId="22" xfId="0" applyNumberFormat="1" applyBorder="1"/>
    <xf numFmtId="0" fontId="16" fillId="0" borderId="16" xfId="0" applyFont="1" applyBorder="1"/>
    <xf numFmtId="0" fontId="15" fillId="0" borderId="16" xfId="0" applyFont="1" applyBorder="1"/>
    <xf numFmtId="2" fontId="0" fillId="0" borderId="4" xfId="0" applyNumberFormat="1" applyBorder="1"/>
    <xf numFmtId="2" fontId="0" fillId="0" borderId="22" xfId="0" applyNumberFormat="1" applyBorder="1"/>
    <xf numFmtId="2" fontId="0" fillId="0" borderId="0" xfId="0" applyNumberFormat="1"/>
    <xf numFmtId="2" fontId="0" fillId="0" borderId="17" xfId="0" applyNumberFormat="1" applyBorder="1"/>
    <xf numFmtId="1" fontId="0" fillId="0" borderId="20" xfId="0" applyNumberFormat="1" applyBorder="1"/>
    <xf numFmtId="1" fontId="0" fillId="0" borderId="23" xfId="0" applyNumberFormat="1" applyBorder="1"/>
    <xf numFmtId="1" fontId="0" fillId="0" borderId="0" xfId="0" applyNumberFormat="1"/>
    <xf numFmtId="1" fontId="0" fillId="0" borderId="18" xfId="0" applyNumberFormat="1" applyBorder="1"/>
    <xf numFmtId="3" fontId="0" fillId="0" borderId="0" xfId="0" applyNumberFormat="1"/>
    <xf numFmtId="3" fontId="15" fillId="0" borderId="0" xfId="0" applyNumberFormat="1" applyFont="1"/>
    <xf numFmtId="0" fontId="9" fillId="0" borderId="4" xfId="0"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2" fontId="0" fillId="6" borderId="4" xfId="0" applyNumberFormat="1" applyFill="1" applyBorder="1"/>
    <xf numFmtId="1" fontId="0" fillId="6" borderId="20" xfId="0" applyNumberFormat="1" applyFill="1" applyBorder="1"/>
    <xf numFmtId="3" fontId="0" fillId="6" borderId="4" xfId="0" applyNumberFormat="1" applyFill="1" applyBorder="1"/>
    <xf numFmtId="0" fontId="0" fillId="0" borderId="4" xfId="0" applyFill="1" applyBorder="1"/>
    <xf numFmtId="2" fontId="0" fillId="0" borderId="4" xfId="0" applyNumberFormat="1" applyFill="1" applyBorder="1"/>
    <xf numFmtId="1" fontId="0" fillId="0" borderId="20" xfId="0" applyNumberFormat="1" applyFill="1" applyBorder="1"/>
    <xf numFmtId="3" fontId="0" fillId="0" borderId="22" xfId="0" applyNumberFormat="1" applyFill="1" applyBorder="1"/>
    <xf numFmtId="2" fontId="0" fillId="0" borderId="22" xfId="0" applyNumberFormat="1" applyFill="1" applyBorder="1"/>
    <xf numFmtId="1" fontId="0" fillId="0" borderId="23" xfId="0" applyNumberFormat="1" applyFill="1" applyBorder="1"/>
    <xf numFmtId="0" fontId="0" fillId="0" borderId="0" xfId="0" applyFill="1"/>
    <xf numFmtId="2" fontId="0" fillId="0" borderId="0" xfId="0" applyNumberFormat="1" applyFill="1"/>
    <xf numFmtId="1" fontId="0" fillId="0" borderId="0" xfId="0" applyNumberFormat="1" applyFill="1"/>
    <xf numFmtId="0" fontId="0" fillId="0" borderId="17" xfId="0" applyFill="1" applyBorder="1"/>
    <xf numFmtId="2" fontId="0" fillId="0" borderId="17" xfId="0" applyNumberFormat="1" applyFill="1" applyBorder="1"/>
    <xf numFmtId="1" fontId="0" fillId="0" borderId="18" xfId="0" applyNumberFormat="1" applyFill="1" applyBorder="1"/>
    <xf numFmtId="0" fontId="0" fillId="10" borderId="4" xfId="0" applyFill="1" applyBorder="1"/>
    <xf numFmtId="2" fontId="0" fillId="10" borderId="4" xfId="0" applyNumberFormat="1" applyFill="1" applyBorder="1"/>
    <xf numFmtId="1" fontId="0" fillId="10" borderId="20" xfId="0" applyNumberFormat="1" applyFill="1" applyBorder="1"/>
    <xf numFmtId="3" fontId="0" fillId="10" borderId="4" xfId="0" applyNumberFormat="1" applyFill="1" applyBorder="1"/>
    <xf numFmtId="43" fontId="7" fillId="0" borderId="0" xfId="0" applyNumberFormat="1" applyFont="1" applyFill="1" applyAlignment="1">
      <alignment horizontal="left" vertical="center" wrapText="1"/>
    </xf>
    <xf numFmtId="0" fontId="7" fillId="0" borderId="0" xfId="0" applyFont="1" applyFill="1" applyAlignment="1">
      <alignment horizontal="left" vertical="center" wrapText="1"/>
    </xf>
    <xf numFmtId="1" fontId="7" fillId="0" borderId="0" xfId="0" applyNumberFormat="1" applyFont="1" applyFill="1" applyAlignment="1">
      <alignment vertical="center"/>
    </xf>
    <xf numFmtId="0" fontId="7" fillId="0" borderId="0" xfId="0" applyFont="1" applyFill="1" applyAlignment="1">
      <alignment vertical="center"/>
    </xf>
    <xf numFmtId="165" fontId="9" fillId="9" borderId="4" xfId="0" applyNumberFormat="1" applyFont="1" applyFill="1" applyBorder="1" applyAlignment="1">
      <alignment horizontal="center" vertical="center" wrapText="1"/>
    </xf>
    <xf numFmtId="1" fontId="15" fillId="10" borderId="20" xfId="0" applyNumberFormat="1" applyFont="1" applyFill="1" applyBorder="1"/>
    <xf numFmtId="166" fontId="10" fillId="0" borderId="12" xfId="0" applyNumberFormat="1" applyFont="1" applyFill="1" applyBorder="1" applyAlignment="1">
      <alignment horizontal="right" vertical="center" wrapText="1"/>
    </xf>
    <xf numFmtId="166" fontId="10" fillId="0" borderId="4" xfId="0" applyNumberFormat="1" applyFont="1" applyFill="1" applyBorder="1" applyAlignment="1">
      <alignment horizontal="right" vertical="center" wrapText="1"/>
    </xf>
    <xf numFmtId="166" fontId="9" fillId="6" borderId="4" xfId="0" applyNumberFormat="1" applyFont="1" applyFill="1" applyBorder="1" applyAlignment="1">
      <alignment horizontal="right" vertical="center" wrapText="1"/>
    </xf>
    <xf numFmtId="166" fontId="10" fillId="0" borderId="4" xfId="0" applyNumberFormat="1" applyFont="1" applyFill="1" applyBorder="1" applyAlignment="1">
      <alignment horizontal="center" vertical="center" wrapText="1"/>
    </xf>
    <xf numFmtId="166" fontId="9" fillId="9" borderId="4" xfId="0" applyNumberFormat="1" applyFont="1" applyFill="1" applyBorder="1" applyAlignment="1">
      <alignment horizontal="center" vertical="center" wrapText="1"/>
    </xf>
    <xf numFmtId="166" fontId="9" fillId="6" borderId="4"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9" fillId="6" borderId="4" xfId="0" applyFont="1" applyFill="1" applyBorder="1" applyAlignment="1">
      <alignment horizontal="left" wrapText="1"/>
    </xf>
    <xf numFmtId="0" fontId="9" fillId="5" borderId="4" xfId="0" applyFont="1" applyFill="1" applyBorder="1" applyAlignment="1">
      <alignment horizontal="left" vertical="center" wrapText="1"/>
    </xf>
    <xf numFmtId="0" fontId="9" fillId="9" borderId="4" xfId="0" applyFont="1" applyFill="1" applyBorder="1" applyAlignment="1">
      <alignment horizontal="left"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6" borderId="6" xfId="0" applyFont="1" applyFill="1" applyBorder="1" applyAlignment="1">
      <alignment horizontal="left" wrapText="1"/>
    </xf>
    <xf numFmtId="0" fontId="9" fillId="6" borderId="5" xfId="0" applyFont="1" applyFill="1" applyBorder="1" applyAlignment="1">
      <alignment horizontal="left" wrapText="1"/>
    </xf>
    <xf numFmtId="0" fontId="10" fillId="0" borderId="12" xfId="0" applyFont="1" applyFill="1" applyBorder="1" applyAlignment="1">
      <alignment horizontal="center" vertical="center" wrapText="1"/>
    </xf>
    <xf numFmtId="0" fontId="10" fillId="0" borderId="4" xfId="0" applyFont="1" applyFill="1" applyBorder="1" applyAlignment="1">
      <alignment horizontal="center" vertical="center" wrapText="1"/>
    </xf>
    <xf numFmtId="2" fontId="10" fillId="0" borderId="12" xfId="0" applyNumberFormat="1"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4" borderId="4" xfId="0" applyFont="1" applyFill="1" applyBorder="1" applyAlignment="1">
      <alignment horizontal="center" vertical="center"/>
    </xf>
    <xf numFmtId="0" fontId="9" fillId="0" borderId="4" xfId="0" applyFont="1" applyFill="1" applyBorder="1" applyAlignment="1">
      <alignment horizontal="center" vertical="center" textRotation="90" wrapText="1"/>
    </xf>
    <xf numFmtId="0" fontId="9" fillId="0" borderId="4" xfId="0" applyFont="1" applyFill="1" applyBorder="1" applyAlignment="1">
      <alignment horizontal="center" textRotation="90" wrapText="1"/>
    </xf>
    <xf numFmtId="0" fontId="9" fillId="0" borderId="4" xfId="0" applyFont="1" applyFill="1" applyBorder="1" applyAlignment="1">
      <alignment horizontal="center" vertical="center"/>
    </xf>
    <xf numFmtId="0" fontId="9" fillId="8" borderId="4" xfId="0" applyFont="1" applyFill="1" applyBorder="1" applyAlignment="1">
      <alignment horizontal="center" vertical="center"/>
    </xf>
    <xf numFmtId="0" fontId="9" fillId="7" borderId="4" xfId="0" applyFont="1" applyFill="1" applyBorder="1" applyAlignment="1">
      <alignment horizontal="center" vertical="center"/>
    </xf>
    <xf numFmtId="0" fontId="0" fillId="0" borderId="0" xfId="0" applyAlignment="1">
      <alignment horizontal="center"/>
    </xf>
    <xf numFmtId="0" fontId="4" fillId="2" borderId="9" xfId="0" applyFont="1" applyFill="1" applyBorder="1" applyAlignment="1">
      <alignment horizontal="center" vertical="center"/>
    </xf>
    <xf numFmtId="0" fontId="4" fillId="2" borderId="7" xfId="0" applyFont="1" applyFill="1" applyBorder="1" applyAlignment="1">
      <alignment horizontal="center" vertical="center"/>
    </xf>
  </cellXfs>
  <cellStyles count="3">
    <cellStyle name="Comma" xfId="2" builtinId="3"/>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estat.com\dfs\FINI\Task%204.%20OMB%20Package\Task%202\FNS%20comments%2010-31-2017\Revised%20package%2010-31-2017\Burden%20Table%20for%20Evaluation%20of%20the%20Food%20Insecurity%20Nutrition%20Incentives%2010.31.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stat.com\dfs\FINI\Task%204.%20OMB%20Package\Burden%20Table\Burden%20Table%20for%20Evaluation%20of%20the%20Food%20Insecurity%20Nutrition%20Incentives%2010.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I burden table"/>
      <sheetName val="Sample Size Assumptions"/>
      <sheetName val="Sheet2"/>
    </sheetNames>
    <sheetDataSet>
      <sheetData sheetId="0">
        <row r="5">
          <cell r="E5">
            <v>1</v>
          </cell>
          <cell r="G5">
            <v>2</v>
          </cell>
          <cell r="H5">
            <v>2</v>
          </cell>
          <cell r="I5">
            <v>3.3399999999999999E-2</v>
          </cell>
          <cell r="J5">
            <v>6.6799999999999998E-2</v>
          </cell>
          <cell r="M5">
            <v>0</v>
          </cell>
          <cell r="Q5">
            <v>56.74</v>
          </cell>
        </row>
        <row r="6">
          <cell r="E6">
            <v>1</v>
          </cell>
          <cell r="G6">
            <v>2</v>
          </cell>
          <cell r="H6">
            <v>2</v>
          </cell>
          <cell r="I6">
            <v>0.33400000000000002</v>
          </cell>
          <cell r="J6">
            <v>0.66800000000000004</v>
          </cell>
          <cell r="M6">
            <v>0</v>
          </cell>
          <cell r="Q6">
            <v>56.74</v>
          </cell>
        </row>
        <row r="40">
          <cell r="G40">
            <v>1</v>
          </cell>
        </row>
        <row r="44">
          <cell r="G44">
            <v>1</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I burden table"/>
      <sheetName val="Sample Size Assumptions"/>
      <sheetName val="Sheet2"/>
    </sheetNames>
    <sheetDataSet>
      <sheetData sheetId="0">
        <row r="15">
          <cell r="E15">
            <v>2</v>
          </cell>
          <cell r="G15">
            <v>1</v>
          </cell>
          <cell r="H15">
            <v>2</v>
          </cell>
          <cell r="I15">
            <v>8.3500000000000005E-2</v>
          </cell>
          <cell r="J15">
            <v>0.16700000000000001</v>
          </cell>
          <cell r="M15">
            <v>0</v>
          </cell>
          <cell r="Q15">
            <v>56.74</v>
          </cell>
        </row>
        <row r="16">
          <cell r="E16">
            <v>2</v>
          </cell>
          <cell r="G16">
            <v>1</v>
          </cell>
          <cell r="H16">
            <v>2</v>
          </cell>
          <cell r="I16">
            <v>1.5</v>
          </cell>
          <cell r="J16">
            <v>3</v>
          </cell>
          <cell r="M16">
            <v>0</v>
          </cell>
          <cell r="Q16">
            <v>56.74</v>
          </cell>
        </row>
        <row r="17">
          <cell r="E17">
            <v>2</v>
          </cell>
          <cell r="G17">
            <v>1</v>
          </cell>
          <cell r="H17">
            <v>2</v>
          </cell>
          <cell r="I17">
            <v>1.67E-2</v>
          </cell>
          <cell r="J17">
            <v>3.3399999999999999E-2</v>
          </cell>
          <cell r="M17">
            <v>0</v>
          </cell>
          <cell r="Q17">
            <v>56.74</v>
          </cell>
        </row>
        <row r="18">
          <cell r="E18">
            <v>4</v>
          </cell>
          <cell r="G18">
            <v>2</v>
          </cell>
          <cell r="H18">
            <v>8</v>
          </cell>
          <cell r="I18">
            <v>0.25</v>
          </cell>
          <cell r="J18">
            <v>2</v>
          </cell>
          <cell r="M18">
            <v>0</v>
          </cell>
          <cell r="Q18">
            <v>56.74</v>
          </cell>
        </row>
        <row r="19">
          <cell r="E19">
            <v>4</v>
          </cell>
          <cell r="G19">
            <v>1</v>
          </cell>
          <cell r="H19">
            <v>4</v>
          </cell>
          <cell r="I19">
            <v>3.3399999999999999E-2</v>
          </cell>
          <cell r="J19">
            <v>0.1336</v>
          </cell>
          <cell r="M19">
            <v>0</v>
          </cell>
          <cell r="Q19">
            <v>56.74</v>
          </cell>
        </row>
        <row r="20">
          <cell r="E20">
            <v>4</v>
          </cell>
          <cell r="G20">
            <v>2</v>
          </cell>
          <cell r="H20">
            <v>8</v>
          </cell>
          <cell r="I20">
            <v>0.33400000000000002</v>
          </cell>
          <cell r="J20">
            <v>2.6720000000000002</v>
          </cell>
          <cell r="M20">
            <v>0</v>
          </cell>
          <cell r="Q20">
            <v>56.74</v>
          </cell>
        </row>
        <row r="21">
          <cell r="E21">
            <v>4</v>
          </cell>
          <cell r="G21">
            <v>1</v>
          </cell>
          <cell r="H21">
            <v>4</v>
          </cell>
          <cell r="I21">
            <v>0.25</v>
          </cell>
          <cell r="J21">
            <v>1</v>
          </cell>
          <cell r="M21">
            <v>0</v>
          </cell>
          <cell r="Q21">
            <v>56.74</v>
          </cell>
        </row>
        <row r="22">
          <cell r="G22">
            <v>1</v>
          </cell>
          <cell r="M22">
            <v>0</v>
          </cell>
        </row>
        <row r="34">
          <cell r="E34">
            <v>40</v>
          </cell>
        </row>
        <row r="35">
          <cell r="E35">
            <v>40</v>
          </cell>
        </row>
        <row r="36">
          <cell r="E36">
            <v>40</v>
          </cell>
        </row>
        <row r="37">
          <cell r="E37">
            <v>49</v>
          </cell>
        </row>
        <row r="38">
          <cell r="E38">
            <v>49</v>
          </cell>
        </row>
        <row r="39">
          <cell r="E39">
            <v>49</v>
          </cell>
        </row>
        <row r="40">
          <cell r="E40">
            <v>49</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5"/>
  <sheetViews>
    <sheetView tabSelected="1" zoomScaleNormal="100" zoomScaleSheetLayoutView="100" workbookViewId="0">
      <pane ySplit="3" topLeftCell="A112" activePane="bottomLeft" state="frozen"/>
      <selection activeCell="B1" sqref="B1"/>
      <selection pane="bottomLeft" activeCell="E121" sqref="E121"/>
    </sheetView>
  </sheetViews>
  <sheetFormatPr defaultColWidth="9.140625" defaultRowHeight="11.25" x14ac:dyDescent="0.2"/>
  <cols>
    <col min="1" max="1" width="11.85546875" style="29" customWidth="1"/>
    <col min="2" max="2" width="15" style="35" customWidth="1"/>
    <col min="3" max="3" width="37.42578125" style="29" customWidth="1"/>
    <col min="4" max="4" width="4.85546875" style="110" customWidth="1"/>
    <col min="5" max="5" width="8" style="29" customWidth="1"/>
    <col min="6" max="6" width="6.28515625" style="29" customWidth="1"/>
    <col min="7" max="7" width="6" style="29" customWidth="1"/>
    <col min="8" max="8" width="7" style="29" customWidth="1"/>
    <col min="9" max="9" width="6.5703125" style="29" customWidth="1"/>
    <col min="10" max="10" width="8.5703125" style="29" customWidth="1"/>
    <col min="11" max="11" width="7.85546875" style="29" customWidth="1"/>
    <col min="12" max="12" width="8" style="29" customWidth="1"/>
    <col min="13" max="13" width="6.42578125" style="29" customWidth="1"/>
    <col min="14" max="14" width="7.5703125" style="29" customWidth="1"/>
    <col min="15" max="15" width="7" style="29" customWidth="1"/>
    <col min="16" max="16" width="8.5703125" style="29" customWidth="1"/>
    <col min="17" max="17" width="10" style="29" customWidth="1"/>
    <col min="18" max="18" width="10" style="179" customWidth="1"/>
    <col min="19" max="19" width="20.28515625" style="29" customWidth="1"/>
    <col min="20" max="16384" width="9.140625" style="29"/>
  </cols>
  <sheetData>
    <row r="1" spans="1:21" ht="14.45" customHeight="1" x14ac:dyDescent="0.2">
      <c r="A1" s="195" t="s">
        <v>156</v>
      </c>
      <c r="B1" s="195" t="s">
        <v>7</v>
      </c>
      <c r="C1" s="204" t="s">
        <v>0</v>
      </c>
      <c r="D1" s="206" t="s">
        <v>44</v>
      </c>
      <c r="E1" s="207" t="s">
        <v>45</v>
      </c>
      <c r="F1" s="208" t="s">
        <v>161</v>
      </c>
      <c r="G1" s="208"/>
      <c r="H1" s="208"/>
      <c r="I1" s="208"/>
      <c r="J1" s="208"/>
      <c r="K1" s="208"/>
      <c r="L1" s="208"/>
      <c r="M1" s="208"/>
      <c r="N1" s="208"/>
      <c r="O1" s="208"/>
      <c r="P1" s="208"/>
      <c r="Q1" s="208"/>
      <c r="R1" s="208"/>
    </row>
    <row r="2" spans="1:21" x14ac:dyDescent="0.2">
      <c r="A2" s="195"/>
      <c r="B2" s="195"/>
      <c r="C2" s="204"/>
      <c r="D2" s="206"/>
      <c r="E2" s="207"/>
      <c r="F2" s="205" t="s">
        <v>157</v>
      </c>
      <c r="G2" s="205"/>
      <c r="H2" s="205"/>
      <c r="I2" s="205"/>
      <c r="J2" s="205"/>
      <c r="K2" s="209" t="s">
        <v>158</v>
      </c>
      <c r="L2" s="209"/>
      <c r="M2" s="209"/>
      <c r="N2" s="209"/>
      <c r="O2" s="209"/>
      <c r="P2" s="210" t="s">
        <v>159</v>
      </c>
      <c r="Q2" s="210"/>
      <c r="R2" s="210"/>
    </row>
    <row r="3" spans="1:21" ht="69" customHeight="1" x14ac:dyDescent="0.2">
      <c r="A3" s="195"/>
      <c r="B3" s="195"/>
      <c r="C3" s="204"/>
      <c r="D3" s="206"/>
      <c r="E3" s="207"/>
      <c r="F3" s="44" t="s">
        <v>1</v>
      </c>
      <c r="G3" s="44" t="s">
        <v>2</v>
      </c>
      <c r="H3" s="44" t="s">
        <v>3</v>
      </c>
      <c r="I3" s="44" t="s">
        <v>4</v>
      </c>
      <c r="J3" s="44" t="s">
        <v>35</v>
      </c>
      <c r="K3" s="44" t="s">
        <v>8</v>
      </c>
      <c r="L3" s="44" t="s">
        <v>2</v>
      </c>
      <c r="M3" s="44" t="s">
        <v>3</v>
      </c>
      <c r="N3" s="44" t="s">
        <v>5</v>
      </c>
      <c r="O3" s="44" t="s">
        <v>35</v>
      </c>
      <c r="P3" s="60" t="s">
        <v>160</v>
      </c>
      <c r="Q3" s="43" t="s">
        <v>36</v>
      </c>
      <c r="R3" s="155" t="s">
        <v>37</v>
      </c>
      <c r="S3" s="110" t="s">
        <v>194</v>
      </c>
    </row>
    <row r="4" spans="1:21" ht="18.75" customHeight="1" x14ac:dyDescent="0.2">
      <c r="A4" s="198" t="s">
        <v>46</v>
      </c>
      <c r="B4" s="200" t="s">
        <v>47</v>
      </c>
      <c r="C4" s="61" t="s">
        <v>109</v>
      </c>
      <c r="D4" s="96" t="s">
        <v>110</v>
      </c>
      <c r="E4" s="56">
        <v>6</v>
      </c>
      <c r="F4" s="56">
        <v>6</v>
      </c>
      <c r="G4" s="56">
        <v>1</v>
      </c>
      <c r="H4" s="57">
        <f>+G4*F4</f>
        <v>6</v>
      </c>
      <c r="I4" s="58">
        <v>0.25</v>
      </c>
      <c r="J4" s="58">
        <f>(H4*I4)</f>
        <v>1.5</v>
      </c>
      <c r="K4" s="56">
        <f>E4-F4</f>
        <v>0</v>
      </c>
      <c r="L4" s="56">
        <f>(G4)</f>
        <v>1</v>
      </c>
      <c r="M4" s="56">
        <v>0</v>
      </c>
      <c r="N4" s="59">
        <f>(I4)</f>
        <v>0.25</v>
      </c>
      <c r="O4" s="56">
        <f>(N4*M4)</f>
        <v>0</v>
      </c>
      <c r="P4" s="58">
        <f>(J4+O4)</f>
        <v>1.5</v>
      </c>
      <c r="Q4" s="56">
        <v>7.25</v>
      </c>
      <c r="R4" s="182">
        <f>(P4*Q4)</f>
        <v>10.875</v>
      </c>
    </row>
    <row r="5" spans="1:21" ht="21.75" customHeight="1" x14ac:dyDescent="0.2">
      <c r="A5" s="199"/>
      <c r="B5" s="201"/>
      <c r="C5" s="62" t="s">
        <v>99</v>
      </c>
      <c r="D5" s="97" t="s">
        <v>48</v>
      </c>
      <c r="E5" s="50">
        <v>7590</v>
      </c>
      <c r="F5" s="51">
        <f>(E5*0.9)</f>
        <v>6831</v>
      </c>
      <c r="G5" s="52">
        <v>1</v>
      </c>
      <c r="H5" s="46">
        <f>+G5*F5</f>
        <v>6831</v>
      </c>
      <c r="I5" s="53">
        <v>5.0099999999999999E-2</v>
      </c>
      <c r="J5" s="47">
        <f t="shared" ref="J5:J31" si="0">(H5*I5)</f>
        <v>342.23309999999998</v>
      </c>
      <c r="K5" s="45">
        <f t="shared" ref="K5:K31" si="1">E5-F5</f>
        <v>759</v>
      </c>
      <c r="L5" s="45">
        <f t="shared" ref="L5:L31" si="2">(G5)</f>
        <v>1</v>
      </c>
      <c r="M5" s="54">
        <v>0</v>
      </c>
      <c r="N5" s="48">
        <f>(I5)</f>
        <v>5.0099999999999999E-2</v>
      </c>
      <c r="O5" s="45">
        <f t="shared" ref="O5:O31" si="3">(N5*M5)</f>
        <v>0</v>
      </c>
      <c r="P5" s="47">
        <f>(J5+O5)</f>
        <v>342.23309999999998</v>
      </c>
      <c r="Q5" s="49">
        <v>7.25</v>
      </c>
      <c r="R5" s="183">
        <f t="shared" ref="R5:R31" si="4">(P5*Q5)</f>
        <v>2481.1899749999998</v>
      </c>
    </row>
    <row r="6" spans="1:21" ht="21.75" customHeight="1" x14ac:dyDescent="0.2">
      <c r="A6" s="199"/>
      <c r="B6" s="201"/>
      <c r="C6" s="62" t="s">
        <v>115</v>
      </c>
      <c r="D6" s="97" t="s">
        <v>49</v>
      </c>
      <c r="E6" s="50">
        <f>(F5)</f>
        <v>6831</v>
      </c>
      <c r="F6" s="51">
        <f>(E6*0.15)</f>
        <v>1024.6499999999999</v>
      </c>
      <c r="G6" s="52">
        <v>1</v>
      </c>
      <c r="H6" s="46">
        <f t="shared" ref="H6:H31" si="5">+G6*F6</f>
        <v>1024.6499999999999</v>
      </c>
      <c r="I6" s="53">
        <v>0.33400000000000002</v>
      </c>
      <c r="J6" s="47">
        <f t="shared" si="0"/>
        <v>342.23309999999998</v>
      </c>
      <c r="K6" s="54">
        <f>E6-F6</f>
        <v>5806.35</v>
      </c>
      <c r="L6" s="45">
        <f t="shared" si="2"/>
        <v>1</v>
      </c>
      <c r="M6" s="54">
        <v>0</v>
      </c>
      <c r="N6" s="48">
        <f t="shared" ref="N6:N31" si="6">(I6)</f>
        <v>0.33400000000000002</v>
      </c>
      <c r="O6" s="45">
        <f t="shared" si="3"/>
        <v>0</v>
      </c>
      <c r="P6" s="47">
        <f t="shared" ref="P6:P31" si="7">(J6+O6)</f>
        <v>342.23309999999998</v>
      </c>
      <c r="Q6" s="49">
        <v>7.25</v>
      </c>
      <c r="R6" s="183">
        <f t="shared" si="4"/>
        <v>2481.1899749999998</v>
      </c>
    </row>
    <row r="7" spans="1:21" ht="21.75" customHeight="1" x14ac:dyDescent="0.2">
      <c r="A7" s="199"/>
      <c r="B7" s="201"/>
      <c r="C7" s="62" t="s">
        <v>114</v>
      </c>
      <c r="D7" s="97" t="s">
        <v>50</v>
      </c>
      <c r="E7" s="50">
        <f>(E5)</f>
        <v>7590</v>
      </c>
      <c r="F7" s="51">
        <f>(E7*0.6)</f>
        <v>4554</v>
      </c>
      <c r="G7" s="52">
        <v>1</v>
      </c>
      <c r="H7" s="46">
        <f t="shared" si="5"/>
        <v>4554</v>
      </c>
      <c r="I7" s="53">
        <v>1.67E-2</v>
      </c>
      <c r="J7" s="47">
        <f t="shared" si="0"/>
        <v>76.0518</v>
      </c>
      <c r="K7" s="54">
        <f>E7-F7</f>
        <v>3036</v>
      </c>
      <c r="L7" s="45">
        <f t="shared" si="2"/>
        <v>1</v>
      </c>
      <c r="M7" s="54">
        <v>0</v>
      </c>
      <c r="N7" s="48">
        <f t="shared" si="6"/>
        <v>1.67E-2</v>
      </c>
      <c r="O7" s="45">
        <f t="shared" si="3"/>
        <v>0</v>
      </c>
      <c r="P7" s="47">
        <f t="shared" si="7"/>
        <v>76.0518</v>
      </c>
      <c r="Q7" s="49">
        <v>7.25</v>
      </c>
      <c r="R7" s="183">
        <f t="shared" si="4"/>
        <v>551.37554999999998</v>
      </c>
    </row>
    <row r="8" spans="1:21" ht="21.75" customHeight="1" x14ac:dyDescent="0.2">
      <c r="A8" s="199"/>
      <c r="B8" s="201"/>
      <c r="C8" s="62" t="s">
        <v>118</v>
      </c>
      <c r="D8" s="97" t="s">
        <v>51</v>
      </c>
      <c r="E8" s="50">
        <f>(E5 - F6)</f>
        <v>6565.35</v>
      </c>
      <c r="F8" s="51">
        <f>(E8*0.9)</f>
        <v>5908.8150000000005</v>
      </c>
      <c r="G8" s="52">
        <v>1</v>
      </c>
      <c r="H8" s="46">
        <f t="shared" si="5"/>
        <v>5908.8150000000005</v>
      </c>
      <c r="I8" s="53">
        <f>(I7)</f>
        <v>1.67E-2</v>
      </c>
      <c r="J8" s="47">
        <f t="shared" si="0"/>
        <v>98.677210500000001</v>
      </c>
      <c r="K8" s="54">
        <f t="shared" si="1"/>
        <v>656.53499999999985</v>
      </c>
      <c r="L8" s="45">
        <f t="shared" si="2"/>
        <v>1</v>
      </c>
      <c r="M8" s="54">
        <v>0</v>
      </c>
      <c r="N8" s="48">
        <f t="shared" si="6"/>
        <v>1.67E-2</v>
      </c>
      <c r="O8" s="45">
        <f t="shared" si="3"/>
        <v>0</v>
      </c>
      <c r="P8" s="47">
        <f t="shared" si="7"/>
        <v>98.677210500000001</v>
      </c>
      <c r="Q8" s="49">
        <v>7.25</v>
      </c>
      <c r="R8" s="183">
        <f t="shared" si="4"/>
        <v>715.40977612500001</v>
      </c>
    </row>
    <row r="9" spans="1:21" ht="21.75" customHeight="1" x14ac:dyDescent="0.2">
      <c r="A9" s="199"/>
      <c r="B9" s="201"/>
      <c r="C9" s="62" t="s">
        <v>100</v>
      </c>
      <c r="D9" s="97" t="s">
        <v>49</v>
      </c>
      <c r="E9" s="50">
        <f>(F8)</f>
        <v>5908.8150000000005</v>
      </c>
      <c r="F9" s="51">
        <f>(E9*0.35)</f>
        <v>2068.0852500000001</v>
      </c>
      <c r="G9" s="52">
        <v>1</v>
      </c>
      <c r="H9" s="46">
        <f t="shared" si="5"/>
        <v>2068.0852500000001</v>
      </c>
      <c r="I9" s="53">
        <v>0.33400000000000002</v>
      </c>
      <c r="J9" s="47">
        <f t="shared" si="0"/>
        <v>690.74047350000012</v>
      </c>
      <c r="K9" s="54">
        <f t="shared" si="1"/>
        <v>3840.7297500000004</v>
      </c>
      <c r="L9" s="45">
        <f t="shared" si="2"/>
        <v>1</v>
      </c>
      <c r="M9" s="54">
        <v>0</v>
      </c>
      <c r="N9" s="48">
        <f t="shared" si="6"/>
        <v>0.33400000000000002</v>
      </c>
      <c r="O9" s="45">
        <f t="shared" si="3"/>
        <v>0</v>
      </c>
      <c r="P9" s="47">
        <f t="shared" si="7"/>
        <v>690.74047350000012</v>
      </c>
      <c r="Q9" s="49">
        <v>7.25</v>
      </c>
      <c r="R9" s="183">
        <f t="shared" si="4"/>
        <v>5007.8684328750005</v>
      </c>
    </row>
    <row r="10" spans="1:21" ht="19.5" customHeight="1" x14ac:dyDescent="0.2">
      <c r="A10" s="199"/>
      <c r="B10" s="201"/>
      <c r="C10" s="62" t="s">
        <v>116</v>
      </c>
      <c r="D10" s="97" t="s">
        <v>52</v>
      </c>
      <c r="E10" s="50">
        <f>(E8)</f>
        <v>6565.35</v>
      </c>
      <c r="F10" s="51">
        <f>(E10*0.6)</f>
        <v>3939.21</v>
      </c>
      <c r="G10" s="52">
        <v>1</v>
      </c>
      <c r="H10" s="46">
        <f t="shared" si="5"/>
        <v>3939.21</v>
      </c>
      <c r="I10" s="53">
        <v>1.67E-2</v>
      </c>
      <c r="J10" s="47">
        <f t="shared" si="0"/>
        <v>65.784807000000001</v>
      </c>
      <c r="K10" s="54">
        <f t="shared" si="1"/>
        <v>2626.1400000000003</v>
      </c>
      <c r="L10" s="45">
        <f t="shared" si="2"/>
        <v>1</v>
      </c>
      <c r="M10" s="54">
        <v>0</v>
      </c>
      <c r="N10" s="48">
        <f t="shared" si="6"/>
        <v>1.67E-2</v>
      </c>
      <c r="O10" s="45">
        <f t="shared" si="3"/>
        <v>0</v>
      </c>
      <c r="P10" s="47">
        <f t="shared" si="7"/>
        <v>65.784807000000001</v>
      </c>
      <c r="Q10" s="49">
        <v>7.25</v>
      </c>
      <c r="R10" s="183">
        <f t="shared" si="4"/>
        <v>476.93985075000001</v>
      </c>
    </row>
    <row r="11" spans="1:21" ht="19.5" customHeight="1" x14ac:dyDescent="0.2">
      <c r="A11" s="199"/>
      <c r="B11" s="201"/>
      <c r="C11" s="62" t="s">
        <v>119</v>
      </c>
      <c r="D11" s="97" t="s">
        <v>53</v>
      </c>
      <c r="E11" s="50">
        <f>(E5)-(F6+F9)</f>
        <v>4497.2647500000003</v>
      </c>
      <c r="F11" s="51">
        <f>(E11*0.9)</f>
        <v>4047.5382750000003</v>
      </c>
      <c r="G11" s="52">
        <v>1</v>
      </c>
      <c r="H11" s="46">
        <f t="shared" si="5"/>
        <v>4047.5382750000003</v>
      </c>
      <c r="I11" s="53">
        <f>(I7)</f>
        <v>1.67E-2</v>
      </c>
      <c r="J11" s="47">
        <f t="shared" si="0"/>
        <v>67.593889192500001</v>
      </c>
      <c r="K11" s="54">
        <f t="shared" si="1"/>
        <v>449.72647499999994</v>
      </c>
      <c r="L11" s="45">
        <f t="shared" si="2"/>
        <v>1</v>
      </c>
      <c r="M11" s="54">
        <v>0</v>
      </c>
      <c r="N11" s="48">
        <f t="shared" si="6"/>
        <v>1.67E-2</v>
      </c>
      <c r="O11" s="45">
        <f t="shared" si="3"/>
        <v>0</v>
      </c>
      <c r="P11" s="47">
        <f t="shared" si="7"/>
        <v>67.593889192500001</v>
      </c>
      <c r="Q11" s="49">
        <v>7.25</v>
      </c>
      <c r="R11" s="183">
        <f t="shared" si="4"/>
        <v>490.05569664562501</v>
      </c>
    </row>
    <row r="12" spans="1:21" ht="23.25" customHeight="1" x14ac:dyDescent="0.2">
      <c r="A12" s="199"/>
      <c r="B12" s="201"/>
      <c r="C12" s="62" t="s">
        <v>101</v>
      </c>
      <c r="D12" s="97" t="s">
        <v>49</v>
      </c>
      <c r="E12" s="50">
        <f>(F11)</f>
        <v>4047.5382750000003</v>
      </c>
      <c r="F12" s="51">
        <f>E12*0.25</f>
        <v>1011.8845687500001</v>
      </c>
      <c r="G12" s="52">
        <v>1</v>
      </c>
      <c r="H12" s="46">
        <f t="shared" si="5"/>
        <v>1011.8845687500001</v>
      </c>
      <c r="I12" s="53">
        <v>0.33400000000000002</v>
      </c>
      <c r="J12" s="47">
        <f t="shared" si="0"/>
        <v>337.96944596250006</v>
      </c>
      <c r="K12" s="54">
        <f t="shared" si="1"/>
        <v>3035.6537062500001</v>
      </c>
      <c r="L12" s="45">
        <f t="shared" si="2"/>
        <v>1</v>
      </c>
      <c r="M12" s="54">
        <v>0</v>
      </c>
      <c r="N12" s="48">
        <f t="shared" si="6"/>
        <v>0.33400000000000002</v>
      </c>
      <c r="O12" s="45">
        <f t="shared" si="3"/>
        <v>0</v>
      </c>
      <c r="P12" s="47">
        <f t="shared" si="7"/>
        <v>337.96944596250006</v>
      </c>
      <c r="Q12" s="49">
        <v>7.25</v>
      </c>
      <c r="R12" s="183">
        <f t="shared" si="4"/>
        <v>2450.2784832281254</v>
      </c>
    </row>
    <row r="13" spans="1:21" ht="17.25" customHeight="1" x14ac:dyDescent="0.2">
      <c r="A13" s="199"/>
      <c r="B13" s="201"/>
      <c r="C13" s="62" t="s">
        <v>102</v>
      </c>
      <c r="D13" s="97" t="s">
        <v>54</v>
      </c>
      <c r="E13" s="50">
        <f>F13/0.07</f>
        <v>334.00258928572185</v>
      </c>
      <c r="F13" s="51">
        <f>(E15) - (F6+F9+F12)</f>
        <v>23.380181250000533</v>
      </c>
      <c r="G13" s="52">
        <v>1</v>
      </c>
      <c r="H13" s="46">
        <f t="shared" si="5"/>
        <v>23.380181250000533</v>
      </c>
      <c r="I13" s="53">
        <f>(I6)</f>
        <v>0.33400000000000002</v>
      </c>
      <c r="J13" s="47">
        <f t="shared" si="0"/>
        <v>7.8089805375001786</v>
      </c>
      <c r="K13" s="54">
        <f t="shared" si="1"/>
        <v>310.62240803572132</v>
      </c>
      <c r="L13" s="45">
        <f t="shared" si="2"/>
        <v>1</v>
      </c>
      <c r="M13" s="54">
        <v>0</v>
      </c>
      <c r="N13" s="48">
        <f t="shared" si="6"/>
        <v>0.33400000000000002</v>
      </c>
      <c r="O13" s="45">
        <f t="shared" si="3"/>
        <v>0</v>
      </c>
      <c r="P13" s="47">
        <f t="shared" si="7"/>
        <v>7.8089805375001786</v>
      </c>
      <c r="Q13" s="49">
        <v>7.25</v>
      </c>
      <c r="R13" s="183">
        <f t="shared" si="4"/>
        <v>56.615108896876293</v>
      </c>
    </row>
    <row r="14" spans="1:21" ht="23.25" customHeight="1" x14ac:dyDescent="0.2">
      <c r="A14" s="199"/>
      <c r="B14" s="201"/>
      <c r="C14" s="62" t="s">
        <v>149</v>
      </c>
      <c r="D14" s="97" t="s">
        <v>55</v>
      </c>
      <c r="E14" s="50">
        <f>F13/0.07</f>
        <v>334.00258928572185</v>
      </c>
      <c r="F14" s="51">
        <f>(E14*0.6)</f>
        <v>200.40155357143311</v>
      </c>
      <c r="G14" s="52">
        <v>1</v>
      </c>
      <c r="H14" s="46">
        <f t="shared" si="5"/>
        <v>200.40155357143311</v>
      </c>
      <c r="I14" s="53">
        <v>1.67E-2</v>
      </c>
      <c r="J14" s="47">
        <f t="shared" si="0"/>
        <v>3.3467059446429328</v>
      </c>
      <c r="K14" s="54">
        <f t="shared" si="1"/>
        <v>133.60103571428874</v>
      </c>
      <c r="L14" s="45">
        <f t="shared" si="2"/>
        <v>1</v>
      </c>
      <c r="M14" s="54">
        <v>0</v>
      </c>
      <c r="N14" s="48">
        <f t="shared" si="6"/>
        <v>1.67E-2</v>
      </c>
      <c r="O14" s="45">
        <f t="shared" si="3"/>
        <v>0</v>
      </c>
      <c r="P14" s="47">
        <f t="shared" si="7"/>
        <v>3.3467059446429328</v>
      </c>
      <c r="Q14" s="49">
        <v>7.25</v>
      </c>
      <c r="R14" s="183">
        <f t="shared" si="4"/>
        <v>24.263618098661262</v>
      </c>
    </row>
    <row r="15" spans="1:21" ht="22.5" customHeight="1" x14ac:dyDescent="0.2">
      <c r="A15" s="199"/>
      <c r="B15" s="201"/>
      <c r="C15" s="62" t="s">
        <v>103</v>
      </c>
      <c r="D15" s="103" t="s">
        <v>56</v>
      </c>
      <c r="E15" s="50">
        <v>4128</v>
      </c>
      <c r="F15" s="51">
        <f>(E15)</f>
        <v>4128</v>
      </c>
      <c r="G15" s="52">
        <v>1</v>
      </c>
      <c r="H15" s="46">
        <f t="shared" si="5"/>
        <v>4128</v>
      </c>
      <c r="I15" s="53">
        <v>1.67E-2</v>
      </c>
      <c r="J15" s="47">
        <f t="shared" si="0"/>
        <v>68.937600000000003</v>
      </c>
      <c r="K15" s="45">
        <f t="shared" si="1"/>
        <v>0</v>
      </c>
      <c r="L15" s="45">
        <f t="shared" si="2"/>
        <v>1</v>
      </c>
      <c r="M15" s="54">
        <f>+K15*L15</f>
        <v>0</v>
      </c>
      <c r="N15" s="48">
        <f t="shared" si="6"/>
        <v>1.67E-2</v>
      </c>
      <c r="O15" s="45">
        <f t="shared" si="3"/>
        <v>0</v>
      </c>
      <c r="P15" s="47">
        <f t="shared" si="7"/>
        <v>68.937600000000003</v>
      </c>
      <c r="Q15" s="49">
        <v>7.25</v>
      </c>
      <c r="R15" s="183">
        <f t="shared" si="4"/>
        <v>499.79760000000005</v>
      </c>
      <c r="T15" s="34"/>
      <c r="U15" s="34"/>
    </row>
    <row r="16" spans="1:21" ht="21.75" customHeight="1" x14ac:dyDescent="0.2">
      <c r="A16" s="199"/>
      <c r="B16" s="201"/>
      <c r="C16" s="62" t="s">
        <v>104</v>
      </c>
      <c r="D16" s="97" t="s">
        <v>57</v>
      </c>
      <c r="E16" s="50">
        <v>4128</v>
      </c>
      <c r="F16" s="51">
        <f>(E16*0.9)</f>
        <v>3715.2000000000003</v>
      </c>
      <c r="G16" s="52">
        <v>1</v>
      </c>
      <c r="H16" s="46">
        <f t="shared" si="5"/>
        <v>3715.2000000000003</v>
      </c>
      <c r="I16" s="53">
        <v>5.0099999999999999E-2</v>
      </c>
      <c r="J16" s="47">
        <f t="shared" si="0"/>
        <v>186.13151999999999</v>
      </c>
      <c r="K16" s="54">
        <f t="shared" si="1"/>
        <v>412.79999999999973</v>
      </c>
      <c r="L16" s="45">
        <f t="shared" si="2"/>
        <v>1</v>
      </c>
      <c r="M16" s="54">
        <v>0</v>
      </c>
      <c r="N16" s="48">
        <f t="shared" si="6"/>
        <v>5.0099999999999999E-2</v>
      </c>
      <c r="O16" s="45">
        <f t="shared" si="3"/>
        <v>0</v>
      </c>
      <c r="P16" s="47">
        <f t="shared" si="7"/>
        <v>186.13151999999999</v>
      </c>
      <c r="Q16" s="49">
        <v>7.25</v>
      </c>
      <c r="R16" s="183">
        <f t="shared" si="4"/>
        <v>1349.45352</v>
      </c>
      <c r="S16" s="34"/>
      <c r="T16" s="34"/>
      <c r="U16" s="34"/>
    </row>
    <row r="17" spans="1:21" ht="21.75" customHeight="1" x14ac:dyDescent="0.2">
      <c r="A17" s="199"/>
      <c r="B17" s="201"/>
      <c r="C17" s="62" t="s">
        <v>130</v>
      </c>
      <c r="D17" s="97" t="s">
        <v>93</v>
      </c>
      <c r="E17" s="50">
        <f>(F16)</f>
        <v>3715.2000000000003</v>
      </c>
      <c r="F17" s="51">
        <f>(E17*0.18)</f>
        <v>668.73599999999999</v>
      </c>
      <c r="G17" s="52">
        <v>1</v>
      </c>
      <c r="H17" s="46">
        <f t="shared" si="5"/>
        <v>668.73599999999999</v>
      </c>
      <c r="I17" s="53">
        <v>0.33400000000000002</v>
      </c>
      <c r="J17" s="47">
        <f t="shared" si="0"/>
        <v>223.35782400000002</v>
      </c>
      <c r="K17" s="54">
        <f>E17-F17</f>
        <v>3046.4640000000004</v>
      </c>
      <c r="L17" s="45">
        <f>(G17)</f>
        <v>1</v>
      </c>
      <c r="M17" s="54">
        <v>0</v>
      </c>
      <c r="N17" s="48">
        <f t="shared" si="6"/>
        <v>0.33400000000000002</v>
      </c>
      <c r="O17" s="45">
        <f t="shared" si="3"/>
        <v>0</v>
      </c>
      <c r="P17" s="47">
        <f>(J17+O17)</f>
        <v>223.35782400000002</v>
      </c>
      <c r="Q17" s="49">
        <v>7.25</v>
      </c>
      <c r="R17" s="183">
        <f t="shared" si="4"/>
        <v>1619.3442240000002</v>
      </c>
      <c r="S17" s="34"/>
      <c r="T17" s="34"/>
      <c r="U17" s="34"/>
    </row>
    <row r="18" spans="1:21" ht="24" customHeight="1" x14ac:dyDescent="0.2">
      <c r="A18" s="199"/>
      <c r="B18" s="201"/>
      <c r="C18" s="62" t="s">
        <v>114</v>
      </c>
      <c r="D18" s="97" t="s">
        <v>50</v>
      </c>
      <c r="E18" s="50">
        <f>(E16)</f>
        <v>4128</v>
      </c>
      <c r="F18" s="51">
        <f>(E18*0.6)</f>
        <v>2476.7999999999997</v>
      </c>
      <c r="G18" s="52">
        <v>1</v>
      </c>
      <c r="H18" s="46">
        <f t="shared" si="5"/>
        <v>2476.7999999999997</v>
      </c>
      <c r="I18" s="53">
        <v>1.67E-2</v>
      </c>
      <c r="J18" s="47">
        <f t="shared" si="0"/>
        <v>41.362559999999995</v>
      </c>
      <c r="K18" s="54">
        <f t="shared" si="1"/>
        <v>1651.2000000000003</v>
      </c>
      <c r="L18" s="45">
        <f t="shared" si="2"/>
        <v>1</v>
      </c>
      <c r="M18" s="54">
        <v>0</v>
      </c>
      <c r="N18" s="48">
        <f t="shared" si="6"/>
        <v>1.67E-2</v>
      </c>
      <c r="O18" s="45">
        <f t="shared" si="3"/>
        <v>0</v>
      </c>
      <c r="P18" s="47">
        <f t="shared" si="7"/>
        <v>41.362559999999995</v>
      </c>
      <c r="Q18" s="49">
        <v>7.25</v>
      </c>
      <c r="R18" s="183">
        <f t="shared" si="4"/>
        <v>299.87855999999994</v>
      </c>
      <c r="S18" s="188"/>
      <c r="T18" s="34"/>
      <c r="U18" s="34"/>
    </row>
    <row r="19" spans="1:21" ht="24" customHeight="1" x14ac:dyDescent="0.2">
      <c r="A19" s="199"/>
      <c r="B19" s="201"/>
      <c r="C19" s="62" t="s">
        <v>120</v>
      </c>
      <c r="D19" s="97" t="s">
        <v>58</v>
      </c>
      <c r="E19" s="50">
        <f>E15-F17</f>
        <v>3459.2640000000001</v>
      </c>
      <c r="F19" s="51">
        <f>(E19*0.9)</f>
        <v>3113.3376000000003</v>
      </c>
      <c r="G19" s="52">
        <v>1</v>
      </c>
      <c r="H19" s="46">
        <f t="shared" si="5"/>
        <v>3113.3376000000003</v>
      </c>
      <c r="I19" s="53">
        <f>(I7)</f>
        <v>1.67E-2</v>
      </c>
      <c r="J19" s="47">
        <f t="shared" si="0"/>
        <v>51.992737920000003</v>
      </c>
      <c r="K19" s="54">
        <f t="shared" si="1"/>
        <v>345.92639999999983</v>
      </c>
      <c r="L19" s="45">
        <f t="shared" si="2"/>
        <v>1</v>
      </c>
      <c r="M19" s="54">
        <v>0</v>
      </c>
      <c r="N19" s="48">
        <f t="shared" si="6"/>
        <v>1.67E-2</v>
      </c>
      <c r="O19" s="45">
        <f t="shared" si="3"/>
        <v>0</v>
      </c>
      <c r="P19" s="47">
        <f t="shared" si="7"/>
        <v>51.992737920000003</v>
      </c>
      <c r="Q19" s="49">
        <v>7.25</v>
      </c>
      <c r="R19" s="183">
        <f t="shared" si="4"/>
        <v>376.94734992000002</v>
      </c>
      <c r="S19" s="188"/>
      <c r="T19" s="34"/>
      <c r="U19" s="34"/>
    </row>
    <row r="20" spans="1:21" ht="24" customHeight="1" x14ac:dyDescent="0.2">
      <c r="A20" s="199"/>
      <c r="B20" s="201"/>
      <c r="C20" s="62" t="s">
        <v>122</v>
      </c>
      <c r="D20" s="97" t="s">
        <v>93</v>
      </c>
      <c r="E20" s="50">
        <f>(E21)</f>
        <v>3113.3376000000003</v>
      </c>
      <c r="F20" s="51">
        <f>(E20*0.35)</f>
        <v>1089.6681599999999</v>
      </c>
      <c r="G20" s="52">
        <v>1</v>
      </c>
      <c r="H20" s="46">
        <f t="shared" si="5"/>
        <v>1089.6681599999999</v>
      </c>
      <c r="I20" s="53">
        <v>0.33400000000000002</v>
      </c>
      <c r="J20" s="47">
        <f t="shared" si="0"/>
        <v>363.94916544</v>
      </c>
      <c r="K20" s="54">
        <f t="shared" si="1"/>
        <v>2023.6694400000003</v>
      </c>
      <c r="L20" s="45">
        <f t="shared" si="2"/>
        <v>1</v>
      </c>
      <c r="M20" s="54">
        <v>0</v>
      </c>
      <c r="N20" s="48">
        <f t="shared" si="6"/>
        <v>0.33400000000000002</v>
      </c>
      <c r="O20" s="45">
        <f t="shared" si="3"/>
        <v>0</v>
      </c>
      <c r="P20" s="47">
        <f t="shared" si="7"/>
        <v>363.94916544</v>
      </c>
      <c r="Q20" s="49">
        <v>7.25</v>
      </c>
      <c r="R20" s="183">
        <f t="shared" si="4"/>
        <v>2638.6314494399999</v>
      </c>
      <c r="S20" s="188"/>
      <c r="T20" s="34"/>
      <c r="U20" s="34"/>
    </row>
    <row r="21" spans="1:21" ht="22.5" customHeight="1" x14ac:dyDescent="0.2">
      <c r="A21" s="199"/>
      <c r="B21" s="201"/>
      <c r="C21" s="62" t="s">
        <v>117</v>
      </c>
      <c r="D21" s="97" t="s">
        <v>52</v>
      </c>
      <c r="E21" s="50">
        <f>(F19)</f>
        <v>3113.3376000000003</v>
      </c>
      <c r="F21" s="51">
        <f>(E21*0.6)</f>
        <v>1868.0025600000001</v>
      </c>
      <c r="G21" s="52">
        <v>1</v>
      </c>
      <c r="H21" s="46">
        <f t="shared" si="5"/>
        <v>1868.0025600000001</v>
      </c>
      <c r="I21" s="53">
        <v>1.67E-2</v>
      </c>
      <c r="J21" s="47">
        <f t="shared" si="0"/>
        <v>31.195642752000001</v>
      </c>
      <c r="K21" s="54">
        <f t="shared" si="1"/>
        <v>1245.3350400000002</v>
      </c>
      <c r="L21" s="45">
        <f t="shared" si="2"/>
        <v>1</v>
      </c>
      <c r="M21" s="54">
        <v>0</v>
      </c>
      <c r="N21" s="48">
        <f t="shared" si="6"/>
        <v>1.67E-2</v>
      </c>
      <c r="O21" s="45">
        <f t="shared" si="3"/>
        <v>0</v>
      </c>
      <c r="P21" s="47">
        <f t="shared" si="7"/>
        <v>31.195642752000001</v>
      </c>
      <c r="Q21" s="49">
        <v>7.25</v>
      </c>
      <c r="R21" s="183">
        <f t="shared" si="4"/>
        <v>226.16840995200002</v>
      </c>
      <c r="S21" s="188"/>
      <c r="T21" s="34"/>
      <c r="U21" s="34"/>
    </row>
    <row r="22" spans="1:21" ht="24" customHeight="1" x14ac:dyDescent="0.2">
      <c r="A22" s="199"/>
      <c r="B22" s="201"/>
      <c r="C22" s="62" t="s">
        <v>121</v>
      </c>
      <c r="D22" s="97" t="s">
        <v>59</v>
      </c>
      <c r="E22" s="50">
        <f>(E16)-(F17+F20)</f>
        <v>2369.59584</v>
      </c>
      <c r="F22" s="51">
        <f>(E22*0.9)</f>
        <v>2132.6362560000002</v>
      </c>
      <c r="G22" s="52">
        <v>1</v>
      </c>
      <c r="H22" s="46">
        <f t="shared" si="5"/>
        <v>2132.6362560000002</v>
      </c>
      <c r="I22" s="53">
        <f>(I7)</f>
        <v>1.67E-2</v>
      </c>
      <c r="J22" s="47">
        <f t="shared" si="0"/>
        <v>35.6150254752</v>
      </c>
      <c r="K22" s="54">
        <f t="shared" si="1"/>
        <v>236.95958399999972</v>
      </c>
      <c r="L22" s="45">
        <f t="shared" si="2"/>
        <v>1</v>
      </c>
      <c r="M22" s="54">
        <v>0</v>
      </c>
      <c r="N22" s="48">
        <f t="shared" si="6"/>
        <v>1.67E-2</v>
      </c>
      <c r="O22" s="45">
        <f t="shared" si="3"/>
        <v>0</v>
      </c>
      <c r="P22" s="47">
        <f t="shared" si="7"/>
        <v>35.6150254752</v>
      </c>
      <c r="Q22" s="49">
        <v>7.25</v>
      </c>
      <c r="R22" s="183">
        <f t="shared" si="4"/>
        <v>258.20893469520001</v>
      </c>
      <c r="S22" s="188"/>
      <c r="T22" s="34"/>
      <c r="U22" s="34"/>
    </row>
    <row r="23" spans="1:21" ht="15" customHeight="1" x14ac:dyDescent="0.2">
      <c r="A23" s="199"/>
      <c r="B23" s="201"/>
      <c r="C23" s="62" t="s">
        <v>106</v>
      </c>
      <c r="D23" s="97" t="s">
        <v>93</v>
      </c>
      <c r="E23" s="50">
        <f>(F22)</f>
        <v>2132.6362560000002</v>
      </c>
      <c r="F23" s="51">
        <f>(E23*0.25)</f>
        <v>533.15906400000006</v>
      </c>
      <c r="G23" s="52">
        <v>1</v>
      </c>
      <c r="H23" s="46">
        <f t="shared" si="5"/>
        <v>533.15906400000006</v>
      </c>
      <c r="I23" s="53">
        <v>0.33400000000000002</v>
      </c>
      <c r="J23" s="47">
        <f t="shared" si="0"/>
        <v>178.07512737600004</v>
      </c>
      <c r="K23" s="54">
        <f t="shared" si="1"/>
        <v>1599.4771920000003</v>
      </c>
      <c r="L23" s="45">
        <f t="shared" si="2"/>
        <v>1</v>
      </c>
      <c r="M23" s="54">
        <v>0</v>
      </c>
      <c r="N23" s="48">
        <f t="shared" si="6"/>
        <v>0.33400000000000002</v>
      </c>
      <c r="O23" s="45">
        <f t="shared" si="3"/>
        <v>0</v>
      </c>
      <c r="P23" s="47">
        <f t="shared" si="7"/>
        <v>178.07512737600004</v>
      </c>
      <c r="Q23" s="49">
        <v>7.25</v>
      </c>
      <c r="R23" s="183">
        <f t="shared" si="4"/>
        <v>1291.0446734760003</v>
      </c>
      <c r="S23" s="188"/>
      <c r="T23" s="34"/>
      <c r="U23" s="188"/>
    </row>
    <row r="24" spans="1:21" ht="22.5" customHeight="1" x14ac:dyDescent="0.2">
      <c r="A24" s="199"/>
      <c r="B24" s="201"/>
      <c r="C24" s="62" t="s">
        <v>107</v>
      </c>
      <c r="D24" s="97" t="s">
        <v>54</v>
      </c>
      <c r="E24" s="50">
        <f>F24/0.07</f>
        <v>263.38251428571436</v>
      </c>
      <c r="F24" s="51">
        <f>(E26)-(F17+F20+F23)</f>
        <v>18.436776000000009</v>
      </c>
      <c r="G24" s="52">
        <v>1</v>
      </c>
      <c r="H24" s="46">
        <f t="shared" si="5"/>
        <v>18.436776000000009</v>
      </c>
      <c r="I24" s="53">
        <f>(I20)</f>
        <v>0.33400000000000002</v>
      </c>
      <c r="J24" s="47">
        <f t="shared" si="0"/>
        <v>6.1578831840000037</v>
      </c>
      <c r="K24" s="54">
        <f t="shared" si="1"/>
        <v>244.94573828571436</v>
      </c>
      <c r="L24" s="45">
        <f t="shared" si="2"/>
        <v>1</v>
      </c>
      <c r="M24" s="54">
        <v>0</v>
      </c>
      <c r="N24" s="48">
        <f t="shared" si="6"/>
        <v>0.33400000000000002</v>
      </c>
      <c r="O24" s="45">
        <f t="shared" si="3"/>
        <v>0</v>
      </c>
      <c r="P24" s="47">
        <f t="shared" si="7"/>
        <v>6.1578831840000037</v>
      </c>
      <c r="Q24" s="49">
        <v>7.25</v>
      </c>
      <c r="R24" s="183">
        <f t="shared" si="4"/>
        <v>44.644653084000026</v>
      </c>
      <c r="S24" s="188"/>
      <c r="T24" s="34"/>
      <c r="U24" s="188"/>
    </row>
    <row r="25" spans="1:21" ht="22.5" customHeight="1" x14ac:dyDescent="0.2">
      <c r="A25" s="199"/>
      <c r="B25" s="201"/>
      <c r="C25" s="62" t="s">
        <v>150</v>
      </c>
      <c r="D25" s="97" t="s">
        <v>55</v>
      </c>
      <c r="E25" s="50">
        <f>F24/0.07</f>
        <v>263.38251428571436</v>
      </c>
      <c r="F25" s="51">
        <f>(E25*0.6)</f>
        <v>158.02950857142861</v>
      </c>
      <c r="G25" s="52">
        <v>1</v>
      </c>
      <c r="H25" s="46">
        <f t="shared" si="5"/>
        <v>158.02950857142861</v>
      </c>
      <c r="I25" s="53">
        <v>1.67E-2</v>
      </c>
      <c r="J25" s="47">
        <f t="shared" si="0"/>
        <v>2.6390927931428578</v>
      </c>
      <c r="K25" s="54">
        <f t="shared" si="1"/>
        <v>105.35300571428576</v>
      </c>
      <c r="L25" s="45">
        <f t="shared" si="2"/>
        <v>1</v>
      </c>
      <c r="M25" s="54">
        <f>(E25-F25)</f>
        <v>105.35300571428576</v>
      </c>
      <c r="N25" s="48">
        <f t="shared" si="6"/>
        <v>1.67E-2</v>
      </c>
      <c r="O25" s="45">
        <f t="shared" si="3"/>
        <v>1.759395195428572</v>
      </c>
      <c r="P25" s="47">
        <f>(J25+O25)</f>
        <v>4.3984879885714303</v>
      </c>
      <c r="Q25" s="49">
        <v>7.25</v>
      </c>
      <c r="R25" s="183">
        <f t="shared" si="4"/>
        <v>31.889037917142868</v>
      </c>
      <c r="S25" s="188"/>
      <c r="T25" s="34"/>
      <c r="U25" s="188"/>
    </row>
    <row r="26" spans="1:21" ht="25.5" customHeight="1" x14ac:dyDescent="0.2">
      <c r="A26" s="199"/>
      <c r="B26" s="201"/>
      <c r="C26" s="62" t="s">
        <v>105</v>
      </c>
      <c r="D26" s="103" t="s">
        <v>62</v>
      </c>
      <c r="E26" s="50">
        <v>2310</v>
      </c>
      <c r="F26" s="51">
        <f>(E26)</f>
        <v>2310</v>
      </c>
      <c r="G26" s="52">
        <v>1</v>
      </c>
      <c r="H26" s="46">
        <f t="shared" si="5"/>
        <v>2310</v>
      </c>
      <c r="I26" s="53">
        <v>1.67E-2</v>
      </c>
      <c r="J26" s="47">
        <f t="shared" si="0"/>
        <v>38.576999999999998</v>
      </c>
      <c r="K26" s="45">
        <f t="shared" si="1"/>
        <v>0</v>
      </c>
      <c r="L26" s="45">
        <f t="shared" si="2"/>
        <v>1</v>
      </c>
      <c r="M26" s="54">
        <f t="shared" ref="M26:M31" si="8">+K26*L26</f>
        <v>0</v>
      </c>
      <c r="N26" s="48">
        <f t="shared" si="6"/>
        <v>1.67E-2</v>
      </c>
      <c r="O26" s="45">
        <f t="shared" si="3"/>
        <v>0</v>
      </c>
      <c r="P26" s="47">
        <f t="shared" si="7"/>
        <v>38.576999999999998</v>
      </c>
      <c r="Q26" s="49">
        <v>7.25</v>
      </c>
      <c r="R26" s="183">
        <f t="shared" si="4"/>
        <v>279.68324999999999</v>
      </c>
      <c r="S26" s="188"/>
      <c r="T26" s="34"/>
      <c r="U26" s="188"/>
    </row>
    <row r="27" spans="1:21" ht="25.5" customHeight="1" x14ac:dyDescent="0.2">
      <c r="A27" s="199"/>
      <c r="B27" s="201"/>
      <c r="C27" s="62" t="s">
        <v>126</v>
      </c>
      <c r="D27" s="97" t="s">
        <v>70</v>
      </c>
      <c r="E27" s="50">
        <v>60</v>
      </c>
      <c r="F27" s="51">
        <f>(E27)</f>
        <v>60</v>
      </c>
      <c r="G27" s="52">
        <v>1</v>
      </c>
      <c r="H27" s="46">
        <f t="shared" si="5"/>
        <v>60</v>
      </c>
      <c r="I27" s="53">
        <f>(I7)</f>
        <v>1.67E-2</v>
      </c>
      <c r="J27" s="47">
        <f t="shared" si="0"/>
        <v>1.002</v>
      </c>
      <c r="K27" s="45">
        <f t="shared" si="1"/>
        <v>0</v>
      </c>
      <c r="L27" s="45">
        <f t="shared" si="2"/>
        <v>1</v>
      </c>
      <c r="M27" s="54">
        <f t="shared" si="8"/>
        <v>0</v>
      </c>
      <c r="N27" s="48">
        <f t="shared" si="6"/>
        <v>1.67E-2</v>
      </c>
      <c r="O27" s="45">
        <f t="shared" si="3"/>
        <v>0</v>
      </c>
      <c r="P27" s="47">
        <f t="shared" si="7"/>
        <v>1.002</v>
      </c>
      <c r="Q27" s="49">
        <v>7.25</v>
      </c>
      <c r="R27" s="183">
        <f t="shared" si="4"/>
        <v>7.2645</v>
      </c>
      <c r="S27" s="188"/>
      <c r="T27" s="34"/>
      <c r="U27" s="188"/>
    </row>
    <row r="28" spans="1:21" ht="25.5" customHeight="1" x14ac:dyDescent="0.2">
      <c r="A28" s="199"/>
      <c r="B28" s="201"/>
      <c r="C28" s="62" t="s">
        <v>127</v>
      </c>
      <c r="D28" s="97" t="s">
        <v>69</v>
      </c>
      <c r="E28" s="50">
        <f>(F27)</f>
        <v>60</v>
      </c>
      <c r="F28" s="51">
        <f>(E28*0.85)</f>
        <v>51</v>
      </c>
      <c r="G28" s="52">
        <v>1</v>
      </c>
      <c r="H28" s="46">
        <f t="shared" si="5"/>
        <v>51</v>
      </c>
      <c r="I28" s="53">
        <v>8.3500000000000005E-2</v>
      </c>
      <c r="J28" s="47">
        <f t="shared" si="0"/>
        <v>4.2585000000000006</v>
      </c>
      <c r="K28" s="45">
        <f t="shared" si="1"/>
        <v>9</v>
      </c>
      <c r="L28" s="45">
        <f t="shared" si="2"/>
        <v>1</v>
      </c>
      <c r="M28" s="54">
        <f t="shared" si="8"/>
        <v>9</v>
      </c>
      <c r="N28" s="48">
        <f t="shared" si="6"/>
        <v>8.3500000000000005E-2</v>
      </c>
      <c r="O28" s="45">
        <f t="shared" si="3"/>
        <v>0.75150000000000006</v>
      </c>
      <c r="P28" s="47">
        <f t="shared" si="7"/>
        <v>5.0100000000000007</v>
      </c>
      <c r="Q28" s="49">
        <v>7.25</v>
      </c>
      <c r="R28" s="183">
        <f t="shared" si="4"/>
        <v>36.322500000000005</v>
      </c>
      <c r="S28" s="188"/>
      <c r="T28" s="34"/>
      <c r="U28" s="188"/>
    </row>
    <row r="29" spans="1:21" ht="25.5" customHeight="1" x14ac:dyDescent="0.2">
      <c r="A29" s="199"/>
      <c r="B29" s="201"/>
      <c r="C29" s="62" t="s">
        <v>129</v>
      </c>
      <c r="D29" s="97" t="s">
        <v>63</v>
      </c>
      <c r="E29" s="50">
        <f>(F28)</f>
        <v>51</v>
      </c>
      <c r="F29" s="51">
        <f>(E29)</f>
        <v>51</v>
      </c>
      <c r="G29" s="52">
        <v>1</v>
      </c>
      <c r="H29" s="46">
        <f t="shared" si="5"/>
        <v>51</v>
      </c>
      <c r="I29" s="53">
        <v>1.67E-2</v>
      </c>
      <c r="J29" s="47">
        <f t="shared" si="0"/>
        <v>0.85170000000000001</v>
      </c>
      <c r="K29" s="45">
        <f t="shared" si="1"/>
        <v>0</v>
      </c>
      <c r="L29" s="45">
        <f t="shared" si="2"/>
        <v>1</v>
      </c>
      <c r="M29" s="54">
        <f t="shared" si="8"/>
        <v>0</v>
      </c>
      <c r="N29" s="48">
        <f t="shared" si="6"/>
        <v>1.67E-2</v>
      </c>
      <c r="O29" s="45">
        <f t="shared" si="3"/>
        <v>0</v>
      </c>
      <c r="P29" s="47">
        <f t="shared" si="7"/>
        <v>0.85170000000000001</v>
      </c>
      <c r="Q29" s="49">
        <v>7.25</v>
      </c>
      <c r="R29" s="183">
        <f t="shared" si="4"/>
        <v>6.1748250000000002</v>
      </c>
      <c r="S29" s="188"/>
      <c r="T29" s="34"/>
      <c r="U29" s="188"/>
    </row>
    <row r="30" spans="1:21" ht="25.5" customHeight="1" x14ac:dyDescent="0.2">
      <c r="A30" s="199"/>
      <c r="B30" s="201"/>
      <c r="C30" s="62" t="s">
        <v>108</v>
      </c>
      <c r="D30" s="97" t="s">
        <v>64</v>
      </c>
      <c r="E30" s="50">
        <f>(F29)</f>
        <v>51</v>
      </c>
      <c r="F30" s="51">
        <f>(E30*0.8)</f>
        <v>40.800000000000004</v>
      </c>
      <c r="G30" s="52">
        <v>1</v>
      </c>
      <c r="H30" s="46">
        <f t="shared" si="5"/>
        <v>40.800000000000004</v>
      </c>
      <c r="I30" s="53">
        <v>1</v>
      </c>
      <c r="J30" s="47">
        <f t="shared" si="0"/>
        <v>40.800000000000004</v>
      </c>
      <c r="K30" s="54">
        <f t="shared" si="1"/>
        <v>10.199999999999996</v>
      </c>
      <c r="L30" s="45">
        <f t="shared" si="2"/>
        <v>1</v>
      </c>
      <c r="M30" s="54">
        <f t="shared" si="8"/>
        <v>10.199999999999996</v>
      </c>
      <c r="N30" s="48">
        <f t="shared" si="6"/>
        <v>1</v>
      </c>
      <c r="O30" s="45">
        <f t="shared" si="3"/>
        <v>10.199999999999996</v>
      </c>
      <c r="P30" s="47">
        <f>(J30+O30)</f>
        <v>51</v>
      </c>
      <c r="Q30" s="49">
        <v>7.25</v>
      </c>
      <c r="R30" s="183">
        <f t="shared" si="4"/>
        <v>369.75</v>
      </c>
      <c r="S30" s="188"/>
      <c r="T30" s="34"/>
      <c r="U30" s="188"/>
    </row>
    <row r="31" spans="1:21" ht="24.75" customHeight="1" x14ac:dyDescent="0.2">
      <c r="A31" s="199"/>
      <c r="B31" s="201"/>
      <c r="C31" s="63" t="s">
        <v>123</v>
      </c>
      <c r="D31" s="103" t="s">
        <v>65</v>
      </c>
      <c r="E31" s="51">
        <f>(F30)</f>
        <v>40.800000000000004</v>
      </c>
      <c r="F31" s="51">
        <f>(E31)</f>
        <v>40.800000000000004</v>
      </c>
      <c r="G31" s="55">
        <v>1</v>
      </c>
      <c r="H31" s="46">
        <f t="shared" si="5"/>
        <v>40.800000000000004</v>
      </c>
      <c r="I31" s="53">
        <v>1.67E-2</v>
      </c>
      <c r="J31" s="47">
        <f t="shared" si="0"/>
        <v>0.68136000000000008</v>
      </c>
      <c r="K31" s="45">
        <f t="shared" si="1"/>
        <v>0</v>
      </c>
      <c r="L31" s="45">
        <f t="shared" si="2"/>
        <v>1</v>
      </c>
      <c r="M31" s="54">
        <f t="shared" si="8"/>
        <v>0</v>
      </c>
      <c r="N31" s="48">
        <f t="shared" si="6"/>
        <v>1.67E-2</v>
      </c>
      <c r="O31" s="45">
        <f t="shared" si="3"/>
        <v>0</v>
      </c>
      <c r="P31" s="47">
        <f t="shared" si="7"/>
        <v>0.68136000000000008</v>
      </c>
      <c r="Q31" s="49">
        <v>7.25</v>
      </c>
      <c r="R31" s="183">
        <f t="shared" si="4"/>
        <v>4.9398600000000004</v>
      </c>
      <c r="S31" s="188"/>
      <c r="T31" s="34"/>
      <c r="U31" s="188"/>
    </row>
    <row r="32" spans="1:21" ht="24" customHeight="1" x14ac:dyDescent="0.2">
      <c r="A32" s="190" t="s">
        <v>38</v>
      </c>
      <c r="B32" s="190"/>
      <c r="C32" s="65"/>
      <c r="D32" s="108"/>
      <c r="E32" s="88">
        <f>E4+E5</f>
        <v>7596</v>
      </c>
      <c r="F32" s="88">
        <f>F4+F5</f>
        <v>6837</v>
      </c>
      <c r="G32" s="91">
        <f>H32/F32</f>
        <v>7.615996892371343</v>
      </c>
      <c r="H32" s="92">
        <f>SUM(H4:H31)</f>
        <v>52070.570753142871</v>
      </c>
      <c r="I32" s="91"/>
      <c r="J32" s="91">
        <f>SUM(J4:J31)</f>
        <v>3309.5242515774871</v>
      </c>
      <c r="K32" s="92">
        <f>E32-F32</f>
        <v>759</v>
      </c>
      <c r="L32" s="91">
        <f>(M32/K32)</f>
        <v>0.16410145680406554</v>
      </c>
      <c r="M32" s="92">
        <f>SUM(M4:M31)</f>
        <v>124.55300571428575</v>
      </c>
      <c r="N32" s="93"/>
      <c r="O32" s="94">
        <f>SUM(O4:O31)</f>
        <v>12.710895195428568</v>
      </c>
      <c r="P32" s="90">
        <f>(J32+O32)</f>
        <v>3322.2351467729159</v>
      </c>
      <c r="Q32" s="89"/>
      <c r="R32" s="184">
        <f>SUM(R4:R31)</f>
        <v>24086.204814103625</v>
      </c>
      <c r="S32" s="34"/>
      <c r="T32" s="34"/>
      <c r="U32" s="188"/>
    </row>
    <row r="33" spans="1:21" ht="19.5" customHeight="1" x14ac:dyDescent="0.2">
      <c r="A33" s="202" t="s">
        <v>185</v>
      </c>
      <c r="B33" s="202" t="s">
        <v>186</v>
      </c>
      <c r="C33" s="62" t="s">
        <v>155</v>
      </c>
      <c r="D33" s="97" t="s">
        <v>154</v>
      </c>
      <c r="E33" s="69">
        <v>51</v>
      </c>
      <c r="F33" s="69">
        <v>51</v>
      </c>
      <c r="G33" s="70">
        <v>1</v>
      </c>
      <c r="H33" s="71">
        <f t="shared" ref="H33:H54" si="9">(G33*F33)</f>
        <v>51</v>
      </c>
      <c r="I33" s="72">
        <v>2.5000000000000001E-2</v>
      </c>
      <c r="J33" s="73">
        <f>(H33*I33)</f>
        <v>1.2750000000000001</v>
      </c>
      <c r="K33" s="71">
        <f>(E33-F33)</f>
        <v>0</v>
      </c>
      <c r="L33" s="70">
        <f>(G33)</f>
        <v>1</v>
      </c>
      <c r="M33" s="71">
        <v>0</v>
      </c>
      <c r="N33" s="74">
        <f>(I33)</f>
        <v>2.5000000000000001E-2</v>
      </c>
      <c r="O33" s="71">
        <f>(N33*M33)</f>
        <v>0</v>
      </c>
      <c r="P33" s="73">
        <f>(J33+O33)</f>
        <v>1.2750000000000001</v>
      </c>
      <c r="Q33" s="75">
        <v>53.15</v>
      </c>
      <c r="R33" s="185">
        <f>(P33*Q33)</f>
        <v>67.766249999999999</v>
      </c>
      <c r="S33" s="34"/>
      <c r="T33" s="34"/>
      <c r="U33" s="41"/>
    </row>
    <row r="34" spans="1:21" ht="19.5" customHeight="1" x14ac:dyDescent="0.2">
      <c r="A34" s="203"/>
      <c r="B34" s="203"/>
      <c r="C34" s="62" t="s">
        <v>146</v>
      </c>
      <c r="D34" s="97" t="s">
        <v>66</v>
      </c>
      <c r="E34" s="69">
        <v>5</v>
      </c>
      <c r="F34" s="69">
        <v>5</v>
      </c>
      <c r="G34" s="70">
        <v>1</v>
      </c>
      <c r="H34" s="71">
        <f t="shared" si="9"/>
        <v>5</v>
      </c>
      <c r="I34" s="72">
        <v>5.0099999999999999E-2</v>
      </c>
      <c r="J34" s="73">
        <f>(H34*I34)</f>
        <v>0.2505</v>
      </c>
      <c r="K34" s="71">
        <f>(E34-F34)</f>
        <v>0</v>
      </c>
      <c r="L34" s="70">
        <f>(G34)</f>
        <v>1</v>
      </c>
      <c r="M34" s="71">
        <v>0</v>
      </c>
      <c r="N34" s="74">
        <f>(I34)</f>
        <v>5.0099999999999999E-2</v>
      </c>
      <c r="O34" s="71">
        <f>(N34*M34)</f>
        <v>0</v>
      </c>
      <c r="P34" s="73">
        <f>(J34+O34)</f>
        <v>0.2505</v>
      </c>
      <c r="Q34" s="75">
        <f>(Q33)</f>
        <v>53.15</v>
      </c>
      <c r="R34" s="185">
        <f>(P34*Q34)</f>
        <v>13.314074999999999</v>
      </c>
      <c r="S34" s="34"/>
      <c r="T34" s="34"/>
      <c r="U34" s="41"/>
    </row>
    <row r="35" spans="1:21" ht="19.5" customHeight="1" x14ac:dyDescent="0.2">
      <c r="A35" s="203"/>
      <c r="B35" s="203"/>
      <c r="C35" s="62" t="s">
        <v>147</v>
      </c>
      <c r="D35" s="97" t="s">
        <v>66</v>
      </c>
      <c r="E35" s="69">
        <v>5</v>
      </c>
      <c r="F35" s="69">
        <v>5</v>
      </c>
      <c r="G35" s="70">
        <v>1</v>
      </c>
      <c r="H35" s="71">
        <f t="shared" si="9"/>
        <v>5</v>
      </c>
      <c r="I35" s="72">
        <v>1</v>
      </c>
      <c r="J35" s="73">
        <f>(H35*I35)</f>
        <v>5</v>
      </c>
      <c r="K35" s="71">
        <f>(E35-F35)</f>
        <v>0</v>
      </c>
      <c r="L35" s="70">
        <f>(G35)</f>
        <v>1</v>
      </c>
      <c r="M35" s="71">
        <v>0</v>
      </c>
      <c r="N35" s="74">
        <f>(I35)</f>
        <v>1</v>
      </c>
      <c r="O35" s="71">
        <f>(N35*M35)</f>
        <v>0</v>
      </c>
      <c r="P35" s="73">
        <f>(J35+O35)</f>
        <v>5</v>
      </c>
      <c r="Q35" s="75">
        <f>(Q33)</f>
        <v>53.15</v>
      </c>
      <c r="R35" s="185">
        <f>(P35*Q35)</f>
        <v>265.75</v>
      </c>
      <c r="S35" s="34"/>
      <c r="T35" s="34"/>
      <c r="U35" s="41"/>
    </row>
    <row r="36" spans="1:21" ht="19.5" customHeight="1" x14ac:dyDescent="0.2">
      <c r="A36" s="203"/>
      <c r="B36" s="203"/>
      <c r="C36" s="62" t="s">
        <v>88</v>
      </c>
      <c r="D36" s="97" t="s">
        <v>67</v>
      </c>
      <c r="E36" s="69">
        <v>2</v>
      </c>
      <c r="F36" s="69">
        <f>E36</f>
        <v>2</v>
      </c>
      <c r="G36" s="70">
        <v>1</v>
      </c>
      <c r="H36" s="71">
        <f t="shared" si="9"/>
        <v>2</v>
      </c>
      <c r="I36" s="72">
        <v>8.3500000000000005E-2</v>
      </c>
      <c r="J36" s="73">
        <f>(H36*I36)</f>
        <v>0.16700000000000001</v>
      </c>
      <c r="K36" s="71">
        <f>(E36-F36)</f>
        <v>0</v>
      </c>
      <c r="L36" s="70">
        <f>(G36)</f>
        <v>1</v>
      </c>
      <c r="M36" s="71">
        <v>0</v>
      </c>
      <c r="N36" s="74">
        <f>(I36)</f>
        <v>8.3500000000000005E-2</v>
      </c>
      <c r="O36" s="71">
        <f>(N36*M36)</f>
        <v>0</v>
      </c>
      <c r="P36" s="73">
        <f>(J36+O36)</f>
        <v>0.16700000000000001</v>
      </c>
      <c r="Q36" s="75">
        <v>53.15</v>
      </c>
      <c r="R36" s="185">
        <f>(P36*Q36)</f>
        <v>8.8760500000000011</v>
      </c>
      <c r="S36" s="34"/>
      <c r="T36" s="34"/>
      <c r="U36" s="41"/>
    </row>
    <row r="37" spans="1:21" ht="23.25" customHeight="1" x14ac:dyDescent="0.2">
      <c r="A37" s="203"/>
      <c r="B37" s="203"/>
      <c r="C37" s="62" t="s">
        <v>89</v>
      </c>
      <c r="D37" s="97" t="s">
        <v>67</v>
      </c>
      <c r="E37" s="69">
        <v>2</v>
      </c>
      <c r="F37" s="69">
        <f>E37</f>
        <v>2</v>
      </c>
      <c r="G37" s="70">
        <v>1</v>
      </c>
      <c r="H37" s="71">
        <f t="shared" si="9"/>
        <v>2</v>
      </c>
      <c r="I37" s="72">
        <v>1.5</v>
      </c>
      <c r="J37" s="73">
        <f t="shared" ref="J37:J51" si="10">(H37*I37)</f>
        <v>3</v>
      </c>
      <c r="K37" s="71">
        <f t="shared" ref="K37:K51" si="11">(E37-F37)</f>
        <v>0</v>
      </c>
      <c r="L37" s="70">
        <f t="shared" ref="L37:L51" si="12">(G37)</f>
        <v>1</v>
      </c>
      <c r="M37" s="71">
        <v>0</v>
      </c>
      <c r="N37" s="74">
        <f t="shared" ref="N37:N51" si="13">(I37)</f>
        <v>1.5</v>
      </c>
      <c r="O37" s="71">
        <f t="shared" ref="O37:O51" si="14">(N37*M37)</f>
        <v>0</v>
      </c>
      <c r="P37" s="73">
        <f t="shared" ref="P37:P51" si="15">(J37+O37)</f>
        <v>3</v>
      </c>
      <c r="Q37" s="75">
        <v>53.15</v>
      </c>
      <c r="R37" s="185">
        <f t="shared" ref="R37:R51" si="16">(P37*Q37)</f>
        <v>159.44999999999999</v>
      </c>
      <c r="S37" s="34"/>
      <c r="T37" s="34"/>
      <c r="U37" s="37"/>
    </row>
    <row r="38" spans="1:21" ht="25.5" customHeight="1" x14ac:dyDescent="0.2">
      <c r="A38" s="203"/>
      <c r="B38" s="203"/>
      <c r="C38" s="62" t="s">
        <v>124</v>
      </c>
      <c r="D38" s="97" t="s">
        <v>68</v>
      </c>
      <c r="E38" s="69">
        <v>2</v>
      </c>
      <c r="F38" s="69">
        <f>E38</f>
        <v>2</v>
      </c>
      <c r="G38" s="70">
        <v>1</v>
      </c>
      <c r="H38" s="71">
        <f t="shared" si="9"/>
        <v>2</v>
      </c>
      <c r="I38" s="72">
        <v>1.67E-2</v>
      </c>
      <c r="J38" s="73">
        <f t="shared" si="10"/>
        <v>3.3399999999999999E-2</v>
      </c>
      <c r="K38" s="71">
        <f t="shared" si="11"/>
        <v>0</v>
      </c>
      <c r="L38" s="70">
        <f t="shared" si="12"/>
        <v>1</v>
      </c>
      <c r="M38" s="71">
        <v>0</v>
      </c>
      <c r="N38" s="74">
        <f t="shared" si="13"/>
        <v>1.67E-2</v>
      </c>
      <c r="O38" s="71">
        <f t="shared" si="14"/>
        <v>0</v>
      </c>
      <c r="P38" s="73">
        <f t="shared" si="15"/>
        <v>3.3399999999999999E-2</v>
      </c>
      <c r="Q38" s="75">
        <v>53.15</v>
      </c>
      <c r="R38" s="185">
        <f t="shared" si="16"/>
        <v>1.77521</v>
      </c>
      <c r="S38" s="34"/>
      <c r="T38" s="34"/>
      <c r="U38" s="37"/>
    </row>
    <row r="39" spans="1:21" ht="22.5" customHeight="1" x14ac:dyDescent="0.2">
      <c r="A39" s="203"/>
      <c r="B39" s="203"/>
      <c r="C39" s="62" t="s">
        <v>90</v>
      </c>
      <c r="D39" s="97" t="s">
        <v>72</v>
      </c>
      <c r="E39" s="69">
        <f>E38</f>
        <v>2</v>
      </c>
      <c r="F39" s="69">
        <f>E39</f>
        <v>2</v>
      </c>
      <c r="G39" s="70">
        <v>4</v>
      </c>
      <c r="H39" s="71">
        <f t="shared" si="9"/>
        <v>8</v>
      </c>
      <c r="I39" s="72">
        <f>(I7)</f>
        <v>1.67E-2</v>
      </c>
      <c r="J39" s="73">
        <f t="shared" si="10"/>
        <v>0.1336</v>
      </c>
      <c r="K39" s="71">
        <f t="shared" si="11"/>
        <v>0</v>
      </c>
      <c r="L39" s="70">
        <f t="shared" si="12"/>
        <v>4</v>
      </c>
      <c r="M39" s="71">
        <v>0</v>
      </c>
      <c r="N39" s="74">
        <f t="shared" si="13"/>
        <v>1.67E-2</v>
      </c>
      <c r="O39" s="71">
        <f t="shared" si="14"/>
        <v>0</v>
      </c>
      <c r="P39" s="73">
        <f t="shared" si="15"/>
        <v>0.1336</v>
      </c>
      <c r="Q39" s="75">
        <v>53.15</v>
      </c>
      <c r="R39" s="185">
        <f t="shared" si="16"/>
        <v>7.1008399999999998</v>
      </c>
      <c r="S39" s="34"/>
      <c r="T39" s="34"/>
      <c r="U39" s="37"/>
    </row>
    <row r="40" spans="1:21" ht="23.25" customHeight="1" x14ac:dyDescent="0.2">
      <c r="A40" s="203"/>
      <c r="B40" s="203"/>
      <c r="C40" s="62" t="s">
        <v>91</v>
      </c>
      <c r="D40" s="97" t="s">
        <v>73</v>
      </c>
      <c r="E40" s="69">
        <f>(E39)</f>
        <v>2</v>
      </c>
      <c r="F40" s="69">
        <f>(F39)</f>
        <v>2</v>
      </c>
      <c r="G40" s="70">
        <v>1</v>
      </c>
      <c r="H40" s="71">
        <f t="shared" si="9"/>
        <v>2</v>
      </c>
      <c r="I40" s="72">
        <f>(I7)</f>
        <v>1.67E-2</v>
      </c>
      <c r="J40" s="73">
        <f t="shared" si="10"/>
        <v>3.3399999999999999E-2</v>
      </c>
      <c r="K40" s="71">
        <f t="shared" si="11"/>
        <v>0</v>
      </c>
      <c r="L40" s="70">
        <f t="shared" si="12"/>
        <v>1</v>
      </c>
      <c r="M40" s="71">
        <v>0</v>
      </c>
      <c r="N40" s="74">
        <f t="shared" si="13"/>
        <v>1.67E-2</v>
      </c>
      <c r="O40" s="71">
        <f t="shared" si="14"/>
        <v>0</v>
      </c>
      <c r="P40" s="73">
        <f t="shared" si="15"/>
        <v>3.3399999999999999E-2</v>
      </c>
      <c r="Q40" s="75">
        <v>53.15</v>
      </c>
      <c r="R40" s="185">
        <f t="shared" si="16"/>
        <v>1.77521</v>
      </c>
      <c r="S40" s="34"/>
      <c r="T40" s="34"/>
      <c r="U40" s="37"/>
    </row>
    <row r="41" spans="1:21" ht="19.5" customHeight="1" x14ac:dyDescent="0.2">
      <c r="A41" s="203"/>
      <c r="B41" s="203"/>
      <c r="C41" s="62" t="s">
        <v>113</v>
      </c>
      <c r="D41" s="97" t="s">
        <v>94</v>
      </c>
      <c r="E41" s="69">
        <v>2</v>
      </c>
      <c r="F41" s="69">
        <v>2</v>
      </c>
      <c r="G41" s="70">
        <v>4</v>
      </c>
      <c r="H41" s="71">
        <f t="shared" si="9"/>
        <v>8</v>
      </c>
      <c r="I41" s="72">
        <v>0.33400000000000002</v>
      </c>
      <c r="J41" s="73">
        <f t="shared" si="10"/>
        <v>2.6720000000000002</v>
      </c>
      <c r="K41" s="71">
        <f t="shared" si="11"/>
        <v>0</v>
      </c>
      <c r="L41" s="70">
        <f t="shared" si="12"/>
        <v>4</v>
      </c>
      <c r="M41" s="71">
        <v>0</v>
      </c>
      <c r="N41" s="74">
        <f t="shared" si="13"/>
        <v>0.33400000000000002</v>
      </c>
      <c r="O41" s="71">
        <f t="shared" si="14"/>
        <v>0</v>
      </c>
      <c r="P41" s="73">
        <f t="shared" si="15"/>
        <v>2.6720000000000002</v>
      </c>
      <c r="Q41" s="75">
        <v>53.15</v>
      </c>
      <c r="R41" s="185">
        <f t="shared" si="16"/>
        <v>142.01680000000002</v>
      </c>
      <c r="S41" s="34"/>
      <c r="T41" s="34"/>
      <c r="U41" s="37"/>
    </row>
    <row r="42" spans="1:21" ht="19.5" customHeight="1" x14ac:dyDescent="0.2">
      <c r="A42" s="203"/>
      <c r="B42" s="203"/>
      <c r="C42" s="62" t="s">
        <v>92</v>
      </c>
      <c r="D42" s="97" t="s">
        <v>95</v>
      </c>
      <c r="E42" s="69">
        <f>E36</f>
        <v>2</v>
      </c>
      <c r="F42" s="69">
        <f>E42</f>
        <v>2</v>
      </c>
      <c r="G42" s="70">
        <v>1</v>
      </c>
      <c r="H42" s="71">
        <f t="shared" si="9"/>
        <v>2</v>
      </c>
      <c r="I42" s="72">
        <v>0.25</v>
      </c>
      <c r="J42" s="73">
        <f t="shared" si="10"/>
        <v>0.5</v>
      </c>
      <c r="K42" s="71">
        <f t="shared" si="11"/>
        <v>0</v>
      </c>
      <c r="L42" s="70">
        <f t="shared" si="12"/>
        <v>1</v>
      </c>
      <c r="M42" s="71">
        <f>+K42*L42</f>
        <v>0</v>
      </c>
      <c r="N42" s="74">
        <f t="shared" si="13"/>
        <v>0.25</v>
      </c>
      <c r="O42" s="71">
        <f t="shared" si="14"/>
        <v>0</v>
      </c>
      <c r="P42" s="73">
        <f t="shared" si="15"/>
        <v>0.5</v>
      </c>
      <c r="Q42" s="75">
        <v>53.15</v>
      </c>
      <c r="R42" s="185">
        <f t="shared" si="16"/>
        <v>26.574999999999999</v>
      </c>
      <c r="S42" s="34"/>
      <c r="T42" s="34"/>
      <c r="U42" s="37"/>
    </row>
    <row r="43" spans="1:21" ht="23.25" customHeight="1" x14ac:dyDescent="0.2">
      <c r="A43" s="203"/>
      <c r="B43" s="203"/>
      <c r="C43" s="62" t="s">
        <v>80</v>
      </c>
      <c r="D43" s="97" t="s">
        <v>67</v>
      </c>
      <c r="E43" s="69">
        <v>5</v>
      </c>
      <c r="F43" s="69">
        <f>E43</f>
        <v>5</v>
      </c>
      <c r="G43" s="70">
        <v>1</v>
      </c>
      <c r="H43" s="71">
        <f t="shared" si="9"/>
        <v>5</v>
      </c>
      <c r="I43" s="72">
        <v>8.3500000000000005E-2</v>
      </c>
      <c r="J43" s="73">
        <f t="shared" si="10"/>
        <v>0.41750000000000004</v>
      </c>
      <c r="K43" s="71">
        <f t="shared" si="11"/>
        <v>0</v>
      </c>
      <c r="L43" s="70">
        <f t="shared" si="12"/>
        <v>1</v>
      </c>
      <c r="M43" s="71">
        <v>0</v>
      </c>
      <c r="N43" s="74">
        <f t="shared" si="13"/>
        <v>8.3500000000000005E-2</v>
      </c>
      <c r="O43" s="71">
        <f t="shared" si="14"/>
        <v>0</v>
      </c>
      <c r="P43" s="73">
        <f t="shared" si="15"/>
        <v>0.41750000000000004</v>
      </c>
      <c r="Q43" s="75">
        <v>53.15</v>
      </c>
      <c r="R43" s="185">
        <f t="shared" si="16"/>
        <v>22.190125000000002</v>
      </c>
      <c r="S43" s="34"/>
      <c r="T43" s="34"/>
      <c r="U43" s="37"/>
    </row>
    <row r="44" spans="1:21" ht="21.75" customHeight="1" x14ac:dyDescent="0.2">
      <c r="A44" s="203"/>
      <c r="B44" s="203"/>
      <c r="C44" s="62" t="s">
        <v>81</v>
      </c>
      <c r="D44" s="97" t="s">
        <v>67</v>
      </c>
      <c r="E44" s="69">
        <f>E43</f>
        <v>5</v>
      </c>
      <c r="F44" s="69">
        <f>E44</f>
        <v>5</v>
      </c>
      <c r="G44" s="70">
        <v>1</v>
      </c>
      <c r="H44" s="71">
        <f t="shared" si="9"/>
        <v>5</v>
      </c>
      <c r="I44" s="72">
        <v>1.5</v>
      </c>
      <c r="J44" s="73">
        <f t="shared" si="10"/>
        <v>7.5</v>
      </c>
      <c r="K44" s="71">
        <f t="shared" si="11"/>
        <v>0</v>
      </c>
      <c r="L44" s="70">
        <f t="shared" si="12"/>
        <v>1</v>
      </c>
      <c r="M44" s="71">
        <v>0</v>
      </c>
      <c r="N44" s="74">
        <f t="shared" si="13"/>
        <v>1.5</v>
      </c>
      <c r="O44" s="71">
        <f t="shared" si="14"/>
        <v>0</v>
      </c>
      <c r="P44" s="73">
        <f t="shared" si="15"/>
        <v>7.5</v>
      </c>
      <c r="Q44" s="75">
        <v>53.15</v>
      </c>
      <c r="R44" s="185">
        <f t="shared" si="16"/>
        <v>398.625</v>
      </c>
      <c r="S44" s="34"/>
      <c r="T44" s="34"/>
      <c r="U44" s="37"/>
    </row>
    <row r="45" spans="1:21" ht="19.5" customHeight="1" x14ac:dyDescent="0.2">
      <c r="A45" s="203"/>
      <c r="B45" s="203"/>
      <c r="C45" s="62" t="s">
        <v>125</v>
      </c>
      <c r="D45" s="97" t="s">
        <v>71</v>
      </c>
      <c r="E45" s="69">
        <f>E43</f>
        <v>5</v>
      </c>
      <c r="F45" s="69">
        <f>E45</f>
        <v>5</v>
      </c>
      <c r="G45" s="70">
        <v>1</v>
      </c>
      <c r="H45" s="71">
        <f t="shared" si="9"/>
        <v>5</v>
      </c>
      <c r="I45" s="72">
        <v>1.67E-2</v>
      </c>
      <c r="J45" s="73">
        <f t="shared" si="10"/>
        <v>8.3499999999999991E-2</v>
      </c>
      <c r="K45" s="71">
        <f t="shared" si="11"/>
        <v>0</v>
      </c>
      <c r="L45" s="70">
        <f t="shared" si="12"/>
        <v>1</v>
      </c>
      <c r="M45" s="71">
        <v>0</v>
      </c>
      <c r="N45" s="74">
        <f t="shared" si="13"/>
        <v>1.67E-2</v>
      </c>
      <c r="O45" s="71">
        <f t="shared" si="14"/>
        <v>0</v>
      </c>
      <c r="P45" s="73">
        <f t="shared" si="15"/>
        <v>8.3499999999999991E-2</v>
      </c>
      <c r="Q45" s="75">
        <v>53.15</v>
      </c>
      <c r="R45" s="185">
        <f t="shared" si="16"/>
        <v>4.4380249999999997</v>
      </c>
      <c r="S45" s="34"/>
      <c r="T45" s="34"/>
      <c r="U45" s="37"/>
    </row>
    <row r="46" spans="1:21" ht="19.5" customHeight="1" x14ac:dyDescent="0.2">
      <c r="A46" s="203"/>
      <c r="B46" s="203"/>
      <c r="C46" s="62" t="s">
        <v>82</v>
      </c>
      <c r="D46" s="97" t="s">
        <v>72</v>
      </c>
      <c r="E46" s="69">
        <f>E45</f>
        <v>5</v>
      </c>
      <c r="F46" s="69">
        <f>E46</f>
        <v>5</v>
      </c>
      <c r="G46" s="70">
        <v>4</v>
      </c>
      <c r="H46" s="71">
        <f t="shared" si="9"/>
        <v>20</v>
      </c>
      <c r="I46" s="72">
        <f>(I7)</f>
        <v>1.67E-2</v>
      </c>
      <c r="J46" s="73">
        <f t="shared" si="10"/>
        <v>0.33399999999999996</v>
      </c>
      <c r="K46" s="71">
        <f t="shared" si="11"/>
        <v>0</v>
      </c>
      <c r="L46" s="70">
        <f t="shared" si="12"/>
        <v>4</v>
      </c>
      <c r="M46" s="71">
        <v>0</v>
      </c>
      <c r="N46" s="74">
        <f t="shared" si="13"/>
        <v>1.67E-2</v>
      </c>
      <c r="O46" s="71">
        <f t="shared" si="14"/>
        <v>0</v>
      </c>
      <c r="P46" s="73">
        <f t="shared" si="15"/>
        <v>0.33399999999999996</v>
      </c>
      <c r="Q46" s="75">
        <v>53.15</v>
      </c>
      <c r="R46" s="185">
        <f t="shared" si="16"/>
        <v>17.752099999999999</v>
      </c>
      <c r="S46" s="34"/>
      <c r="T46" s="34"/>
      <c r="U46" s="37"/>
    </row>
    <row r="47" spans="1:21" ht="19.5" customHeight="1" x14ac:dyDescent="0.2">
      <c r="A47" s="203"/>
      <c r="B47" s="203"/>
      <c r="C47" s="62" t="s">
        <v>83</v>
      </c>
      <c r="D47" s="97" t="s">
        <v>73</v>
      </c>
      <c r="E47" s="69">
        <f>(E46)</f>
        <v>5</v>
      </c>
      <c r="F47" s="69">
        <f>(F46)</f>
        <v>5</v>
      </c>
      <c r="G47" s="70">
        <v>1</v>
      </c>
      <c r="H47" s="71">
        <f t="shared" si="9"/>
        <v>5</v>
      </c>
      <c r="I47" s="72">
        <f>(I7)</f>
        <v>1.67E-2</v>
      </c>
      <c r="J47" s="73">
        <f t="shared" si="10"/>
        <v>8.3499999999999991E-2</v>
      </c>
      <c r="K47" s="71">
        <f t="shared" si="11"/>
        <v>0</v>
      </c>
      <c r="L47" s="70">
        <f t="shared" si="12"/>
        <v>1</v>
      </c>
      <c r="M47" s="71">
        <v>0</v>
      </c>
      <c r="N47" s="74">
        <f t="shared" si="13"/>
        <v>1.67E-2</v>
      </c>
      <c r="O47" s="71">
        <f t="shared" si="14"/>
        <v>0</v>
      </c>
      <c r="P47" s="73">
        <f t="shared" si="15"/>
        <v>8.3499999999999991E-2</v>
      </c>
      <c r="Q47" s="75">
        <v>53.15</v>
      </c>
      <c r="R47" s="185">
        <f t="shared" si="16"/>
        <v>4.4380249999999997</v>
      </c>
      <c r="S47" s="34"/>
      <c r="T47" s="34"/>
      <c r="U47" s="37"/>
    </row>
    <row r="48" spans="1:21" ht="19.5" customHeight="1" x14ac:dyDescent="0.2">
      <c r="A48" s="203"/>
      <c r="B48" s="203"/>
      <c r="C48" s="62" t="s">
        <v>84</v>
      </c>
      <c r="D48" s="97" t="s">
        <v>94</v>
      </c>
      <c r="E48" s="69">
        <v>5</v>
      </c>
      <c r="F48" s="69">
        <v>5</v>
      </c>
      <c r="G48" s="70">
        <v>4</v>
      </c>
      <c r="H48" s="71">
        <f t="shared" si="9"/>
        <v>20</v>
      </c>
      <c r="I48" s="72">
        <v>0.33400000000000002</v>
      </c>
      <c r="J48" s="73">
        <f t="shared" si="10"/>
        <v>6.6800000000000006</v>
      </c>
      <c r="K48" s="71">
        <f t="shared" si="11"/>
        <v>0</v>
      </c>
      <c r="L48" s="70">
        <f t="shared" si="12"/>
        <v>4</v>
      </c>
      <c r="M48" s="71">
        <v>0</v>
      </c>
      <c r="N48" s="74">
        <f t="shared" si="13"/>
        <v>0.33400000000000002</v>
      </c>
      <c r="O48" s="71">
        <f t="shared" si="14"/>
        <v>0</v>
      </c>
      <c r="P48" s="73">
        <f t="shared" si="15"/>
        <v>6.6800000000000006</v>
      </c>
      <c r="Q48" s="75">
        <v>53.15</v>
      </c>
      <c r="R48" s="185">
        <f t="shared" si="16"/>
        <v>355.04200000000003</v>
      </c>
      <c r="S48" s="34"/>
      <c r="T48" s="34"/>
      <c r="U48" s="37"/>
    </row>
    <row r="49" spans="1:21" ht="19.5" customHeight="1" x14ac:dyDescent="0.2">
      <c r="A49" s="203"/>
      <c r="B49" s="203"/>
      <c r="C49" s="62" t="s">
        <v>79</v>
      </c>
      <c r="D49" s="97" t="s">
        <v>95</v>
      </c>
      <c r="E49" s="69">
        <f>E43</f>
        <v>5</v>
      </c>
      <c r="F49" s="69">
        <f>E49</f>
        <v>5</v>
      </c>
      <c r="G49" s="70">
        <v>1</v>
      </c>
      <c r="H49" s="71">
        <f t="shared" si="9"/>
        <v>5</v>
      </c>
      <c r="I49" s="72">
        <v>0.25</v>
      </c>
      <c r="J49" s="73">
        <f t="shared" si="10"/>
        <v>1.25</v>
      </c>
      <c r="K49" s="71">
        <f t="shared" si="11"/>
        <v>0</v>
      </c>
      <c r="L49" s="70">
        <f t="shared" si="12"/>
        <v>1</v>
      </c>
      <c r="M49" s="71">
        <f>+K49*L49</f>
        <v>0</v>
      </c>
      <c r="N49" s="74">
        <f t="shared" si="13"/>
        <v>0.25</v>
      </c>
      <c r="O49" s="71">
        <f t="shared" si="14"/>
        <v>0</v>
      </c>
      <c r="P49" s="73">
        <f t="shared" si="15"/>
        <v>1.25</v>
      </c>
      <c r="Q49" s="75">
        <v>53.15</v>
      </c>
      <c r="R49" s="185">
        <f t="shared" si="16"/>
        <v>66.4375</v>
      </c>
      <c r="S49" s="34"/>
      <c r="T49" s="34"/>
      <c r="U49" s="37"/>
    </row>
    <row r="50" spans="1:21" ht="24" customHeight="1" x14ac:dyDescent="0.2">
      <c r="A50" s="203"/>
      <c r="B50" s="203"/>
      <c r="C50" s="62" t="s">
        <v>85</v>
      </c>
      <c r="D50" s="97" t="s">
        <v>72</v>
      </c>
      <c r="E50" s="69">
        <f>E49</f>
        <v>5</v>
      </c>
      <c r="F50" s="69">
        <f>E50</f>
        <v>5</v>
      </c>
      <c r="G50" s="70">
        <v>4</v>
      </c>
      <c r="H50" s="71">
        <f t="shared" si="9"/>
        <v>20</v>
      </c>
      <c r="I50" s="72">
        <f>(I7)</f>
        <v>1.67E-2</v>
      </c>
      <c r="J50" s="73">
        <f t="shared" si="10"/>
        <v>0.33399999999999996</v>
      </c>
      <c r="K50" s="71">
        <f t="shared" si="11"/>
        <v>0</v>
      </c>
      <c r="L50" s="70">
        <f t="shared" si="12"/>
        <v>4</v>
      </c>
      <c r="M50" s="71">
        <v>0</v>
      </c>
      <c r="N50" s="74">
        <f t="shared" si="13"/>
        <v>1.67E-2</v>
      </c>
      <c r="O50" s="71">
        <f t="shared" si="14"/>
        <v>0</v>
      </c>
      <c r="P50" s="73">
        <f t="shared" si="15"/>
        <v>0.33399999999999996</v>
      </c>
      <c r="Q50" s="75">
        <v>53.15</v>
      </c>
      <c r="R50" s="185">
        <f t="shared" si="16"/>
        <v>17.752099999999999</v>
      </c>
      <c r="S50" s="34"/>
      <c r="T50" s="34"/>
      <c r="U50" s="37"/>
    </row>
    <row r="51" spans="1:21" ht="21.75" customHeight="1" x14ac:dyDescent="0.2">
      <c r="A51" s="203"/>
      <c r="B51" s="203"/>
      <c r="C51" s="62" t="s">
        <v>86</v>
      </c>
      <c r="D51" s="97" t="s">
        <v>73</v>
      </c>
      <c r="E51" s="69">
        <f>(E50)</f>
        <v>5</v>
      </c>
      <c r="F51" s="69">
        <f>(F50)</f>
        <v>5</v>
      </c>
      <c r="G51" s="70">
        <v>1</v>
      </c>
      <c r="H51" s="71">
        <f t="shared" si="9"/>
        <v>5</v>
      </c>
      <c r="I51" s="72">
        <f>(I7)</f>
        <v>1.67E-2</v>
      </c>
      <c r="J51" s="73">
        <f t="shared" si="10"/>
        <v>8.3499999999999991E-2</v>
      </c>
      <c r="K51" s="71">
        <f t="shared" si="11"/>
        <v>0</v>
      </c>
      <c r="L51" s="70">
        <f t="shared" si="12"/>
        <v>1</v>
      </c>
      <c r="M51" s="71">
        <v>0</v>
      </c>
      <c r="N51" s="74">
        <f t="shared" si="13"/>
        <v>1.67E-2</v>
      </c>
      <c r="O51" s="71">
        <f t="shared" si="14"/>
        <v>0</v>
      </c>
      <c r="P51" s="73">
        <f t="shared" si="15"/>
        <v>8.3499999999999991E-2</v>
      </c>
      <c r="Q51" s="75">
        <v>53.15</v>
      </c>
      <c r="R51" s="185">
        <f t="shared" si="16"/>
        <v>4.4380249999999997</v>
      </c>
      <c r="S51" s="34"/>
      <c r="T51" s="34"/>
      <c r="U51" s="37"/>
    </row>
    <row r="52" spans="1:21" ht="19.5" customHeight="1" x14ac:dyDescent="0.2">
      <c r="A52" s="203"/>
      <c r="B52" s="203"/>
      <c r="C52" s="62" t="s">
        <v>87</v>
      </c>
      <c r="D52" s="97" t="s">
        <v>94</v>
      </c>
      <c r="E52" s="69">
        <v>5</v>
      </c>
      <c r="F52" s="69">
        <v>5</v>
      </c>
      <c r="G52" s="70">
        <v>4</v>
      </c>
      <c r="H52" s="71">
        <f t="shared" si="9"/>
        <v>20</v>
      </c>
      <c r="I52" s="72">
        <v>0.33400000000000002</v>
      </c>
      <c r="J52" s="73">
        <f>(H52*I52)</f>
        <v>6.6800000000000006</v>
      </c>
      <c r="K52" s="71">
        <f>(E52-F52)</f>
        <v>0</v>
      </c>
      <c r="L52" s="70">
        <f>(G52)</f>
        <v>4</v>
      </c>
      <c r="M52" s="71">
        <v>0</v>
      </c>
      <c r="N52" s="74">
        <f>(I52)</f>
        <v>0.33400000000000002</v>
      </c>
      <c r="O52" s="71">
        <f>(N52*M52)</f>
        <v>0</v>
      </c>
      <c r="P52" s="73">
        <f>(J52+O52)</f>
        <v>6.6800000000000006</v>
      </c>
      <c r="Q52" s="75">
        <v>53.15</v>
      </c>
      <c r="R52" s="185">
        <f>(P52*Q52)</f>
        <v>355.04200000000003</v>
      </c>
      <c r="S52" s="34"/>
      <c r="T52" s="34"/>
      <c r="U52" s="40"/>
    </row>
    <row r="53" spans="1:21" ht="19.5" customHeight="1" x14ac:dyDescent="0.2">
      <c r="A53" s="203"/>
      <c r="B53" s="203"/>
      <c r="C53" s="62" t="s">
        <v>96</v>
      </c>
      <c r="D53" s="97" t="s">
        <v>95</v>
      </c>
      <c r="E53" s="69">
        <f>(E52)</f>
        <v>5</v>
      </c>
      <c r="F53" s="69">
        <f>(F52)</f>
        <v>5</v>
      </c>
      <c r="G53" s="70">
        <v>1</v>
      </c>
      <c r="H53" s="71">
        <f t="shared" si="9"/>
        <v>5</v>
      </c>
      <c r="I53" s="72">
        <f>(I42)</f>
        <v>0.25</v>
      </c>
      <c r="J53" s="73">
        <f>(H53*I53)</f>
        <v>1.25</v>
      </c>
      <c r="K53" s="71">
        <f>(E53-F53)</f>
        <v>0</v>
      </c>
      <c r="L53" s="70">
        <f>(G53)</f>
        <v>1</v>
      </c>
      <c r="M53" s="71">
        <v>0</v>
      </c>
      <c r="N53" s="74">
        <f>(I53)</f>
        <v>0.25</v>
      </c>
      <c r="O53" s="71">
        <f>(N53*M53)</f>
        <v>0</v>
      </c>
      <c r="P53" s="73">
        <f>(J53+O53)</f>
        <v>1.25</v>
      </c>
      <c r="Q53" s="75">
        <v>53.15</v>
      </c>
      <c r="R53" s="185">
        <f>(P53*Q53)</f>
        <v>66.4375</v>
      </c>
      <c r="S53" s="34"/>
      <c r="T53" s="34"/>
      <c r="U53" s="37"/>
    </row>
    <row r="54" spans="1:21" ht="22.5" customHeight="1" x14ac:dyDescent="0.2">
      <c r="A54" s="203"/>
      <c r="B54" s="203"/>
      <c r="C54" s="63" t="s">
        <v>112</v>
      </c>
      <c r="D54" s="104" t="s">
        <v>153</v>
      </c>
      <c r="E54" s="103">
        <v>5</v>
      </c>
      <c r="F54" s="111">
        <f>E54</f>
        <v>5</v>
      </c>
      <c r="G54" s="112">
        <v>1</v>
      </c>
      <c r="H54" s="113">
        <f t="shared" si="9"/>
        <v>5</v>
      </c>
      <c r="I54" s="114">
        <v>5.0099999999999999E-2</v>
      </c>
      <c r="J54" s="115">
        <f>(H54*I54)</f>
        <v>0.2505</v>
      </c>
      <c r="K54" s="113">
        <f>(E54-F54)</f>
        <v>0</v>
      </c>
      <c r="L54" s="112">
        <f>G54</f>
        <v>1</v>
      </c>
      <c r="M54" s="113">
        <v>0</v>
      </c>
      <c r="N54" s="116">
        <f>I54</f>
        <v>5.0099999999999999E-2</v>
      </c>
      <c r="O54" s="113">
        <f>(N54*M54)</f>
        <v>0</v>
      </c>
      <c r="P54" s="115">
        <f>SUM(J54,O54)</f>
        <v>0.2505</v>
      </c>
      <c r="Q54" s="98">
        <v>53.15</v>
      </c>
      <c r="R54" s="185">
        <f>(P54*Q54)</f>
        <v>13.314074999999999</v>
      </c>
      <c r="S54" s="34"/>
      <c r="T54" s="34"/>
      <c r="U54" s="38"/>
    </row>
    <row r="55" spans="1:21" ht="22.5" customHeight="1" x14ac:dyDescent="0.2">
      <c r="A55" s="203"/>
      <c r="B55" s="203"/>
      <c r="C55" s="62" t="s">
        <v>162</v>
      </c>
      <c r="D55" s="105" t="s">
        <v>72</v>
      </c>
      <c r="E55" s="111">
        <f>'[1]FINI burden table'!E5</f>
        <v>1</v>
      </c>
      <c r="F55" s="111">
        <f t="shared" ref="F55:F70" si="17">E55</f>
        <v>1</v>
      </c>
      <c r="G55" s="117">
        <f>'[1]FINI burden table'!G5</f>
        <v>2</v>
      </c>
      <c r="H55" s="113">
        <f>'[1]FINI burden table'!H5</f>
        <v>2</v>
      </c>
      <c r="I55" s="114">
        <f>'[1]FINI burden table'!I5</f>
        <v>3.3399999999999999E-2</v>
      </c>
      <c r="J55" s="115">
        <f>'[1]FINI burden table'!J5</f>
        <v>6.6799999999999998E-2</v>
      </c>
      <c r="K55" s="113">
        <f t="shared" ref="K55:K70" si="18">(E55-F55)</f>
        <v>0</v>
      </c>
      <c r="L55" s="112">
        <f t="shared" ref="L55:L70" si="19">G55</f>
        <v>2</v>
      </c>
      <c r="M55" s="113">
        <f>'[1]FINI burden table'!M5</f>
        <v>0</v>
      </c>
      <c r="N55" s="116">
        <f t="shared" ref="N55:N70" si="20">I55</f>
        <v>3.3399999999999999E-2</v>
      </c>
      <c r="O55" s="113">
        <f t="shared" ref="O55:O70" si="21">(N55*M55)</f>
        <v>0</v>
      </c>
      <c r="P55" s="115">
        <f t="shared" ref="P55:P70" si="22">SUM(J55,O55)</f>
        <v>6.6799999999999998E-2</v>
      </c>
      <c r="Q55" s="98">
        <f>'[1]FINI burden table'!Q5</f>
        <v>56.74</v>
      </c>
      <c r="R55" s="185">
        <f t="shared" ref="R55:R70" si="23">(P55*Q55)</f>
        <v>3.790232</v>
      </c>
      <c r="S55" s="34"/>
      <c r="T55" s="34"/>
      <c r="U55" s="66"/>
    </row>
    <row r="56" spans="1:21" ht="22.5" customHeight="1" x14ac:dyDescent="0.2">
      <c r="A56" s="203"/>
      <c r="B56" s="203"/>
      <c r="C56" s="62" t="s">
        <v>163</v>
      </c>
      <c r="D56" s="105" t="s">
        <v>94</v>
      </c>
      <c r="E56" s="111">
        <f>'[1]FINI burden table'!E6</f>
        <v>1</v>
      </c>
      <c r="F56" s="111">
        <f t="shared" si="17"/>
        <v>1</v>
      </c>
      <c r="G56" s="117">
        <f>'[1]FINI burden table'!G6</f>
        <v>2</v>
      </c>
      <c r="H56" s="113">
        <f>'[1]FINI burden table'!H6</f>
        <v>2</v>
      </c>
      <c r="I56" s="114">
        <f>'[1]FINI burden table'!I6</f>
        <v>0.33400000000000002</v>
      </c>
      <c r="J56" s="115">
        <f>'[1]FINI burden table'!J6</f>
        <v>0.66800000000000004</v>
      </c>
      <c r="K56" s="113">
        <f t="shared" si="18"/>
        <v>0</v>
      </c>
      <c r="L56" s="112">
        <f t="shared" si="19"/>
        <v>2</v>
      </c>
      <c r="M56" s="113">
        <f>'[1]FINI burden table'!M6</f>
        <v>0</v>
      </c>
      <c r="N56" s="116">
        <f t="shared" si="20"/>
        <v>0.33400000000000002</v>
      </c>
      <c r="O56" s="113">
        <f t="shared" si="21"/>
        <v>0</v>
      </c>
      <c r="P56" s="115">
        <f t="shared" si="22"/>
        <v>0.66800000000000004</v>
      </c>
      <c r="Q56" s="98">
        <f>'[1]FINI burden table'!Q6</f>
        <v>56.74</v>
      </c>
      <c r="R56" s="185">
        <f t="shared" si="23"/>
        <v>37.902320000000003</v>
      </c>
      <c r="S56" s="34"/>
      <c r="T56" s="34"/>
      <c r="U56" s="66"/>
    </row>
    <row r="57" spans="1:21" ht="22.5" customHeight="1" x14ac:dyDescent="0.2">
      <c r="A57" s="203"/>
      <c r="B57" s="203"/>
      <c r="C57" s="62" t="s">
        <v>164</v>
      </c>
      <c r="D57" s="105" t="s">
        <v>67</v>
      </c>
      <c r="E57" s="111">
        <v>1</v>
      </c>
      <c r="F57" s="111">
        <f t="shared" si="17"/>
        <v>1</v>
      </c>
      <c r="G57" s="112">
        <v>1</v>
      </c>
      <c r="H57" s="113">
        <v>1</v>
      </c>
      <c r="I57" s="114">
        <v>8.3500000000000005E-2</v>
      </c>
      <c r="J57" s="115">
        <v>8.3500000000000005E-2</v>
      </c>
      <c r="K57" s="113">
        <f t="shared" si="18"/>
        <v>0</v>
      </c>
      <c r="L57" s="112">
        <f t="shared" si="19"/>
        <v>1</v>
      </c>
      <c r="M57" s="113">
        <v>0</v>
      </c>
      <c r="N57" s="116">
        <f t="shared" si="20"/>
        <v>8.3500000000000005E-2</v>
      </c>
      <c r="O57" s="113">
        <f t="shared" si="21"/>
        <v>0</v>
      </c>
      <c r="P57" s="115">
        <f t="shared" si="22"/>
        <v>8.3500000000000005E-2</v>
      </c>
      <c r="Q57" s="98">
        <v>56.74</v>
      </c>
      <c r="R57" s="185">
        <f t="shared" si="23"/>
        <v>4.7377900000000004</v>
      </c>
      <c r="S57" s="34"/>
      <c r="T57" s="34"/>
      <c r="U57" s="66"/>
    </row>
    <row r="58" spans="1:21" ht="22.5" customHeight="1" x14ac:dyDescent="0.2">
      <c r="A58" s="203"/>
      <c r="B58" s="203"/>
      <c r="C58" s="62" t="s">
        <v>170</v>
      </c>
      <c r="D58" s="105" t="s">
        <v>67</v>
      </c>
      <c r="E58" s="111">
        <v>1</v>
      </c>
      <c r="F58" s="111">
        <f t="shared" si="17"/>
        <v>1</v>
      </c>
      <c r="G58" s="112">
        <v>1</v>
      </c>
      <c r="H58" s="113">
        <v>1</v>
      </c>
      <c r="I58" s="114">
        <v>1.5</v>
      </c>
      <c r="J58" s="115">
        <v>1.5</v>
      </c>
      <c r="K58" s="113">
        <f t="shared" si="18"/>
        <v>0</v>
      </c>
      <c r="L58" s="112">
        <f t="shared" si="19"/>
        <v>1</v>
      </c>
      <c r="M58" s="113">
        <v>0</v>
      </c>
      <c r="N58" s="116">
        <f t="shared" si="20"/>
        <v>1.5</v>
      </c>
      <c r="O58" s="113">
        <f t="shared" si="21"/>
        <v>0</v>
      </c>
      <c r="P58" s="115">
        <f t="shared" si="22"/>
        <v>1.5</v>
      </c>
      <c r="Q58" s="98">
        <v>56.74</v>
      </c>
      <c r="R58" s="185">
        <f t="shared" si="23"/>
        <v>85.11</v>
      </c>
      <c r="S58" s="34"/>
      <c r="T58" s="34"/>
      <c r="U58" s="66"/>
    </row>
    <row r="59" spans="1:21" ht="22.5" customHeight="1" x14ac:dyDescent="0.2">
      <c r="A59" s="203"/>
      <c r="B59" s="203"/>
      <c r="C59" s="62" t="s">
        <v>165</v>
      </c>
      <c r="D59" s="105" t="s">
        <v>71</v>
      </c>
      <c r="E59" s="111">
        <v>1</v>
      </c>
      <c r="F59" s="111">
        <f t="shared" si="17"/>
        <v>1</v>
      </c>
      <c r="G59" s="112">
        <v>1</v>
      </c>
      <c r="H59" s="113">
        <v>1</v>
      </c>
      <c r="I59" s="114">
        <v>1.67E-2</v>
      </c>
      <c r="J59" s="115">
        <v>1.67E-2</v>
      </c>
      <c r="K59" s="113">
        <f t="shared" si="18"/>
        <v>0</v>
      </c>
      <c r="L59" s="112">
        <f t="shared" si="19"/>
        <v>1</v>
      </c>
      <c r="M59" s="113">
        <v>0</v>
      </c>
      <c r="N59" s="116">
        <f t="shared" si="20"/>
        <v>1.67E-2</v>
      </c>
      <c r="O59" s="113">
        <f t="shared" si="21"/>
        <v>0</v>
      </c>
      <c r="P59" s="115">
        <f t="shared" si="22"/>
        <v>1.67E-2</v>
      </c>
      <c r="Q59" s="98">
        <v>56.74</v>
      </c>
      <c r="R59" s="185">
        <f t="shared" si="23"/>
        <v>0.94755800000000001</v>
      </c>
      <c r="S59" s="34"/>
      <c r="T59" s="34"/>
      <c r="U59" s="66"/>
    </row>
    <row r="60" spans="1:21" ht="22.5" customHeight="1" x14ac:dyDescent="0.2">
      <c r="A60" s="203"/>
      <c r="B60" s="203"/>
      <c r="C60" s="62" t="s">
        <v>166</v>
      </c>
      <c r="D60" s="105" t="s">
        <v>72</v>
      </c>
      <c r="E60" s="111">
        <v>4</v>
      </c>
      <c r="F60" s="111">
        <f t="shared" si="17"/>
        <v>4</v>
      </c>
      <c r="G60" s="118">
        <v>2.75</v>
      </c>
      <c r="H60" s="113">
        <v>11</v>
      </c>
      <c r="I60" s="114">
        <v>3.3399999999999999E-2</v>
      </c>
      <c r="J60" s="115">
        <v>0.3674</v>
      </c>
      <c r="K60" s="113">
        <f t="shared" si="18"/>
        <v>0</v>
      </c>
      <c r="L60" s="112">
        <f t="shared" si="19"/>
        <v>2.75</v>
      </c>
      <c r="M60" s="113">
        <v>0</v>
      </c>
      <c r="N60" s="116">
        <f t="shared" si="20"/>
        <v>3.3399999999999999E-2</v>
      </c>
      <c r="O60" s="113">
        <f t="shared" si="21"/>
        <v>0</v>
      </c>
      <c r="P60" s="115">
        <f t="shared" si="22"/>
        <v>0.3674</v>
      </c>
      <c r="Q60" s="98">
        <v>56.74</v>
      </c>
      <c r="R60" s="185">
        <f t="shared" si="23"/>
        <v>20.846276</v>
      </c>
      <c r="S60" s="34"/>
      <c r="T60" s="34"/>
      <c r="U60" s="66"/>
    </row>
    <row r="61" spans="1:21" ht="22.5" customHeight="1" x14ac:dyDescent="0.2">
      <c r="A61" s="203"/>
      <c r="B61" s="203"/>
      <c r="C61" s="62" t="s">
        <v>167</v>
      </c>
      <c r="D61" s="105" t="s">
        <v>73</v>
      </c>
      <c r="E61" s="111">
        <v>4</v>
      </c>
      <c r="F61" s="111">
        <f t="shared" si="17"/>
        <v>4</v>
      </c>
      <c r="G61" s="112">
        <v>1</v>
      </c>
      <c r="H61" s="113">
        <v>4</v>
      </c>
      <c r="I61" s="114">
        <v>3.3399999999999999E-2</v>
      </c>
      <c r="J61" s="115">
        <f>H61*I61</f>
        <v>0.1336</v>
      </c>
      <c r="K61" s="113">
        <f t="shared" si="18"/>
        <v>0</v>
      </c>
      <c r="L61" s="112">
        <f t="shared" si="19"/>
        <v>1</v>
      </c>
      <c r="M61" s="113">
        <v>0</v>
      </c>
      <c r="N61" s="116">
        <f t="shared" si="20"/>
        <v>3.3399999999999999E-2</v>
      </c>
      <c r="O61" s="113">
        <f t="shared" si="21"/>
        <v>0</v>
      </c>
      <c r="P61" s="115">
        <f t="shared" si="22"/>
        <v>0.1336</v>
      </c>
      <c r="Q61" s="156">
        <v>56.74</v>
      </c>
      <c r="R61" s="185">
        <f t="shared" si="23"/>
        <v>7.5804640000000001</v>
      </c>
      <c r="S61" s="34"/>
      <c r="T61" s="34"/>
      <c r="U61" s="66"/>
    </row>
    <row r="62" spans="1:21" ht="22.5" customHeight="1" x14ac:dyDescent="0.2">
      <c r="A62" s="203"/>
      <c r="B62" s="203"/>
      <c r="C62" s="62" t="s">
        <v>168</v>
      </c>
      <c r="D62" s="105" t="s">
        <v>94</v>
      </c>
      <c r="E62" s="111">
        <v>4</v>
      </c>
      <c r="F62" s="111">
        <f t="shared" si="17"/>
        <v>4</v>
      </c>
      <c r="G62" s="118">
        <v>2.75</v>
      </c>
      <c r="H62" s="113">
        <v>11</v>
      </c>
      <c r="I62" s="114">
        <v>0.33400000000000002</v>
      </c>
      <c r="J62" s="115">
        <v>3.6740000000000004</v>
      </c>
      <c r="K62" s="113">
        <f t="shared" si="18"/>
        <v>0</v>
      </c>
      <c r="L62" s="112">
        <f t="shared" si="19"/>
        <v>2.75</v>
      </c>
      <c r="M62" s="113">
        <v>0</v>
      </c>
      <c r="N62" s="116">
        <f t="shared" si="20"/>
        <v>0.33400000000000002</v>
      </c>
      <c r="O62" s="113">
        <f t="shared" si="21"/>
        <v>0</v>
      </c>
      <c r="P62" s="115">
        <f t="shared" si="22"/>
        <v>3.6740000000000004</v>
      </c>
      <c r="Q62" s="98">
        <v>56.74</v>
      </c>
      <c r="R62" s="185">
        <f t="shared" si="23"/>
        <v>208.46276000000003</v>
      </c>
      <c r="S62" s="34"/>
      <c r="T62" s="34"/>
      <c r="U62" s="66"/>
    </row>
    <row r="63" spans="1:21" ht="22.5" customHeight="1" x14ac:dyDescent="0.2">
      <c r="A63" s="203"/>
      <c r="B63" s="203"/>
      <c r="C63" s="62" t="s">
        <v>169</v>
      </c>
      <c r="D63" s="105" t="s">
        <v>95</v>
      </c>
      <c r="E63" s="111">
        <v>1</v>
      </c>
      <c r="F63" s="111">
        <f t="shared" si="17"/>
        <v>1</v>
      </c>
      <c r="G63" s="112">
        <v>1</v>
      </c>
      <c r="H63" s="113">
        <v>1</v>
      </c>
      <c r="I63" s="114">
        <v>0.25</v>
      </c>
      <c r="J63" s="115">
        <v>0.25</v>
      </c>
      <c r="K63" s="113">
        <f t="shared" si="18"/>
        <v>0</v>
      </c>
      <c r="L63" s="112">
        <f t="shared" si="19"/>
        <v>1</v>
      </c>
      <c r="M63" s="113">
        <v>0</v>
      </c>
      <c r="N63" s="116">
        <f t="shared" si="20"/>
        <v>0.25</v>
      </c>
      <c r="O63" s="113">
        <f t="shared" si="21"/>
        <v>0</v>
      </c>
      <c r="P63" s="115">
        <f t="shared" si="22"/>
        <v>0.25</v>
      </c>
      <c r="Q63" s="98">
        <v>56.74</v>
      </c>
      <c r="R63" s="185">
        <f t="shared" si="23"/>
        <v>14.185</v>
      </c>
      <c r="S63" s="34"/>
      <c r="T63" s="34"/>
      <c r="U63" s="66"/>
    </row>
    <row r="64" spans="1:21" s="84" customFormat="1" ht="22.5" customHeight="1" x14ac:dyDescent="0.2">
      <c r="A64" s="203"/>
      <c r="B64" s="203"/>
      <c r="C64" s="62" t="s">
        <v>193</v>
      </c>
      <c r="D64" s="105" t="s">
        <v>66</v>
      </c>
      <c r="E64" s="111">
        <f>'[2]FINI burden table'!E15</f>
        <v>2</v>
      </c>
      <c r="F64" s="111">
        <f t="shared" si="17"/>
        <v>2</v>
      </c>
      <c r="G64" s="112">
        <f>'[2]FINI burden table'!G15</f>
        <v>1</v>
      </c>
      <c r="H64" s="113">
        <f>'[2]FINI burden table'!H15</f>
        <v>2</v>
      </c>
      <c r="I64" s="114">
        <f>'[2]FINI burden table'!I15</f>
        <v>8.3500000000000005E-2</v>
      </c>
      <c r="J64" s="115">
        <f>'[2]FINI burden table'!J15</f>
        <v>0.16700000000000001</v>
      </c>
      <c r="K64" s="113">
        <f t="shared" si="18"/>
        <v>0</v>
      </c>
      <c r="L64" s="112">
        <f t="shared" si="19"/>
        <v>1</v>
      </c>
      <c r="M64" s="113">
        <f>'[2]FINI burden table'!M15</f>
        <v>0</v>
      </c>
      <c r="N64" s="116">
        <f t="shared" si="20"/>
        <v>8.3500000000000005E-2</v>
      </c>
      <c r="O64" s="113">
        <f t="shared" si="21"/>
        <v>0</v>
      </c>
      <c r="P64" s="115">
        <f t="shared" si="22"/>
        <v>0.16700000000000001</v>
      </c>
      <c r="Q64" s="98">
        <f>'[2]FINI burden table'!Q15</f>
        <v>56.74</v>
      </c>
      <c r="R64" s="185">
        <f t="shared" si="23"/>
        <v>9.4755800000000008</v>
      </c>
      <c r="S64" s="34"/>
      <c r="T64" s="34"/>
      <c r="U64" s="79"/>
    </row>
    <row r="65" spans="1:21" ht="22.5" customHeight="1" x14ac:dyDescent="0.2">
      <c r="A65" s="203"/>
      <c r="B65" s="203"/>
      <c r="C65" s="62" t="s">
        <v>171</v>
      </c>
      <c r="D65" s="105" t="s">
        <v>67</v>
      </c>
      <c r="E65" s="111">
        <f>'[2]FINI burden table'!E16</f>
        <v>2</v>
      </c>
      <c r="F65" s="111">
        <f t="shared" si="17"/>
        <v>2</v>
      </c>
      <c r="G65" s="112">
        <f>'[2]FINI burden table'!G16</f>
        <v>1</v>
      </c>
      <c r="H65" s="113">
        <f>'[2]FINI burden table'!H16</f>
        <v>2</v>
      </c>
      <c r="I65" s="114">
        <f>'[2]FINI burden table'!I16</f>
        <v>1.5</v>
      </c>
      <c r="J65" s="115">
        <f>'[2]FINI burden table'!J16</f>
        <v>3</v>
      </c>
      <c r="K65" s="113">
        <f t="shared" si="18"/>
        <v>0</v>
      </c>
      <c r="L65" s="112">
        <f t="shared" si="19"/>
        <v>1</v>
      </c>
      <c r="M65" s="113">
        <f>'[2]FINI burden table'!M16</f>
        <v>0</v>
      </c>
      <c r="N65" s="116">
        <f t="shared" si="20"/>
        <v>1.5</v>
      </c>
      <c r="O65" s="113">
        <f t="shared" si="21"/>
        <v>0</v>
      </c>
      <c r="P65" s="115">
        <f t="shared" si="22"/>
        <v>3</v>
      </c>
      <c r="Q65" s="98">
        <f>'[2]FINI burden table'!Q16</f>
        <v>56.74</v>
      </c>
      <c r="R65" s="185">
        <f t="shared" si="23"/>
        <v>170.22</v>
      </c>
      <c r="S65" s="34"/>
      <c r="T65" s="34"/>
      <c r="U65" s="66"/>
    </row>
    <row r="66" spans="1:21" ht="22.5" customHeight="1" x14ac:dyDescent="0.2">
      <c r="A66" s="203"/>
      <c r="B66" s="203"/>
      <c r="C66" s="62" t="s">
        <v>176</v>
      </c>
      <c r="D66" s="105" t="s">
        <v>71</v>
      </c>
      <c r="E66" s="111">
        <f>'[2]FINI burden table'!E17</f>
        <v>2</v>
      </c>
      <c r="F66" s="111">
        <f t="shared" si="17"/>
        <v>2</v>
      </c>
      <c r="G66" s="112">
        <f>'[2]FINI burden table'!G17</f>
        <v>1</v>
      </c>
      <c r="H66" s="113">
        <f>'[2]FINI burden table'!H17</f>
        <v>2</v>
      </c>
      <c r="I66" s="114">
        <f>'[2]FINI burden table'!I17</f>
        <v>1.67E-2</v>
      </c>
      <c r="J66" s="115">
        <f>'[2]FINI burden table'!J17</f>
        <v>3.3399999999999999E-2</v>
      </c>
      <c r="K66" s="113">
        <f t="shared" si="18"/>
        <v>0</v>
      </c>
      <c r="L66" s="112">
        <f t="shared" si="19"/>
        <v>1</v>
      </c>
      <c r="M66" s="113">
        <f>'[2]FINI burden table'!M17</f>
        <v>0</v>
      </c>
      <c r="N66" s="116">
        <f t="shared" si="20"/>
        <v>1.67E-2</v>
      </c>
      <c r="O66" s="113">
        <f t="shared" si="21"/>
        <v>0</v>
      </c>
      <c r="P66" s="115">
        <f t="shared" si="22"/>
        <v>3.3399999999999999E-2</v>
      </c>
      <c r="Q66" s="98">
        <f>'[2]FINI burden table'!Q17</f>
        <v>56.74</v>
      </c>
      <c r="R66" s="185">
        <f t="shared" si="23"/>
        <v>1.895116</v>
      </c>
      <c r="S66" s="34"/>
      <c r="T66" s="34"/>
      <c r="U66" s="66"/>
    </row>
    <row r="67" spans="1:21" ht="22.5" customHeight="1" x14ac:dyDescent="0.2">
      <c r="A67" s="203"/>
      <c r="B67" s="203"/>
      <c r="C67" s="62" t="s">
        <v>172</v>
      </c>
      <c r="D67" s="105" t="s">
        <v>72</v>
      </c>
      <c r="E67" s="111">
        <f>'[2]FINI burden table'!E18</f>
        <v>4</v>
      </c>
      <c r="F67" s="111">
        <f t="shared" si="17"/>
        <v>4</v>
      </c>
      <c r="G67" s="112">
        <f>'[2]FINI burden table'!G18</f>
        <v>2</v>
      </c>
      <c r="H67" s="113">
        <f>'[2]FINI burden table'!H18</f>
        <v>8</v>
      </c>
      <c r="I67" s="114">
        <f>'[2]FINI burden table'!I18</f>
        <v>0.25</v>
      </c>
      <c r="J67" s="115">
        <f>'[2]FINI burden table'!J18</f>
        <v>2</v>
      </c>
      <c r="K67" s="113">
        <f t="shared" si="18"/>
        <v>0</v>
      </c>
      <c r="L67" s="112">
        <f t="shared" si="19"/>
        <v>2</v>
      </c>
      <c r="M67" s="113">
        <f>'[2]FINI burden table'!M18</f>
        <v>0</v>
      </c>
      <c r="N67" s="116">
        <f t="shared" si="20"/>
        <v>0.25</v>
      </c>
      <c r="O67" s="113">
        <f t="shared" si="21"/>
        <v>0</v>
      </c>
      <c r="P67" s="115">
        <f t="shared" si="22"/>
        <v>2</v>
      </c>
      <c r="Q67" s="98">
        <f>'[2]FINI burden table'!Q18</f>
        <v>56.74</v>
      </c>
      <c r="R67" s="185">
        <f t="shared" si="23"/>
        <v>113.48</v>
      </c>
      <c r="S67" s="34"/>
      <c r="T67" s="34"/>
      <c r="U67" s="66"/>
    </row>
    <row r="68" spans="1:21" ht="22.5" customHeight="1" x14ac:dyDescent="0.2">
      <c r="A68" s="203"/>
      <c r="B68" s="203"/>
      <c r="C68" s="62" t="s">
        <v>173</v>
      </c>
      <c r="D68" s="105" t="s">
        <v>73</v>
      </c>
      <c r="E68" s="111">
        <f>'[2]FINI burden table'!E19</f>
        <v>4</v>
      </c>
      <c r="F68" s="111">
        <f t="shared" si="17"/>
        <v>4</v>
      </c>
      <c r="G68" s="112">
        <f>'[2]FINI burden table'!G19</f>
        <v>1</v>
      </c>
      <c r="H68" s="113">
        <f>'[2]FINI burden table'!H19</f>
        <v>4</v>
      </c>
      <c r="I68" s="114">
        <f>'[2]FINI burden table'!I19</f>
        <v>3.3399999999999999E-2</v>
      </c>
      <c r="J68" s="115">
        <f>'[2]FINI burden table'!J19</f>
        <v>0.1336</v>
      </c>
      <c r="K68" s="113">
        <f t="shared" si="18"/>
        <v>0</v>
      </c>
      <c r="L68" s="112">
        <f t="shared" si="19"/>
        <v>1</v>
      </c>
      <c r="M68" s="113">
        <f>'[2]FINI burden table'!M19</f>
        <v>0</v>
      </c>
      <c r="N68" s="116">
        <f t="shared" si="20"/>
        <v>3.3399999999999999E-2</v>
      </c>
      <c r="O68" s="113">
        <f t="shared" si="21"/>
        <v>0</v>
      </c>
      <c r="P68" s="115">
        <f t="shared" si="22"/>
        <v>0.1336</v>
      </c>
      <c r="Q68" s="98">
        <f>'[2]FINI burden table'!Q19</f>
        <v>56.74</v>
      </c>
      <c r="R68" s="185">
        <f t="shared" si="23"/>
        <v>7.5804640000000001</v>
      </c>
      <c r="S68" s="34"/>
      <c r="T68" s="34"/>
      <c r="U68" s="66"/>
    </row>
    <row r="69" spans="1:21" ht="22.5" customHeight="1" x14ac:dyDescent="0.2">
      <c r="A69" s="203"/>
      <c r="B69" s="203"/>
      <c r="C69" s="62" t="s">
        <v>174</v>
      </c>
      <c r="D69" s="105" t="s">
        <v>94</v>
      </c>
      <c r="E69" s="111">
        <f>'[2]FINI burden table'!E20</f>
        <v>4</v>
      </c>
      <c r="F69" s="111">
        <f t="shared" si="17"/>
        <v>4</v>
      </c>
      <c r="G69" s="112">
        <f>'[2]FINI burden table'!G20</f>
        <v>2</v>
      </c>
      <c r="H69" s="113">
        <f>'[2]FINI burden table'!H20</f>
        <v>8</v>
      </c>
      <c r="I69" s="114">
        <f>'[2]FINI burden table'!I20</f>
        <v>0.33400000000000002</v>
      </c>
      <c r="J69" s="115">
        <f>'[2]FINI burden table'!J20</f>
        <v>2.6720000000000002</v>
      </c>
      <c r="K69" s="113">
        <f t="shared" si="18"/>
        <v>0</v>
      </c>
      <c r="L69" s="112">
        <f t="shared" si="19"/>
        <v>2</v>
      </c>
      <c r="M69" s="113">
        <f>'[2]FINI burden table'!M20</f>
        <v>0</v>
      </c>
      <c r="N69" s="116">
        <f t="shared" si="20"/>
        <v>0.33400000000000002</v>
      </c>
      <c r="O69" s="113">
        <f t="shared" si="21"/>
        <v>0</v>
      </c>
      <c r="P69" s="115">
        <f t="shared" si="22"/>
        <v>2.6720000000000002</v>
      </c>
      <c r="Q69" s="98">
        <f>'[2]FINI burden table'!Q20</f>
        <v>56.74</v>
      </c>
      <c r="R69" s="185">
        <f t="shared" si="23"/>
        <v>151.60928000000001</v>
      </c>
      <c r="S69" s="34"/>
      <c r="T69" s="34"/>
      <c r="U69" s="66"/>
    </row>
    <row r="70" spans="1:21" ht="22.5" customHeight="1" x14ac:dyDescent="0.2">
      <c r="A70" s="203"/>
      <c r="B70" s="203"/>
      <c r="C70" s="62" t="s">
        <v>175</v>
      </c>
      <c r="D70" s="105" t="s">
        <v>95</v>
      </c>
      <c r="E70" s="111">
        <f>'[2]FINI burden table'!E21</f>
        <v>4</v>
      </c>
      <c r="F70" s="111">
        <f t="shared" si="17"/>
        <v>4</v>
      </c>
      <c r="G70" s="112">
        <f>'[2]FINI burden table'!G21</f>
        <v>1</v>
      </c>
      <c r="H70" s="113">
        <f>'[2]FINI burden table'!H21</f>
        <v>4</v>
      </c>
      <c r="I70" s="114">
        <f>'[2]FINI burden table'!I21</f>
        <v>0.25</v>
      </c>
      <c r="J70" s="115">
        <f>'[2]FINI burden table'!J21</f>
        <v>1</v>
      </c>
      <c r="K70" s="113">
        <f t="shared" si="18"/>
        <v>0</v>
      </c>
      <c r="L70" s="112">
        <f t="shared" si="19"/>
        <v>1</v>
      </c>
      <c r="M70" s="113">
        <f>'[2]FINI burden table'!M21</f>
        <v>0</v>
      </c>
      <c r="N70" s="116">
        <f t="shared" si="20"/>
        <v>0.25</v>
      </c>
      <c r="O70" s="113">
        <f t="shared" si="21"/>
        <v>0</v>
      </c>
      <c r="P70" s="115">
        <f t="shared" si="22"/>
        <v>1</v>
      </c>
      <c r="Q70" s="98">
        <f>'[2]FINI burden table'!Q21</f>
        <v>56.74</v>
      </c>
      <c r="R70" s="185">
        <f t="shared" si="23"/>
        <v>56.74</v>
      </c>
      <c r="S70" s="34"/>
      <c r="T70" s="34"/>
      <c r="U70" s="66"/>
    </row>
    <row r="71" spans="1:21" s="84" customFormat="1" ht="22.5" customHeight="1" x14ac:dyDescent="0.2">
      <c r="A71" s="198"/>
      <c r="B71" s="198"/>
      <c r="C71" s="62" t="s">
        <v>198</v>
      </c>
      <c r="D71" s="105" t="s">
        <v>153</v>
      </c>
      <c r="E71" s="111">
        <v>2</v>
      </c>
      <c r="F71" s="111">
        <f t="shared" ref="F71" si="24">E71</f>
        <v>2</v>
      </c>
      <c r="G71" s="112">
        <f>'[2]FINI burden table'!G22</f>
        <v>1</v>
      </c>
      <c r="H71" s="113">
        <v>2</v>
      </c>
      <c r="I71" s="114">
        <v>5.0099999999999999E-2</v>
      </c>
      <c r="J71" s="115">
        <f>I71*H71</f>
        <v>0.1002</v>
      </c>
      <c r="K71" s="113">
        <f t="shared" ref="K71" si="25">(E71-F71)</f>
        <v>0</v>
      </c>
      <c r="L71" s="112">
        <f t="shared" ref="L71" si="26">G71</f>
        <v>1</v>
      </c>
      <c r="M71" s="113">
        <f>'[2]FINI burden table'!M22</f>
        <v>0</v>
      </c>
      <c r="N71" s="116">
        <f t="shared" ref="N71" si="27">I71</f>
        <v>5.0099999999999999E-2</v>
      </c>
      <c r="O71" s="113">
        <f t="shared" ref="O71" si="28">(N71*M71)</f>
        <v>0</v>
      </c>
      <c r="P71" s="115">
        <f t="shared" ref="P71" si="29">SUM(J71,O71)</f>
        <v>0.1002</v>
      </c>
      <c r="Q71" s="131">
        <v>56.74</v>
      </c>
      <c r="R71" s="185">
        <f t="shared" ref="R71" si="30">(P71*Q71)</f>
        <v>5.6853480000000003</v>
      </c>
      <c r="S71" s="34"/>
      <c r="T71" s="34"/>
      <c r="U71" s="132"/>
    </row>
    <row r="72" spans="1:21" ht="21.75" customHeight="1" x14ac:dyDescent="0.2">
      <c r="A72" s="191" t="s">
        <v>60</v>
      </c>
      <c r="B72" s="191"/>
      <c r="C72" s="68"/>
      <c r="D72" s="106"/>
      <c r="E72" s="119">
        <f>SUM(E70,E33,E34)</f>
        <v>60</v>
      </c>
      <c r="F72" s="119">
        <f>E72</f>
        <v>60</v>
      </c>
      <c r="G72" s="120">
        <f>H72/F72</f>
        <v>4.55</v>
      </c>
      <c r="H72" s="121">
        <f>SUM(H33:H71)</f>
        <v>273</v>
      </c>
      <c r="I72" s="122"/>
      <c r="J72" s="180">
        <f>SUM(J33:J70)</f>
        <v>53.777400000000007</v>
      </c>
      <c r="K72" s="121">
        <v>0</v>
      </c>
      <c r="L72" s="123">
        <v>16.5</v>
      </c>
      <c r="M72" s="121">
        <v>0</v>
      </c>
      <c r="N72" s="124">
        <v>0</v>
      </c>
      <c r="O72" s="121">
        <v>0</v>
      </c>
      <c r="P72" s="180">
        <f>SUM(P33:P70)</f>
        <v>53.777400000000007</v>
      </c>
      <c r="Q72" s="125"/>
      <c r="R72" s="186">
        <f>SUM(R33:R71)</f>
        <v>2920.5540980000001</v>
      </c>
      <c r="S72" s="133"/>
      <c r="T72" s="34"/>
      <c r="U72" s="188"/>
    </row>
    <row r="73" spans="1:21" ht="21" customHeight="1" x14ac:dyDescent="0.2">
      <c r="A73" s="192" t="s">
        <v>39</v>
      </c>
      <c r="B73" s="192" t="s">
        <v>61</v>
      </c>
      <c r="C73" s="62" t="s">
        <v>74</v>
      </c>
      <c r="D73" s="105" t="s">
        <v>111</v>
      </c>
      <c r="E73" s="111">
        <v>4</v>
      </c>
      <c r="F73" s="111">
        <v>4</v>
      </c>
      <c r="G73" s="112">
        <v>1</v>
      </c>
      <c r="H73" s="113">
        <f t="shared" ref="H73:H118" si="31">(G73*F73)</f>
        <v>4</v>
      </c>
      <c r="I73" s="114">
        <v>0.25</v>
      </c>
      <c r="J73" s="115">
        <f t="shared" ref="J73:J82" si="32">(H73*I73)</f>
        <v>1</v>
      </c>
      <c r="K73" s="113">
        <f t="shared" ref="K73:K82" si="33">(E73-F73)</f>
        <v>0</v>
      </c>
      <c r="L73" s="112">
        <f t="shared" ref="L73:L82" si="34">(G73)</f>
        <v>1</v>
      </c>
      <c r="M73" s="113">
        <v>0</v>
      </c>
      <c r="N73" s="116">
        <f t="shared" ref="N73:N82" si="35">(I73)</f>
        <v>0.25</v>
      </c>
      <c r="O73" s="113">
        <f t="shared" ref="O73:O82" si="36">(N73*M73)</f>
        <v>0</v>
      </c>
      <c r="P73" s="115">
        <f t="shared" ref="P73:P82" si="37">(J73+O73)</f>
        <v>1</v>
      </c>
      <c r="Q73" s="98">
        <v>53.15</v>
      </c>
      <c r="R73" s="185">
        <f t="shared" ref="R73:R82" si="38">(P73*Q73)</f>
        <v>53.15</v>
      </c>
      <c r="S73" s="32"/>
      <c r="T73" s="34"/>
      <c r="U73" s="188"/>
    </row>
    <row r="74" spans="1:21" ht="21" customHeight="1" x14ac:dyDescent="0.2">
      <c r="A74" s="193"/>
      <c r="B74" s="193"/>
      <c r="C74" s="62" t="s">
        <v>148</v>
      </c>
      <c r="D74" s="105" t="s">
        <v>66</v>
      </c>
      <c r="E74" s="111">
        <v>30</v>
      </c>
      <c r="F74" s="111">
        <v>30</v>
      </c>
      <c r="G74" s="112">
        <v>1</v>
      </c>
      <c r="H74" s="113">
        <f t="shared" si="31"/>
        <v>30</v>
      </c>
      <c r="I74" s="114">
        <v>5.0099999999999999E-2</v>
      </c>
      <c r="J74" s="115">
        <f t="shared" si="32"/>
        <v>1.5029999999999999</v>
      </c>
      <c r="K74" s="113">
        <f t="shared" si="33"/>
        <v>0</v>
      </c>
      <c r="L74" s="112">
        <f t="shared" si="34"/>
        <v>1</v>
      </c>
      <c r="M74" s="113">
        <v>0</v>
      </c>
      <c r="N74" s="116">
        <f t="shared" si="35"/>
        <v>5.0099999999999999E-2</v>
      </c>
      <c r="O74" s="113">
        <f t="shared" si="36"/>
        <v>0</v>
      </c>
      <c r="P74" s="115">
        <f t="shared" si="37"/>
        <v>1.5029999999999999</v>
      </c>
      <c r="Q74" s="98">
        <f>(Q73)</f>
        <v>53.15</v>
      </c>
      <c r="R74" s="185">
        <f t="shared" si="38"/>
        <v>79.884449999999987</v>
      </c>
      <c r="S74" s="41"/>
      <c r="T74" s="34"/>
      <c r="U74" s="188"/>
    </row>
    <row r="75" spans="1:21" ht="21" customHeight="1" x14ac:dyDescent="0.2">
      <c r="A75" s="193"/>
      <c r="B75" s="193"/>
      <c r="C75" s="62" t="s">
        <v>147</v>
      </c>
      <c r="D75" s="105" t="s">
        <v>66</v>
      </c>
      <c r="E75" s="111">
        <v>30</v>
      </c>
      <c r="F75" s="111">
        <v>30</v>
      </c>
      <c r="G75" s="112">
        <v>1</v>
      </c>
      <c r="H75" s="113">
        <f t="shared" si="31"/>
        <v>30</v>
      </c>
      <c r="I75" s="114">
        <v>1</v>
      </c>
      <c r="J75" s="115">
        <f t="shared" si="32"/>
        <v>30</v>
      </c>
      <c r="K75" s="113">
        <f t="shared" si="33"/>
        <v>0</v>
      </c>
      <c r="L75" s="112">
        <f t="shared" si="34"/>
        <v>1</v>
      </c>
      <c r="M75" s="113">
        <v>0</v>
      </c>
      <c r="N75" s="116">
        <f t="shared" si="35"/>
        <v>1</v>
      </c>
      <c r="O75" s="113">
        <f t="shared" si="36"/>
        <v>0</v>
      </c>
      <c r="P75" s="115">
        <f t="shared" si="37"/>
        <v>30</v>
      </c>
      <c r="Q75" s="98">
        <f>(Q73)</f>
        <v>53.15</v>
      </c>
      <c r="R75" s="185">
        <f t="shared" si="38"/>
        <v>1594.5</v>
      </c>
      <c r="S75" s="41"/>
      <c r="T75" s="34"/>
      <c r="U75" s="188"/>
    </row>
    <row r="76" spans="1:21" ht="21" customHeight="1" x14ac:dyDescent="0.2">
      <c r="A76" s="193"/>
      <c r="B76" s="193"/>
      <c r="C76" s="62" t="s">
        <v>88</v>
      </c>
      <c r="D76" s="105" t="s">
        <v>67</v>
      </c>
      <c r="E76" s="111">
        <v>30</v>
      </c>
      <c r="F76" s="111">
        <f t="shared" ref="F76:F92" si="39">E76</f>
        <v>30</v>
      </c>
      <c r="G76" s="112">
        <v>1</v>
      </c>
      <c r="H76" s="113">
        <f t="shared" si="31"/>
        <v>30</v>
      </c>
      <c r="I76" s="114">
        <v>8.3500000000000005E-2</v>
      </c>
      <c r="J76" s="115">
        <f t="shared" si="32"/>
        <v>2.5050000000000003</v>
      </c>
      <c r="K76" s="113">
        <f t="shared" si="33"/>
        <v>0</v>
      </c>
      <c r="L76" s="112">
        <f t="shared" si="34"/>
        <v>1</v>
      </c>
      <c r="M76" s="113">
        <v>0</v>
      </c>
      <c r="N76" s="116">
        <f t="shared" si="35"/>
        <v>8.3500000000000005E-2</v>
      </c>
      <c r="O76" s="113">
        <f t="shared" si="36"/>
        <v>0</v>
      </c>
      <c r="P76" s="115">
        <f t="shared" si="37"/>
        <v>2.5050000000000003</v>
      </c>
      <c r="Q76" s="98">
        <v>53.15</v>
      </c>
      <c r="R76" s="185">
        <f t="shared" si="38"/>
        <v>133.14075000000003</v>
      </c>
      <c r="S76" s="32"/>
      <c r="T76" s="34"/>
      <c r="U76" s="188"/>
    </row>
    <row r="77" spans="1:21" ht="21" customHeight="1" x14ac:dyDescent="0.2">
      <c r="A77" s="193"/>
      <c r="B77" s="193"/>
      <c r="C77" s="62" t="s">
        <v>89</v>
      </c>
      <c r="D77" s="105" t="s">
        <v>67</v>
      </c>
      <c r="E77" s="111">
        <f>E76</f>
        <v>30</v>
      </c>
      <c r="F77" s="111">
        <f t="shared" si="39"/>
        <v>30</v>
      </c>
      <c r="G77" s="112">
        <v>1</v>
      </c>
      <c r="H77" s="113">
        <f t="shared" si="31"/>
        <v>30</v>
      </c>
      <c r="I77" s="114">
        <v>1.5</v>
      </c>
      <c r="J77" s="115">
        <f t="shared" si="32"/>
        <v>45</v>
      </c>
      <c r="K77" s="113">
        <f t="shared" si="33"/>
        <v>0</v>
      </c>
      <c r="L77" s="112">
        <f t="shared" si="34"/>
        <v>1</v>
      </c>
      <c r="M77" s="113">
        <v>0</v>
      </c>
      <c r="N77" s="116">
        <f t="shared" si="35"/>
        <v>1.5</v>
      </c>
      <c r="O77" s="113">
        <f t="shared" si="36"/>
        <v>0</v>
      </c>
      <c r="P77" s="115">
        <f t="shared" si="37"/>
        <v>45</v>
      </c>
      <c r="Q77" s="98">
        <v>53.15</v>
      </c>
      <c r="R77" s="185">
        <f t="shared" si="38"/>
        <v>2391.75</v>
      </c>
      <c r="S77" s="32"/>
      <c r="T77" s="34"/>
      <c r="U77" s="188"/>
    </row>
    <row r="78" spans="1:21" ht="21" customHeight="1" x14ac:dyDescent="0.2">
      <c r="A78" s="193"/>
      <c r="B78" s="193"/>
      <c r="C78" s="62" t="s">
        <v>124</v>
      </c>
      <c r="D78" s="105" t="s">
        <v>68</v>
      </c>
      <c r="E78" s="111">
        <f t="shared" ref="E78:E93" si="40">E77</f>
        <v>30</v>
      </c>
      <c r="F78" s="111">
        <f t="shared" si="39"/>
        <v>30</v>
      </c>
      <c r="G78" s="112">
        <v>1</v>
      </c>
      <c r="H78" s="113">
        <f t="shared" si="31"/>
        <v>30</v>
      </c>
      <c r="I78" s="114">
        <v>1.67E-2</v>
      </c>
      <c r="J78" s="115">
        <f t="shared" si="32"/>
        <v>0.501</v>
      </c>
      <c r="K78" s="113">
        <f t="shared" si="33"/>
        <v>0</v>
      </c>
      <c r="L78" s="112">
        <f t="shared" si="34"/>
        <v>1</v>
      </c>
      <c r="M78" s="113">
        <v>0</v>
      </c>
      <c r="N78" s="116">
        <f t="shared" si="35"/>
        <v>1.67E-2</v>
      </c>
      <c r="O78" s="113">
        <f t="shared" si="36"/>
        <v>0</v>
      </c>
      <c r="P78" s="115">
        <f t="shared" si="37"/>
        <v>0.501</v>
      </c>
      <c r="Q78" s="98">
        <v>53.15</v>
      </c>
      <c r="R78" s="185">
        <f t="shared" si="38"/>
        <v>26.628149999999998</v>
      </c>
      <c r="S78" s="32"/>
      <c r="T78" s="34"/>
      <c r="U78" s="188"/>
    </row>
    <row r="79" spans="1:21" ht="21" customHeight="1" x14ac:dyDescent="0.2">
      <c r="A79" s="193"/>
      <c r="B79" s="193"/>
      <c r="C79" s="62" t="s">
        <v>90</v>
      </c>
      <c r="D79" s="105" t="s">
        <v>72</v>
      </c>
      <c r="E79" s="111">
        <f t="shared" si="40"/>
        <v>30</v>
      </c>
      <c r="F79" s="111">
        <f t="shared" si="39"/>
        <v>30</v>
      </c>
      <c r="G79" s="112">
        <v>4</v>
      </c>
      <c r="H79" s="113">
        <f t="shared" si="31"/>
        <v>120</v>
      </c>
      <c r="I79" s="114">
        <f>(I7)</f>
        <v>1.67E-2</v>
      </c>
      <c r="J79" s="115">
        <f t="shared" si="32"/>
        <v>2.004</v>
      </c>
      <c r="K79" s="113">
        <f t="shared" si="33"/>
        <v>0</v>
      </c>
      <c r="L79" s="112">
        <f t="shared" si="34"/>
        <v>4</v>
      </c>
      <c r="M79" s="113">
        <v>0</v>
      </c>
      <c r="N79" s="116">
        <f t="shared" si="35"/>
        <v>1.67E-2</v>
      </c>
      <c r="O79" s="113">
        <f t="shared" si="36"/>
        <v>0</v>
      </c>
      <c r="P79" s="115">
        <f t="shared" si="37"/>
        <v>2.004</v>
      </c>
      <c r="Q79" s="98">
        <v>53.15</v>
      </c>
      <c r="R79" s="185">
        <f t="shared" si="38"/>
        <v>106.51259999999999</v>
      </c>
      <c r="S79" s="32"/>
      <c r="T79" s="34"/>
      <c r="U79" s="188"/>
    </row>
    <row r="80" spans="1:21" ht="21" customHeight="1" x14ac:dyDescent="0.2">
      <c r="A80" s="193"/>
      <c r="B80" s="193"/>
      <c r="C80" s="62" t="s">
        <v>91</v>
      </c>
      <c r="D80" s="105" t="s">
        <v>73</v>
      </c>
      <c r="E80" s="111">
        <f t="shared" si="40"/>
        <v>30</v>
      </c>
      <c r="F80" s="111">
        <f t="shared" si="39"/>
        <v>30</v>
      </c>
      <c r="G80" s="112">
        <v>1</v>
      </c>
      <c r="H80" s="113">
        <f t="shared" si="31"/>
        <v>30</v>
      </c>
      <c r="I80" s="114">
        <f>(I7)</f>
        <v>1.67E-2</v>
      </c>
      <c r="J80" s="115">
        <f t="shared" si="32"/>
        <v>0.501</v>
      </c>
      <c r="K80" s="113">
        <f t="shared" si="33"/>
        <v>0</v>
      </c>
      <c r="L80" s="112">
        <f t="shared" si="34"/>
        <v>1</v>
      </c>
      <c r="M80" s="113">
        <v>0</v>
      </c>
      <c r="N80" s="116">
        <f t="shared" si="35"/>
        <v>1.67E-2</v>
      </c>
      <c r="O80" s="113">
        <f t="shared" si="36"/>
        <v>0</v>
      </c>
      <c r="P80" s="115">
        <f t="shared" si="37"/>
        <v>0.501</v>
      </c>
      <c r="Q80" s="98">
        <v>53.15</v>
      </c>
      <c r="R80" s="185">
        <f t="shared" si="38"/>
        <v>26.628149999999998</v>
      </c>
      <c r="S80" s="32"/>
      <c r="T80" s="34"/>
      <c r="U80" s="188"/>
    </row>
    <row r="81" spans="1:21" ht="21" customHeight="1" x14ac:dyDescent="0.2">
      <c r="A81" s="193"/>
      <c r="B81" s="193"/>
      <c r="C81" s="62" t="s">
        <v>113</v>
      </c>
      <c r="D81" s="105" t="s">
        <v>94</v>
      </c>
      <c r="E81" s="111">
        <f t="shared" si="40"/>
        <v>30</v>
      </c>
      <c r="F81" s="111">
        <f t="shared" si="39"/>
        <v>30</v>
      </c>
      <c r="G81" s="112">
        <v>4</v>
      </c>
      <c r="H81" s="113">
        <f t="shared" si="31"/>
        <v>120</v>
      </c>
      <c r="I81" s="114">
        <v>0.33400000000000002</v>
      </c>
      <c r="J81" s="115">
        <f t="shared" si="32"/>
        <v>40.080000000000005</v>
      </c>
      <c r="K81" s="113">
        <f t="shared" si="33"/>
        <v>0</v>
      </c>
      <c r="L81" s="112">
        <f t="shared" si="34"/>
        <v>4</v>
      </c>
      <c r="M81" s="113">
        <v>0</v>
      </c>
      <c r="N81" s="116">
        <f t="shared" si="35"/>
        <v>0.33400000000000002</v>
      </c>
      <c r="O81" s="113">
        <f t="shared" si="36"/>
        <v>0</v>
      </c>
      <c r="P81" s="115">
        <f t="shared" si="37"/>
        <v>40.080000000000005</v>
      </c>
      <c r="Q81" s="98">
        <v>53.15</v>
      </c>
      <c r="R81" s="185">
        <f t="shared" si="38"/>
        <v>2130.2520000000004</v>
      </c>
      <c r="S81" s="32"/>
      <c r="T81" s="34"/>
      <c r="U81" s="188"/>
    </row>
    <row r="82" spans="1:21" ht="21" customHeight="1" x14ac:dyDescent="0.2">
      <c r="A82" s="193"/>
      <c r="B82" s="193"/>
      <c r="C82" s="62" t="s">
        <v>92</v>
      </c>
      <c r="D82" s="105" t="s">
        <v>95</v>
      </c>
      <c r="E82" s="111">
        <f t="shared" si="40"/>
        <v>30</v>
      </c>
      <c r="F82" s="111">
        <f t="shared" si="39"/>
        <v>30</v>
      </c>
      <c r="G82" s="112">
        <v>1</v>
      </c>
      <c r="H82" s="113">
        <f t="shared" si="31"/>
        <v>30</v>
      </c>
      <c r="I82" s="114">
        <v>0.25</v>
      </c>
      <c r="J82" s="115">
        <f t="shared" si="32"/>
        <v>7.5</v>
      </c>
      <c r="K82" s="113">
        <f t="shared" si="33"/>
        <v>0</v>
      </c>
      <c r="L82" s="112">
        <f t="shared" si="34"/>
        <v>1</v>
      </c>
      <c r="M82" s="113">
        <f>+K82*L82</f>
        <v>0</v>
      </c>
      <c r="N82" s="116">
        <f t="shared" si="35"/>
        <v>0.25</v>
      </c>
      <c r="O82" s="113">
        <f t="shared" si="36"/>
        <v>0</v>
      </c>
      <c r="P82" s="115">
        <f t="shared" si="37"/>
        <v>7.5</v>
      </c>
      <c r="Q82" s="98">
        <v>53.15</v>
      </c>
      <c r="R82" s="185">
        <f t="shared" si="38"/>
        <v>398.625</v>
      </c>
      <c r="S82" s="32"/>
      <c r="T82" s="34"/>
      <c r="U82" s="188"/>
    </row>
    <row r="83" spans="1:21" ht="21" customHeight="1" x14ac:dyDescent="0.2">
      <c r="A83" s="193"/>
      <c r="B83" s="193"/>
      <c r="C83" s="62" t="s">
        <v>80</v>
      </c>
      <c r="D83" s="105" t="s">
        <v>67</v>
      </c>
      <c r="E83" s="111">
        <f t="shared" si="40"/>
        <v>30</v>
      </c>
      <c r="F83" s="111">
        <f t="shared" si="39"/>
        <v>30</v>
      </c>
      <c r="G83" s="112">
        <v>1</v>
      </c>
      <c r="H83" s="113">
        <f t="shared" si="31"/>
        <v>30</v>
      </c>
      <c r="I83" s="114">
        <v>8.3500000000000005E-2</v>
      </c>
      <c r="J83" s="115">
        <f t="shared" ref="J83:J89" si="41">(H83*I83)</f>
        <v>2.5050000000000003</v>
      </c>
      <c r="K83" s="113">
        <f t="shared" ref="K83:K89" si="42">(E83-F83)</f>
        <v>0</v>
      </c>
      <c r="L83" s="112">
        <f t="shared" ref="L83:L89" si="43">(G83)</f>
        <v>1</v>
      </c>
      <c r="M83" s="113">
        <v>0</v>
      </c>
      <c r="N83" s="116">
        <f t="shared" ref="N83:N89" si="44">(I83)</f>
        <v>8.3500000000000005E-2</v>
      </c>
      <c r="O83" s="113">
        <f t="shared" ref="O83:O119" si="45">(N83*M83)</f>
        <v>0</v>
      </c>
      <c r="P83" s="115">
        <f t="shared" ref="P83:P89" si="46">(J83+O83)</f>
        <v>2.5050000000000003</v>
      </c>
      <c r="Q83" s="98">
        <v>53.15</v>
      </c>
      <c r="R83" s="185">
        <f t="shared" ref="R83:R89" si="47">(P83*Q83)</f>
        <v>133.14075000000003</v>
      </c>
      <c r="S83" s="36"/>
      <c r="T83" s="34"/>
      <c r="U83" s="188"/>
    </row>
    <row r="84" spans="1:21" ht="21" customHeight="1" x14ac:dyDescent="0.2">
      <c r="A84" s="193"/>
      <c r="B84" s="193"/>
      <c r="C84" s="62" t="s">
        <v>81</v>
      </c>
      <c r="D84" s="105" t="s">
        <v>67</v>
      </c>
      <c r="E84" s="111">
        <f t="shared" si="40"/>
        <v>30</v>
      </c>
      <c r="F84" s="111">
        <f t="shared" si="39"/>
        <v>30</v>
      </c>
      <c r="G84" s="112">
        <v>1</v>
      </c>
      <c r="H84" s="113">
        <f t="shared" si="31"/>
        <v>30</v>
      </c>
      <c r="I84" s="114">
        <v>1.5</v>
      </c>
      <c r="J84" s="115">
        <f t="shared" si="41"/>
        <v>45</v>
      </c>
      <c r="K84" s="113">
        <f t="shared" si="42"/>
        <v>0</v>
      </c>
      <c r="L84" s="112">
        <f t="shared" si="43"/>
        <v>1</v>
      </c>
      <c r="M84" s="113">
        <v>0</v>
      </c>
      <c r="N84" s="116">
        <f t="shared" si="44"/>
        <v>1.5</v>
      </c>
      <c r="O84" s="113">
        <f t="shared" si="45"/>
        <v>0</v>
      </c>
      <c r="P84" s="115">
        <f t="shared" si="46"/>
        <v>45</v>
      </c>
      <c r="Q84" s="98">
        <v>53.15</v>
      </c>
      <c r="R84" s="185">
        <f t="shared" si="47"/>
        <v>2391.75</v>
      </c>
      <c r="S84" s="36"/>
      <c r="T84" s="34"/>
      <c r="U84" s="188"/>
    </row>
    <row r="85" spans="1:21" ht="21" customHeight="1" x14ac:dyDescent="0.2">
      <c r="A85" s="193"/>
      <c r="B85" s="193"/>
      <c r="C85" s="62" t="s">
        <v>125</v>
      </c>
      <c r="D85" s="105" t="s">
        <v>71</v>
      </c>
      <c r="E85" s="111">
        <f t="shared" si="40"/>
        <v>30</v>
      </c>
      <c r="F85" s="111">
        <f t="shared" si="39"/>
        <v>30</v>
      </c>
      <c r="G85" s="112">
        <v>1</v>
      </c>
      <c r="H85" s="113">
        <f t="shared" si="31"/>
        <v>30</v>
      </c>
      <c r="I85" s="114">
        <v>1.67E-2</v>
      </c>
      <c r="J85" s="115">
        <f t="shared" si="41"/>
        <v>0.501</v>
      </c>
      <c r="K85" s="113">
        <f t="shared" si="42"/>
        <v>0</v>
      </c>
      <c r="L85" s="112">
        <f t="shared" si="43"/>
        <v>1</v>
      </c>
      <c r="M85" s="113">
        <v>0</v>
      </c>
      <c r="N85" s="116">
        <f t="shared" si="44"/>
        <v>1.67E-2</v>
      </c>
      <c r="O85" s="113">
        <f t="shared" si="45"/>
        <v>0</v>
      </c>
      <c r="P85" s="115">
        <f t="shared" si="46"/>
        <v>0.501</v>
      </c>
      <c r="Q85" s="98">
        <v>53.15</v>
      </c>
      <c r="R85" s="185">
        <f t="shared" si="47"/>
        <v>26.628149999999998</v>
      </c>
      <c r="S85" s="36"/>
      <c r="T85" s="34"/>
      <c r="U85" s="188"/>
    </row>
    <row r="86" spans="1:21" ht="21" customHeight="1" x14ac:dyDescent="0.2">
      <c r="A86" s="193"/>
      <c r="B86" s="193"/>
      <c r="C86" s="62" t="s">
        <v>82</v>
      </c>
      <c r="D86" s="105" t="s">
        <v>72</v>
      </c>
      <c r="E86" s="111">
        <f t="shared" si="40"/>
        <v>30</v>
      </c>
      <c r="F86" s="111">
        <f t="shared" si="39"/>
        <v>30</v>
      </c>
      <c r="G86" s="112">
        <v>4</v>
      </c>
      <c r="H86" s="113">
        <f t="shared" si="31"/>
        <v>120</v>
      </c>
      <c r="I86" s="114">
        <f>(I7)</f>
        <v>1.67E-2</v>
      </c>
      <c r="J86" s="115">
        <f t="shared" si="41"/>
        <v>2.004</v>
      </c>
      <c r="K86" s="113">
        <f t="shared" si="42"/>
        <v>0</v>
      </c>
      <c r="L86" s="112">
        <f t="shared" si="43"/>
        <v>4</v>
      </c>
      <c r="M86" s="113">
        <v>0</v>
      </c>
      <c r="N86" s="116">
        <f t="shared" si="44"/>
        <v>1.67E-2</v>
      </c>
      <c r="O86" s="113">
        <f t="shared" si="45"/>
        <v>0</v>
      </c>
      <c r="P86" s="115">
        <f t="shared" si="46"/>
        <v>2.004</v>
      </c>
      <c r="Q86" s="98">
        <v>53.15</v>
      </c>
      <c r="R86" s="185">
        <f t="shared" si="47"/>
        <v>106.51259999999999</v>
      </c>
      <c r="S86" s="36"/>
      <c r="T86" s="34"/>
      <c r="U86" s="188"/>
    </row>
    <row r="87" spans="1:21" ht="21" customHeight="1" x14ac:dyDescent="0.2">
      <c r="A87" s="193"/>
      <c r="B87" s="193"/>
      <c r="C87" s="62" t="s">
        <v>83</v>
      </c>
      <c r="D87" s="105" t="s">
        <v>73</v>
      </c>
      <c r="E87" s="111">
        <f t="shared" si="40"/>
        <v>30</v>
      </c>
      <c r="F87" s="111">
        <f t="shared" si="39"/>
        <v>30</v>
      </c>
      <c r="G87" s="112">
        <v>1</v>
      </c>
      <c r="H87" s="113">
        <f t="shared" si="31"/>
        <v>30</v>
      </c>
      <c r="I87" s="114">
        <f>(I7)</f>
        <v>1.67E-2</v>
      </c>
      <c r="J87" s="115">
        <f t="shared" si="41"/>
        <v>0.501</v>
      </c>
      <c r="K87" s="113">
        <f t="shared" si="42"/>
        <v>0</v>
      </c>
      <c r="L87" s="112">
        <f t="shared" si="43"/>
        <v>1</v>
      </c>
      <c r="M87" s="113">
        <v>0</v>
      </c>
      <c r="N87" s="116">
        <f t="shared" si="44"/>
        <v>1.67E-2</v>
      </c>
      <c r="O87" s="113">
        <f t="shared" si="45"/>
        <v>0</v>
      </c>
      <c r="P87" s="115">
        <f t="shared" si="46"/>
        <v>0.501</v>
      </c>
      <c r="Q87" s="98">
        <v>53.15</v>
      </c>
      <c r="R87" s="185">
        <f t="shared" si="47"/>
        <v>26.628149999999998</v>
      </c>
      <c r="S87" s="36"/>
      <c r="T87" s="34"/>
      <c r="U87" s="188"/>
    </row>
    <row r="88" spans="1:21" ht="21" customHeight="1" x14ac:dyDescent="0.2">
      <c r="A88" s="193"/>
      <c r="B88" s="193"/>
      <c r="C88" s="62" t="s">
        <v>84</v>
      </c>
      <c r="D88" s="105" t="s">
        <v>94</v>
      </c>
      <c r="E88" s="111">
        <f t="shared" si="40"/>
        <v>30</v>
      </c>
      <c r="F88" s="111">
        <f t="shared" si="39"/>
        <v>30</v>
      </c>
      <c r="G88" s="112">
        <v>4</v>
      </c>
      <c r="H88" s="113">
        <f t="shared" si="31"/>
        <v>120</v>
      </c>
      <c r="I88" s="114">
        <v>0.33400000000000002</v>
      </c>
      <c r="J88" s="115">
        <f t="shared" si="41"/>
        <v>40.080000000000005</v>
      </c>
      <c r="K88" s="113">
        <f t="shared" si="42"/>
        <v>0</v>
      </c>
      <c r="L88" s="112">
        <f t="shared" si="43"/>
        <v>4</v>
      </c>
      <c r="M88" s="113">
        <v>0</v>
      </c>
      <c r="N88" s="116">
        <f t="shared" si="44"/>
        <v>0.33400000000000002</v>
      </c>
      <c r="O88" s="113">
        <f t="shared" si="45"/>
        <v>0</v>
      </c>
      <c r="P88" s="115">
        <f t="shared" si="46"/>
        <v>40.080000000000005</v>
      </c>
      <c r="Q88" s="98">
        <v>53.15</v>
      </c>
      <c r="R88" s="185">
        <f t="shared" si="47"/>
        <v>2130.2520000000004</v>
      </c>
      <c r="S88" s="36"/>
      <c r="T88" s="34"/>
      <c r="U88" s="188"/>
    </row>
    <row r="89" spans="1:21" ht="21" customHeight="1" x14ac:dyDescent="0.2">
      <c r="A89" s="193"/>
      <c r="B89" s="193"/>
      <c r="C89" s="62" t="s">
        <v>79</v>
      </c>
      <c r="D89" s="105" t="s">
        <v>95</v>
      </c>
      <c r="E89" s="111">
        <f t="shared" si="40"/>
        <v>30</v>
      </c>
      <c r="F89" s="111">
        <f t="shared" si="39"/>
        <v>30</v>
      </c>
      <c r="G89" s="112">
        <v>1</v>
      </c>
      <c r="H89" s="113">
        <f t="shared" si="31"/>
        <v>30</v>
      </c>
      <c r="I89" s="114">
        <v>0.25</v>
      </c>
      <c r="J89" s="115">
        <f t="shared" si="41"/>
        <v>7.5</v>
      </c>
      <c r="K89" s="113">
        <f t="shared" si="42"/>
        <v>0</v>
      </c>
      <c r="L89" s="112">
        <f t="shared" si="43"/>
        <v>1</v>
      </c>
      <c r="M89" s="113">
        <f>+K89*L89</f>
        <v>0</v>
      </c>
      <c r="N89" s="116">
        <f t="shared" si="44"/>
        <v>0.25</v>
      </c>
      <c r="O89" s="113">
        <f t="shared" si="45"/>
        <v>0</v>
      </c>
      <c r="P89" s="115">
        <f t="shared" si="46"/>
        <v>7.5</v>
      </c>
      <c r="Q89" s="98">
        <v>53.15</v>
      </c>
      <c r="R89" s="185">
        <f t="shared" si="47"/>
        <v>398.625</v>
      </c>
      <c r="S89" s="36"/>
      <c r="T89" s="34"/>
      <c r="U89" s="188"/>
    </row>
    <row r="90" spans="1:21" ht="21" customHeight="1" x14ac:dyDescent="0.2">
      <c r="A90" s="193"/>
      <c r="B90" s="193"/>
      <c r="C90" s="62" t="s">
        <v>85</v>
      </c>
      <c r="D90" s="105" t="s">
        <v>72</v>
      </c>
      <c r="E90" s="111">
        <f t="shared" si="40"/>
        <v>30</v>
      </c>
      <c r="F90" s="111">
        <f t="shared" si="39"/>
        <v>30</v>
      </c>
      <c r="G90" s="112">
        <v>4</v>
      </c>
      <c r="H90" s="113">
        <f t="shared" si="31"/>
        <v>120</v>
      </c>
      <c r="I90" s="114">
        <f>(I7)</f>
        <v>1.67E-2</v>
      </c>
      <c r="J90" s="115">
        <f t="shared" ref="J90:J118" si="48">(H90*I90)</f>
        <v>2.004</v>
      </c>
      <c r="K90" s="113">
        <f t="shared" ref="K90:K118" si="49">(E90-F90)</f>
        <v>0</v>
      </c>
      <c r="L90" s="112">
        <f t="shared" ref="L90:L118" si="50">(G90)</f>
        <v>4</v>
      </c>
      <c r="M90" s="113">
        <f t="shared" ref="M90:M119" si="51">+K90*L90</f>
        <v>0</v>
      </c>
      <c r="N90" s="116">
        <f t="shared" ref="N90:N118" si="52">(I90)</f>
        <v>1.67E-2</v>
      </c>
      <c r="O90" s="113">
        <f t="shared" si="45"/>
        <v>0</v>
      </c>
      <c r="P90" s="115">
        <f t="shared" ref="P90:P118" si="53">(J90+O90)</f>
        <v>2.004</v>
      </c>
      <c r="Q90" s="98">
        <v>53.15</v>
      </c>
      <c r="R90" s="185">
        <f t="shared" ref="R90:R118" si="54">(P90*Q90)</f>
        <v>106.51259999999999</v>
      </c>
      <c r="S90" s="36"/>
      <c r="T90" s="34"/>
      <c r="U90" s="188"/>
    </row>
    <row r="91" spans="1:21" ht="21" customHeight="1" x14ac:dyDescent="0.2">
      <c r="A91" s="193"/>
      <c r="B91" s="193"/>
      <c r="C91" s="62" t="s">
        <v>86</v>
      </c>
      <c r="D91" s="105" t="s">
        <v>73</v>
      </c>
      <c r="E91" s="111">
        <f t="shared" si="40"/>
        <v>30</v>
      </c>
      <c r="F91" s="111">
        <f t="shared" si="39"/>
        <v>30</v>
      </c>
      <c r="G91" s="112">
        <v>1</v>
      </c>
      <c r="H91" s="113">
        <f t="shared" si="31"/>
        <v>30</v>
      </c>
      <c r="I91" s="114">
        <f>(I7)</f>
        <v>1.67E-2</v>
      </c>
      <c r="J91" s="115">
        <f t="shared" si="48"/>
        <v>0.501</v>
      </c>
      <c r="K91" s="113">
        <f t="shared" si="49"/>
        <v>0</v>
      </c>
      <c r="L91" s="112">
        <f t="shared" si="50"/>
        <v>1</v>
      </c>
      <c r="M91" s="113">
        <f t="shared" si="51"/>
        <v>0</v>
      </c>
      <c r="N91" s="116">
        <f t="shared" si="52"/>
        <v>1.67E-2</v>
      </c>
      <c r="O91" s="113">
        <f t="shared" si="45"/>
        <v>0</v>
      </c>
      <c r="P91" s="115">
        <f t="shared" si="53"/>
        <v>0.501</v>
      </c>
      <c r="Q91" s="98">
        <v>53.15</v>
      </c>
      <c r="R91" s="185">
        <f t="shared" si="54"/>
        <v>26.628149999999998</v>
      </c>
      <c r="S91" s="36"/>
      <c r="T91" s="34"/>
      <c r="U91" s="188"/>
    </row>
    <row r="92" spans="1:21" ht="21" customHeight="1" x14ac:dyDescent="0.2">
      <c r="A92" s="193"/>
      <c r="B92" s="193"/>
      <c r="C92" s="62" t="s">
        <v>87</v>
      </c>
      <c r="D92" s="105" t="s">
        <v>94</v>
      </c>
      <c r="E92" s="111">
        <f t="shared" si="40"/>
        <v>30</v>
      </c>
      <c r="F92" s="111">
        <f t="shared" si="39"/>
        <v>30</v>
      </c>
      <c r="G92" s="112">
        <v>4</v>
      </c>
      <c r="H92" s="113">
        <f t="shared" si="31"/>
        <v>120</v>
      </c>
      <c r="I92" s="114">
        <v>0.33400000000000002</v>
      </c>
      <c r="J92" s="115">
        <f t="shared" si="48"/>
        <v>40.080000000000005</v>
      </c>
      <c r="K92" s="113">
        <f t="shared" si="49"/>
        <v>0</v>
      </c>
      <c r="L92" s="112">
        <f t="shared" si="50"/>
        <v>4</v>
      </c>
      <c r="M92" s="113">
        <f t="shared" si="51"/>
        <v>0</v>
      </c>
      <c r="N92" s="116">
        <f t="shared" si="52"/>
        <v>0.33400000000000002</v>
      </c>
      <c r="O92" s="113">
        <f t="shared" si="45"/>
        <v>0</v>
      </c>
      <c r="P92" s="115">
        <f t="shared" si="53"/>
        <v>40.080000000000005</v>
      </c>
      <c r="Q92" s="98">
        <v>53.15</v>
      </c>
      <c r="R92" s="185">
        <f t="shared" si="54"/>
        <v>2130.2520000000004</v>
      </c>
      <c r="S92" s="36"/>
      <c r="T92" s="34"/>
      <c r="U92" s="188"/>
    </row>
    <row r="93" spans="1:21" ht="21" customHeight="1" x14ac:dyDescent="0.2">
      <c r="A93" s="193"/>
      <c r="B93" s="193"/>
      <c r="C93" s="62" t="s">
        <v>96</v>
      </c>
      <c r="D93" s="105" t="s">
        <v>95</v>
      </c>
      <c r="E93" s="111">
        <f t="shared" si="40"/>
        <v>30</v>
      </c>
      <c r="F93" s="111">
        <f t="shared" ref="F93:F95" si="55">E93</f>
        <v>30</v>
      </c>
      <c r="G93" s="112">
        <v>1</v>
      </c>
      <c r="H93" s="113">
        <f t="shared" si="31"/>
        <v>30</v>
      </c>
      <c r="I93" s="114">
        <f>(I42)</f>
        <v>0.25</v>
      </c>
      <c r="J93" s="115">
        <f t="shared" si="48"/>
        <v>7.5</v>
      </c>
      <c r="K93" s="113">
        <f t="shared" si="49"/>
        <v>0</v>
      </c>
      <c r="L93" s="112">
        <f t="shared" si="50"/>
        <v>1</v>
      </c>
      <c r="M93" s="113">
        <f t="shared" si="51"/>
        <v>0</v>
      </c>
      <c r="N93" s="116">
        <f t="shared" si="52"/>
        <v>0.25</v>
      </c>
      <c r="O93" s="113">
        <f t="shared" si="45"/>
        <v>0</v>
      </c>
      <c r="P93" s="115">
        <f t="shared" si="53"/>
        <v>7.5</v>
      </c>
      <c r="Q93" s="98">
        <v>53.15</v>
      </c>
      <c r="R93" s="185">
        <f t="shared" si="54"/>
        <v>398.625</v>
      </c>
      <c r="S93" s="38"/>
      <c r="T93" s="34"/>
      <c r="U93" s="188"/>
    </row>
    <row r="94" spans="1:21" ht="21" customHeight="1" x14ac:dyDescent="0.2">
      <c r="A94" s="193"/>
      <c r="B94" s="193"/>
      <c r="C94" s="63" t="s">
        <v>112</v>
      </c>
      <c r="D94" s="104" t="s">
        <v>153</v>
      </c>
      <c r="E94" s="103">
        <v>30</v>
      </c>
      <c r="F94" s="111">
        <f t="shared" si="55"/>
        <v>30</v>
      </c>
      <c r="G94" s="112">
        <v>1</v>
      </c>
      <c r="H94" s="113">
        <f t="shared" si="31"/>
        <v>30</v>
      </c>
      <c r="I94" s="114">
        <v>5.0099999999999999E-2</v>
      </c>
      <c r="J94" s="115">
        <f t="shared" si="48"/>
        <v>1.5029999999999999</v>
      </c>
      <c r="K94" s="113">
        <f t="shared" si="49"/>
        <v>0</v>
      </c>
      <c r="L94" s="112">
        <f t="shared" si="50"/>
        <v>1</v>
      </c>
      <c r="M94" s="113">
        <f t="shared" si="51"/>
        <v>0</v>
      </c>
      <c r="N94" s="116">
        <f t="shared" si="52"/>
        <v>5.0099999999999999E-2</v>
      </c>
      <c r="O94" s="113">
        <f t="shared" si="45"/>
        <v>0</v>
      </c>
      <c r="P94" s="115">
        <f t="shared" si="53"/>
        <v>1.5029999999999999</v>
      </c>
      <c r="Q94" s="102">
        <v>53.15</v>
      </c>
      <c r="R94" s="185">
        <f t="shared" si="54"/>
        <v>79.884449999999987</v>
      </c>
      <c r="S94" s="133"/>
      <c r="T94" s="34"/>
      <c r="U94" s="188"/>
    </row>
    <row r="95" spans="1:21" ht="22.5" customHeight="1" x14ac:dyDescent="0.2">
      <c r="A95" s="193"/>
      <c r="B95" s="193"/>
      <c r="C95" s="62" t="s">
        <v>162</v>
      </c>
      <c r="D95" s="105" t="s">
        <v>72</v>
      </c>
      <c r="E95" s="111">
        <v>20</v>
      </c>
      <c r="F95" s="111">
        <f t="shared" si="55"/>
        <v>20</v>
      </c>
      <c r="G95" s="112">
        <v>2</v>
      </c>
      <c r="H95" s="113">
        <f t="shared" si="31"/>
        <v>40</v>
      </c>
      <c r="I95" s="114">
        <f>0.0334</f>
        <v>3.3399999999999999E-2</v>
      </c>
      <c r="J95" s="115">
        <f t="shared" si="48"/>
        <v>1.3359999999999999</v>
      </c>
      <c r="K95" s="113">
        <f t="shared" si="49"/>
        <v>0</v>
      </c>
      <c r="L95" s="112">
        <f t="shared" si="50"/>
        <v>2</v>
      </c>
      <c r="M95" s="113">
        <f t="shared" si="51"/>
        <v>0</v>
      </c>
      <c r="N95" s="116">
        <f t="shared" si="52"/>
        <v>3.3399999999999999E-2</v>
      </c>
      <c r="O95" s="113">
        <f t="shared" si="45"/>
        <v>0</v>
      </c>
      <c r="P95" s="115">
        <f t="shared" si="53"/>
        <v>1.3359999999999999</v>
      </c>
      <c r="Q95" s="98">
        <v>0</v>
      </c>
      <c r="R95" s="185">
        <f t="shared" si="54"/>
        <v>0</v>
      </c>
      <c r="S95" s="34"/>
      <c r="T95" s="34"/>
      <c r="U95" s="188"/>
    </row>
    <row r="96" spans="1:21" ht="22.5" customHeight="1" x14ac:dyDescent="0.2">
      <c r="A96" s="193"/>
      <c r="B96" s="193"/>
      <c r="C96" s="62" t="s">
        <v>163</v>
      </c>
      <c r="D96" s="105" t="s">
        <v>94</v>
      </c>
      <c r="E96" s="111">
        <v>20</v>
      </c>
      <c r="F96" s="111">
        <v>20</v>
      </c>
      <c r="G96" s="112">
        <v>2</v>
      </c>
      <c r="H96" s="113">
        <f t="shared" si="31"/>
        <v>40</v>
      </c>
      <c r="I96" s="114">
        <v>0.33400000000000002</v>
      </c>
      <c r="J96" s="115">
        <f t="shared" si="48"/>
        <v>13.360000000000001</v>
      </c>
      <c r="K96" s="113">
        <f t="shared" si="49"/>
        <v>0</v>
      </c>
      <c r="L96" s="112">
        <f t="shared" si="50"/>
        <v>2</v>
      </c>
      <c r="M96" s="113">
        <f t="shared" si="51"/>
        <v>0</v>
      </c>
      <c r="N96" s="116">
        <f t="shared" si="52"/>
        <v>0.33400000000000002</v>
      </c>
      <c r="O96" s="113">
        <f t="shared" si="45"/>
        <v>0</v>
      </c>
      <c r="P96" s="115">
        <f t="shared" si="53"/>
        <v>13.360000000000001</v>
      </c>
      <c r="Q96" s="98">
        <v>56.74</v>
      </c>
      <c r="R96" s="185">
        <f t="shared" si="54"/>
        <v>758.04640000000006</v>
      </c>
      <c r="S96" s="34"/>
      <c r="T96" s="34"/>
      <c r="U96" s="188"/>
    </row>
    <row r="97" spans="1:21" ht="22.5" customHeight="1" x14ac:dyDescent="0.2">
      <c r="A97" s="193"/>
      <c r="B97" s="193"/>
      <c r="C97" s="62" t="s">
        <v>164</v>
      </c>
      <c r="D97" s="105" t="s">
        <v>67</v>
      </c>
      <c r="E97" s="111">
        <v>20</v>
      </c>
      <c r="F97" s="111">
        <v>20</v>
      </c>
      <c r="G97" s="112">
        <v>1</v>
      </c>
      <c r="H97" s="113">
        <f t="shared" si="31"/>
        <v>20</v>
      </c>
      <c r="I97" s="114">
        <v>8.3500000000000005E-2</v>
      </c>
      <c r="J97" s="115">
        <f t="shared" si="48"/>
        <v>1.6700000000000002</v>
      </c>
      <c r="K97" s="113">
        <f t="shared" si="49"/>
        <v>0</v>
      </c>
      <c r="L97" s="112">
        <f t="shared" si="50"/>
        <v>1</v>
      </c>
      <c r="M97" s="113">
        <f t="shared" si="51"/>
        <v>0</v>
      </c>
      <c r="N97" s="116">
        <f t="shared" si="52"/>
        <v>8.3500000000000005E-2</v>
      </c>
      <c r="O97" s="113">
        <f t="shared" si="45"/>
        <v>0</v>
      </c>
      <c r="P97" s="115">
        <f t="shared" si="53"/>
        <v>1.6700000000000002</v>
      </c>
      <c r="Q97" s="98">
        <v>56.74</v>
      </c>
      <c r="R97" s="185">
        <f t="shared" si="54"/>
        <v>94.755800000000008</v>
      </c>
      <c r="S97" s="34"/>
      <c r="T97" s="34"/>
      <c r="U97" s="188"/>
    </row>
    <row r="98" spans="1:21" ht="22.5" customHeight="1" x14ac:dyDescent="0.2">
      <c r="A98" s="193"/>
      <c r="B98" s="193"/>
      <c r="C98" s="62" t="s">
        <v>170</v>
      </c>
      <c r="D98" s="105" t="s">
        <v>67</v>
      </c>
      <c r="E98" s="111">
        <v>20</v>
      </c>
      <c r="F98" s="111">
        <v>20</v>
      </c>
      <c r="G98" s="112">
        <v>1</v>
      </c>
      <c r="H98" s="113">
        <f t="shared" si="31"/>
        <v>20</v>
      </c>
      <c r="I98" s="114">
        <v>1.5</v>
      </c>
      <c r="J98" s="115">
        <f t="shared" si="48"/>
        <v>30</v>
      </c>
      <c r="K98" s="113">
        <f t="shared" si="49"/>
        <v>0</v>
      </c>
      <c r="L98" s="112">
        <f t="shared" si="50"/>
        <v>1</v>
      </c>
      <c r="M98" s="113">
        <f t="shared" si="51"/>
        <v>0</v>
      </c>
      <c r="N98" s="116">
        <f t="shared" si="52"/>
        <v>1.5</v>
      </c>
      <c r="O98" s="113">
        <f t="shared" si="45"/>
        <v>0</v>
      </c>
      <c r="P98" s="115">
        <f t="shared" si="53"/>
        <v>30</v>
      </c>
      <c r="Q98" s="98">
        <v>56.74</v>
      </c>
      <c r="R98" s="185">
        <f t="shared" si="54"/>
        <v>1702.2</v>
      </c>
      <c r="S98" s="34"/>
      <c r="T98" s="34"/>
      <c r="U98" s="188"/>
    </row>
    <row r="99" spans="1:21" ht="22.5" customHeight="1" x14ac:dyDescent="0.2">
      <c r="A99" s="193"/>
      <c r="B99" s="193"/>
      <c r="C99" s="62" t="s">
        <v>165</v>
      </c>
      <c r="D99" s="105" t="s">
        <v>71</v>
      </c>
      <c r="E99" s="111">
        <v>20</v>
      </c>
      <c r="F99" s="111">
        <v>20</v>
      </c>
      <c r="G99" s="112">
        <v>1</v>
      </c>
      <c r="H99" s="113">
        <f t="shared" si="31"/>
        <v>20</v>
      </c>
      <c r="I99" s="114">
        <v>1.67E-2</v>
      </c>
      <c r="J99" s="115">
        <f t="shared" si="48"/>
        <v>0.33399999999999996</v>
      </c>
      <c r="K99" s="113">
        <f t="shared" si="49"/>
        <v>0</v>
      </c>
      <c r="L99" s="112">
        <f t="shared" si="50"/>
        <v>1</v>
      </c>
      <c r="M99" s="113">
        <f t="shared" si="51"/>
        <v>0</v>
      </c>
      <c r="N99" s="116">
        <f t="shared" si="52"/>
        <v>1.67E-2</v>
      </c>
      <c r="O99" s="113">
        <f t="shared" si="45"/>
        <v>0</v>
      </c>
      <c r="P99" s="115">
        <f t="shared" si="53"/>
        <v>0.33399999999999996</v>
      </c>
      <c r="Q99" s="98">
        <v>56.74</v>
      </c>
      <c r="R99" s="185">
        <f t="shared" si="54"/>
        <v>18.951159999999998</v>
      </c>
      <c r="S99" s="34"/>
      <c r="T99" s="34"/>
      <c r="U99" s="188"/>
    </row>
    <row r="100" spans="1:21" ht="22.5" customHeight="1" x14ac:dyDescent="0.2">
      <c r="A100" s="193"/>
      <c r="B100" s="193"/>
      <c r="C100" s="62" t="s">
        <v>166</v>
      </c>
      <c r="D100" s="105" t="s">
        <v>72</v>
      </c>
      <c r="E100" s="111">
        <v>49</v>
      </c>
      <c r="F100" s="111">
        <v>49</v>
      </c>
      <c r="G100" s="118">
        <v>3.2244897959183674</v>
      </c>
      <c r="H100" s="113">
        <f t="shared" si="31"/>
        <v>158</v>
      </c>
      <c r="I100" s="114">
        <v>3.3399999999999999E-2</v>
      </c>
      <c r="J100" s="115">
        <f t="shared" si="48"/>
        <v>5.2771999999999997</v>
      </c>
      <c r="K100" s="113">
        <f t="shared" si="49"/>
        <v>0</v>
      </c>
      <c r="L100" s="112">
        <f t="shared" si="50"/>
        <v>3.2244897959183674</v>
      </c>
      <c r="M100" s="113">
        <f t="shared" si="51"/>
        <v>0</v>
      </c>
      <c r="N100" s="116">
        <f t="shared" si="52"/>
        <v>3.3399999999999999E-2</v>
      </c>
      <c r="O100" s="113">
        <f t="shared" si="45"/>
        <v>0</v>
      </c>
      <c r="P100" s="115">
        <f t="shared" si="53"/>
        <v>5.2771999999999997</v>
      </c>
      <c r="Q100" s="98">
        <v>56.74</v>
      </c>
      <c r="R100" s="185">
        <f t="shared" si="54"/>
        <v>299.42832799999996</v>
      </c>
      <c r="S100" s="34"/>
      <c r="T100" s="34"/>
      <c r="U100" s="188"/>
    </row>
    <row r="101" spans="1:21" ht="22.5" customHeight="1" x14ac:dyDescent="0.2">
      <c r="A101" s="193"/>
      <c r="B101" s="193"/>
      <c r="C101" s="62" t="s">
        <v>167</v>
      </c>
      <c r="D101" s="105" t="s">
        <v>73</v>
      </c>
      <c r="E101" s="111">
        <v>49</v>
      </c>
      <c r="F101" s="111">
        <v>49</v>
      </c>
      <c r="G101" s="112">
        <v>1</v>
      </c>
      <c r="H101" s="113">
        <f t="shared" si="31"/>
        <v>49</v>
      </c>
      <c r="I101" s="53">
        <f>I95</f>
        <v>3.3399999999999999E-2</v>
      </c>
      <c r="J101" s="115">
        <f t="shared" si="48"/>
        <v>1.6366000000000001</v>
      </c>
      <c r="K101" s="113">
        <f t="shared" si="49"/>
        <v>0</v>
      </c>
      <c r="L101" s="112">
        <f t="shared" si="50"/>
        <v>1</v>
      </c>
      <c r="M101" s="113">
        <f t="shared" si="51"/>
        <v>0</v>
      </c>
      <c r="N101" s="116">
        <f t="shared" si="52"/>
        <v>3.3399999999999999E-2</v>
      </c>
      <c r="O101" s="113">
        <f t="shared" si="45"/>
        <v>0</v>
      </c>
      <c r="P101" s="115">
        <f t="shared" si="53"/>
        <v>1.6366000000000001</v>
      </c>
      <c r="Q101" s="156">
        <v>56.74</v>
      </c>
      <c r="R101" s="185">
        <f t="shared" si="54"/>
        <v>92.860684000000006</v>
      </c>
      <c r="S101" s="34"/>
      <c r="T101" s="34"/>
      <c r="U101" s="188"/>
    </row>
    <row r="102" spans="1:21" ht="22.5" customHeight="1" x14ac:dyDescent="0.2">
      <c r="A102" s="193"/>
      <c r="B102" s="193"/>
      <c r="C102" s="62" t="s">
        <v>168</v>
      </c>
      <c r="D102" s="105" t="s">
        <v>94</v>
      </c>
      <c r="E102" s="111">
        <v>49</v>
      </c>
      <c r="F102" s="111">
        <v>49</v>
      </c>
      <c r="G102" s="118">
        <v>3.2244897959183674</v>
      </c>
      <c r="H102" s="113">
        <f t="shared" si="31"/>
        <v>158</v>
      </c>
      <c r="I102" s="114">
        <v>0.33400000000000002</v>
      </c>
      <c r="J102" s="115">
        <f t="shared" si="48"/>
        <v>52.772000000000006</v>
      </c>
      <c r="K102" s="113">
        <f t="shared" si="49"/>
        <v>0</v>
      </c>
      <c r="L102" s="112">
        <f t="shared" si="50"/>
        <v>3.2244897959183674</v>
      </c>
      <c r="M102" s="113">
        <f t="shared" si="51"/>
        <v>0</v>
      </c>
      <c r="N102" s="116">
        <f t="shared" si="52"/>
        <v>0.33400000000000002</v>
      </c>
      <c r="O102" s="113">
        <f t="shared" si="45"/>
        <v>0</v>
      </c>
      <c r="P102" s="115">
        <f t="shared" si="53"/>
        <v>52.772000000000006</v>
      </c>
      <c r="Q102" s="98">
        <v>56.74</v>
      </c>
      <c r="R102" s="185">
        <f t="shared" si="54"/>
        <v>2994.2832800000006</v>
      </c>
      <c r="S102" s="34"/>
      <c r="T102" s="34"/>
      <c r="U102" s="188"/>
    </row>
    <row r="103" spans="1:21" ht="22.5" customHeight="1" x14ac:dyDescent="0.2">
      <c r="A103" s="193"/>
      <c r="B103" s="193"/>
      <c r="C103" s="62" t="s">
        <v>169</v>
      </c>
      <c r="D103" s="105" t="s">
        <v>95</v>
      </c>
      <c r="E103" s="111">
        <v>20</v>
      </c>
      <c r="F103" s="111">
        <v>20</v>
      </c>
      <c r="G103" s="112">
        <v>1</v>
      </c>
      <c r="H103" s="113">
        <f t="shared" si="31"/>
        <v>20</v>
      </c>
      <c r="I103" s="114">
        <v>0.25</v>
      </c>
      <c r="J103" s="115">
        <f t="shared" si="48"/>
        <v>5</v>
      </c>
      <c r="K103" s="113">
        <f t="shared" si="49"/>
        <v>0</v>
      </c>
      <c r="L103" s="112">
        <f t="shared" si="50"/>
        <v>1</v>
      </c>
      <c r="M103" s="113">
        <f t="shared" si="51"/>
        <v>0</v>
      </c>
      <c r="N103" s="116">
        <f t="shared" si="52"/>
        <v>0.25</v>
      </c>
      <c r="O103" s="113">
        <f t="shared" si="45"/>
        <v>0</v>
      </c>
      <c r="P103" s="115">
        <f t="shared" si="53"/>
        <v>5</v>
      </c>
      <c r="Q103" s="98">
        <v>56.74</v>
      </c>
      <c r="R103" s="185">
        <f t="shared" si="54"/>
        <v>283.7</v>
      </c>
      <c r="T103" s="34"/>
      <c r="U103" s="188"/>
    </row>
    <row r="104" spans="1:21" s="84" customFormat="1" ht="22.5" customHeight="1" x14ac:dyDescent="0.2">
      <c r="A104" s="193"/>
      <c r="B104" s="193"/>
      <c r="C104" s="62" t="s">
        <v>193</v>
      </c>
      <c r="D104" s="105" t="s">
        <v>66</v>
      </c>
      <c r="E104" s="111">
        <f>'[2]FINI burden table'!E34</f>
        <v>40</v>
      </c>
      <c r="F104" s="111">
        <v>40</v>
      </c>
      <c r="G104" s="112">
        <v>1</v>
      </c>
      <c r="H104" s="113">
        <f t="shared" si="31"/>
        <v>40</v>
      </c>
      <c r="I104" s="114">
        <v>8.3500000000000005E-2</v>
      </c>
      <c r="J104" s="115">
        <f t="shared" si="48"/>
        <v>3.3400000000000003</v>
      </c>
      <c r="K104" s="113">
        <f t="shared" si="49"/>
        <v>0</v>
      </c>
      <c r="L104" s="112">
        <f t="shared" si="50"/>
        <v>1</v>
      </c>
      <c r="M104" s="113">
        <f t="shared" si="51"/>
        <v>0</v>
      </c>
      <c r="N104" s="116">
        <f t="shared" si="52"/>
        <v>8.3500000000000005E-2</v>
      </c>
      <c r="O104" s="113">
        <f t="shared" si="45"/>
        <v>0</v>
      </c>
      <c r="P104" s="115">
        <f t="shared" si="53"/>
        <v>3.3400000000000003</v>
      </c>
      <c r="Q104" s="98">
        <v>56.74</v>
      </c>
      <c r="R104" s="185">
        <f t="shared" si="54"/>
        <v>189.51160000000002</v>
      </c>
      <c r="S104" s="34"/>
      <c r="T104" s="34"/>
      <c r="U104" s="188"/>
    </row>
    <row r="105" spans="1:21" ht="22.5" customHeight="1" x14ac:dyDescent="0.2">
      <c r="A105" s="193"/>
      <c r="B105" s="193"/>
      <c r="C105" s="62" t="s">
        <v>171</v>
      </c>
      <c r="D105" s="105" t="s">
        <v>67</v>
      </c>
      <c r="E105" s="111">
        <f>'[2]FINI burden table'!E35</f>
        <v>40</v>
      </c>
      <c r="F105" s="111">
        <v>40</v>
      </c>
      <c r="G105" s="112">
        <v>1</v>
      </c>
      <c r="H105" s="113">
        <f t="shared" si="31"/>
        <v>40</v>
      </c>
      <c r="I105" s="114">
        <v>1.5</v>
      </c>
      <c r="J105" s="115">
        <f t="shared" si="48"/>
        <v>60</v>
      </c>
      <c r="K105" s="113">
        <f t="shared" si="49"/>
        <v>0</v>
      </c>
      <c r="L105" s="112">
        <f t="shared" si="50"/>
        <v>1</v>
      </c>
      <c r="M105" s="113">
        <f t="shared" si="51"/>
        <v>0</v>
      </c>
      <c r="N105" s="116">
        <f t="shared" si="52"/>
        <v>1.5</v>
      </c>
      <c r="O105" s="113">
        <f t="shared" si="45"/>
        <v>0</v>
      </c>
      <c r="P105" s="115">
        <f t="shared" si="53"/>
        <v>60</v>
      </c>
      <c r="Q105" s="98">
        <v>56.74</v>
      </c>
      <c r="R105" s="185">
        <f t="shared" si="54"/>
        <v>3404.4</v>
      </c>
      <c r="S105" s="34"/>
      <c r="T105" s="34"/>
      <c r="U105" s="188"/>
    </row>
    <row r="106" spans="1:21" ht="22.5" customHeight="1" x14ac:dyDescent="0.2">
      <c r="A106" s="193"/>
      <c r="B106" s="193"/>
      <c r="C106" s="62" t="s">
        <v>176</v>
      </c>
      <c r="D106" s="105" t="s">
        <v>71</v>
      </c>
      <c r="E106" s="111">
        <f>'[2]FINI burden table'!E36</f>
        <v>40</v>
      </c>
      <c r="F106" s="111">
        <v>40</v>
      </c>
      <c r="G106" s="112">
        <v>1</v>
      </c>
      <c r="H106" s="113">
        <f t="shared" si="31"/>
        <v>40</v>
      </c>
      <c r="I106" s="114">
        <v>1.67E-2</v>
      </c>
      <c r="J106" s="115">
        <f t="shared" si="48"/>
        <v>0.66799999999999993</v>
      </c>
      <c r="K106" s="113">
        <f t="shared" si="49"/>
        <v>0</v>
      </c>
      <c r="L106" s="112">
        <f t="shared" si="50"/>
        <v>1</v>
      </c>
      <c r="M106" s="113">
        <f t="shared" si="51"/>
        <v>0</v>
      </c>
      <c r="N106" s="116">
        <f t="shared" si="52"/>
        <v>1.67E-2</v>
      </c>
      <c r="O106" s="113">
        <f t="shared" si="45"/>
        <v>0</v>
      </c>
      <c r="P106" s="115">
        <f t="shared" si="53"/>
        <v>0.66799999999999993</v>
      </c>
      <c r="Q106" s="98">
        <v>56.74</v>
      </c>
      <c r="R106" s="185">
        <f t="shared" si="54"/>
        <v>37.902319999999996</v>
      </c>
      <c r="S106" s="34"/>
      <c r="T106" s="34"/>
      <c r="U106" s="188"/>
    </row>
    <row r="107" spans="1:21" ht="22.5" customHeight="1" x14ac:dyDescent="0.2">
      <c r="A107" s="193"/>
      <c r="B107" s="193"/>
      <c r="C107" s="62" t="s">
        <v>172</v>
      </c>
      <c r="D107" s="105" t="s">
        <v>72</v>
      </c>
      <c r="E107" s="111">
        <f>'[2]FINI burden table'!E37</f>
        <v>49</v>
      </c>
      <c r="F107" s="111">
        <v>49</v>
      </c>
      <c r="G107" s="112">
        <v>2</v>
      </c>
      <c r="H107" s="113">
        <f t="shared" si="31"/>
        <v>98</v>
      </c>
      <c r="I107" s="114">
        <v>0.25</v>
      </c>
      <c r="J107" s="115">
        <f t="shared" si="48"/>
        <v>24.5</v>
      </c>
      <c r="K107" s="113">
        <f t="shared" si="49"/>
        <v>0</v>
      </c>
      <c r="L107" s="112">
        <f t="shared" si="50"/>
        <v>2</v>
      </c>
      <c r="M107" s="113">
        <f t="shared" si="51"/>
        <v>0</v>
      </c>
      <c r="N107" s="116">
        <f t="shared" si="52"/>
        <v>0.25</v>
      </c>
      <c r="O107" s="113">
        <f t="shared" si="45"/>
        <v>0</v>
      </c>
      <c r="P107" s="115">
        <f t="shared" si="53"/>
        <v>24.5</v>
      </c>
      <c r="Q107" s="98">
        <v>56.74</v>
      </c>
      <c r="R107" s="185">
        <f t="shared" si="54"/>
        <v>1390.13</v>
      </c>
      <c r="S107" s="34"/>
      <c r="T107" s="34"/>
      <c r="U107" s="188"/>
    </row>
    <row r="108" spans="1:21" ht="22.5" customHeight="1" x14ac:dyDescent="0.2">
      <c r="A108" s="193"/>
      <c r="B108" s="193"/>
      <c r="C108" s="62" t="s">
        <v>173</v>
      </c>
      <c r="D108" s="105" t="s">
        <v>73</v>
      </c>
      <c r="E108" s="111">
        <f>'[2]FINI burden table'!E38</f>
        <v>49</v>
      </c>
      <c r="F108" s="111">
        <v>49</v>
      </c>
      <c r="G108" s="112">
        <v>1</v>
      </c>
      <c r="H108" s="113">
        <f t="shared" si="31"/>
        <v>49</v>
      </c>
      <c r="I108" s="114">
        <v>3.3399999999999999E-2</v>
      </c>
      <c r="J108" s="115">
        <f t="shared" si="48"/>
        <v>1.6366000000000001</v>
      </c>
      <c r="K108" s="113">
        <f t="shared" si="49"/>
        <v>0</v>
      </c>
      <c r="L108" s="112">
        <f t="shared" si="50"/>
        <v>1</v>
      </c>
      <c r="M108" s="113">
        <f t="shared" si="51"/>
        <v>0</v>
      </c>
      <c r="N108" s="116">
        <f t="shared" si="52"/>
        <v>3.3399999999999999E-2</v>
      </c>
      <c r="O108" s="113">
        <f t="shared" si="45"/>
        <v>0</v>
      </c>
      <c r="P108" s="115">
        <f t="shared" si="53"/>
        <v>1.6366000000000001</v>
      </c>
      <c r="Q108" s="98">
        <v>56.74</v>
      </c>
      <c r="R108" s="185">
        <f t="shared" si="54"/>
        <v>92.860684000000006</v>
      </c>
      <c r="S108" s="34"/>
      <c r="T108" s="34"/>
      <c r="U108" s="188"/>
    </row>
    <row r="109" spans="1:21" ht="22.5" customHeight="1" x14ac:dyDescent="0.2">
      <c r="A109" s="193"/>
      <c r="B109" s="193"/>
      <c r="C109" s="62" t="s">
        <v>174</v>
      </c>
      <c r="D109" s="105" t="s">
        <v>94</v>
      </c>
      <c r="E109" s="111">
        <f>'[2]FINI burden table'!E39</f>
        <v>49</v>
      </c>
      <c r="F109" s="111">
        <v>49</v>
      </c>
      <c r="G109" s="112">
        <v>2</v>
      </c>
      <c r="H109" s="113">
        <f t="shared" si="31"/>
        <v>98</v>
      </c>
      <c r="I109" s="114">
        <v>0.33400000000000002</v>
      </c>
      <c r="J109" s="115">
        <f t="shared" si="48"/>
        <v>32.731999999999999</v>
      </c>
      <c r="K109" s="113">
        <f t="shared" si="49"/>
        <v>0</v>
      </c>
      <c r="L109" s="112">
        <f t="shared" si="50"/>
        <v>2</v>
      </c>
      <c r="M109" s="113">
        <f t="shared" si="51"/>
        <v>0</v>
      </c>
      <c r="N109" s="116">
        <f t="shared" si="52"/>
        <v>0.33400000000000002</v>
      </c>
      <c r="O109" s="113">
        <f t="shared" si="45"/>
        <v>0</v>
      </c>
      <c r="P109" s="115">
        <f t="shared" si="53"/>
        <v>32.731999999999999</v>
      </c>
      <c r="Q109" s="98">
        <v>56.74</v>
      </c>
      <c r="R109" s="185">
        <f t="shared" si="54"/>
        <v>1857.2136800000001</v>
      </c>
      <c r="S109" s="34"/>
      <c r="T109" s="34"/>
      <c r="U109" s="188"/>
    </row>
    <row r="110" spans="1:21" ht="22.5" customHeight="1" x14ac:dyDescent="0.2">
      <c r="A110" s="193"/>
      <c r="B110" s="193"/>
      <c r="C110" s="62" t="s">
        <v>175</v>
      </c>
      <c r="D110" s="105" t="s">
        <v>95</v>
      </c>
      <c r="E110" s="111">
        <f>'[2]FINI burden table'!E40</f>
        <v>49</v>
      </c>
      <c r="F110" s="111">
        <v>49</v>
      </c>
      <c r="G110" s="112">
        <v>1</v>
      </c>
      <c r="H110" s="113">
        <f t="shared" si="31"/>
        <v>49</v>
      </c>
      <c r="I110" s="114">
        <v>0.25</v>
      </c>
      <c r="J110" s="115">
        <f t="shared" si="48"/>
        <v>12.25</v>
      </c>
      <c r="K110" s="113">
        <f t="shared" si="49"/>
        <v>0</v>
      </c>
      <c r="L110" s="112">
        <f t="shared" si="50"/>
        <v>1</v>
      </c>
      <c r="M110" s="113">
        <f t="shared" si="51"/>
        <v>0</v>
      </c>
      <c r="N110" s="116">
        <f t="shared" si="52"/>
        <v>0.25</v>
      </c>
      <c r="O110" s="113">
        <f t="shared" si="45"/>
        <v>0</v>
      </c>
      <c r="P110" s="115">
        <f t="shared" si="53"/>
        <v>12.25</v>
      </c>
      <c r="Q110" s="98">
        <v>56.74</v>
      </c>
      <c r="R110" s="185">
        <f t="shared" si="54"/>
        <v>695.06500000000005</v>
      </c>
      <c r="S110" s="34"/>
      <c r="T110" s="34"/>
      <c r="U110" s="188"/>
    </row>
    <row r="111" spans="1:21" ht="25.5" customHeight="1" x14ac:dyDescent="0.2">
      <c r="A111" s="193"/>
      <c r="B111" s="193"/>
      <c r="C111" s="62" t="s">
        <v>177</v>
      </c>
      <c r="D111" s="105" t="s">
        <v>97</v>
      </c>
      <c r="E111" s="111">
        <v>3600</v>
      </c>
      <c r="F111" s="111">
        <f>E111</f>
        <v>3600</v>
      </c>
      <c r="G111" s="112">
        <f>'[1]FINI burden table'!G40</f>
        <v>1</v>
      </c>
      <c r="H111" s="113">
        <f t="shared" si="31"/>
        <v>3600</v>
      </c>
      <c r="I111" s="114">
        <v>5.0099999999999999E-2</v>
      </c>
      <c r="J111" s="115">
        <f t="shared" si="48"/>
        <v>180.35999999999999</v>
      </c>
      <c r="K111" s="113">
        <f t="shared" si="49"/>
        <v>0</v>
      </c>
      <c r="L111" s="112">
        <f t="shared" si="50"/>
        <v>1</v>
      </c>
      <c r="M111" s="113">
        <f t="shared" si="51"/>
        <v>0</v>
      </c>
      <c r="N111" s="116">
        <f t="shared" si="52"/>
        <v>5.0099999999999999E-2</v>
      </c>
      <c r="O111" s="113">
        <f t="shared" si="45"/>
        <v>0</v>
      </c>
      <c r="P111" s="115">
        <f t="shared" si="53"/>
        <v>180.35999999999999</v>
      </c>
      <c r="Q111" s="98">
        <v>13.61</v>
      </c>
      <c r="R111" s="185">
        <f t="shared" si="54"/>
        <v>2454.6995999999999</v>
      </c>
      <c r="S111" s="34"/>
      <c r="T111" s="34"/>
      <c r="U111" s="188"/>
    </row>
    <row r="112" spans="1:21" ht="25.5" customHeight="1" x14ac:dyDescent="0.2">
      <c r="A112" s="193"/>
      <c r="B112" s="193"/>
      <c r="C112" s="62" t="s">
        <v>178</v>
      </c>
      <c r="D112" s="105" t="s">
        <v>152</v>
      </c>
      <c r="E112" s="111">
        <v>1800</v>
      </c>
      <c r="F112" s="97">
        <f>E112*0.95</f>
        <v>1710</v>
      </c>
      <c r="G112" s="112">
        <v>1</v>
      </c>
      <c r="H112" s="113">
        <f t="shared" si="31"/>
        <v>1710</v>
      </c>
      <c r="I112" s="114">
        <v>1.67E-2</v>
      </c>
      <c r="J112" s="115">
        <f t="shared" si="48"/>
        <v>28.556999999999999</v>
      </c>
      <c r="K112" s="113">
        <f t="shared" si="49"/>
        <v>90</v>
      </c>
      <c r="L112" s="112">
        <f t="shared" si="50"/>
        <v>1</v>
      </c>
      <c r="M112" s="113">
        <f t="shared" si="51"/>
        <v>90</v>
      </c>
      <c r="N112" s="116">
        <f t="shared" si="52"/>
        <v>1.67E-2</v>
      </c>
      <c r="O112" s="113">
        <f t="shared" si="45"/>
        <v>1.5029999999999999</v>
      </c>
      <c r="P112" s="115">
        <f t="shared" si="53"/>
        <v>30.06</v>
      </c>
      <c r="Q112" s="98">
        <v>13.61</v>
      </c>
      <c r="R112" s="185">
        <f t="shared" si="54"/>
        <v>409.11659999999995</v>
      </c>
      <c r="S112" s="34"/>
      <c r="T112" s="34"/>
      <c r="U112" s="188"/>
    </row>
    <row r="113" spans="1:21" ht="23.25" customHeight="1" x14ac:dyDescent="0.2">
      <c r="A113" s="193"/>
      <c r="B113" s="193"/>
      <c r="C113" s="62" t="s">
        <v>179</v>
      </c>
      <c r="D113" s="105" t="s">
        <v>151</v>
      </c>
      <c r="E113" s="111">
        <v>3600</v>
      </c>
      <c r="F113" s="97">
        <v>2880</v>
      </c>
      <c r="G113" s="112">
        <v>1</v>
      </c>
      <c r="H113" s="113">
        <f t="shared" si="31"/>
        <v>2880</v>
      </c>
      <c r="I113" s="114">
        <v>0.16700000000000001</v>
      </c>
      <c r="J113" s="115">
        <f t="shared" si="48"/>
        <v>480.96000000000004</v>
      </c>
      <c r="K113" s="113">
        <f t="shared" si="49"/>
        <v>720</v>
      </c>
      <c r="L113" s="112">
        <f t="shared" si="50"/>
        <v>1</v>
      </c>
      <c r="M113" s="113">
        <f t="shared" si="51"/>
        <v>720</v>
      </c>
      <c r="N113" s="116">
        <f t="shared" si="52"/>
        <v>0.16700000000000001</v>
      </c>
      <c r="O113" s="113">
        <f t="shared" si="45"/>
        <v>120.24000000000001</v>
      </c>
      <c r="P113" s="115">
        <f t="shared" si="53"/>
        <v>601.20000000000005</v>
      </c>
      <c r="Q113" s="98">
        <v>13.61</v>
      </c>
      <c r="R113" s="185">
        <f t="shared" si="54"/>
        <v>8182.3320000000003</v>
      </c>
      <c r="S113" s="34"/>
      <c r="T113" s="34"/>
      <c r="U113" s="188"/>
    </row>
    <row r="114" spans="1:21" ht="23.25" customHeight="1" x14ac:dyDescent="0.2">
      <c r="A114" s="193"/>
      <c r="B114" s="193"/>
      <c r="C114" s="62" t="s">
        <v>184</v>
      </c>
      <c r="D114" s="105" t="s">
        <v>98</v>
      </c>
      <c r="E114" s="111">
        <f>F113</f>
        <v>2880</v>
      </c>
      <c r="F114" s="97">
        <f>(E114)</f>
        <v>2880</v>
      </c>
      <c r="G114" s="112">
        <v>1</v>
      </c>
      <c r="H114" s="113">
        <f t="shared" si="31"/>
        <v>2880</v>
      </c>
      <c r="I114" s="114">
        <v>1.67E-2</v>
      </c>
      <c r="J114" s="115">
        <f t="shared" si="48"/>
        <v>48.095999999999997</v>
      </c>
      <c r="K114" s="113">
        <f t="shared" si="49"/>
        <v>0</v>
      </c>
      <c r="L114" s="112">
        <f t="shared" si="50"/>
        <v>1</v>
      </c>
      <c r="M114" s="113">
        <f t="shared" si="51"/>
        <v>0</v>
      </c>
      <c r="N114" s="116">
        <f t="shared" si="52"/>
        <v>1.67E-2</v>
      </c>
      <c r="O114" s="113">
        <f t="shared" si="45"/>
        <v>0</v>
      </c>
      <c r="P114" s="115">
        <f t="shared" si="53"/>
        <v>48.095999999999997</v>
      </c>
      <c r="Q114" s="98">
        <v>13.61</v>
      </c>
      <c r="R114" s="185">
        <f t="shared" si="54"/>
        <v>654.58655999999996</v>
      </c>
      <c r="S114" s="34"/>
      <c r="T114" s="34"/>
      <c r="U114" s="40"/>
    </row>
    <row r="115" spans="1:21" ht="25.5" customHeight="1" x14ac:dyDescent="0.2">
      <c r="A115" s="193"/>
      <c r="B115" s="193"/>
      <c r="C115" s="62" t="s">
        <v>180</v>
      </c>
      <c r="D115" s="105" t="s">
        <v>97</v>
      </c>
      <c r="E115" s="111">
        <v>3600</v>
      </c>
      <c r="F115" s="111">
        <f>E115</f>
        <v>3600</v>
      </c>
      <c r="G115" s="112">
        <f>'[1]FINI burden table'!G44</f>
        <v>1</v>
      </c>
      <c r="H115" s="113">
        <f t="shared" si="31"/>
        <v>3600</v>
      </c>
      <c r="I115" s="114">
        <v>5.0099999999999999E-2</v>
      </c>
      <c r="J115" s="115">
        <f t="shared" si="48"/>
        <v>180.35999999999999</v>
      </c>
      <c r="K115" s="113">
        <f t="shared" si="49"/>
        <v>0</v>
      </c>
      <c r="L115" s="112">
        <f t="shared" si="50"/>
        <v>1</v>
      </c>
      <c r="M115" s="113">
        <f t="shared" si="51"/>
        <v>0</v>
      </c>
      <c r="N115" s="116">
        <f t="shared" si="52"/>
        <v>5.0099999999999999E-2</v>
      </c>
      <c r="O115" s="113">
        <f t="shared" si="45"/>
        <v>0</v>
      </c>
      <c r="P115" s="115">
        <f t="shared" si="53"/>
        <v>180.35999999999999</v>
      </c>
      <c r="Q115" s="102">
        <v>13.42</v>
      </c>
      <c r="R115" s="185">
        <f t="shared" si="54"/>
        <v>2420.4312</v>
      </c>
      <c r="S115" s="34"/>
      <c r="T115" s="34"/>
      <c r="U115" s="67"/>
    </row>
    <row r="116" spans="1:21" ht="25.5" customHeight="1" x14ac:dyDescent="0.2">
      <c r="A116" s="193"/>
      <c r="B116" s="193"/>
      <c r="C116" s="62" t="s">
        <v>181</v>
      </c>
      <c r="D116" s="105" t="s">
        <v>152</v>
      </c>
      <c r="E116" s="101">
        <v>1800</v>
      </c>
      <c r="F116" s="101">
        <f>E116*0.95</f>
        <v>1710</v>
      </c>
      <c r="G116" s="112">
        <v>1</v>
      </c>
      <c r="H116" s="113">
        <f t="shared" si="31"/>
        <v>1710</v>
      </c>
      <c r="I116" s="114">
        <v>1.67E-2</v>
      </c>
      <c r="J116" s="115">
        <f t="shared" si="48"/>
        <v>28.556999999999999</v>
      </c>
      <c r="K116" s="113">
        <f t="shared" si="49"/>
        <v>90</v>
      </c>
      <c r="L116" s="112">
        <f t="shared" si="50"/>
        <v>1</v>
      </c>
      <c r="M116" s="113">
        <f t="shared" si="51"/>
        <v>90</v>
      </c>
      <c r="N116" s="116">
        <f t="shared" si="52"/>
        <v>1.67E-2</v>
      </c>
      <c r="O116" s="113">
        <f t="shared" si="45"/>
        <v>1.5029999999999999</v>
      </c>
      <c r="P116" s="115">
        <f t="shared" si="53"/>
        <v>30.06</v>
      </c>
      <c r="Q116" s="102">
        <v>13.42</v>
      </c>
      <c r="R116" s="185">
        <f t="shared" si="54"/>
        <v>403.40519999999998</v>
      </c>
      <c r="S116" s="34"/>
      <c r="T116" s="34"/>
      <c r="U116" s="67"/>
    </row>
    <row r="117" spans="1:21" ht="23.25" customHeight="1" x14ac:dyDescent="0.2">
      <c r="A117" s="193"/>
      <c r="B117" s="193"/>
      <c r="C117" s="62" t="s">
        <v>182</v>
      </c>
      <c r="D117" s="105" t="s">
        <v>151</v>
      </c>
      <c r="E117" s="101">
        <v>3600</v>
      </c>
      <c r="F117" s="101">
        <v>2880</v>
      </c>
      <c r="G117" s="112">
        <v>1</v>
      </c>
      <c r="H117" s="113">
        <f t="shared" si="31"/>
        <v>2880</v>
      </c>
      <c r="I117" s="114">
        <v>0.16700000000000001</v>
      </c>
      <c r="J117" s="115">
        <f t="shared" si="48"/>
        <v>480.96000000000004</v>
      </c>
      <c r="K117" s="113">
        <f t="shared" si="49"/>
        <v>720</v>
      </c>
      <c r="L117" s="112">
        <f t="shared" si="50"/>
        <v>1</v>
      </c>
      <c r="M117" s="113">
        <f t="shared" si="51"/>
        <v>720</v>
      </c>
      <c r="N117" s="116">
        <f t="shared" si="52"/>
        <v>0.16700000000000001</v>
      </c>
      <c r="O117" s="113">
        <f t="shared" si="45"/>
        <v>120.24000000000001</v>
      </c>
      <c r="P117" s="115">
        <f t="shared" si="53"/>
        <v>601.20000000000005</v>
      </c>
      <c r="Q117" s="102">
        <v>13.42</v>
      </c>
      <c r="R117" s="185">
        <f t="shared" si="54"/>
        <v>8068.1040000000003</v>
      </c>
      <c r="S117" s="34"/>
      <c r="T117" s="34"/>
      <c r="U117" s="67"/>
    </row>
    <row r="118" spans="1:21" ht="23.25" customHeight="1" x14ac:dyDescent="0.2">
      <c r="A118" s="193"/>
      <c r="B118" s="193"/>
      <c r="C118" s="62" t="s">
        <v>183</v>
      </c>
      <c r="D118" s="105" t="s">
        <v>98</v>
      </c>
      <c r="E118" s="101">
        <f>F117</f>
        <v>2880</v>
      </c>
      <c r="F118" s="101">
        <f>(E118)</f>
        <v>2880</v>
      </c>
      <c r="G118" s="112">
        <v>1</v>
      </c>
      <c r="H118" s="113">
        <f t="shared" si="31"/>
        <v>2880</v>
      </c>
      <c r="I118" s="114">
        <v>1.67E-2</v>
      </c>
      <c r="J118" s="115">
        <f t="shared" si="48"/>
        <v>48.095999999999997</v>
      </c>
      <c r="K118" s="113">
        <f t="shared" si="49"/>
        <v>0</v>
      </c>
      <c r="L118" s="112">
        <f t="shared" si="50"/>
        <v>1</v>
      </c>
      <c r="M118" s="113">
        <f t="shared" si="51"/>
        <v>0</v>
      </c>
      <c r="N118" s="116">
        <f t="shared" si="52"/>
        <v>1.67E-2</v>
      </c>
      <c r="O118" s="113">
        <f t="shared" si="45"/>
        <v>0</v>
      </c>
      <c r="P118" s="115">
        <f t="shared" si="53"/>
        <v>48.095999999999997</v>
      </c>
      <c r="Q118" s="102">
        <v>13.42</v>
      </c>
      <c r="R118" s="185">
        <f t="shared" si="54"/>
        <v>645.44831999999997</v>
      </c>
      <c r="S118" s="34"/>
      <c r="T118" s="34"/>
      <c r="U118" s="67"/>
    </row>
    <row r="119" spans="1:21" s="84" customFormat="1" ht="23.25" customHeight="1" x14ac:dyDescent="0.2">
      <c r="A119" s="194"/>
      <c r="B119" s="194"/>
      <c r="C119" s="63" t="s">
        <v>112</v>
      </c>
      <c r="D119" s="104" t="s">
        <v>153</v>
      </c>
      <c r="E119" s="103">
        <v>40</v>
      </c>
      <c r="F119" s="111">
        <f t="shared" ref="F119" si="56">E119</f>
        <v>40</v>
      </c>
      <c r="G119" s="112">
        <v>1</v>
      </c>
      <c r="H119" s="113">
        <f t="shared" ref="H119" si="57">(G119*F119)</f>
        <v>40</v>
      </c>
      <c r="I119" s="114">
        <v>5.0099999999999999E-2</v>
      </c>
      <c r="J119" s="115">
        <f t="shared" ref="J119" si="58">(H119*I119)</f>
        <v>2.004</v>
      </c>
      <c r="K119" s="113">
        <f t="shared" ref="K119" si="59">(E119-F119)</f>
        <v>0</v>
      </c>
      <c r="L119" s="112">
        <f t="shared" ref="L119" si="60">(G119)</f>
        <v>1</v>
      </c>
      <c r="M119" s="113">
        <f t="shared" si="51"/>
        <v>0</v>
      </c>
      <c r="N119" s="116">
        <f t="shared" ref="N119" si="61">(I119)</f>
        <v>5.0099999999999999E-2</v>
      </c>
      <c r="O119" s="113">
        <f t="shared" si="45"/>
        <v>0</v>
      </c>
      <c r="P119" s="115">
        <f t="shared" ref="P119" si="62">(J119+O119)</f>
        <v>2.004</v>
      </c>
      <c r="Q119" s="102">
        <v>56.74</v>
      </c>
      <c r="R119" s="185">
        <f t="shared" ref="R119" si="63">(P119*Q119)</f>
        <v>113.70696000000001</v>
      </c>
      <c r="S119" s="34" t="s">
        <v>197</v>
      </c>
      <c r="T119" s="34"/>
      <c r="U119" s="100"/>
    </row>
    <row r="120" spans="1:21" ht="25.5" customHeight="1" x14ac:dyDescent="0.2">
      <c r="A120" s="189" t="s">
        <v>39</v>
      </c>
      <c r="B120" s="189"/>
      <c r="C120" s="64"/>
      <c r="D120" s="107"/>
      <c r="E120" s="126">
        <f>SUM(E73+E76+E109+E111+E115)</f>
        <v>7283</v>
      </c>
      <c r="F120" s="126">
        <f>SUM(F73+F76+F107+F114+F118)</f>
        <v>5843</v>
      </c>
      <c r="G120" s="127">
        <f>H120/F120</f>
        <v>4.157624507958241</v>
      </c>
      <c r="H120" s="127">
        <f>SUM(H73:H119)</f>
        <v>24293</v>
      </c>
      <c r="I120" s="128"/>
      <c r="J120" s="128">
        <f>SUM(J73:J119)</f>
        <v>2004.7354</v>
      </c>
      <c r="K120" s="127">
        <f>E120-F120</f>
        <v>1440</v>
      </c>
      <c r="L120" s="129">
        <f>M120/K120</f>
        <v>1.125</v>
      </c>
      <c r="M120" s="127">
        <f>SUM(M73:M119)</f>
        <v>1620</v>
      </c>
      <c r="N120" s="129"/>
      <c r="O120" s="130">
        <f>SUM(O73:O119)</f>
        <v>243.48600000000002</v>
      </c>
      <c r="P120" s="128">
        <f>SUM(J120,O120)</f>
        <v>2248.2213999999999</v>
      </c>
      <c r="Q120" s="130"/>
      <c r="R120" s="187">
        <f>SUM(R73:R119)</f>
        <v>52159.649326000013</v>
      </c>
      <c r="S120" s="42"/>
      <c r="T120" s="34"/>
      <c r="U120" s="34"/>
    </row>
    <row r="121" spans="1:21" ht="10.5" customHeight="1" x14ac:dyDescent="0.2">
      <c r="A121" s="196" t="s">
        <v>40</v>
      </c>
      <c r="B121" s="197"/>
      <c r="C121" s="64"/>
      <c r="D121" s="107"/>
      <c r="E121" s="126">
        <f>(E32+E72+E120)</f>
        <v>14939</v>
      </c>
      <c r="F121" s="126">
        <f>(F32+F72+F120)</f>
        <v>12740</v>
      </c>
      <c r="G121" s="126">
        <f>H121/F121</f>
        <v>6.0154294154743235</v>
      </c>
      <c r="H121" s="126">
        <f>(H32+H72+H120)</f>
        <v>76636.570753142878</v>
      </c>
      <c r="I121" s="126"/>
      <c r="J121" s="126">
        <f>(J32+J72+J120)</f>
        <v>5368.0370515774866</v>
      </c>
      <c r="K121" s="126">
        <f>(K32+K72+K120)</f>
        <v>2199</v>
      </c>
      <c r="L121" s="134">
        <f>M121/K121</f>
        <v>0.79333924770999809</v>
      </c>
      <c r="M121" s="126">
        <f>(M32+M72+M120)</f>
        <v>1744.5530057142857</v>
      </c>
      <c r="N121" s="126"/>
      <c r="O121" s="126">
        <f>(O32+O72+O120)</f>
        <v>256.19689519542857</v>
      </c>
      <c r="P121" s="126">
        <f>(P32+P72+P120)</f>
        <v>5624.2339467729162</v>
      </c>
      <c r="Q121" s="126"/>
      <c r="R121" s="187">
        <f>(R32+R72+R120)</f>
        <v>79166.408238103642</v>
      </c>
      <c r="S121" s="33"/>
    </row>
    <row r="122" spans="1:21" ht="12" hidden="1" customHeight="1" x14ac:dyDescent="0.2">
      <c r="A122" s="25" t="s">
        <v>41</v>
      </c>
      <c r="B122" s="25"/>
      <c r="C122" s="25"/>
      <c r="D122" s="99"/>
      <c r="E122" s="26">
        <f>(H121+M121)/E121</f>
        <v>5.2467450136459712</v>
      </c>
      <c r="F122" s="27"/>
      <c r="G122" s="27"/>
      <c r="H122" s="27"/>
      <c r="I122" s="27"/>
      <c r="J122" s="27"/>
      <c r="K122" s="27"/>
      <c r="L122" s="27"/>
      <c r="M122" s="27"/>
      <c r="N122" s="27"/>
      <c r="O122" s="27"/>
      <c r="P122" s="27"/>
      <c r="R122" s="176"/>
    </row>
    <row r="123" spans="1:21" ht="12" hidden="1" customHeight="1" x14ac:dyDescent="0.2">
      <c r="A123" s="28" t="s">
        <v>42</v>
      </c>
      <c r="B123" s="28"/>
      <c r="C123" s="28"/>
      <c r="D123" s="109"/>
      <c r="E123" s="30">
        <f>(H121+M121)</f>
        <v>78381.123758857168</v>
      </c>
      <c r="F123" s="28"/>
      <c r="G123" s="28"/>
      <c r="H123" s="28"/>
      <c r="I123" s="28"/>
      <c r="J123" s="28"/>
      <c r="K123" s="28"/>
      <c r="L123" s="28"/>
      <c r="M123" s="28"/>
      <c r="N123" s="28"/>
      <c r="O123" s="28"/>
      <c r="P123" s="28"/>
      <c r="R123" s="177"/>
    </row>
    <row r="124" spans="1:21" ht="12" hidden="1" customHeight="1" x14ac:dyDescent="0.2">
      <c r="A124" s="28" t="s">
        <v>43</v>
      </c>
      <c r="B124" s="28"/>
      <c r="C124" s="28"/>
      <c r="D124" s="109"/>
      <c r="E124" s="31">
        <f>SUM(P121/E121)</f>
        <v>0.37647994824104131</v>
      </c>
      <c r="F124" s="28"/>
      <c r="G124" s="28"/>
      <c r="H124" s="28"/>
      <c r="I124" s="28"/>
      <c r="J124" s="28"/>
      <c r="K124" s="28"/>
      <c r="L124" s="28"/>
      <c r="M124" s="28"/>
      <c r="N124" s="28"/>
      <c r="O124" s="28"/>
      <c r="P124" s="28"/>
      <c r="R124" s="177"/>
    </row>
    <row r="125" spans="1:21" s="84" customFormat="1" x14ac:dyDescent="0.2">
      <c r="B125" s="85"/>
      <c r="D125" s="110"/>
      <c r="E125" s="95"/>
      <c r="F125" s="95"/>
      <c r="G125" s="95"/>
      <c r="H125" s="95"/>
      <c r="I125" s="95"/>
      <c r="J125" s="95"/>
      <c r="K125" s="95"/>
      <c r="L125" s="95"/>
      <c r="M125" s="95"/>
      <c r="N125" s="95"/>
      <c r="O125" s="95"/>
      <c r="P125" s="95"/>
      <c r="Q125" s="95"/>
      <c r="R125" s="178"/>
    </row>
    <row r="126" spans="1:21" x14ac:dyDescent="0.2">
      <c r="A126" s="29" t="s">
        <v>132</v>
      </c>
    </row>
    <row r="127" spans="1:21" x14ac:dyDescent="0.2">
      <c r="A127" s="29" t="s">
        <v>133</v>
      </c>
    </row>
    <row r="128" spans="1:21" x14ac:dyDescent="0.2">
      <c r="A128" s="29" t="s">
        <v>134</v>
      </c>
    </row>
    <row r="129" spans="1:16" x14ac:dyDescent="0.2">
      <c r="A129" s="29" t="s">
        <v>135</v>
      </c>
      <c r="N129" s="76">
        <f>(H121+M121)/6</f>
        <v>13063.520626476195</v>
      </c>
      <c r="O129" s="77" t="s">
        <v>187</v>
      </c>
      <c r="P129" s="78"/>
    </row>
    <row r="130" spans="1:16" x14ac:dyDescent="0.2">
      <c r="A130" s="29" t="s">
        <v>136</v>
      </c>
    </row>
    <row r="131" spans="1:16" x14ac:dyDescent="0.2">
      <c r="A131" s="39" t="s">
        <v>137</v>
      </c>
    </row>
    <row r="132" spans="1:16" x14ac:dyDescent="0.2">
      <c r="A132" s="29" t="s">
        <v>138</v>
      </c>
    </row>
    <row r="133" spans="1:16" x14ac:dyDescent="0.2">
      <c r="A133" s="29" t="s">
        <v>145</v>
      </c>
    </row>
    <row r="134" spans="1:16" x14ac:dyDescent="0.2">
      <c r="A134" s="29" t="s">
        <v>131</v>
      </c>
    </row>
    <row r="135" spans="1:16" x14ac:dyDescent="0.2">
      <c r="A135" s="29" t="s">
        <v>139</v>
      </c>
    </row>
    <row r="136" spans="1:16" x14ac:dyDescent="0.2">
      <c r="A136" s="29" t="s">
        <v>128</v>
      </c>
    </row>
    <row r="137" spans="1:16" x14ac:dyDescent="0.2">
      <c r="A137" s="29" t="s">
        <v>140</v>
      </c>
    </row>
    <row r="138" spans="1:16" x14ac:dyDescent="0.2">
      <c r="A138" s="29" t="s">
        <v>141</v>
      </c>
    </row>
    <row r="139" spans="1:16" x14ac:dyDescent="0.2">
      <c r="A139" s="29" t="s">
        <v>75</v>
      </c>
    </row>
    <row r="140" spans="1:16" x14ac:dyDescent="0.2">
      <c r="A140" s="29" t="s">
        <v>76</v>
      </c>
    </row>
    <row r="141" spans="1:16" x14ac:dyDescent="0.2">
      <c r="A141" s="29" t="s">
        <v>77</v>
      </c>
    </row>
    <row r="142" spans="1:16" x14ac:dyDescent="0.2">
      <c r="A142" s="29" t="s">
        <v>144</v>
      </c>
    </row>
    <row r="143" spans="1:16" x14ac:dyDescent="0.2">
      <c r="A143" s="29" t="s">
        <v>78</v>
      </c>
    </row>
    <row r="144" spans="1:16" x14ac:dyDescent="0.2">
      <c r="A144" s="29" t="s">
        <v>142</v>
      </c>
    </row>
    <row r="145" spans="1:1" x14ac:dyDescent="0.2">
      <c r="A145" s="29" t="s">
        <v>143</v>
      </c>
    </row>
  </sheetData>
  <mergeCells count="22">
    <mergeCell ref="C1:C3"/>
    <mergeCell ref="F2:J2"/>
    <mergeCell ref="D1:D3"/>
    <mergeCell ref="E1:E3"/>
    <mergeCell ref="F1:R1"/>
    <mergeCell ref="K2:O2"/>
    <mergeCell ref="P2:R2"/>
    <mergeCell ref="A1:A3"/>
    <mergeCell ref="A121:B121"/>
    <mergeCell ref="A4:A31"/>
    <mergeCell ref="B4:B31"/>
    <mergeCell ref="B1:B3"/>
    <mergeCell ref="A33:A71"/>
    <mergeCell ref="B33:B71"/>
    <mergeCell ref="U23:U32"/>
    <mergeCell ref="U72:U113"/>
    <mergeCell ref="S18:S31"/>
    <mergeCell ref="A120:B120"/>
    <mergeCell ref="A32:B32"/>
    <mergeCell ref="A72:B72"/>
    <mergeCell ref="A73:A119"/>
    <mergeCell ref="B73:B119"/>
  </mergeCells>
  <printOptions headings="1"/>
  <pageMargins left="0.25" right="0.25" top="0.75" bottom="0.75" header="0.3" footer="0.3"/>
  <pageSetup paperSize="5" scale="9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workbookViewId="0">
      <selection activeCell="D32" sqref="D32"/>
    </sheetView>
  </sheetViews>
  <sheetFormatPr defaultRowHeight="15" x14ac:dyDescent="0.25"/>
  <cols>
    <col min="1" max="1" width="36" customWidth="1"/>
    <col min="16" max="16" width="9.5703125" bestFit="1" customWidth="1"/>
  </cols>
  <sheetData>
    <row r="1" spans="1:23" s="84" customFormat="1" ht="11.25" x14ac:dyDescent="0.2">
      <c r="A1" s="80" t="s">
        <v>192</v>
      </c>
      <c r="B1" s="85"/>
      <c r="D1" s="85"/>
    </row>
    <row r="2" spans="1:23" s="84" customFormat="1" ht="14.45" customHeight="1" x14ac:dyDescent="0.2">
      <c r="A2" s="195" t="s">
        <v>156</v>
      </c>
      <c r="B2" s="195" t="s">
        <v>7</v>
      </c>
      <c r="C2" s="204" t="s">
        <v>0</v>
      </c>
      <c r="D2" s="207" t="s">
        <v>44</v>
      </c>
      <c r="E2" s="207" t="s">
        <v>45</v>
      </c>
      <c r="F2" s="208" t="s">
        <v>161</v>
      </c>
      <c r="G2" s="208"/>
      <c r="H2" s="208"/>
      <c r="I2" s="208"/>
      <c r="J2" s="208"/>
      <c r="K2" s="208"/>
      <c r="L2" s="208"/>
      <c r="M2" s="208"/>
      <c r="N2" s="208"/>
      <c r="O2" s="208"/>
      <c r="P2" s="208"/>
      <c r="Q2" s="208"/>
      <c r="R2" s="208"/>
    </row>
    <row r="3" spans="1:23" s="84" customFormat="1" ht="11.25" x14ac:dyDescent="0.2">
      <c r="A3" s="195"/>
      <c r="B3" s="195"/>
      <c r="C3" s="204"/>
      <c r="D3" s="207"/>
      <c r="E3" s="207"/>
      <c r="F3" s="205" t="s">
        <v>157</v>
      </c>
      <c r="G3" s="205"/>
      <c r="H3" s="205"/>
      <c r="I3" s="205"/>
      <c r="J3" s="205"/>
      <c r="K3" s="209" t="s">
        <v>158</v>
      </c>
      <c r="L3" s="209"/>
      <c r="M3" s="209"/>
      <c r="N3" s="209"/>
      <c r="O3" s="209"/>
      <c r="P3" s="210" t="s">
        <v>159</v>
      </c>
      <c r="Q3" s="210"/>
      <c r="R3" s="210"/>
    </row>
    <row r="4" spans="1:23" s="84" customFormat="1" ht="66.75" customHeight="1" x14ac:dyDescent="0.2">
      <c r="A4" s="195"/>
      <c r="B4" s="195"/>
      <c r="C4" s="204"/>
      <c r="D4" s="207"/>
      <c r="E4" s="207"/>
      <c r="F4" s="87" t="s">
        <v>1</v>
      </c>
      <c r="G4" s="87" t="s">
        <v>2</v>
      </c>
      <c r="H4" s="87" t="s">
        <v>3</v>
      </c>
      <c r="I4" s="87" t="s">
        <v>4</v>
      </c>
      <c r="J4" s="87" t="s">
        <v>35</v>
      </c>
      <c r="K4" s="87" t="s">
        <v>8</v>
      </c>
      <c r="L4" s="87" t="s">
        <v>2</v>
      </c>
      <c r="M4" s="87" t="s">
        <v>3</v>
      </c>
      <c r="N4" s="87" t="s">
        <v>5</v>
      </c>
      <c r="O4" s="87" t="s">
        <v>35</v>
      </c>
      <c r="P4" s="82" t="s">
        <v>160</v>
      </c>
      <c r="Q4" s="86" t="s">
        <v>36</v>
      </c>
      <c r="R4" s="86" t="s">
        <v>37</v>
      </c>
    </row>
    <row r="5" spans="1:23" ht="15.75" thickBot="1" x14ac:dyDescent="0.3"/>
    <row r="6" spans="1:23" ht="14.45" customHeight="1" x14ac:dyDescent="0.25">
      <c r="A6" s="136" t="s">
        <v>188</v>
      </c>
      <c r="B6" s="137"/>
      <c r="C6" s="137"/>
      <c r="D6" s="137"/>
      <c r="E6" s="137"/>
      <c r="F6" s="137"/>
      <c r="G6" s="137"/>
      <c r="H6" s="137"/>
      <c r="I6" s="137"/>
      <c r="J6" s="137"/>
      <c r="K6" s="137"/>
      <c r="L6" s="137"/>
      <c r="M6" s="137"/>
      <c r="N6" s="137"/>
      <c r="O6" s="137"/>
      <c r="P6" s="137"/>
      <c r="Q6" s="137"/>
      <c r="R6" s="138"/>
    </row>
    <row r="7" spans="1:23" x14ac:dyDescent="0.25">
      <c r="A7" s="139" t="s">
        <v>38</v>
      </c>
      <c r="B7" s="1"/>
      <c r="C7" s="1"/>
      <c r="D7" s="1"/>
      <c r="E7" s="135">
        <v>7596</v>
      </c>
      <c r="F7" s="135">
        <v>6837</v>
      </c>
      <c r="G7" s="145">
        <v>7.6159999999999997</v>
      </c>
      <c r="H7" s="1">
        <v>52071</v>
      </c>
      <c r="I7" s="1"/>
      <c r="J7" s="145">
        <v>3309.5243</v>
      </c>
      <c r="K7" s="1">
        <v>759</v>
      </c>
      <c r="L7" s="145">
        <v>0.1641</v>
      </c>
      <c r="M7" s="1">
        <v>125</v>
      </c>
      <c r="N7" s="1"/>
      <c r="O7" s="145">
        <v>12.7</v>
      </c>
      <c r="P7" s="145">
        <v>3322.2350999999999</v>
      </c>
      <c r="Q7" s="1"/>
      <c r="R7" s="149">
        <v>24086.2</v>
      </c>
      <c r="T7" s="83"/>
      <c r="U7" s="83"/>
      <c r="V7" s="83"/>
      <c r="W7" s="83"/>
    </row>
    <row r="8" spans="1:23" ht="12" customHeight="1" x14ac:dyDescent="0.25">
      <c r="A8" s="139" t="s">
        <v>60</v>
      </c>
      <c r="B8" s="1"/>
      <c r="C8" s="1"/>
      <c r="D8" s="1"/>
      <c r="E8" s="1">
        <v>56</v>
      </c>
      <c r="F8" s="1">
        <v>56</v>
      </c>
      <c r="G8" s="145">
        <v>3.7</v>
      </c>
      <c r="H8" s="1">
        <v>207</v>
      </c>
      <c r="I8" s="1"/>
      <c r="J8" s="145">
        <v>38.011400000000002</v>
      </c>
      <c r="K8" s="1">
        <v>0</v>
      </c>
      <c r="L8" s="145">
        <v>0</v>
      </c>
      <c r="M8" s="1">
        <v>0</v>
      </c>
      <c r="N8" s="1"/>
      <c r="O8" s="145">
        <v>0</v>
      </c>
      <c r="P8" s="145">
        <v>38.011400000000002</v>
      </c>
      <c r="Q8" s="1"/>
      <c r="R8" s="149">
        <v>2020.31</v>
      </c>
      <c r="T8" s="81"/>
      <c r="U8" s="81"/>
      <c r="V8" s="81"/>
      <c r="W8" s="81"/>
    </row>
    <row r="9" spans="1:23" x14ac:dyDescent="0.25">
      <c r="A9" s="139" t="s">
        <v>39</v>
      </c>
      <c r="B9" s="1"/>
      <c r="C9" s="1"/>
      <c r="D9" s="1"/>
      <c r="E9" s="135">
        <v>3634</v>
      </c>
      <c r="F9" s="135">
        <v>2914</v>
      </c>
      <c r="G9" s="145">
        <v>4.2018000000000004</v>
      </c>
      <c r="H9" s="1">
        <v>12244</v>
      </c>
      <c r="I9" s="1"/>
      <c r="J9" s="145">
        <v>1018.246</v>
      </c>
      <c r="K9" s="1">
        <v>720</v>
      </c>
      <c r="L9" s="145">
        <v>1.125</v>
      </c>
      <c r="M9" s="1">
        <v>810</v>
      </c>
      <c r="N9" s="1"/>
      <c r="O9" s="145">
        <v>121.74</v>
      </c>
      <c r="P9" s="145">
        <v>1139.989</v>
      </c>
      <c r="Q9" s="1"/>
      <c r="R9" s="149">
        <v>26597.24</v>
      </c>
      <c r="T9" s="81"/>
      <c r="U9" s="81"/>
      <c r="V9" s="81"/>
      <c r="W9" s="81"/>
    </row>
    <row r="10" spans="1:23" ht="15.75" thickBot="1" x14ac:dyDescent="0.3">
      <c r="A10" s="140" t="s">
        <v>40</v>
      </c>
      <c r="B10" s="141"/>
      <c r="C10" s="141"/>
      <c r="D10" s="141"/>
      <c r="E10" s="142">
        <v>11286</v>
      </c>
      <c r="F10" s="142">
        <v>9807</v>
      </c>
      <c r="G10" s="146"/>
      <c r="H10" s="142">
        <v>64522</v>
      </c>
      <c r="I10" s="141"/>
      <c r="J10" s="146">
        <v>4365.7816999999995</v>
      </c>
      <c r="K10" s="141">
        <v>1479</v>
      </c>
      <c r="L10" s="146"/>
      <c r="M10" s="141">
        <v>935</v>
      </c>
      <c r="N10" s="141"/>
      <c r="O10" s="146">
        <v>134.44999999999999</v>
      </c>
      <c r="P10" s="146">
        <v>4500.2354999999998</v>
      </c>
      <c r="Q10" s="141"/>
      <c r="R10" s="150">
        <v>52703.76</v>
      </c>
      <c r="T10" s="81"/>
      <c r="U10" s="81"/>
      <c r="V10" s="81"/>
      <c r="W10" s="81"/>
    </row>
    <row r="11" spans="1:23" ht="15.75" thickBot="1" x14ac:dyDescent="0.3">
      <c r="G11" s="147"/>
      <c r="J11" s="147"/>
      <c r="L11" s="147"/>
      <c r="O11" s="147"/>
      <c r="P11" s="147"/>
      <c r="R11" s="151"/>
    </row>
    <row r="12" spans="1:23" x14ac:dyDescent="0.25">
      <c r="A12" s="136" t="s">
        <v>189</v>
      </c>
      <c r="B12" s="137"/>
      <c r="C12" s="137"/>
      <c r="D12" s="137"/>
      <c r="E12" s="137"/>
      <c r="F12" s="137"/>
      <c r="G12" s="148"/>
      <c r="H12" s="137"/>
      <c r="I12" s="137"/>
      <c r="J12" s="148"/>
      <c r="K12" s="137"/>
      <c r="L12" s="148"/>
      <c r="M12" s="137"/>
      <c r="N12" s="137"/>
      <c r="O12" s="148"/>
      <c r="P12" s="148"/>
      <c r="Q12" s="137"/>
      <c r="R12" s="152"/>
    </row>
    <row r="13" spans="1:23" x14ac:dyDescent="0.25">
      <c r="A13" s="139" t="s">
        <v>191</v>
      </c>
      <c r="B13" s="1"/>
      <c r="C13" s="1"/>
      <c r="D13" s="1"/>
      <c r="E13" s="1">
        <v>4</v>
      </c>
      <c r="F13" s="1">
        <v>4</v>
      </c>
      <c r="G13" s="145">
        <v>16.5</v>
      </c>
      <c r="H13" s="1">
        <v>66</v>
      </c>
      <c r="I13" s="1"/>
      <c r="J13" s="145">
        <v>15.866200000000001</v>
      </c>
      <c r="K13" s="1">
        <v>0</v>
      </c>
      <c r="L13" s="145">
        <v>16.5</v>
      </c>
      <c r="M13" s="1">
        <v>0</v>
      </c>
      <c r="N13" s="1"/>
      <c r="O13" s="145">
        <v>0</v>
      </c>
      <c r="P13" s="145">
        <v>15.866200000000001</v>
      </c>
      <c r="Q13" s="1"/>
      <c r="R13" s="149">
        <v>900.24818800000003</v>
      </c>
    </row>
    <row r="14" spans="1:23" x14ac:dyDescent="0.25">
      <c r="A14" s="139" t="s">
        <v>190</v>
      </c>
      <c r="B14" s="1"/>
      <c r="C14" s="1"/>
      <c r="D14" s="1"/>
      <c r="E14" s="1">
        <v>3649</v>
      </c>
      <c r="F14" s="1">
        <v>2929</v>
      </c>
      <c r="G14" s="145">
        <v>4.1136906794127688</v>
      </c>
      <c r="H14" s="1">
        <v>12049</v>
      </c>
      <c r="I14" s="1"/>
      <c r="J14" s="145">
        <v>986.48940000000005</v>
      </c>
      <c r="K14" s="1">
        <v>720</v>
      </c>
      <c r="L14" s="145">
        <v>1.125</v>
      </c>
      <c r="M14" s="1">
        <v>810</v>
      </c>
      <c r="N14" s="1"/>
      <c r="O14" s="145">
        <v>121.74300000000001</v>
      </c>
      <c r="P14" s="145">
        <v>1108.2324000000001</v>
      </c>
      <c r="Q14" s="1"/>
      <c r="R14" s="149">
        <v>25562.404616</v>
      </c>
    </row>
    <row r="15" spans="1:23" ht="15.75" thickBot="1" x14ac:dyDescent="0.3">
      <c r="A15" s="140" t="s">
        <v>40</v>
      </c>
      <c r="B15" s="141"/>
      <c r="C15" s="141"/>
      <c r="D15" s="141"/>
      <c r="E15" s="141">
        <v>3653</v>
      </c>
      <c r="F15" s="141">
        <v>2933</v>
      </c>
      <c r="G15" s="146">
        <v>20.61369067941277</v>
      </c>
      <c r="H15" s="141">
        <v>12115</v>
      </c>
      <c r="I15" s="141"/>
      <c r="J15" s="146">
        <v>1002.3556000000001</v>
      </c>
      <c r="K15" s="141">
        <v>720</v>
      </c>
      <c r="L15" s="146">
        <v>17.625</v>
      </c>
      <c r="M15" s="141">
        <v>810</v>
      </c>
      <c r="N15" s="141"/>
      <c r="O15" s="146">
        <v>121.74300000000001</v>
      </c>
      <c r="P15" s="146">
        <v>1124.0986</v>
      </c>
      <c r="Q15" s="141"/>
      <c r="R15" s="150">
        <v>26462.652804000001</v>
      </c>
    </row>
    <row r="16" spans="1:23" x14ac:dyDescent="0.25">
      <c r="G16" s="147"/>
      <c r="J16" s="147"/>
      <c r="L16" s="147"/>
      <c r="O16" s="147"/>
      <c r="P16" s="147"/>
      <c r="R16" s="151"/>
    </row>
    <row r="17" spans="1:18" ht="15.75" thickBot="1" x14ac:dyDescent="0.3">
      <c r="G17" s="147"/>
      <c r="J17" s="147"/>
      <c r="L17" s="147"/>
      <c r="O17" s="147"/>
      <c r="P17" s="147"/>
      <c r="R17" s="151"/>
    </row>
    <row r="18" spans="1:18" x14ac:dyDescent="0.25">
      <c r="A18" s="143" t="s">
        <v>195</v>
      </c>
      <c r="B18" s="137"/>
      <c r="C18" s="137"/>
      <c r="D18" s="137"/>
      <c r="E18" s="137"/>
      <c r="F18" s="137"/>
      <c r="G18" s="148"/>
      <c r="H18" s="137"/>
      <c r="I18" s="137"/>
      <c r="J18" s="148"/>
      <c r="K18" s="137"/>
      <c r="L18" s="148"/>
      <c r="M18" s="137"/>
      <c r="N18" s="137"/>
      <c r="O18" s="148"/>
      <c r="P18" s="148"/>
      <c r="Q18" s="137"/>
      <c r="R18" s="152"/>
    </row>
    <row r="19" spans="1:18" x14ac:dyDescent="0.25">
      <c r="A19" s="139" t="s">
        <v>38</v>
      </c>
      <c r="B19" s="1"/>
      <c r="C19" s="1"/>
      <c r="D19" s="1"/>
      <c r="E19" s="135">
        <f>E7</f>
        <v>7596</v>
      </c>
      <c r="F19" s="135">
        <f t="shared" ref="F19:R19" si="0">F7</f>
        <v>6837</v>
      </c>
      <c r="G19" s="145">
        <f t="shared" si="0"/>
        <v>7.6159999999999997</v>
      </c>
      <c r="H19" s="135">
        <f t="shared" si="0"/>
        <v>52071</v>
      </c>
      <c r="I19" s="135">
        <f t="shared" si="0"/>
        <v>0</v>
      </c>
      <c r="J19" s="145">
        <f t="shared" si="0"/>
        <v>3309.5243</v>
      </c>
      <c r="K19" s="135">
        <f t="shared" si="0"/>
        <v>759</v>
      </c>
      <c r="L19" s="145">
        <f t="shared" si="0"/>
        <v>0.1641</v>
      </c>
      <c r="M19" s="135">
        <f t="shared" si="0"/>
        <v>125</v>
      </c>
      <c r="N19" s="135">
        <f t="shared" si="0"/>
        <v>0</v>
      </c>
      <c r="O19" s="145">
        <f t="shared" si="0"/>
        <v>12.7</v>
      </c>
      <c r="P19" s="145">
        <f t="shared" si="0"/>
        <v>3322.2350999999999</v>
      </c>
      <c r="Q19" s="135">
        <f t="shared" si="0"/>
        <v>0</v>
      </c>
      <c r="R19" s="149">
        <f t="shared" si="0"/>
        <v>24086.2</v>
      </c>
    </row>
    <row r="20" spans="1:18" x14ac:dyDescent="0.25">
      <c r="A20" s="139" t="s">
        <v>60</v>
      </c>
      <c r="B20" s="1"/>
      <c r="C20" s="1"/>
      <c r="D20" s="1"/>
      <c r="E20" s="172">
        <f>SUM(E8,E13)</f>
        <v>60</v>
      </c>
      <c r="F20" s="172">
        <f t="shared" ref="F20:R20" si="1">SUM(F8,F13)</f>
        <v>60</v>
      </c>
      <c r="G20" s="173">
        <f t="shared" si="1"/>
        <v>20.2</v>
      </c>
      <c r="H20" s="172">
        <f t="shared" si="1"/>
        <v>273</v>
      </c>
      <c r="I20" s="172">
        <f t="shared" si="1"/>
        <v>0</v>
      </c>
      <c r="J20" s="173">
        <f t="shared" si="1"/>
        <v>53.877600000000001</v>
      </c>
      <c r="K20" s="172">
        <f t="shared" si="1"/>
        <v>0</v>
      </c>
      <c r="L20" s="173">
        <f t="shared" si="1"/>
        <v>16.5</v>
      </c>
      <c r="M20" s="172">
        <f t="shared" si="1"/>
        <v>0</v>
      </c>
      <c r="N20" s="172">
        <f t="shared" si="1"/>
        <v>0</v>
      </c>
      <c r="O20" s="173">
        <f t="shared" si="1"/>
        <v>0</v>
      </c>
      <c r="P20" s="173">
        <f t="shared" si="1"/>
        <v>53.877600000000001</v>
      </c>
      <c r="Q20" s="172">
        <f t="shared" si="1"/>
        <v>0</v>
      </c>
      <c r="R20" s="174">
        <f t="shared" si="1"/>
        <v>2920.558188</v>
      </c>
    </row>
    <row r="21" spans="1:18" x14ac:dyDescent="0.25">
      <c r="A21" s="139" t="s">
        <v>39</v>
      </c>
      <c r="B21" s="1"/>
      <c r="C21" s="1"/>
      <c r="D21" s="1"/>
      <c r="E21" s="159">
        <f>SUM(E9,E14)</f>
        <v>7283</v>
      </c>
      <c r="F21" s="159">
        <f t="shared" ref="F21:R21" si="2">SUM(F9,F14)</f>
        <v>5843</v>
      </c>
      <c r="G21" s="157">
        <f t="shared" si="2"/>
        <v>8.3154906794127683</v>
      </c>
      <c r="H21" s="159">
        <f t="shared" si="2"/>
        <v>24293</v>
      </c>
      <c r="I21" s="159">
        <f t="shared" si="2"/>
        <v>0</v>
      </c>
      <c r="J21" s="157">
        <f t="shared" si="2"/>
        <v>2004.7354</v>
      </c>
      <c r="K21" s="159">
        <f t="shared" si="2"/>
        <v>1440</v>
      </c>
      <c r="L21" s="157">
        <f t="shared" si="2"/>
        <v>2.25</v>
      </c>
      <c r="M21" s="159">
        <f t="shared" si="2"/>
        <v>1620</v>
      </c>
      <c r="N21" s="159">
        <f t="shared" si="2"/>
        <v>0</v>
      </c>
      <c r="O21" s="157">
        <f t="shared" si="2"/>
        <v>243.483</v>
      </c>
      <c r="P21" s="157">
        <f t="shared" si="2"/>
        <v>2248.2214000000004</v>
      </c>
      <c r="Q21" s="159">
        <f t="shared" si="2"/>
        <v>0</v>
      </c>
      <c r="R21" s="158">
        <f t="shared" si="2"/>
        <v>52159.644616000005</v>
      </c>
    </row>
    <row r="22" spans="1:18" ht="15.75" thickBot="1" x14ac:dyDescent="0.3">
      <c r="A22" s="140" t="s">
        <v>40</v>
      </c>
      <c r="B22" s="141"/>
      <c r="C22" s="141"/>
      <c r="D22" s="141"/>
      <c r="E22" s="163">
        <f>SUM(E19:E21)</f>
        <v>14939</v>
      </c>
      <c r="F22" s="163">
        <f t="shared" ref="F22:R22" si="3">SUM(F19:F21)</f>
        <v>12740</v>
      </c>
      <c r="G22" s="164">
        <f t="shared" si="3"/>
        <v>36.131490679412764</v>
      </c>
      <c r="H22" s="163">
        <f t="shared" si="3"/>
        <v>76637</v>
      </c>
      <c r="I22" s="163">
        <f t="shared" si="3"/>
        <v>0</v>
      </c>
      <c r="J22" s="164">
        <f t="shared" si="3"/>
        <v>5368.1373000000003</v>
      </c>
      <c r="K22" s="163">
        <f t="shared" si="3"/>
        <v>2199</v>
      </c>
      <c r="L22" s="164">
        <f t="shared" si="3"/>
        <v>18.914100000000001</v>
      </c>
      <c r="M22" s="163">
        <f t="shared" si="3"/>
        <v>1745</v>
      </c>
      <c r="N22" s="163">
        <f t="shared" si="3"/>
        <v>0</v>
      </c>
      <c r="O22" s="164">
        <f t="shared" si="3"/>
        <v>256.18299999999999</v>
      </c>
      <c r="P22" s="164">
        <f t="shared" si="3"/>
        <v>5624.3341</v>
      </c>
      <c r="Q22" s="163">
        <f t="shared" si="3"/>
        <v>0</v>
      </c>
      <c r="R22" s="165">
        <f t="shared" si="3"/>
        <v>79166.402804000012</v>
      </c>
    </row>
    <row r="23" spans="1:18" ht="15.75" thickBot="1" x14ac:dyDescent="0.3">
      <c r="E23" s="166"/>
      <c r="F23" s="166"/>
      <c r="G23" s="167"/>
      <c r="H23" s="166"/>
      <c r="I23" s="166"/>
      <c r="J23" s="167"/>
      <c r="K23" s="166"/>
      <c r="L23" s="167"/>
      <c r="M23" s="166"/>
      <c r="N23" s="166"/>
      <c r="O23" s="167"/>
      <c r="P23" s="167"/>
      <c r="Q23" s="166"/>
      <c r="R23" s="168"/>
    </row>
    <row r="24" spans="1:18" x14ac:dyDescent="0.25">
      <c r="A24" s="144" t="s">
        <v>196</v>
      </c>
      <c r="B24" s="137"/>
      <c r="C24" s="137"/>
      <c r="D24" s="137"/>
      <c r="E24" s="169"/>
      <c r="F24" s="169"/>
      <c r="G24" s="170"/>
      <c r="H24" s="169"/>
      <c r="I24" s="169"/>
      <c r="J24" s="170"/>
      <c r="K24" s="169"/>
      <c r="L24" s="170"/>
      <c r="M24" s="169"/>
      <c r="N24" s="169"/>
      <c r="O24" s="170"/>
      <c r="P24" s="170"/>
      <c r="Q24" s="169"/>
      <c r="R24" s="171"/>
    </row>
    <row r="25" spans="1:18" x14ac:dyDescent="0.25">
      <c r="A25" s="139" t="s">
        <v>38</v>
      </c>
      <c r="B25" s="1"/>
      <c r="C25" s="1"/>
      <c r="D25" s="1"/>
      <c r="E25" s="160">
        <v>7596</v>
      </c>
      <c r="F25" s="160">
        <v>6837</v>
      </c>
      <c r="G25" s="161">
        <v>7.6159999999999997</v>
      </c>
      <c r="H25" s="160">
        <v>52071</v>
      </c>
      <c r="I25" s="160">
        <v>0</v>
      </c>
      <c r="J25" s="161">
        <v>3309.5243</v>
      </c>
      <c r="K25" s="160">
        <v>759</v>
      </c>
      <c r="L25" s="161">
        <v>0.1641</v>
      </c>
      <c r="M25" s="160">
        <v>125</v>
      </c>
      <c r="N25" s="160">
        <v>0</v>
      </c>
      <c r="O25" s="161">
        <v>12.7</v>
      </c>
      <c r="P25" s="161">
        <v>3322.2350999999999</v>
      </c>
      <c r="Q25" s="160">
        <v>0</v>
      </c>
      <c r="R25" s="162">
        <v>24086.2</v>
      </c>
    </row>
    <row r="26" spans="1:18" x14ac:dyDescent="0.25">
      <c r="A26" s="139" t="s">
        <v>60</v>
      </c>
      <c r="B26" s="1"/>
      <c r="C26" s="1"/>
      <c r="D26" s="1"/>
      <c r="E26" s="175">
        <f>'Task 1 + Task 2 Burden Table'!E72</f>
        <v>60</v>
      </c>
      <c r="F26" s="175">
        <f>'Task 1 + Task 2 Burden Table'!F72</f>
        <v>60</v>
      </c>
      <c r="G26" s="173">
        <f>'Task 1 + Task 2 Burden Table'!G72</f>
        <v>4.55</v>
      </c>
      <c r="H26" s="175">
        <f>'Task 1 + Task 2 Burden Table'!H72</f>
        <v>273</v>
      </c>
      <c r="I26" s="175">
        <f>'Task 1 + Task 2 Burden Table'!I72</f>
        <v>0</v>
      </c>
      <c r="J26" s="173">
        <f>'Task 1 + Task 2 Burden Table'!J72</f>
        <v>53.777400000000007</v>
      </c>
      <c r="K26" s="175">
        <f>'Task 1 + Task 2 Burden Table'!K72</f>
        <v>0</v>
      </c>
      <c r="L26" s="173">
        <f>'Task 1 + Task 2 Burden Table'!L72</f>
        <v>16.5</v>
      </c>
      <c r="M26" s="175">
        <f>'Task 1 + Task 2 Burden Table'!M72</f>
        <v>0</v>
      </c>
      <c r="N26" s="175">
        <f>'Task 1 + Task 2 Burden Table'!N72</f>
        <v>0</v>
      </c>
      <c r="O26" s="173">
        <f>'Task 1 + Task 2 Burden Table'!O72</f>
        <v>0</v>
      </c>
      <c r="P26" s="173">
        <f>'Task 1 + Task 2 Burden Table'!P72</f>
        <v>53.777400000000007</v>
      </c>
      <c r="Q26" s="175">
        <f>'Task 1 + Task 2 Burden Table'!Q72</f>
        <v>0</v>
      </c>
      <c r="R26" s="181">
        <f>'Task 1 + Task 2 Burden Table'!R72</f>
        <v>2920.5540980000001</v>
      </c>
    </row>
    <row r="27" spans="1:18" x14ac:dyDescent="0.25">
      <c r="A27" s="139" t="s">
        <v>39</v>
      </c>
      <c r="B27" s="1"/>
      <c r="C27" s="1"/>
      <c r="D27" s="1"/>
      <c r="E27" s="159">
        <f>'Task 1 + Task 2 Burden Table'!E120</f>
        <v>7283</v>
      </c>
      <c r="F27" s="159">
        <f>'Task 1 + Task 2 Burden Table'!F120</f>
        <v>5843</v>
      </c>
      <c r="G27" s="157">
        <f>'Task 1 + Task 2 Burden Table'!G120</f>
        <v>4.157624507958241</v>
      </c>
      <c r="H27" s="159">
        <f>'Task 1 + Task 2 Burden Table'!H120</f>
        <v>24293</v>
      </c>
      <c r="I27" s="159">
        <f>'Task 1 + Task 2 Burden Table'!I120</f>
        <v>0</v>
      </c>
      <c r="J27" s="157">
        <f>'Task 1 + Task 2 Burden Table'!J120</f>
        <v>2004.7354</v>
      </c>
      <c r="K27" s="159">
        <f>'Task 1 + Task 2 Burden Table'!K120</f>
        <v>1440</v>
      </c>
      <c r="L27" s="157">
        <f>'Task 1 + Task 2 Burden Table'!L120</f>
        <v>1.125</v>
      </c>
      <c r="M27" s="159">
        <f>'Task 1 + Task 2 Burden Table'!M120</f>
        <v>1620</v>
      </c>
      <c r="N27" s="159">
        <f>'Task 1 + Task 2 Burden Table'!N120</f>
        <v>0</v>
      </c>
      <c r="O27" s="157">
        <f>'Task 1 + Task 2 Burden Table'!O120</f>
        <v>243.48600000000002</v>
      </c>
      <c r="P27" s="157">
        <f>'Task 1 + Task 2 Burden Table'!P120</f>
        <v>2248.2213999999999</v>
      </c>
      <c r="Q27" s="159">
        <f>'Task 1 + Task 2 Burden Table'!Q120</f>
        <v>0</v>
      </c>
      <c r="R27" s="158">
        <f>'Task 1 + Task 2 Burden Table'!R120</f>
        <v>52159.649326000013</v>
      </c>
    </row>
    <row r="28" spans="1:18" ht="15.75" thickBot="1" x14ac:dyDescent="0.3">
      <c r="A28" s="140" t="s">
        <v>40</v>
      </c>
      <c r="B28" s="141"/>
      <c r="C28" s="141"/>
      <c r="D28" s="141"/>
      <c r="E28" s="163">
        <f>'Task 1 + Task 2 Burden Table'!E121</f>
        <v>14939</v>
      </c>
      <c r="F28" s="163">
        <f>'Task 1 + Task 2 Burden Table'!F121</f>
        <v>12740</v>
      </c>
      <c r="G28" s="164">
        <f>'Task 1 + Task 2 Burden Table'!G121</f>
        <v>6.0154294154743235</v>
      </c>
      <c r="H28" s="163">
        <f>'Task 1 + Task 2 Burden Table'!H121</f>
        <v>76636.570753142878</v>
      </c>
      <c r="I28" s="163">
        <f>'Task 1 + Task 2 Burden Table'!I121</f>
        <v>0</v>
      </c>
      <c r="J28" s="164">
        <f>'Task 1 + Task 2 Burden Table'!J121</f>
        <v>5368.0370515774866</v>
      </c>
      <c r="K28" s="163">
        <f>'Task 1 + Task 2 Burden Table'!K121</f>
        <v>2199</v>
      </c>
      <c r="L28" s="164">
        <f>'Task 1 + Task 2 Burden Table'!L121</f>
        <v>0.79333924770999809</v>
      </c>
      <c r="M28" s="163">
        <f>'Task 1 + Task 2 Burden Table'!M121</f>
        <v>1744.5530057142857</v>
      </c>
      <c r="N28" s="163">
        <f>'Task 1 + Task 2 Burden Table'!N121</f>
        <v>0</v>
      </c>
      <c r="O28" s="164">
        <f>'Task 1 + Task 2 Burden Table'!O121</f>
        <v>256.19689519542857</v>
      </c>
      <c r="P28" s="164">
        <f>'Task 1 + Task 2 Burden Table'!P121</f>
        <v>5624.2339467729162</v>
      </c>
      <c r="Q28" s="163">
        <f>'Task 1 + Task 2 Burden Table'!Q121</f>
        <v>0</v>
      </c>
      <c r="R28" s="165">
        <f>'Task 1 + Task 2 Burden Table'!R121</f>
        <v>79166.408238103642</v>
      </c>
    </row>
    <row r="30" spans="1:18" x14ac:dyDescent="0.25">
      <c r="A30" t="s">
        <v>200</v>
      </c>
      <c r="E30" s="153">
        <f>E22-E28</f>
        <v>0</v>
      </c>
      <c r="F30" s="153">
        <f t="shared" ref="F30:R30" si="4">F22-F28</f>
        <v>0</v>
      </c>
      <c r="G30" s="154">
        <f t="shared" si="4"/>
        <v>30.116061263938441</v>
      </c>
      <c r="H30" s="153">
        <f t="shared" si="4"/>
        <v>0.42924685712205246</v>
      </c>
      <c r="I30" s="153">
        <f t="shared" si="4"/>
        <v>0</v>
      </c>
      <c r="J30" s="153">
        <f t="shared" si="4"/>
        <v>0.10024842251368682</v>
      </c>
      <c r="K30" s="153">
        <f t="shared" si="4"/>
        <v>0</v>
      </c>
      <c r="L30" s="153">
        <f t="shared" si="4"/>
        <v>18.120760752290003</v>
      </c>
      <c r="M30" s="153">
        <f t="shared" si="4"/>
        <v>0.44699428571425415</v>
      </c>
      <c r="N30" s="153">
        <f t="shared" si="4"/>
        <v>0</v>
      </c>
      <c r="O30" s="153">
        <f t="shared" si="4"/>
        <v>-1.3895195428574425E-2</v>
      </c>
      <c r="P30" s="153">
        <f t="shared" si="4"/>
        <v>0.1001532270838652</v>
      </c>
      <c r="Q30" s="153">
        <f t="shared" si="4"/>
        <v>0</v>
      </c>
      <c r="R30" s="153">
        <f t="shared" si="4"/>
        <v>-5.4341036302503198E-3</v>
      </c>
    </row>
    <row r="31" spans="1:18" x14ac:dyDescent="0.25">
      <c r="E31" s="211"/>
      <c r="F31" s="211"/>
      <c r="G31" t="s">
        <v>199</v>
      </c>
    </row>
  </sheetData>
  <mergeCells count="10">
    <mergeCell ref="E31:F31"/>
    <mergeCell ref="F2:R2"/>
    <mergeCell ref="F3:J3"/>
    <mergeCell ref="K3:O3"/>
    <mergeCell ref="P3:R3"/>
    <mergeCell ref="A2:A4"/>
    <mergeCell ref="B2:B4"/>
    <mergeCell ref="C2:C4"/>
    <mergeCell ref="D2:D4"/>
    <mergeCell ref="E2:E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C8" sqref="C8"/>
    </sheetView>
  </sheetViews>
  <sheetFormatPr defaultRowHeight="15" x14ac:dyDescent="0.25"/>
  <cols>
    <col min="1" max="1" width="54.7109375" customWidth="1"/>
    <col min="2" max="2" width="37.7109375" customWidth="1"/>
    <col min="3" max="3" width="11.5703125" customWidth="1"/>
    <col min="4" max="4" width="8.85546875" customWidth="1"/>
  </cols>
  <sheetData>
    <row r="1" spans="1:4" ht="16.5" thickBot="1" x14ac:dyDescent="0.3">
      <c r="A1" s="2" t="s">
        <v>9</v>
      </c>
    </row>
    <row r="2" spans="1:4" ht="15.75" thickBot="1" x14ac:dyDescent="0.3">
      <c r="A2" s="3" t="s">
        <v>10</v>
      </c>
      <c r="B2" s="4" t="s">
        <v>11</v>
      </c>
      <c r="C2" s="212" t="s">
        <v>3</v>
      </c>
      <c r="D2" s="213"/>
    </row>
    <row r="3" spans="1:4" ht="15.75" thickBot="1" x14ac:dyDescent="0.3">
      <c r="A3" s="5" t="s">
        <v>12</v>
      </c>
      <c r="B3" s="6" t="s">
        <v>13</v>
      </c>
      <c r="C3" s="7" t="e">
        <f>'Task 1 + Task 2 Burden Table'!#REF!</f>
        <v>#REF!</v>
      </c>
      <c r="D3" s="8"/>
    </row>
    <row r="4" spans="1:4" ht="15.75" thickBot="1" x14ac:dyDescent="0.3">
      <c r="A4" s="9" t="s">
        <v>12</v>
      </c>
      <c r="B4" s="6" t="s">
        <v>14</v>
      </c>
      <c r="C4" s="14" t="e">
        <f>SUM('Task 1 + Task 2 Burden Table'!#REF!+'Task 1 + Task 2 Burden Table'!#REF!)</f>
        <v>#REF!</v>
      </c>
      <c r="D4" s="8"/>
    </row>
    <row r="5" spans="1:4" ht="15.75" thickBot="1" x14ac:dyDescent="0.3">
      <c r="A5" s="9" t="s">
        <v>15</v>
      </c>
      <c r="B5" s="6" t="s">
        <v>16</v>
      </c>
      <c r="C5" s="14" t="e">
        <f>'Task 1 + Task 2 Burden Table'!#REF!</f>
        <v>#REF!</v>
      </c>
      <c r="D5" s="8"/>
    </row>
    <row r="6" spans="1:4" ht="15.75" thickBot="1" x14ac:dyDescent="0.3">
      <c r="A6" s="5" t="s">
        <v>17</v>
      </c>
      <c r="B6" s="6" t="s">
        <v>18</v>
      </c>
      <c r="C6" s="14" t="e">
        <f>'Task 1 + Task 2 Burden Table'!#REF!</f>
        <v>#REF!</v>
      </c>
      <c r="D6" s="8"/>
    </row>
    <row r="7" spans="1:4" ht="30.75" thickBot="1" x14ac:dyDescent="0.3">
      <c r="A7" s="5" t="s">
        <v>19</v>
      </c>
      <c r="B7" s="6" t="s">
        <v>20</v>
      </c>
      <c r="C7" s="14" t="e">
        <f>'Task 1 + Task 2 Burden Table'!#REF!</f>
        <v>#REF!</v>
      </c>
      <c r="D7" s="8"/>
    </row>
    <row r="8" spans="1:4" ht="15.75" thickBot="1" x14ac:dyDescent="0.3">
      <c r="A8" s="10" t="s">
        <v>21</v>
      </c>
      <c r="B8" s="11"/>
      <c r="C8" s="24">
        <v>2680</v>
      </c>
      <c r="D8" s="21">
        <f>C8/C17</f>
        <v>0.19869513641755635</v>
      </c>
    </row>
    <row r="9" spans="1:4" ht="15.75" thickBot="1" x14ac:dyDescent="0.3">
      <c r="A9" s="12" t="s">
        <v>22</v>
      </c>
      <c r="B9" s="13"/>
      <c r="C9" s="212" t="s">
        <v>3</v>
      </c>
      <c r="D9" s="213"/>
    </row>
    <row r="10" spans="1:4" ht="15.75" thickBot="1" x14ac:dyDescent="0.3">
      <c r="A10" s="5" t="s">
        <v>23</v>
      </c>
      <c r="B10" s="6" t="s">
        <v>24</v>
      </c>
      <c r="C10" s="23" t="e">
        <f>'Task 1 + Task 2 Burden Table'!#REF!</f>
        <v>#REF!</v>
      </c>
      <c r="D10" s="8"/>
    </row>
    <row r="11" spans="1:4" ht="15.75" thickBot="1" x14ac:dyDescent="0.3">
      <c r="A11" s="5" t="s">
        <v>25</v>
      </c>
      <c r="B11" s="6" t="s">
        <v>26</v>
      </c>
      <c r="C11" s="23" t="e">
        <f>'Task 1 + Task 2 Burden Table'!#REF!+'Task 1 + Task 2 Burden Table'!#REF!</f>
        <v>#REF!</v>
      </c>
      <c r="D11" s="8"/>
    </row>
    <row r="12" spans="1:4" ht="15.75" thickBot="1" x14ac:dyDescent="0.3">
      <c r="A12" s="5" t="s">
        <v>27</v>
      </c>
      <c r="B12" s="6" t="s">
        <v>14</v>
      </c>
      <c r="C12" s="14" t="e">
        <f>'Task 1 + Task 2 Burden Table'!#REF!</f>
        <v>#REF!</v>
      </c>
      <c r="D12" s="8"/>
    </row>
    <row r="13" spans="1:4" ht="15.75" thickBot="1" x14ac:dyDescent="0.3">
      <c r="A13" s="5" t="s">
        <v>28</v>
      </c>
      <c r="B13" s="6" t="s">
        <v>29</v>
      </c>
      <c r="C13" s="14" t="e">
        <f>'Task 1 + Task 2 Burden Table'!#REF!</f>
        <v>#REF!</v>
      </c>
      <c r="D13" s="8"/>
    </row>
    <row r="14" spans="1:4" ht="15.75" thickBot="1" x14ac:dyDescent="0.3">
      <c r="A14" s="5" t="s">
        <v>30</v>
      </c>
      <c r="B14" s="6" t="s">
        <v>6</v>
      </c>
      <c r="C14" s="14" t="e">
        <f>'Task 1 + Task 2 Burden Table'!#REF!</f>
        <v>#REF!</v>
      </c>
      <c r="D14" s="8"/>
    </row>
    <row r="15" spans="1:4" ht="15.75" thickBot="1" x14ac:dyDescent="0.3">
      <c r="A15" s="5" t="s">
        <v>31</v>
      </c>
      <c r="B15" s="6" t="s">
        <v>32</v>
      </c>
      <c r="C15" s="14" t="e">
        <f>SUM('Task 1 + Task 2 Burden Table'!#REF!)</f>
        <v>#REF!</v>
      </c>
      <c r="D15" s="8"/>
    </row>
    <row r="16" spans="1:4" x14ac:dyDescent="0.25">
      <c r="A16" s="15" t="s">
        <v>33</v>
      </c>
      <c r="B16" s="16"/>
      <c r="C16" s="18">
        <v>10808</v>
      </c>
      <c r="D16" s="22">
        <f>C16/C17</f>
        <v>0.80130486358244368</v>
      </c>
    </row>
    <row r="17" spans="1:4" x14ac:dyDescent="0.25">
      <c r="A17" s="17" t="s">
        <v>34</v>
      </c>
      <c r="B17" s="1"/>
      <c r="C17" s="19">
        <f>SUM(C8+C16)</f>
        <v>13488</v>
      </c>
      <c r="D17" s="20"/>
    </row>
  </sheetData>
  <mergeCells count="2">
    <mergeCell ref="C2:D2"/>
    <mergeCell ref="C9:D9"/>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Task 1 + Task 2 Burden Table</vt:lpstr>
      <vt:lpstr>Burden check</vt:lpstr>
      <vt:lpstr>Sheet2</vt:lpstr>
      <vt:lpstr>'Task 1 + Task 2 Burden Table'!Print_Area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lywilliams</dc:creator>
  <cp:lastModifiedBy>Ragland-Greene, Rachelle - FNS</cp:lastModifiedBy>
  <cp:lastPrinted>2015-12-18T19:55:35Z</cp:lastPrinted>
  <dcterms:created xsi:type="dcterms:W3CDTF">2012-11-27T19:01:45Z</dcterms:created>
  <dcterms:modified xsi:type="dcterms:W3CDTF">2018-12-06T13:10:57Z</dcterms:modified>
</cp:coreProperties>
</file>