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90" windowWidth="20370" windowHeight="11760"/>
  </bookViews>
  <sheets>
    <sheet name="FINI burden table" sheetId="1" r:id="rId1"/>
    <sheet name="Sheet2" sheetId="2" state="hidden" r:id="rId2"/>
  </sheets>
  <definedNames>
    <definedName name="OLE_LINK3" localSheetId="0">'FINI burden table'!#REF!</definedName>
    <definedName name="_xlnm.Print_Area" localSheetId="0">'FINI burden table'!$A$1:$T$107</definedName>
  </definedNames>
  <calcPr calcId="125725"/>
  <fileRecoveryPr repairLoad="1"/>
</workbook>
</file>

<file path=xl/calcChain.xml><?xml version="1.0" encoding="utf-8"?>
<calcChain xmlns="http://schemas.openxmlformats.org/spreadsheetml/2006/main">
  <c r="N82" i="1"/>
  <c r="O79" l="1"/>
  <c r="O80"/>
  <c r="H55" l="1"/>
  <c r="G55"/>
  <c r="M55" l="1"/>
  <c r="K78"/>
  <c r="K76"/>
  <c r="K74"/>
  <c r="K73"/>
  <c r="K70"/>
  <c r="K69"/>
  <c r="K63"/>
  <c r="K62"/>
  <c r="K53"/>
  <c r="K51"/>
  <c r="K50"/>
  <c r="K47"/>
  <c r="K46"/>
  <c r="K40"/>
  <c r="K39"/>
  <c r="K27"/>
  <c r="K22"/>
  <c r="K19"/>
  <c r="K11"/>
  <c r="K8"/>
  <c r="G79" l="1"/>
  <c r="H79" s="1"/>
  <c r="G32"/>
  <c r="J4"/>
  <c r="L4" s="1"/>
  <c r="M79" l="1"/>
  <c r="S58"/>
  <c r="S57"/>
  <c r="S35"/>
  <c r="S34"/>
  <c r="P58" l="1"/>
  <c r="Q58" s="1"/>
  <c r="N58"/>
  <c r="M58"/>
  <c r="J58"/>
  <c r="L58" s="1"/>
  <c r="P57"/>
  <c r="Q57" s="1"/>
  <c r="N57"/>
  <c r="M57"/>
  <c r="J57"/>
  <c r="L57" s="1"/>
  <c r="J34"/>
  <c r="L34" s="1"/>
  <c r="M34"/>
  <c r="N34"/>
  <c r="P34"/>
  <c r="Q34" s="1"/>
  <c r="J35"/>
  <c r="L35" s="1"/>
  <c r="M35"/>
  <c r="N35"/>
  <c r="P35"/>
  <c r="Q35" s="1"/>
  <c r="P33"/>
  <c r="Q33" s="1"/>
  <c r="N33"/>
  <c r="M33"/>
  <c r="J33"/>
  <c r="K24"/>
  <c r="K13"/>
  <c r="L33" l="1"/>
  <c r="R33" s="1"/>
  <c r="T33" s="1"/>
  <c r="R58"/>
  <c r="T58" s="1"/>
  <c r="R35"/>
  <c r="T35" s="1"/>
  <c r="R34"/>
  <c r="T34" s="1"/>
  <c r="R57"/>
  <c r="T57" s="1"/>
  <c r="H77"/>
  <c r="J77" s="1"/>
  <c r="L77" s="1"/>
  <c r="N77"/>
  <c r="P77"/>
  <c r="Q77" s="1"/>
  <c r="N54"/>
  <c r="P54"/>
  <c r="Q54" s="1"/>
  <c r="M77" l="1"/>
  <c r="R77"/>
  <c r="T77" s="1"/>
  <c r="P76"/>
  <c r="Q76" s="1"/>
  <c r="N76"/>
  <c r="N75"/>
  <c r="P75"/>
  <c r="Q75" s="1"/>
  <c r="P53"/>
  <c r="Q53" s="1"/>
  <c r="N53"/>
  <c r="H53"/>
  <c r="H54" s="1"/>
  <c r="G53"/>
  <c r="M53" l="1"/>
  <c r="J53"/>
  <c r="L53" s="1"/>
  <c r="R53" s="1"/>
  <c r="T53" s="1"/>
  <c r="J54"/>
  <c r="L54" s="1"/>
  <c r="M54"/>
  <c r="G80"/>
  <c r="H15"/>
  <c r="J15" s="1"/>
  <c r="L15" s="1"/>
  <c r="P6"/>
  <c r="Q6" s="1"/>
  <c r="P7"/>
  <c r="Q7" s="1"/>
  <c r="P8"/>
  <c r="Q8" s="1"/>
  <c r="P9"/>
  <c r="Q9" s="1"/>
  <c r="P10"/>
  <c r="Q10" s="1"/>
  <c r="P11"/>
  <c r="Q11" s="1"/>
  <c r="P12"/>
  <c r="Q12" s="1"/>
  <c r="P13"/>
  <c r="Q13" s="1"/>
  <c r="P14"/>
  <c r="Q14" s="1"/>
  <c r="P15"/>
  <c r="P16"/>
  <c r="Q16" s="1"/>
  <c r="P17"/>
  <c r="Q17" s="1"/>
  <c r="P18"/>
  <c r="Q18" s="1"/>
  <c r="P19"/>
  <c r="Q19" s="1"/>
  <c r="P20"/>
  <c r="Q20" s="1"/>
  <c r="P21"/>
  <c r="Q21" s="1"/>
  <c r="P22"/>
  <c r="Q22" s="1"/>
  <c r="P23"/>
  <c r="Q23" s="1"/>
  <c r="P24"/>
  <c r="Q24" s="1"/>
  <c r="P25"/>
  <c r="P26"/>
  <c r="P27"/>
  <c r="P28"/>
  <c r="P29"/>
  <c r="P30"/>
  <c r="P31"/>
  <c r="P5"/>
  <c r="Q5" s="1"/>
  <c r="P36"/>
  <c r="P37"/>
  <c r="P38"/>
  <c r="P39"/>
  <c r="P40"/>
  <c r="P41"/>
  <c r="P42"/>
  <c r="P43"/>
  <c r="P44"/>
  <c r="P45"/>
  <c r="P46"/>
  <c r="P47"/>
  <c r="P48"/>
  <c r="P49"/>
  <c r="P50"/>
  <c r="P51"/>
  <c r="P52"/>
  <c r="G82" l="1"/>
  <c r="G83" s="1"/>
  <c r="R54"/>
  <c r="T54" s="1"/>
  <c r="Q36"/>
  <c r="N36"/>
  <c r="H36"/>
  <c r="M36" s="1"/>
  <c r="Q52"/>
  <c r="N52"/>
  <c r="M52"/>
  <c r="J52"/>
  <c r="L52" s="1"/>
  <c r="Q51"/>
  <c r="N51"/>
  <c r="Q50"/>
  <c r="N50"/>
  <c r="N49"/>
  <c r="G49"/>
  <c r="G50" s="1"/>
  <c r="Q48"/>
  <c r="N48"/>
  <c r="M48"/>
  <c r="J48"/>
  <c r="L48" s="1"/>
  <c r="Q47"/>
  <c r="N47"/>
  <c r="Q46"/>
  <c r="N46"/>
  <c r="Q45"/>
  <c r="N45"/>
  <c r="G45"/>
  <c r="H45" s="1"/>
  <c r="J45" s="1"/>
  <c r="L45" s="1"/>
  <c r="Q44"/>
  <c r="N44"/>
  <c r="G44"/>
  <c r="H44" s="1"/>
  <c r="J44" s="1"/>
  <c r="L44" s="1"/>
  <c r="Q43"/>
  <c r="N43"/>
  <c r="H43"/>
  <c r="M43" s="1"/>
  <c r="N42"/>
  <c r="G42"/>
  <c r="H42" s="1"/>
  <c r="J42" s="1"/>
  <c r="L42" s="1"/>
  <c r="Q41"/>
  <c r="N41"/>
  <c r="M41"/>
  <c r="J41"/>
  <c r="L41" s="1"/>
  <c r="Q40"/>
  <c r="N40"/>
  <c r="Q39"/>
  <c r="N39"/>
  <c r="Q38"/>
  <c r="N38"/>
  <c r="H38"/>
  <c r="J38" s="1"/>
  <c r="L38" s="1"/>
  <c r="Q37"/>
  <c r="N37"/>
  <c r="H37"/>
  <c r="J37" s="1"/>
  <c r="R44" l="1"/>
  <c r="T44" s="1"/>
  <c r="R45"/>
  <c r="T45" s="1"/>
  <c r="R52"/>
  <c r="T52" s="1"/>
  <c r="R38"/>
  <c r="T38" s="1"/>
  <c r="L37"/>
  <c r="J43"/>
  <c r="L43" s="1"/>
  <c r="R43" s="1"/>
  <c r="T43" s="1"/>
  <c r="R41"/>
  <c r="T41" s="1"/>
  <c r="J36"/>
  <c r="M37"/>
  <c r="M42"/>
  <c r="O42" s="1"/>
  <c r="M38"/>
  <c r="G39"/>
  <c r="R48"/>
  <c r="T48" s="1"/>
  <c r="G51"/>
  <c r="H50"/>
  <c r="M50" s="1"/>
  <c r="M44"/>
  <c r="M45"/>
  <c r="G46"/>
  <c r="H49"/>
  <c r="J49" s="1"/>
  <c r="L49" s="1"/>
  <c r="P74"/>
  <c r="Q74" s="1"/>
  <c r="N74"/>
  <c r="P73"/>
  <c r="Q73" s="1"/>
  <c r="N73"/>
  <c r="P72"/>
  <c r="N72"/>
  <c r="P71"/>
  <c r="Q71" s="1"/>
  <c r="N71"/>
  <c r="P70"/>
  <c r="Q70" s="1"/>
  <c r="N70"/>
  <c r="P69"/>
  <c r="Q69" s="1"/>
  <c r="N69"/>
  <c r="P68"/>
  <c r="Q68" s="1"/>
  <c r="N68"/>
  <c r="P67"/>
  <c r="Q67" s="1"/>
  <c r="N67"/>
  <c r="P66"/>
  <c r="Q66" s="1"/>
  <c r="N66"/>
  <c r="R37" l="1"/>
  <c r="T37" s="1"/>
  <c r="Q42"/>
  <c r="L36"/>
  <c r="H46"/>
  <c r="M46" s="1"/>
  <c r="G47"/>
  <c r="H39"/>
  <c r="M39" s="1"/>
  <c r="G40"/>
  <c r="M49"/>
  <c r="O49" s="1"/>
  <c r="Q49" s="1"/>
  <c r="R49" s="1"/>
  <c r="T49" s="1"/>
  <c r="J50"/>
  <c r="L50" s="1"/>
  <c r="R50" s="1"/>
  <c r="T50" s="1"/>
  <c r="H51"/>
  <c r="J51" s="1"/>
  <c r="L51" s="1"/>
  <c r="R51" s="1"/>
  <c r="T51" s="1"/>
  <c r="H27"/>
  <c r="R42" l="1"/>
  <c r="T42" s="1"/>
  <c r="Q55"/>
  <c r="O55"/>
  <c r="M51"/>
  <c r="G28"/>
  <c r="H28" s="1"/>
  <c r="J28" s="1"/>
  <c r="L28" s="1"/>
  <c r="J27"/>
  <c r="L27" s="1"/>
  <c r="R36"/>
  <c r="T36" s="1"/>
  <c r="H47"/>
  <c r="J47" s="1"/>
  <c r="L47" s="1"/>
  <c r="R47" s="1"/>
  <c r="T47" s="1"/>
  <c r="J46"/>
  <c r="L46" s="1"/>
  <c r="R46" s="1"/>
  <c r="T46" s="1"/>
  <c r="H40"/>
  <c r="J40" s="1"/>
  <c r="L40" s="1"/>
  <c r="R40" s="1"/>
  <c r="T40" s="1"/>
  <c r="J39"/>
  <c r="P59"/>
  <c r="Q59" s="1"/>
  <c r="P60"/>
  <c r="Q60" s="1"/>
  <c r="P61"/>
  <c r="Q61" s="1"/>
  <c r="P62"/>
  <c r="Q62" s="1"/>
  <c r="P63"/>
  <c r="Q63" s="1"/>
  <c r="P64"/>
  <c r="Q64" s="1"/>
  <c r="P65"/>
  <c r="P78"/>
  <c r="P79"/>
  <c r="P80"/>
  <c r="Q80" s="1"/>
  <c r="P81"/>
  <c r="Q81" s="1"/>
  <c r="P56"/>
  <c r="Q56" s="1"/>
  <c r="P4"/>
  <c r="Q4" s="1"/>
  <c r="R4" s="1"/>
  <c r="T4" s="1"/>
  <c r="N59"/>
  <c r="N60"/>
  <c r="N61"/>
  <c r="N62"/>
  <c r="N63"/>
  <c r="N64"/>
  <c r="N65"/>
  <c r="N78"/>
  <c r="N79"/>
  <c r="N80"/>
  <c r="N81"/>
  <c r="N56"/>
  <c r="N5"/>
  <c r="N6"/>
  <c r="N7"/>
  <c r="N8"/>
  <c r="N9"/>
  <c r="N10"/>
  <c r="N11"/>
  <c r="N12"/>
  <c r="N13"/>
  <c r="N14"/>
  <c r="N15"/>
  <c r="N16"/>
  <c r="N18"/>
  <c r="N17"/>
  <c r="N19"/>
  <c r="N20"/>
  <c r="N21"/>
  <c r="N22"/>
  <c r="N23"/>
  <c r="N24"/>
  <c r="N25"/>
  <c r="N26"/>
  <c r="N27"/>
  <c r="N28"/>
  <c r="N29"/>
  <c r="N30"/>
  <c r="N31"/>
  <c r="N4"/>
  <c r="M27"/>
  <c r="M4"/>
  <c r="J55" l="1"/>
  <c r="I55" s="1"/>
  <c r="L39"/>
  <c r="L55" s="1"/>
  <c r="R55" s="1"/>
  <c r="M40"/>
  <c r="M47"/>
  <c r="M56"/>
  <c r="J56" l="1"/>
  <c r="L56" s="1"/>
  <c r="R39"/>
  <c r="T39" s="1"/>
  <c r="T55" s="1"/>
  <c r="R56" l="1"/>
  <c r="T56" l="1"/>
  <c r="H26"/>
  <c r="J26" s="1"/>
  <c r="L26" s="1"/>
  <c r="G18"/>
  <c r="H16"/>
  <c r="J16" s="1"/>
  <c r="L16" s="1"/>
  <c r="R16" s="1"/>
  <c r="T16" s="1"/>
  <c r="G7"/>
  <c r="H7" l="1"/>
  <c r="M7" s="1"/>
  <c r="G17"/>
  <c r="M16"/>
  <c r="M26"/>
  <c r="O26" s="1"/>
  <c r="Q26" s="1"/>
  <c r="R26" s="1"/>
  <c r="T26" s="1"/>
  <c r="H18"/>
  <c r="O27"/>
  <c r="Q27" s="1"/>
  <c r="R27" s="1"/>
  <c r="T27" s="1"/>
  <c r="M18" l="1"/>
  <c r="J18"/>
  <c r="L18" s="1"/>
  <c r="R18" s="1"/>
  <c r="T18" s="1"/>
  <c r="J7"/>
  <c r="L7" s="1"/>
  <c r="R7" s="1"/>
  <c r="T7" s="1"/>
  <c r="H17"/>
  <c r="J17" s="1"/>
  <c r="L17" s="1"/>
  <c r="R17" l="1"/>
  <c r="T17" s="1"/>
  <c r="G19"/>
  <c r="M17"/>
  <c r="H80"/>
  <c r="J80" l="1"/>
  <c r="L80" s="1"/>
  <c r="R80" s="1"/>
  <c r="T80" s="1"/>
  <c r="M80"/>
  <c r="Q79"/>
  <c r="J79"/>
  <c r="L79" s="1"/>
  <c r="G81"/>
  <c r="R79" l="1"/>
  <c r="T79" s="1"/>
  <c r="H81"/>
  <c r="J81" s="1"/>
  <c r="L81" s="1"/>
  <c r="R81" s="1"/>
  <c r="T81" s="1"/>
  <c r="G60"/>
  <c r="H59"/>
  <c r="H82" s="1"/>
  <c r="H60" l="1"/>
  <c r="J60" s="1"/>
  <c r="L60" s="1"/>
  <c r="R60" s="1"/>
  <c r="T60" s="1"/>
  <c r="G61"/>
  <c r="J59"/>
  <c r="M59"/>
  <c r="M82" s="1"/>
  <c r="M81"/>
  <c r="G62" l="1"/>
  <c r="H61"/>
  <c r="J61" s="1"/>
  <c r="L61" s="1"/>
  <c r="R61" s="1"/>
  <c r="T61" s="1"/>
  <c r="M60"/>
  <c r="L59"/>
  <c r="M61" l="1"/>
  <c r="G63"/>
  <c r="H62"/>
  <c r="R59"/>
  <c r="H78"/>
  <c r="M62" l="1"/>
  <c r="J62"/>
  <c r="L62" s="1"/>
  <c r="G64"/>
  <c r="H63"/>
  <c r="J63" s="1"/>
  <c r="L63" s="1"/>
  <c r="R63" s="1"/>
  <c r="T63" s="1"/>
  <c r="T59"/>
  <c r="M78"/>
  <c r="J78"/>
  <c r="R62" l="1"/>
  <c r="T62" s="1"/>
  <c r="M63"/>
  <c r="G65"/>
  <c r="H64"/>
  <c r="J64" s="1"/>
  <c r="L64" s="1"/>
  <c r="R64" s="1"/>
  <c r="T64" s="1"/>
  <c r="L78"/>
  <c r="M64" l="1"/>
  <c r="G66"/>
  <c r="H65"/>
  <c r="J65" s="1"/>
  <c r="H5"/>
  <c r="H32" s="1"/>
  <c r="L65" l="1"/>
  <c r="M65"/>
  <c r="O65" s="1"/>
  <c r="G67"/>
  <c r="H66"/>
  <c r="J66" s="1"/>
  <c r="L66" s="1"/>
  <c r="R66" s="1"/>
  <c r="T66" s="1"/>
  <c r="G6"/>
  <c r="J5"/>
  <c r="L5" s="1"/>
  <c r="M5"/>
  <c r="M32" s="1"/>
  <c r="M83" s="1"/>
  <c r="H6" l="1"/>
  <c r="M6" s="1"/>
  <c r="R5"/>
  <c r="T5" s="1"/>
  <c r="Q65"/>
  <c r="R65" s="1"/>
  <c r="T65" s="1"/>
  <c r="M66"/>
  <c r="G68"/>
  <c r="H67"/>
  <c r="J67" s="1"/>
  <c r="L67" s="1"/>
  <c r="R67" s="1"/>
  <c r="T67" s="1"/>
  <c r="M67" l="1"/>
  <c r="G69"/>
  <c r="H68"/>
  <c r="J68" s="1"/>
  <c r="J6"/>
  <c r="G8"/>
  <c r="M15"/>
  <c r="L6" l="1"/>
  <c r="L68"/>
  <c r="M68"/>
  <c r="G70"/>
  <c r="H69"/>
  <c r="J69" s="1"/>
  <c r="L69" s="1"/>
  <c r="G10"/>
  <c r="H8"/>
  <c r="O15"/>
  <c r="O78"/>
  <c r="Q78" s="1"/>
  <c r="R69" l="1"/>
  <c r="T69" s="1"/>
  <c r="R6"/>
  <c r="T6" s="1"/>
  <c r="Q15"/>
  <c r="R15" s="1"/>
  <c r="T15" s="1"/>
  <c r="M69"/>
  <c r="G71"/>
  <c r="H70"/>
  <c r="J70" s="1"/>
  <c r="R68"/>
  <c r="T68" s="1"/>
  <c r="M8"/>
  <c r="J8"/>
  <c r="H10"/>
  <c r="J10" s="1"/>
  <c r="L10" s="1"/>
  <c r="R10" s="1"/>
  <c r="T10" s="1"/>
  <c r="R78"/>
  <c r="G9"/>
  <c r="L8" l="1"/>
  <c r="L70"/>
  <c r="M70"/>
  <c r="G72"/>
  <c r="H71"/>
  <c r="J71" s="1"/>
  <c r="M10"/>
  <c r="T78"/>
  <c r="H9"/>
  <c r="D8" i="2"/>
  <c r="C17"/>
  <c r="D16" s="1"/>
  <c r="C6"/>
  <c r="C3"/>
  <c r="C5"/>
  <c r="C4"/>
  <c r="C12"/>
  <c r="C14"/>
  <c r="C15"/>
  <c r="C13"/>
  <c r="C10"/>
  <c r="C7"/>
  <c r="C11"/>
  <c r="R8" i="1" l="1"/>
  <c r="T8" s="1"/>
  <c r="L71"/>
  <c r="R71" s="1"/>
  <c r="T71" s="1"/>
  <c r="M71"/>
  <c r="G73"/>
  <c r="H72"/>
  <c r="J72" s="1"/>
  <c r="R70"/>
  <c r="M9"/>
  <c r="J9"/>
  <c r="G11"/>
  <c r="H83"/>
  <c r="E111" l="1"/>
  <c r="E117"/>
  <c r="L9"/>
  <c r="T70"/>
  <c r="L72"/>
  <c r="M72"/>
  <c r="O72" s="1"/>
  <c r="G74"/>
  <c r="G75" s="1"/>
  <c r="H73"/>
  <c r="J73" s="1"/>
  <c r="L73" s="1"/>
  <c r="H11"/>
  <c r="J11" s="1"/>
  <c r="L11" s="1"/>
  <c r="R11" s="1"/>
  <c r="T11" s="1"/>
  <c r="R73" l="1"/>
  <c r="T73" s="1"/>
  <c r="R9"/>
  <c r="T9" s="1"/>
  <c r="O82"/>
  <c r="E114"/>
  <c r="Q72"/>
  <c r="R72" s="1"/>
  <c r="G76"/>
  <c r="H75"/>
  <c r="J75" s="1"/>
  <c r="L75" s="1"/>
  <c r="R75" s="1"/>
  <c r="T75" s="1"/>
  <c r="M73"/>
  <c r="H74"/>
  <c r="J74" s="1"/>
  <c r="M11"/>
  <c r="G12"/>
  <c r="L74" l="1"/>
  <c r="Q82"/>
  <c r="M75"/>
  <c r="H76"/>
  <c r="J76" s="1"/>
  <c r="L76" s="1"/>
  <c r="R76" s="1"/>
  <c r="T76" s="1"/>
  <c r="T72"/>
  <c r="M74"/>
  <c r="H12"/>
  <c r="H13" s="1"/>
  <c r="G13" s="1"/>
  <c r="R74" l="1"/>
  <c r="T74" s="1"/>
  <c r="L82"/>
  <c r="E113"/>
  <c r="M76"/>
  <c r="J82"/>
  <c r="I82" s="1"/>
  <c r="J12"/>
  <c r="G14"/>
  <c r="M12"/>
  <c r="J13"/>
  <c r="L13" s="1"/>
  <c r="R13" s="1"/>
  <c r="T13" s="1"/>
  <c r="L12" l="1"/>
  <c r="M13"/>
  <c r="R12" l="1"/>
  <c r="T12" s="1"/>
  <c r="T82"/>
  <c r="R82"/>
  <c r="H14"/>
  <c r="M14" l="1"/>
  <c r="J14"/>
  <c r="L14" s="1"/>
  <c r="R14" s="1"/>
  <c r="T14" s="1"/>
  <c r="H19" l="1"/>
  <c r="G21" l="1"/>
  <c r="G20" s="1"/>
  <c r="H20" s="1"/>
  <c r="J19"/>
  <c r="L19" s="1"/>
  <c r="R19" s="1"/>
  <c r="T19" s="1"/>
  <c r="M19"/>
  <c r="H21" l="1"/>
  <c r="M21" s="1"/>
  <c r="J21" l="1"/>
  <c r="L21" s="1"/>
  <c r="R21" s="1"/>
  <c r="T21" s="1"/>
  <c r="G22"/>
  <c r="H22" s="1"/>
  <c r="J20"/>
  <c r="L20" s="1"/>
  <c r="R20" s="1"/>
  <c r="T20" s="1"/>
  <c r="M20"/>
  <c r="J22" l="1"/>
  <c r="L22" s="1"/>
  <c r="R22" s="1"/>
  <c r="T22" s="1"/>
  <c r="G23"/>
  <c r="H23" s="1"/>
  <c r="H24" s="1"/>
  <c r="M22"/>
  <c r="G25" l="1"/>
  <c r="G24"/>
  <c r="M23"/>
  <c r="J23" l="1"/>
  <c r="L23" s="1"/>
  <c r="R23" s="1"/>
  <c r="T23" s="1"/>
  <c r="J24" l="1"/>
  <c r="L24" s="1"/>
  <c r="R24" s="1"/>
  <c r="T24" s="1"/>
  <c r="M24"/>
  <c r="H25" l="1"/>
  <c r="O25" l="1"/>
  <c r="J25"/>
  <c r="L25" s="1"/>
  <c r="M25"/>
  <c r="Q25" l="1"/>
  <c r="R25" s="1"/>
  <c r="T25" s="1"/>
  <c r="G29" l="1"/>
  <c r="H29" s="1"/>
  <c r="J29" s="1"/>
  <c r="L29" s="1"/>
  <c r="M28"/>
  <c r="O28" s="1"/>
  <c r="Q28" l="1"/>
  <c r="R28" s="1"/>
  <c r="T28" s="1"/>
  <c r="G30"/>
  <c r="M29"/>
  <c r="O29" s="1"/>
  <c r="Q29" s="1"/>
  <c r="R29" s="1"/>
  <c r="T29" s="1"/>
  <c r="H30" l="1"/>
  <c r="J30" s="1"/>
  <c r="L30" s="1"/>
  <c r="M30" l="1"/>
  <c r="O30" s="1"/>
  <c r="G31"/>
  <c r="Q30" l="1"/>
  <c r="H31"/>
  <c r="J31" s="1"/>
  <c r="L31" l="1"/>
  <c r="L32" s="1"/>
  <c r="J32"/>
  <c r="I32" s="1"/>
  <c r="R30"/>
  <c r="T30" s="1"/>
  <c r="M31"/>
  <c r="O31" s="1"/>
  <c r="O32" s="1"/>
  <c r="N32" s="1"/>
  <c r="Q31" l="1"/>
  <c r="R31" s="1"/>
  <c r="T31" s="1"/>
  <c r="L83"/>
  <c r="J83" l="1"/>
  <c r="Q32"/>
  <c r="Q83" s="1"/>
  <c r="R83" s="1"/>
  <c r="G86" l="1"/>
  <c r="E116"/>
  <c r="R32"/>
  <c r="T32"/>
  <c r="T83" s="1"/>
  <c r="O83" l="1"/>
  <c r="E112" s="1"/>
  <c r="G84" l="1"/>
  <c r="G85"/>
  <c r="E115"/>
</calcChain>
</file>

<file path=xl/sharedStrings.xml><?xml version="1.0" encoding="utf-8"?>
<sst xmlns="http://schemas.openxmlformats.org/spreadsheetml/2006/main" count="251" uniqueCount="179">
  <si>
    <t>Type of Survey Instrument</t>
  </si>
  <si>
    <t>Number of Respondents</t>
  </si>
  <si>
    <t>Frequency of Response (annual)</t>
  </si>
  <si>
    <t>Total Annual Responses</t>
  </si>
  <si>
    <t>Average Hours per Response</t>
  </si>
  <si>
    <t>Average Hours per response</t>
  </si>
  <si>
    <t>Hospital record data manager</t>
  </si>
  <si>
    <t>Respondent Description</t>
  </si>
  <si>
    <t>Number of non -respondents</t>
  </si>
  <si>
    <t>Table A.3.1. Paper and electronic instruments by annual responses</t>
  </si>
  <si>
    <t>Paper Instruments</t>
  </si>
  <si>
    <t>Completed by</t>
  </si>
  <si>
    <t xml:space="preserve">Appendix C:  Participant Referral Form </t>
  </si>
  <si>
    <t>WIC Participant</t>
  </si>
  <si>
    <t>WIC Service Site staff</t>
  </si>
  <si>
    <t>Appendix FF:  State/local Key Informant Interview</t>
  </si>
  <si>
    <t>State/Local WIC personnel</t>
  </si>
  <si>
    <t xml:space="preserve">Appendix V:  Note sheet </t>
  </si>
  <si>
    <t>Daycare providers</t>
  </si>
  <si>
    <t>Appendix BB:  Home Health Care Provider Length/Weight</t>
  </si>
  <si>
    <t>Home health care providers (Westat staff)</t>
  </si>
  <si>
    <t>Subtotal paper instruments</t>
  </si>
  <si>
    <t>Electronic Instruments</t>
  </si>
  <si>
    <t>Appendices E:  Screening &amp; Enrollment Participant Interviews</t>
  </si>
  <si>
    <t>Westat recruiters</t>
  </si>
  <si>
    <t>Appendices I-S:  Participant Interviews</t>
  </si>
  <si>
    <t>Westat interviewers</t>
  </si>
  <si>
    <t>Appendix EE:  Local WIC Staff Online Survey</t>
  </si>
  <si>
    <t>Appendix Y:  WIC Administrative Data Request</t>
  </si>
  <si>
    <t>State/local WIC personnel</t>
  </si>
  <si>
    <t>Appendix Z:  Hospital Data Request</t>
  </si>
  <si>
    <t xml:space="preserve">Appendix AA:  Provider Data Request </t>
  </si>
  <si>
    <t>Health care provider data manager</t>
  </si>
  <si>
    <t>Subtotal electronic instruments</t>
  </si>
  <si>
    <t>Total</t>
  </si>
  <si>
    <t>Sub-Total Annual Burden</t>
  </si>
  <si>
    <t>Hourly Rate</t>
  </si>
  <si>
    <t>Total Annualized Cost</t>
  </si>
  <si>
    <t>Individuals and Households Subtotal</t>
  </si>
  <si>
    <t>Profit/Non-Profit Business Subtotal</t>
  </si>
  <si>
    <t>GRAND TOTAL</t>
  </si>
  <si>
    <t>Frequency of response</t>
  </si>
  <si>
    <t>Estimated annual responses</t>
  </si>
  <si>
    <t>Average annual burden</t>
  </si>
  <si>
    <t>Appendices</t>
  </si>
  <si>
    <t>Sample size</t>
  </si>
  <si>
    <t>Household and Individuals</t>
  </si>
  <si>
    <t>SNAP participants</t>
  </si>
  <si>
    <t xml:space="preserve">D </t>
  </si>
  <si>
    <t>E</t>
  </si>
  <si>
    <t>F</t>
  </si>
  <si>
    <t>G</t>
  </si>
  <si>
    <t>H</t>
  </si>
  <si>
    <t>I</t>
  </si>
  <si>
    <t>J</t>
  </si>
  <si>
    <t>K</t>
  </si>
  <si>
    <t>L</t>
  </si>
  <si>
    <t>M</t>
  </si>
  <si>
    <t>P</t>
  </si>
  <si>
    <t>Q</t>
  </si>
  <si>
    <t>State/Local Government Subtotal (i)</t>
  </si>
  <si>
    <t>Grantees and Administrators/ Retailers/Local Community Org.  Staff</t>
  </si>
  <si>
    <t>R</t>
  </si>
  <si>
    <t>U</t>
  </si>
  <si>
    <t>V</t>
  </si>
  <si>
    <t>W</t>
  </si>
  <si>
    <t>X</t>
  </si>
  <si>
    <t>Y</t>
  </si>
  <si>
    <t>Z</t>
  </si>
  <si>
    <t>T</t>
  </si>
  <si>
    <t>S</t>
  </si>
  <si>
    <t>AA</t>
  </si>
  <si>
    <t>AB</t>
  </si>
  <si>
    <t>AC</t>
  </si>
  <si>
    <t>Outlet Survey Cognitive Testing</t>
  </si>
  <si>
    <t>(n) Assume all grantees will be contacted to schedule KII</t>
  </si>
  <si>
    <t>(o) Assume all grantees will participate in KII</t>
  </si>
  <si>
    <t>(p) Assume all grantees will read the  program data form request email</t>
  </si>
  <si>
    <t>Outlet Survey Invitation Letter (r)</t>
  </si>
  <si>
    <t>Outlet Survey Reminder Letter (s)</t>
  </si>
  <si>
    <t>Outlet Survey (t)</t>
  </si>
  <si>
    <t>(r) Assume all outlet operators will read the invitation letter</t>
  </si>
  <si>
    <t>Annual Core Program Data Form, Year 2 (q)</t>
  </si>
  <si>
    <t>Grantee Administrator Interview Scheduling (script), Year 2 (n)</t>
  </si>
  <si>
    <t>Grantee Administrator Interview Discussion Guide, Year 2 (o)</t>
  </si>
  <si>
    <t>Quarterly Core Program Data Form Request Email, Year 2 (p)</t>
  </si>
  <si>
    <t>Annual Core Program Data Form Request Email, Year 2 (p)</t>
  </si>
  <si>
    <t>Quarterly Core Program Data Form, Year 2 (q)</t>
  </si>
  <si>
    <t>Quarterly Core Program Data Form Request Email, Year 3 (p)</t>
  </si>
  <si>
    <t>Annual Core Program Data Form Request Email, Year 3 (p)</t>
  </si>
  <si>
    <t>Quarterly Core Program Data Form, Year 3 (q)</t>
  </si>
  <si>
    <t>Grantee Administrator Interview Scheduling (script), Year 1 (n)</t>
  </si>
  <si>
    <t>Grantee Administrator Interview Discussion Guide, Year 1 (o)</t>
  </si>
  <si>
    <t>Quarterly Core Program Data Form Request Email, Year 1 (p)</t>
  </si>
  <si>
    <t>Annual Core Program Data Form Request Email , Year 1(p)</t>
  </si>
  <si>
    <t>Annual Core Program Data Form, Year 1 (q)</t>
  </si>
  <si>
    <t>N,O</t>
  </si>
  <si>
    <t>AD</t>
  </si>
  <si>
    <t>AE</t>
  </si>
  <si>
    <t>Annual Core Program Data Form, Year 3 (q)</t>
  </si>
  <si>
    <t>AF</t>
  </si>
  <si>
    <t>AJ</t>
  </si>
  <si>
    <t>Pre-SPS  Invitation Letter (a)</t>
  </si>
  <si>
    <t>Pre-SPS Teleform - 1 (e)</t>
  </si>
  <si>
    <t>Pre-SPS Teleform -2 (f)</t>
  </si>
  <si>
    <t>Pre-SPS - Telephone Survey (g)</t>
  </si>
  <si>
    <t>Pre-SPS Thank You Letter (i)</t>
  </si>
  <si>
    <t>Post-SPS Web Invitation letter (j)</t>
  </si>
  <si>
    <t>Post-SPS Thank You Letter (i)</t>
  </si>
  <si>
    <t>Post-SPS Teleform - 2 (f)</t>
  </si>
  <si>
    <t>Post-SPS - Telephone Survey (g)</t>
  </si>
  <si>
    <t>SNAP Participant KII Discussion Guide (m)</t>
  </si>
  <si>
    <t>Pretest for 2 SPS questions</t>
  </si>
  <si>
    <t>AO</t>
  </si>
  <si>
    <t xml:space="preserve">AP </t>
  </si>
  <si>
    <t>Email to Grantees for Followup with Nonresponding Outlets</t>
  </si>
  <si>
    <t>Quarterly Core Program Data Form, Year 1 (q)</t>
  </si>
  <si>
    <t>SPS Reminder Postcard - 1 (b)</t>
  </si>
  <si>
    <t xml:space="preserve">Pre-SPS  - Web(c) </t>
  </si>
  <si>
    <t>SPS Reminder Postcard -2 (b)</t>
  </si>
  <si>
    <t xml:space="preserve">SPS Reminder Postcard - 2 (b) </t>
  </si>
  <si>
    <t>Pre-SPS Reminder Letter 1 (d)</t>
  </si>
  <si>
    <t>Pre-SPS Reminder Letter 2 (d)</t>
  </si>
  <si>
    <t>Post-SPS Reminder Letter 1 (d)</t>
  </si>
  <si>
    <t>Post-SPS Reminder Letter 2 (d)</t>
  </si>
  <si>
    <t>Post-SPS Teleform - 1 (e)</t>
  </si>
  <si>
    <t>SNAP participant KII Thank you Letter (i)</t>
  </si>
  <si>
    <t>Grantee Administrator Interview Thank you Postcard , Year 1(i)</t>
  </si>
  <si>
    <t>Grantee Administrator Thank you Postcard, Year 2 (i)</t>
  </si>
  <si>
    <t>Outlet Survey Thank you Postcard (i)</t>
  </si>
  <si>
    <t>SNAP Participant KII Invitation Letter (k)</t>
  </si>
  <si>
    <t>SNAP Participant KII Recruitment Script (l)</t>
  </si>
  <si>
    <t>(k) Assume all SNAP participants will read the KII invitation letter and KII Confirmation Letter</t>
  </si>
  <si>
    <t>SNAP participant KII Confirmation Letter (k)</t>
  </si>
  <si>
    <t>Post-SPS - Web (c)</t>
  </si>
  <si>
    <t>(i) Thank you letters will be read by all respondents</t>
  </si>
  <si>
    <t>(a) Assume 90 percent of sampled participants will read the invitation letter - 5 percent postal nondeliverables and 5 percent not read</t>
  </si>
  <si>
    <t>(b) Assume 60 percent of sampled participants will receive a reminder postcard</t>
  </si>
  <si>
    <t>(c) Assume 15 percent of participants who read the invitation letter will complete the pre survey by web and 18 percent will complete the post survey by web</t>
  </si>
  <si>
    <t>(d) Reminder letters will be sent to all non-respondents; assume 90 percent will read the letter - 5 percent postal nondeliverables and 5 percent not read</t>
  </si>
  <si>
    <t>(e) Assume 35 percent of those who read the first reminder letter will complete the teleform survey</t>
  </si>
  <si>
    <t>(f) Assume 25 percent of those who read the second reminder letter will complete the teleform survey</t>
  </si>
  <si>
    <t xml:space="preserve">(g) Assume Non-respondents will be contacted by phone to achieve the targeted number of completes; assume 7 percent will complete the survey by phone </t>
  </si>
  <si>
    <t>(j) Post-SPS invitation letters will be mailed to all those who completed the pre-SPS; 90 percent will read the invitation letter</t>
  </si>
  <si>
    <t>(l) Assume 85 percent of those contacted by phone will be scheduled for KII</t>
  </si>
  <si>
    <t>(m) Assume 80 percent of those who are scheduled for KII will participate in KII</t>
  </si>
  <si>
    <t>(s) Assume 50 percent of outlet operators will need a reminder letter and 95 percent of these will read it</t>
  </si>
  <si>
    <t>(t) Assume 80 percent of outlet operators will complete the outlet survey</t>
  </si>
  <si>
    <t>Annual Number of Respondents</t>
  </si>
  <si>
    <t>% of responses collected electronically</t>
  </si>
  <si>
    <t>TOTAL ANNUAL BURDEN</t>
  </si>
  <si>
    <t>NOTE: this includes respondent burden for pre-SPS, post-SPS, annual and quarterly CPD, and email to follow-up with outlets to complete outlet survey</t>
  </si>
  <si>
    <t>NOTE: this includes non- respondent burden for pre-SPS, post-SPS, annual and quarterly CPD, and email to follow-up with outlets to complete outlet survey</t>
  </si>
  <si>
    <t>NOTE: this is the sum of respondent and non-respondent burden above</t>
  </si>
  <si>
    <t>% respondents that are small entities:</t>
  </si>
  <si>
    <t>Number of responses collected electronically, respondents:</t>
  </si>
  <si>
    <t>Number of responses collected electronically, nonrespondents:</t>
  </si>
  <si>
    <t>(q) Assume all grantees will complete the program data forms. If grantees request to submit more than one respose on the annual form to accomdate subawardees or partner organizations, the agency will work with them on an individual basis.</t>
  </si>
  <si>
    <t>(h) Non-respondents will be contacted by phone to achieve the targeted number of completes; messages will be left on voicemail for 60 percent with working phone numbers and voicemails</t>
  </si>
  <si>
    <t xml:space="preserve">Request to complete Outlet Characteristics Form </t>
  </si>
  <si>
    <t>Outlet Characteristics Form</t>
  </si>
  <si>
    <t xml:space="preserve">Email to accompany Outlet Characteristics Form </t>
  </si>
  <si>
    <t>Voicemail Reminder for Telephone Survey  (h)</t>
  </si>
  <si>
    <t>Voicemail Reminder for Telephone Survey (h)</t>
  </si>
  <si>
    <t>AG</t>
  </si>
  <si>
    <t>AH</t>
  </si>
  <si>
    <t xml:space="preserve">AI </t>
  </si>
  <si>
    <t>-</t>
  </si>
  <si>
    <t>Submit SNAP administrative file</t>
  </si>
  <si>
    <t>NOTE: This is the total burden hours R81/3</t>
  </si>
  <si>
    <t>NOTE: This is the sum of Number of respondents (H81 and M81) divided by 3</t>
  </si>
  <si>
    <t>NOTE: This is the sum of total annual responses (J81 and O81) divided by 3</t>
  </si>
  <si>
    <t>NOTE: Assume only outlets are small entities (H78+M78)/(H81+M81)*100.</t>
  </si>
  <si>
    <t>Affected Public</t>
  </si>
  <si>
    <t>Responses</t>
  </si>
  <si>
    <t>Non-Responses</t>
  </si>
  <si>
    <t>Grand Total</t>
  </si>
  <si>
    <t>Est. Grand Total Burden hours for respondents and non respondents</t>
  </si>
  <si>
    <t>Estimated Sample Size and Respondent Burden</t>
  </si>
</sst>
</file>

<file path=xl/styles.xml><?xml version="1.0" encoding="utf-8"?>
<styleSheet xmlns="http://schemas.openxmlformats.org/spreadsheetml/2006/main">
  <numFmts count="6">
    <numFmt numFmtId="43" formatCode="_(* #,##0.00_);_(* \(#,##0.00\);_(* &quot;-&quot;??_);_(@_)"/>
    <numFmt numFmtId="164" formatCode="0.000"/>
    <numFmt numFmtId="165" formatCode="0.0000"/>
    <numFmt numFmtId="166" formatCode="0.0"/>
    <numFmt numFmtId="167" formatCode="_(* #,##0_);_(* \(#,##0\);_(* &quot;-&quot;??_);_(@_)"/>
    <numFmt numFmtId="168" formatCode="_(* #,##0.000_);_(* \(#,##0.000\);_(* &quot;-&quot;??_);_(@_)"/>
  </numFmts>
  <fonts count="14">
    <font>
      <sz val="11"/>
      <color theme="1"/>
      <name val="Calibri"/>
      <family val="2"/>
      <scheme val="minor"/>
    </font>
    <font>
      <sz val="11"/>
      <color theme="1"/>
      <name val="Calibri"/>
      <family val="2"/>
      <scheme val="minor"/>
    </font>
    <font>
      <b/>
      <sz val="11"/>
      <color theme="1"/>
      <name val="Calibri"/>
      <family val="2"/>
      <scheme val="minor"/>
    </font>
    <font>
      <sz val="12"/>
      <color theme="1"/>
      <name val="Garamond"/>
      <family val="1"/>
    </font>
    <font>
      <b/>
      <sz val="11"/>
      <color theme="1"/>
      <name val="Calibri"/>
      <family val="2"/>
    </font>
    <font>
      <sz val="11"/>
      <color theme="1"/>
      <name val="Calibri"/>
      <family val="2"/>
    </font>
    <font>
      <b/>
      <i/>
      <sz val="11"/>
      <color theme="1"/>
      <name val="Calibri"/>
      <family val="2"/>
    </font>
    <font>
      <sz val="8"/>
      <name val="Calibri"/>
      <family val="2"/>
      <scheme val="minor"/>
    </font>
    <font>
      <sz val="8"/>
      <color theme="1"/>
      <name val="Calibri"/>
      <family val="2"/>
      <scheme val="minor"/>
    </font>
    <font>
      <b/>
      <sz val="7"/>
      <name val="Calibri"/>
      <family val="2"/>
      <scheme val="minor"/>
    </font>
    <font>
      <sz val="7"/>
      <name val="Calibri"/>
      <family val="2"/>
      <scheme val="minor"/>
    </font>
    <font>
      <sz val="8"/>
      <color rgb="FFFF0000"/>
      <name val="Calibri"/>
      <family val="2"/>
      <scheme val="minor"/>
    </font>
    <font>
      <b/>
      <sz val="7"/>
      <color rgb="FF000000"/>
      <name val="Arial Narrow"/>
      <family val="2"/>
    </font>
    <font>
      <b/>
      <sz val="7"/>
      <color rgb="FFFF0000"/>
      <name val="Calibri"/>
      <family val="2"/>
      <scheme val="minor"/>
    </font>
  </fonts>
  <fills count="9">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s>
  <borders count="13">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26">
    <xf numFmtId="0" fontId="0" fillId="0" borderId="0" xfId="0"/>
    <xf numFmtId="0" fontId="0" fillId="0" borderId="4" xfId="0" applyBorder="1"/>
    <xf numFmtId="0" fontId="3" fillId="0" borderId="0" xfId="0" applyFont="1" applyAlignment="1">
      <alignment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wrapText="1"/>
    </xf>
    <xf numFmtId="0" fontId="5" fillId="3" borderId="2" xfId="0" applyFont="1" applyFill="1" applyBorder="1" applyAlignment="1">
      <alignment vertical="center"/>
    </xf>
    <xf numFmtId="0" fontId="5" fillId="3" borderId="1" xfId="0" applyFont="1" applyFill="1" applyBorder="1" applyAlignment="1">
      <alignment horizontal="center" vertical="center" wrapText="1"/>
    </xf>
    <xf numFmtId="3" fontId="5" fillId="3" borderId="8" xfId="0" applyNumberFormat="1" applyFont="1" applyFill="1" applyBorder="1" applyAlignment="1">
      <alignment horizontal="right" vertical="center"/>
    </xf>
    <xf numFmtId="0" fontId="5" fillId="3" borderId="1" xfId="0" applyFont="1" applyFill="1" applyBorder="1" applyAlignment="1">
      <alignment horizontal="right" vertical="center" wrapText="1"/>
    </xf>
    <xf numFmtId="0" fontId="5" fillId="3" borderId="2" xfId="0" applyFont="1" applyFill="1" applyBorder="1" applyAlignment="1">
      <alignment horizontal="justify" vertical="center"/>
    </xf>
    <xf numFmtId="0" fontId="6" fillId="3" borderId="2" xfId="0" applyFont="1" applyFill="1" applyBorder="1" applyAlignment="1">
      <alignment vertical="center"/>
    </xf>
    <xf numFmtId="0" fontId="6" fillId="3"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2" fontId="5" fillId="3" borderId="8" xfId="0" applyNumberFormat="1" applyFont="1" applyFill="1" applyBorder="1" applyAlignment="1">
      <alignment horizontal="right" vertical="center"/>
    </xf>
    <xf numFmtId="0" fontId="6" fillId="3" borderId="10" xfId="0" applyFont="1" applyFill="1" applyBorder="1" applyAlignment="1">
      <alignment vertical="center"/>
    </xf>
    <xf numFmtId="0" fontId="6" fillId="3" borderId="11" xfId="0" applyFont="1" applyFill="1" applyBorder="1" applyAlignment="1">
      <alignment horizontal="center" vertical="center" wrapText="1"/>
    </xf>
    <xf numFmtId="0" fontId="5" fillId="3" borderId="4" xfId="0" applyFont="1" applyFill="1" applyBorder="1" applyAlignment="1">
      <alignment vertical="center"/>
    </xf>
    <xf numFmtId="3" fontId="6" fillId="3" borderId="0" xfId="0" applyNumberFormat="1" applyFont="1" applyFill="1" applyBorder="1" applyAlignment="1">
      <alignment vertical="center"/>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9" fontId="6" fillId="3" borderId="1" xfId="1" applyFont="1" applyFill="1" applyBorder="1" applyAlignment="1">
      <alignment horizontal="center" vertical="center" wrapText="1"/>
    </xf>
    <xf numFmtId="9" fontId="6" fillId="3" borderId="11" xfId="1" applyFont="1" applyFill="1" applyBorder="1" applyAlignment="1">
      <alignment horizontal="center" vertical="center" wrapText="1"/>
    </xf>
    <xf numFmtId="4" fontId="5" fillId="3" borderId="8" xfId="0" applyNumberFormat="1" applyFont="1" applyFill="1" applyBorder="1" applyAlignment="1">
      <alignment horizontal="right" vertical="center"/>
    </xf>
    <xf numFmtId="4" fontId="6" fillId="3" borderId="8" xfId="0" applyNumberFormat="1" applyFont="1" applyFill="1" applyBorder="1" applyAlignment="1">
      <alignment horizontal="right" vertical="center"/>
    </xf>
    <xf numFmtId="0" fontId="7" fillId="0" borderId="0" xfId="0" applyFont="1" applyFill="1" applyBorder="1" applyAlignment="1">
      <alignment horizontal="left" wrapText="1"/>
    </xf>
    <xf numFmtId="0" fontId="7" fillId="0" borderId="0" xfId="0" applyFont="1" applyFill="1" applyBorder="1" applyAlignment="1">
      <alignment horizontal="center" wrapText="1"/>
    </xf>
    <xf numFmtId="2" fontId="7" fillId="0" borderId="0" xfId="0" applyNumberFormat="1" applyFont="1" applyFill="1" applyAlignment="1">
      <alignment horizontal="right" wrapText="1"/>
    </xf>
    <xf numFmtId="0" fontId="7" fillId="0" borderId="0" xfId="0" applyFont="1" applyFill="1" applyAlignment="1">
      <alignment wrapText="1"/>
    </xf>
    <xf numFmtId="0" fontId="7" fillId="0" borderId="0" xfId="0" applyFont="1" applyFill="1" applyAlignment="1">
      <alignment horizontal="left" wrapText="1"/>
    </xf>
    <xf numFmtId="0" fontId="7" fillId="0" borderId="0" xfId="0" applyFont="1" applyFill="1"/>
    <xf numFmtId="0" fontId="7" fillId="0" borderId="0" xfId="0" applyFont="1" applyFill="1" applyAlignment="1">
      <alignment horizontal="center" wrapText="1"/>
    </xf>
    <xf numFmtId="168" fontId="7" fillId="0" borderId="0" xfId="0" applyNumberFormat="1" applyFont="1" applyFill="1" applyAlignment="1">
      <alignment horizontal="left" wrapText="1"/>
    </xf>
    <xf numFmtId="43" fontId="7" fillId="0" borderId="0" xfId="0" applyNumberFormat="1" applyFont="1" applyFill="1" applyAlignment="1">
      <alignment horizontal="left" wrapText="1"/>
    </xf>
    <xf numFmtId="0" fontId="7" fillId="0" borderId="0" xfId="0" applyFont="1" applyFill="1" applyBorder="1" applyAlignment="1">
      <alignment horizontal="center" vertical="center" wrapText="1"/>
    </xf>
    <xf numFmtId="3" fontId="7" fillId="0" borderId="0" xfId="0" applyNumberFormat="1" applyFont="1" applyFill="1"/>
    <xf numFmtId="0" fontId="7" fillId="0" borderId="0" xfId="0" applyFont="1" applyFill="1" applyBorder="1"/>
    <xf numFmtId="0" fontId="7" fillId="0" borderId="0" xfId="0" applyFont="1" applyFill="1"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4" borderId="0" xfId="0" applyFont="1" applyFill="1"/>
    <xf numFmtId="0" fontId="7" fillId="0" borderId="0" xfId="0" applyFont="1" applyFill="1" applyBorder="1" applyAlignment="1">
      <alignment horizontal="center" vertical="center" wrapText="1"/>
    </xf>
    <xf numFmtId="0" fontId="8" fillId="0" borderId="0" xfId="0" applyFont="1" applyFill="1"/>
    <xf numFmtId="0" fontId="7" fillId="0" borderId="0" xfId="0" applyFont="1" applyFill="1" applyBorder="1" applyAlignment="1">
      <alignment horizontal="center" vertical="center" wrapText="1"/>
    </xf>
    <xf numFmtId="2" fontId="7" fillId="0" borderId="0" xfId="0" applyNumberFormat="1" applyFont="1" applyFill="1"/>
    <xf numFmtId="43" fontId="7" fillId="0" borderId="0" xfId="0" applyNumberFormat="1" applyFont="1" applyFill="1"/>
    <xf numFmtId="0" fontId="7" fillId="0" borderId="0" xfId="0" applyFont="1" applyFill="1" applyBorder="1" applyAlignment="1">
      <alignment horizontal="center" vertical="center" wrapText="1"/>
    </xf>
    <xf numFmtId="3" fontId="7" fillId="0" borderId="0" xfId="0" applyNumberFormat="1" applyFont="1" applyFill="1" applyBorder="1"/>
    <xf numFmtId="0" fontId="9" fillId="0" borderId="4" xfId="0" applyFont="1" applyFill="1" applyBorder="1" applyAlignment="1">
      <alignment horizontal="center" wrapText="1"/>
    </xf>
    <xf numFmtId="0" fontId="9" fillId="0" borderId="4" xfId="0" applyFont="1" applyFill="1" applyBorder="1" applyAlignment="1">
      <alignment horizontal="center" textRotation="90" wrapText="1"/>
    </xf>
    <xf numFmtId="0" fontId="10" fillId="0" borderId="4" xfId="0" applyFont="1" applyFill="1" applyBorder="1" applyAlignment="1">
      <alignment horizontal="center" vertical="center" wrapText="1" readingOrder="1"/>
    </xf>
    <xf numFmtId="0" fontId="10" fillId="0" borderId="4" xfId="0" applyFont="1" applyFill="1" applyBorder="1" applyAlignment="1">
      <alignment horizontal="right" vertical="center" wrapText="1" readingOrder="1"/>
    </xf>
    <xf numFmtId="167" fontId="10" fillId="0" borderId="4" xfId="2" applyNumberFormat="1" applyFont="1" applyFill="1" applyBorder="1" applyAlignment="1">
      <alignment horizontal="right" vertical="center" readingOrder="1"/>
    </xf>
    <xf numFmtId="165" fontId="10" fillId="0" borderId="4" xfId="0" applyNumberFormat="1" applyFont="1" applyFill="1" applyBorder="1" applyAlignment="1">
      <alignment horizontal="right" vertical="center" wrapText="1" readingOrder="1"/>
    </xf>
    <xf numFmtId="164" fontId="10" fillId="0" borderId="4" xfId="0" applyNumberFormat="1" applyFont="1" applyFill="1" applyBorder="1" applyAlignment="1">
      <alignment horizontal="right" vertical="center" wrapText="1" readingOrder="1"/>
    </xf>
    <xf numFmtId="2" fontId="10" fillId="0" borderId="4" xfId="0" applyNumberFormat="1" applyFont="1" applyFill="1" applyBorder="1" applyAlignment="1">
      <alignment horizontal="right" vertical="center" wrapText="1" readingOrder="1"/>
    </xf>
    <xf numFmtId="3" fontId="10" fillId="0" borderId="4" xfId="0" applyNumberFormat="1" applyFont="1" applyFill="1" applyBorder="1" applyAlignment="1">
      <alignment horizontal="right" vertical="center" wrapText="1" readingOrder="1"/>
    </xf>
    <xf numFmtId="3" fontId="10" fillId="0" borderId="4" xfId="0" applyNumberFormat="1" applyFont="1" applyFill="1" applyBorder="1" applyAlignment="1">
      <alignment horizontal="right" vertical="center" readingOrder="1"/>
    </xf>
    <xf numFmtId="1" fontId="10" fillId="0" borderId="4" xfId="0" applyNumberFormat="1" applyFont="1" applyFill="1" applyBorder="1" applyAlignment="1">
      <alignment horizontal="right" vertical="center" readingOrder="1"/>
    </xf>
    <xf numFmtId="165" fontId="10" fillId="0" borderId="4" xfId="0" applyNumberFormat="1" applyFont="1" applyFill="1" applyBorder="1" applyAlignment="1">
      <alignment horizontal="right" vertical="center" readingOrder="1"/>
    </xf>
    <xf numFmtId="1" fontId="10" fillId="0" borderId="4" xfId="0" applyNumberFormat="1" applyFont="1" applyFill="1" applyBorder="1" applyAlignment="1">
      <alignment horizontal="right" vertical="center" wrapText="1" readingOrder="1"/>
    </xf>
    <xf numFmtId="0" fontId="10" fillId="0" borderId="4" xfId="0" applyFont="1" applyFill="1" applyBorder="1" applyAlignment="1">
      <alignment horizontal="center" vertical="center" readingOrder="1"/>
    </xf>
    <xf numFmtId="0" fontId="10" fillId="0" borderId="4" xfId="0" applyFont="1" applyFill="1" applyBorder="1" applyAlignment="1">
      <alignment horizontal="right" vertical="center" readingOrder="1"/>
    </xf>
    <xf numFmtId="0" fontId="10" fillId="0" borderId="4" xfId="0" applyFont="1" applyFill="1" applyBorder="1"/>
    <xf numFmtId="164" fontId="10" fillId="0" borderId="4" xfId="0" applyNumberFormat="1" applyFont="1" applyFill="1" applyBorder="1" applyAlignment="1">
      <alignment horizontal="right" vertical="center" readingOrder="1"/>
    </xf>
    <xf numFmtId="0" fontId="10" fillId="0" borderId="4" xfId="0" applyFont="1" applyFill="1" applyBorder="1" applyAlignment="1">
      <alignment horizontal="center"/>
    </xf>
    <xf numFmtId="0" fontId="9" fillId="5" borderId="4" xfId="0" applyFont="1" applyFill="1" applyBorder="1" applyAlignment="1">
      <alignment horizontal="center" vertical="center" wrapText="1" readingOrder="1"/>
    </xf>
    <xf numFmtId="3" fontId="9" fillId="5" borderId="4" xfId="0" applyNumberFormat="1" applyFont="1" applyFill="1" applyBorder="1" applyAlignment="1">
      <alignment horizontal="right" vertical="center" wrapText="1" readingOrder="1"/>
    </xf>
    <xf numFmtId="2" fontId="9" fillId="5" borderId="4" xfId="0" applyNumberFormat="1" applyFont="1" applyFill="1" applyBorder="1" applyAlignment="1">
      <alignment horizontal="right" vertical="center" wrapText="1" readingOrder="1"/>
    </xf>
    <xf numFmtId="0" fontId="9" fillId="6" borderId="4" xfId="0" applyFont="1" applyFill="1" applyBorder="1" applyAlignment="1">
      <alignment horizontal="center" vertical="center" wrapText="1" readingOrder="1"/>
    </xf>
    <xf numFmtId="3" fontId="9" fillId="6" borderId="4" xfId="0" applyNumberFormat="1" applyFont="1" applyFill="1" applyBorder="1" applyAlignment="1">
      <alignment horizontal="right" vertical="center" wrapText="1" readingOrder="1"/>
    </xf>
    <xf numFmtId="1" fontId="9" fillId="6" borderId="4" xfId="0" applyNumberFormat="1" applyFont="1" applyFill="1" applyBorder="1" applyAlignment="1">
      <alignment horizontal="right" vertical="center" wrapText="1" readingOrder="1"/>
    </xf>
    <xf numFmtId="2" fontId="9" fillId="6" borderId="4" xfId="0" applyNumberFormat="1" applyFont="1" applyFill="1" applyBorder="1" applyAlignment="1">
      <alignment horizontal="right" vertical="center" wrapText="1" readingOrder="1"/>
    </xf>
    <xf numFmtId="0" fontId="10" fillId="6" borderId="4" xfId="0" applyFont="1" applyFill="1" applyBorder="1" applyAlignment="1">
      <alignment horizontal="center" vertical="center" wrapText="1" readingOrder="1"/>
    </xf>
    <xf numFmtId="164" fontId="9" fillId="6" borderId="4" xfId="0" applyNumberFormat="1" applyFont="1" applyFill="1" applyBorder="1" applyAlignment="1">
      <alignment horizontal="right" vertical="center" wrapText="1" readingOrder="1"/>
    </xf>
    <xf numFmtId="167" fontId="9" fillId="6" borderId="4" xfId="2" applyNumberFormat="1" applyFont="1" applyFill="1" applyBorder="1" applyAlignment="1">
      <alignment horizontal="right" vertical="center" wrapText="1" readingOrder="1"/>
    </xf>
    <xf numFmtId="165" fontId="9" fillId="6" borderId="4" xfId="2" applyNumberFormat="1" applyFont="1" applyFill="1" applyBorder="1" applyAlignment="1">
      <alignment horizontal="right" vertical="center" wrapText="1" readingOrder="1"/>
    </xf>
    <xf numFmtId="0" fontId="11" fillId="0" borderId="0" xfId="0" applyFont="1" applyFill="1"/>
    <xf numFmtId="0" fontId="11" fillId="0" borderId="0" xfId="0" applyFont="1" applyFill="1" applyAlignment="1">
      <alignment horizontal="center"/>
    </xf>
    <xf numFmtId="0" fontId="10" fillId="0" borderId="12" xfId="0" applyFont="1" applyFill="1" applyBorder="1" applyAlignment="1">
      <alignment horizontal="center" vertical="center" wrapText="1" readingOrder="1"/>
    </xf>
    <xf numFmtId="0" fontId="10" fillId="0" borderId="12" xfId="0" applyFont="1" applyFill="1" applyBorder="1" applyAlignment="1">
      <alignment horizontal="right" vertical="center" wrapText="1" readingOrder="1"/>
    </xf>
    <xf numFmtId="167" fontId="10" fillId="0" borderId="12" xfId="2" applyNumberFormat="1" applyFont="1" applyFill="1" applyBorder="1" applyAlignment="1">
      <alignment horizontal="right" vertical="center" readingOrder="1"/>
    </xf>
    <xf numFmtId="165" fontId="10" fillId="0" borderId="12" xfId="0" applyNumberFormat="1" applyFont="1" applyFill="1" applyBorder="1" applyAlignment="1">
      <alignment horizontal="right" vertical="center" wrapText="1" readingOrder="1"/>
    </xf>
    <xf numFmtId="164" fontId="10" fillId="0" borderId="12" xfId="0" applyNumberFormat="1" applyFont="1" applyFill="1" applyBorder="1" applyAlignment="1">
      <alignment horizontal="right" vertical="center" wrapText="1" readingOrder="1"/>
    </xf>
    <xf numFmtId="2" fontId="10" fillId="0" borderId="12" xfId="0" applyNumberFormat="1" applyFont="1" applyFill="1" applyBorder="1" applyAlignment="1">
      <alignment horizontal="right" vertical="center" wrapText="1" readingOrder="1"/>
    </xf>
    <xf numFmtId="0" fontId="12" fillId="0" borderId="4" xfId="0" applyFont="1" applyBorder="1" applyAlignment="1">
      <alignment horizontal="center" vertical="center" textRotation="90" wrapText="1"/>
    </xf>
    <xf numFmtId="165" fontId="9" fillId="8" borderId="4" xfId="0" applyNumberFormat="1" applyFont="1" applyFill="1" applyBorder="1" applyAlignment="1">
      <alignment horizontal="right" vertical="center" readingOrder="1"/>
    </xf>
    <xf numFmtId="1" fontId="9" fillId="8" borderId="4" xfId="0" applyNumberFormat="1" applyFont="1" applyFill="1" applyBorder="1" applyAlignment="1">
      <alignment horizontal="right" vertical="center" readingOrder="1"/>
    </xf>
    <xf numFmtId="3" fontId="9" fillId="4" borderId="4" xfId="0" applyNumberFormat="1" applyFont="1" applyFill="1" applyBorder="1" applyAlignment="1">
      <alignment horizontal="right" vertical="center" wrapText="1" readingOrder="1"/>
    </xf>
    <xf numFmtId="165" fontId="9" fillId="4" borderId="4" xfId="0" applyNumberFormat="1" applyFont="1" applyFill="1" applyBorder="1" applyAlignment="1">
      <alignment horizontal="right" vertical="center" readingOrder="1"/>
    </xf>
    <xf numFmtId="1" fontId="9" fillId="4" borderId="4" xfId="0" applyNumberFormat="1" applyFont="1" applyFill="1" applyBorder="1" applyAlignment="1">
      <alignment horizontal="right" vertical="center" readingOrder="1"/>
    </xf>
    <xf numFmtId="164" fontId="9" fillId="8" borderId="4" xfId="0" applyNumberFormat="1" applyFont="1" applyFill="1" applyBorder="1" applyAlignment="1">
      <alignment horizontal="right" vertical="center" readingOrder="1"/>
    </xf>
    <xf numFmtId="166" fontId="9" fillId="8" borderId="4" xfId="0" applyNumberFormat="1" applyFont="1" applyFill="1" applyBorder="1" applyAlignment="1">
      <alignment horizontal="right" vertical="center" readingOrder="1"/>
    </xf>
    <xf numFmtId="165" fontId="9" fillId="7" borderId="4" xfId="0" applyNumberFormat="1" applyFont="1" applyFill="1" applyBorder="1" applyAlignment="1">
      <alignment horizontal="right" vertical="center" wrapText="1" readingOrder="1"/>
    </xf>
    <xf numFmtId="2" fontId="9" fillId="4" borderId="4" xfId="0" applyNumberFormat="1" applyFont="1" applyFill="1" applyBorder="1" applyAlignment="1">
      <alignment horizontal="right" vertical="center" readingOrder="1"/>
    </xf>
    <xf numFmtId="1" fontId="9" fillId="4" borderId="4" xfId="0" applyNumberFormat="1" applyFont="1" applyFill="1" applyBorder="1" applyAlignment="1">
      <alignment horizontal="right" vertical="center" wrapText="1" readingOrder="1"/>
    </xf>
    <xf numFmtId="165" fontId="9" fillId="4" borderId="4" xfId="0" applyNumberFormat="1" applyFont="1" applyFill="1" applyBorder="1" applyAlignment="1">
      <alignment horizontal="right" vertical="center" wrapText="1" readingOrder="1"/>
    </xf>
    <xf numFmtId="1" fontId="9" fillId="8" borderId="4" xfId="0" applyNumberFormat="1" applyFont="1" applyFill="1" applyBorder="1" applyAlignment="1">
      <alignment horizontal="right" vertical="center" wrapText="1" readingOrder="1"/>
    </xf>
    <xf numFmtId="0" fontId="10"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9" fillId="5" borderId="4"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6" borderId="4" xfId="0" applyFont="1" applyFill="1" applyBorder="1" applyAlignment="1">
      <alignment horizontal="left" wrapText="1"/>
    </xf>
    <xf numFmtId="0" fontId="10" fillId="0" borderId="4" xfId="0" applyFont="1" applyFill="1" applyBorder="1" applyAlignment="1">
      <alignment horizontal="left" wrapText="1"/>
    </xf>
    <xf numFmtId="0" fontId="7" fillId="0" borderId="0" xfId="0" applyFont="1" applyFill="1" applyBorder="1" applyAlignment="1">
      <alignment horizontal="center" vertical="center" wrapText="1"/>
    </xf>
    <xf numFmtId="0" fontId="9" fillId="6" borderId="6" xfId="0" applyFont="1" applyFill="1" applyBorder="1" applyAlignment="1">
      <alignment horizontal="left" wrapText="1"/>
    </xf>
    <xf numFmtId="0" fontId="9" fillId="6" borderId="5" xfId="0" applyFont="1" applyFill="1" applyBorder="1" applyAlignment="1">
      <alignment horizontal="left" wrapText="1"/>
    </xf>
    <xf numFmtId="0" fontId="10" fillId="0" borderId="12" xfId="0" applyFont="1" applyFill="1" applyBorder="1" applyAlignment="1">
      <alignment horizontal="left" vertical="center" wrapText="1"/>
    </xf>
    <xf numFmtId="0" fontId="10" fillId="0" borderId="12" xfId="0" applyFont="1" applyFill="1" applyBorder="1" applyAlignment="1">
      <alignment horizontal="center" vertical="center" wrapText="1"/>
    </xf>
    <xf numFmtId="2" fontId="10" fillId="0" borderId="12"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0" fontId="10" fillId="6" borderId="4" xfId="0" applyFont="1" applyFill="1" applyBorder="1" applyAlignment="1">
      <alignment horizontal="center" wrapText="1"/>
    </xf>
    <xf numFmtId="0" fontId="10" fillId="5"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4" borderId="4" xfId="0" applyFont="1" applyFill="1" applyBorder="1" applyAlignment="1">
      <alignment horizontal="center" vertical="center"/>
    </xf>
    <xf numFmtId="0" fontId="9" fillId="0" borderId="4" xfId="0" applyFont="1" applyFill="1" applyBorder="1" applyAlignment="1">
      <alignment horizontal="center" textRotation="90" wrapText="1"/>
    </xf>
    <xf numFmtId="0" fontId="9" fillId="0" borderId="4" xfId="0" applyFont="1" applyFill="1" applyBorder="1" applyAlignment="1">
      <alignment horizontal="center" vertical="center"/>
    </xf>
    <xf numFmtId="0" fontId="9" fillId="8" borderId="4" xfId="0" applyFont="1" applyFill="1" applyBorder="1" applyAlignment="1">
      <alignment horizontal="center" vertical="center"/>
    </xf>
    <xf numFmtId="0" fontId="9" fillId="7" borderId="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165" fontId="13" fillId="6" borderId="4" xfId="0" applyNumberFormat="1" applyFont="1" applyFill="1" applyBorder="1" applyAlignment="1">
      <alignment horizontal="right" vertical="center" wrapText="1" readingOrder="1"/>
    </xf>
    <xf numFmtId="165" fontId="9" fillId="6" borderId="4" xfId="0" applyNumberFormat="1" applyFont="1" applyFill="1" applyBorder="1" applyAlignment="1">
      <alignment horizontal="right" vertical="center" wrapText="1" readingOrder="1"/>
    </xf>
  </cellXfs>
  <cellStyles count="3">
    <cellStyle name="Comma" xfId="2" builtinId="3"/>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X117"/>
  <sheetViews>
    <sheetView tabSelected="1" topLeftCell="E1" zoomScale="120" zoomScaleNormal="120" zoomScaleSheetLayoutView="100" workbookViewId="0">
      <pane ySplit="3" topLeftCell="A75" activePane="bottomLeft" state="frozen"/>
      <selection activeCell="B1" sqref="B1"/>
      <selection pane="bottomLeft" activeCell="H82" sqref="H82:R83"/>
    </sheetView>
  </sheetViews>
  <sheetFormatPr defaultColWidth="9.140625" defaultRowHeight="11.25"/>
  <cols>
    <col min="1" max="1" width="10.85546875" style="30" customWidth="1"/>
    <col min="2" max="2" width="9.85546875" style="37" customWidth="1"/>
    <col min="3" max="3" width="12.28515625" style="30" customWidth="1"/>
    <col min="4" max="4" width="9.42578125" style="30" hidden="1" customWidth="1"/>
    <col min="5" max="5" width="16.42578125" style="30" customWidth="1"/>
    <col min="6" max="6" width="4.85546875" style="37" customWidth="1"/>
    <col min="7" max="8" width="6.28515625" style="30" customWidth="1"/>
    <col min="9" max="9" width="6" style="30" customWidth="1"/>
    <col min="10" max="10" width="7" style="30" customWidth="1"/>
    <col min="11" max="11" width="6.5703125" style="30" customWidth="1"/>
    <col min="12" max="12" width="8.5703125" style="30" customWidth="1"/>
    <col min="13" max="13" width="7.85546875" style="30" customWidth="1"/>
    <col min="14" max="14" width="8" style="30" customWidth="1"/>
    <col min="15" max="15" width="6.42578125" style="30" customWidth="1"/>
    <col min="16" max="16" width="7.5703125" style="30" customWidth="1"/>
    <col min="17" max="17" width="7" style="30" customWidth="1"/>
    <col min="18" max="18" width="8.5703125" style="30" customWidth="1"/>
    <col min="19" max="20" width="10" style="30" customWidth="1"/>
    <col min="21" max="16384" width="9.140625" style="30"/>
  </cols>
  <sheetData>
    <row r="1" spans="1:24" ht="14.45" customHeight="1">
      <c r="A1" s="115" t="s">
        <v>173</v>
      </c>
      <c r="B1" s="115" t="s">
        <v>7</v>
      </c>
      <c r="C1" s="116" t="s">
        <v>0</v>
      </c>
      <c r="D1" s="116"/>
      <c r="E1" s="116"/>
      <c r="F1" s="118" t="s">
        <v>44</v>
      </c>
      <c r="G1" s="118" t="s">
        <v>45</v>
      </c>
      <c r="H1" s="119" t="s">
        <v>178</v>
      </c>
      <c r="I1" s="119"/>
      <c r="J1" s="119"/>
      <c r="K1" s="119"/>
      <c r="L1" s="119"/>
      <c r="M1" s="119"/>
      <c r="N1" s="119"/>
      <c r="O1" s="119"/>
      <c r="P1" s="119"/>
      <c r="Q1" s="119"/>
      <c r="R1" s="119"/>
      <c r="S1" s="119"/>
      <c r="T1" s="119"/>
    </row>
    <row r="2" spans="1:24">
      <c r="A2" s="115"/>
      <c r="B2" s="115"/>
      <c r="C2" s="116"/>
      <c r="D2" s="116"/>
      <c r="E2" s="116"/>
      <c r="F2" s="118"/>
      <c r="G2" s="118"/>
      <c r="H2" s="117" t="s">
        <v>174</v>
      </c>
      <c r="I2" s="117"/>
      <c r="J2" s="117"/>
      <c r="K2" s="117"/>
      <c r="L2" s="117"/>
      <c r="M2" s="120" t="s">
        <v>175</v>
      </c>
      <c r="N2" s="120"/>
      <c r="O2" s="120"/>
      <c r="P2" s="120"/>
      <c r="Q2" s="120"/>
      <c r="R2" s="121" t="s">
        <v>176</v>
      </c>
      <c r="S2" s="121"/>
      <c r="T2" s="121"/>
    </row>
    <row r="3" spans="1:24" ht="66.75" customHeight="1">
      <c r="A3" s="115"/>
      <c r="B3" s="115"/>
      <c r="C3" s="116"/>
      <c r="D3" s="116"/>
      <c r="E3" s="116"/>
      <c r="F3" s="118"/>
      <c r="G3" s="118"/>
      <c r="H3" s="50" t="s">
        <v>1</v>
      </c>
      <c r="I3" s="50" t="s">
        <v>2</v>
      </c>
      <c r="J3" s="50" t="s">
        <v>3</v>
      </c>
      <c r="K3" s="50" t="s">
        <v>4</v>
      </c>
      <c r="L3" s="50" t="s">
        <v>35</v>
      </c>
      <c r="M3" s="50" t="s">
        <v>8</v>
      </c>
      <c r="N3" s="50" t="s">
        <v>2</v>
      </c>
      <c r="O3" s="50" t="s">
        <v>3</v>
      </c>
      <c r="P3" s="50" t="s">
        <v>5</v>
      </c>
      <c r="Q3" s="50" t="s">
        <v>35</v>
      </c>
      <c r="R3" s="86" t="s">
        <v>177</v>
      </c>
      <c r="S3" s="49" t="s">
        <v>36</v>
      </c>
      <c r="T3" s="49" t="s">
        <v>37</v>
      </c>
    </row>
    <row r="4" spans="1:24" ht="24.75" customHeight="1">
      <c r="A4" s="109" t="s">
        <v>46</v>
      </c>
      <c r="B4" s="110" t="s">
        <v>47</v>
      </c>
      <c r="C4" s="108" t="s">
        <v>112</v>
      </c>
      <c r="D4" s="108"/>
      <c r="E4" s="108"/>
      <c r="F4" s="80" t="s">
        <v>113</v>
      </c>
      <c r="G4" s="81">
        <v>6</v>
      </c>
      <c r="H4" s="81">
        <v>6</v>
      </c>
      <c r="I4" s="81">
        <v>1</v>
      </c>
      <c r="J4" s="82">
        <f>+I4*H4</f>
        <v>6</v>
      </c>
      <c r="K4" s="83">
        <v>0.25</v>
      </c>
      <c r="L4" s="83">
        <f>(J4*K4)</f>
        <v>1.5</v>
      </c>
      <c r="M4" s="81">
        <f>G4-H4</f>
        <v>0</v>
      </c>
      <c r="N4" s="81">
        <f>(I4)</f>
        <v>1</v>
      </c>
      <c r="O4" s="81">
        <v>0</v>
      </c>
      <c r="P4" s="84">
        <f>(K4)</f>
        <v>0.25</v>
      </c>
      <c r="Q4" s="81">
        <f>(P4*O4)</f>
        <v>0</v>
      </c>
      <c r="R4" s="83">
        <f>(L4+Q4)</f>
        <v>1.5</v>
      </c>
      <c r="S4" s="81">
        <v>7.25</v>
      </c>
      <c r="T4" s="85">
        <f>(R4*S4)</f>
        <v>10.875</v>
      </c>
    </row>
    <row r="5" spans="1:24" ht="21.75" customHeight="1">
      <c r="A5" s="100"/>
      <c r="B5" s="111"/>
      <c r="C5" s="99" t="s">
        <v>102</v>
      </c>
      <c r="D5" s="99"/>
      <c r="E5" s="99"/>
      <c r="F5" s="51" t="s">
        <v>48</v>
      </c>
      <c r="G5" s="57">
        <v>7590</v>
      </c>
      <c r="H5" s="58">
        <f>(G5*0.9)</f>
        <v>6831</v>
      </c>
      <c r="I5" s="59">
        <v>1</v>
      </c>
      <c r="J5" s="53">
        <f>+I5*H5</f>
        <v>6831</v>
      </c>
      <c r="K5" s="60">
        <v>5.0099999999999999E-2</v>
      </c>
      <c r="L5" s="54">
        <f t="shared" ref="L5:L31" si="0">(J5*K5)</f>
        <v>342.23309999999998</v>
      </c>
      <c r="M5" s="52">
        <f t="shared" ref="M5:M31" si="1">G5-H5</f>
        <v>759</v>
      </c>
      <c r="N5" s="52">
        <f t="shared" ref="N5:N31" si="2">(I5)</f>
        <v>1</v>
      </c>
      <c r="O5" s="61">
        <v>0</v>
      </c>
      <c r="P5" s="55">
        <f>(K5)</f>
        <v>5.0099999999999999E-2</v>
      </c>
      <c r="Q5" s="52">
        <f t="shared" ref="Q5:Q31" si="3">(P5*O5)</f>
        <v>0</v>
      </c>
      <c r="R5" s="54">
        <f>(L5+Q5)</f>
        <v>342.23309999999998</v>
      </c>
      <c r="S5" s="56">
        <v>7.25</v>
      </c>
      <c r="T5" s="56">
        <f t="shared" ref="T5:T31" si="4">(R5*S5)</f>
        <v>2481.1899749999998</v>
      </c>
    </row>
    <row r="6" spans="1:24" ht="21.75" customHeight="1">
      <c r="A6" s="100"/>
      <c r="B6" s="111"/>
      <c r="C6" s="99" t="s">
        <v>118</v>
      </c>
      <c r="D6" s="99"/>
      <c r="E6" s="99"/>
      <c r="F6" s="51" t="s">
        <v>49</v>
      </c>
      <c r="G6" s="57">
        <f>(H5)</f>
        <v>6831</v>
      </c>
      <c r="H6" s="58">
        <f>(G6*0.15)</f>
        <v>1024.6499999999999</v>
      </c>
      <c r="I6" s="59">
        <v>1</v>
      </c>
      <c r="J6" s="53">
        <f t="shared" ref="J6:J31" si="5">+I6*H6</f>
        <v>1024.6499999999999</v>
      </c>
      <c r="K6" s="60">
        <v>0.33400000000000002</v>
      </c>
      <c r="L6" s="54">
        <f t="shared" si="0"/>
        <v>342.23309999999998</v>
      </c>
      <c r="M6" s="61">
        <f>G6-H6</f>
        <v>5806.35</v>
      </c>
      <c r="N6" s="52">
        <f t="shared" si="2"/>
        <v>1</v>
      </c>
      <c r="O6" s="61">
        <v>0</v>
      </c>
      <c r="P6" s="55">
        <f t="shared" ref="P6:P31" si="6">(K6)</f>
        <v>0.33400000000000002</v>
      </c>
      <c r="Q6" s="52">
        <f t="shared" si="3"/>
        <v>0</v>
      </c>
      <c r="R6" s="54">
        <f t="shared" ref="R6:R31" si="7">(L6+Q6)</f>
        <v>342.23309999999998</v>
      </c>
      <c r="S6" s="56">
        <v>7.25</v>
      </c>
      <c r="T6" s="56">
        <f t="shared" si="4"/>
        <v>2481.1899749999998</v>
      </c>
    </row>
    <row r="7" spans="1:24" ht="21.75" customHeight="1">
      <c r="A7" s="100"/>
      <c r="B7" s="111"/>
      <c r="C7" s="99" t="s">
        <v>117</v>
      </c>
      <c r="D7" s="99"/>
      <c r="E7" s="99"/>
      <c r="F7" s="51" t="s">
        <v>50</v>
      </c>
      <c r="G7" s="57">
        <f>(G5)</f>
        <v>7590</v>
      </c>
      <c r="H7" s="58">
        <f>(G7*0.6)</f>
        <v>4554</v>
      </c>
      <c r="I7" s="59">
        <v>1</v>
      </c>
      <c r="J7" s="53">
        <f t="shared" si="5"/>
        <v>4554</v>
      </c>
      <c r="K7" s="60">
        <v>1.67E-2</v>
      </c>
      <c r="L7" s="54">
        <f t="shared" si="0"/>
        <v>76.0518</v>
      </c>
      <c r="M7" s="61">
        <f>G7-H7</f>
        <v>3036</v>
      </c>
      <c r="N7" s="52">
        <f t="shared" si="2"/>
        <v>1</v>
      </c>
      <c r="O7" s="61">
        <v>0</v>
      </c>
      <c r="P7" s="55">
        <f t="shared" si="6"/>
        <v>1.67E-2</v>
      </c>
      <c r="Q7" s="52">
        <f t="shared" si="3"/>
        <v>0</v>
      </c>
      <c r="R7" s="54">
        <f t="shared" si="7"/>
        <v>76.0518</v>
      </c>
      <c r="S7" s="56">
        <v>7.25</v>
      </c>
      <c r="T7" s="56">
        <f t="shared" si="4"/>
        <v>551.37554999999998</v>
      </c>
    </row>
    <row r="8" spans="1:24" ht="21.75" customHeight="1">
      <c r="A8" s="100"/>
      <c r="B8" s="111"/>
      <c r="C8" s="99" t="s">
        <v>121</v>
      </c>
      <c r="D8" s="99"/>
      <c r="E8" s="99"/>
      <c r="F8" s="51" t="s">
        <v>51</v>
      </c>
      <c r="G8" s="57">
        <f>(G5 - H6)</f>
        <v>6565.35</v>
      </c>
      <c r="H8" s="58">
        <f>(G8*0.9)</f>
        <v>5908.8150000000005</v>
      </c>
      <c r="I8" s="59">
        <v>1</v>
      </c>
      <c r="J8" s="53">
        <f t="shared" si="5"/>
        <v>5908.8150000000005</v>
      </c>
      <c r="K8" s="60">
        <f>(K7)</f>
        <v>1.67E-2</v>
      </c>
      <c r="L8" s="54">
        <f t="shared" si="0"/>
        <v>98.677210500000001</v>
      </c>
      <c r="M8" s="61">
        <f t="shared" si="1"/>
        <v>656.53499999999985</v>
      </c>
      <c r="N8" s="52">
        <f t="shared" si="2"/>
        <v>1</v>
      </c>
      <c r="O8" s="61">
        <v>0</v>
      </c>
      <c r="P8" s="55">
        <f t="shared" si="6"/>
        <v>1.67E-2</v>
      </c>
      <c r="Q8" s="52">
        <f t="shared" si="3"/>
        <v>0</v>
      </c>
      <c r="R8" s="54">
        <f t="shared" si="7"/>
        <v>98.677210500000001</v>
      </c>
      <c r="S8" s="56">
        <v>7.25</v>
      </c>
      <c r="T8" s="56">
        <f t="shared" si="4"/>
        <v>715.40977612500001</v>
      </c>
    </row>
    <row r="9" spans="1:24" ht="21.75" customHeight="1">
      <c r="A9" s="100"/>
      <c r="B9" s="111"/>
      <c r="C9" s="99" t="s">
        <v>103</v>
      </c>
      <c r="D9" s="99"/>
      <c r="E9" s="99"/>
      <c r="F9" s="51" t="s">
        <v>49</v>
      </c>
      <c r="G9" s="57">
        <f>(H8)</f>
        <v>5908.8150000000005</v>
      </c>
      <c r="H9" s="58">
        <f>(G9*0.35)</f>
        <v>2068.0852500000001</v>
      </c>
      <c r="I9" s="59">
        <v>1</v>
      </c>
      <c r="J9" s="53">
        <f t="shared" si="5"/>
        <v>2068.0852500000001</v>
      </c>
      <c r="K9" s="60">
        <v>0.33400000000000002</v>
      </c>
      <c r="L9" s="54">
        <f t="shared" si="0"/>
        <v>690.74047350000012</v>
      </c>
      <c r="M9" s="61">
        <f t="shared" si="1"/>
        <v>3840.7297500000004</v>
      </c>
      <c r="N9" s="52">
        <f t="shared" si="2"/>
        <v>1</v>
      </c>
      <c r="O9" s="61">
        <v>0</v>
      </c>
      <c r="P9" s="55">
        <f t="shared" si="6"/>
        <v>0.33400000000000002</v>
      </c>
      <c r="Q9" s="52">
        <f t="shared" si="3"/>
        <v>0</v>
      </c>
      <c r="R9" s="54">
        <f t="shared" si="7"/>
        <v>690.74047350000012</v>
      </c>
      <c r="S9" s="56">
        <v>7.25</v>
      </c>
      <c r="T9" s="56">
        <f t="shared" si="4"/>
        <v>5007.8684328750005</v>
      </c>
    </row>
    <row r="10" spans="1:24" ht="19.5" customHeight="1">
      <c r="A10" s="100"/>
      <c r="B10" s="111"/>
      <c r="C10" s="99" t="s">
        <v>119</v>
      </c>
      <c r="D10" s="99"/>
      <c r="E10" s="99"/>
      <c r="F10" s="51" t="s">
        <v>52</v>
      </c>
      <c r="G10" s="57">
        <f>(G8)</f>
        <v>6565.35</v>
      </c>
      <c r="H10" s="58">
        <f>(G10*0.6)</f>
        <v>3939.21</v>
      </c>
      <c r="I10" s="59">
        <v>1</v>
      </c>
      <c r="J10" s="53">
        <f t="shared" si="5"/>
        <v>3939.21</v>
      </c>
      <c r="K10" s="60">
        <v>1.67E-2</v>
      </c>
      <c r="L10" s="54">
        <f t="shared" si="0"/>
        <v>65.784807000000001</v>
      </c>
      <c r="M10" s="61">
        <f t="shared" si="1"/>
        <v>2626.1400000000003</v>
      </c>
      <c r="N10" s="52">
        <f t="shared" si="2"/>
        <v>1</v>
      </c>
      <c r="O10" s="61">
        <v>0</v>
      </c>
      <c r="P10" s="55">
        <f t="shared" si="6"/>
        <v>1.67E-2</v>
      </c>
      <c r="Q10" s="52">
        <f t="shared" si="3"/>
        <v>0</v>
      </c>
      <c r="R10" s="54">
        <f t="shared" si="7"/>
        <v>65.784807000000001</v>
      </c>
      <c r="S10" s="56">
        <v>7.25</v>
      </c>
      <c r="T10" s="56">
        <f t="shared" si="4"/>
        <v>476.93985075000001</v>
      </c>
    </row>
    <row r="11" spans="1:24" ht="19.5" customHeight="1">
      <c r="A11" s="100"/>
      <c r="B11" s="111"/>
      <c r="C11" s="99" t="s">
        <v>122</v>
      </c>
      <c r="D11" s="99"/>
      <c r="E11" s="99"/>
      <c r="F11" s="51" t="s">
        <v>53</v>
      </c>
      <c r="G11" s="57">
        <f>(G5)-(H6+H9)</f>
        <v>4497.2647500000003</v>
      </c>
      <c r="H11" s="58">
        <f>(G11*0.9)</f>
        <v>4047.5382750000003</v>
      </c>
      <c r="I11" s="59">
        <v>1</v>
      </c>
      <c r="J11" s="53">
        <f t="shared" si="5"/>
        <v>4047.5382750000003</v>
      </c>
      <c r="K11" s="60">
        <f>(K7)</f>
        <v>1.67E-2</v>
      </c>
      <c r="L11" s="54">
        <f t="shared" si="0"/>
        <v>67.593889192500001</v>
      </c>
      <c r="M11" s="61">
        <f t="shared" si="1"/>
        <v>449.72647499999994</v>
      </c>
      <c r="N11" s="52">
        <f t="shared" si="2"/>
        <v>1</v>
      </c>
      <c r="O11" s="61">
        <v>0</v>
      </c>
      <c r="P11" s="55">
        <f t="shared" si="6"/>
        <v>1.67E-2</v>
      </c>
      <c r="Q11" s="52">
        <f t="shared" si="3"/>
        <v>0</v>
      </c>
      <c r="R11" s="54">
        <f t="shared" si="7"/>
        <v>67.593889192500001</v>
      </c>
      <c r="S11" s="56">
        <v>7.25</v>
      </c>
      <c r="T11" s="56">
        <f t="shared" si="4"/>
        <v>490.05569664562501</v>
      </c>
    </row>
    <row r="12" spans="1:24" ht="23.25" customHeight="1">
      <c r="A12" s="100"/>
      <c r="B12" s="111"/>
      <c r="C12" s="99" t="s">
        <v>104</v>
      </c>
      <c r="D12" s="99"/>
      <c r="E12" s="99"/>
      <c r="F12" s="51" t="s">
        <v>49</v>
      </c>
      <c r="G12" s="57">
        <f>(H11)</f>
        <v>4047.5382750000003</v>
      </c>
      <c r="H12" s="58">
        <f>G12*0.25</f>
        <v>1011.8845687500001</v>
      </c>
      <c r="I12" s="59">
        <v>1</v>
      </c>
      <c r="J12" s="53">
        <f t="shared" si="5"/>
        <v>1011.8845687500001</v>
      </c>
      <c r="K12" s="60">
        <v>0.33400000000000002</v>
      </c>
      <c r="L12" s="54">
        <f t="shared" si="0"/>
        <v>337.96944596250006</v>
      </c>
      <c r="M12" s="61">
        <f t="shared" si="1"/>
        <v>3035.6537062500001</v>
      </c>
      <c r="N12" s="52">
        <f t="shared" si="2"/>
        <v>1</v>
      </c>
      <c r="O12" s="61">
        <v>0</v>
      </c>
      <c r="P12" s="55">
        <f t="shared" si="6"/>
        <v>0.33400000000000002</v>
      </c>
      <c r="Q12" s="52">
        <f t="shared" si="3"/>
        <v>0</v>
      </c>
      <c r="R12" s="54">
        <f t="shared" si="7"/>
        <v>337.96944596250006</v>
      </c>
      <c r="S12" s="56">
        <v>7.25</v>
      </c>
      <c r="T12" s="56">
        <f t="shared" si="4"/>
        <v>2450.2784832281254</v>
      </c>
    </row>
    <row r="13" spans="1:24" ht="23.25" customHeight="1">
      <c r="A13" s="100"/>
      <c r="B13" s="111"/>
      <c r="C13" s="99" t="s">
        <v>105</v>
      </c>
      <c r="D13" s="99"/>
      <c r="E13" s="99"/>
      <c r="F13" s="51" t="s">
        <v>54</v>
      </c>
      <c r="G13" s="57">
        <f>H13/0.07</f>
        <v>334.00258928572185</v>
      </c>
      <c r="H13" s="58">
        <f>(G15) - (H6+H9+H12)</f>
        <v>23.380181250000533</v>
      </c>
      <c r="I13" s="59">
        <v>1</v>
      </c>
      <c r="J13" s="53">
        <f t="shared" si="5"/>
        <v>23.380181250000533</v>
      </c>
      <c r="K13" s="60">
        <f>(K6)</f>
        <v>0.33400000000000002</v>
      </c>
      <c r="L13" s="54">
        <f t="shared" si="0"/>
        <v>7.8089805375001786</v>
      </c>
      <c r="M13" s="61">
        <f t="shared" si="1"/>
        <v>310.62240803572132</v>
      </c>
      <c r="N13" s="52">
        <f t="shared" si="2"/>
        <v>1</v>
      </c>
      <c r="O13" s="61">
        <v>0</v>
      </c>
      <c r="P13" s="55">
        <f t="shared" si="6"/>
        <v>0.33400000000000002</v>
      </c>
      <c r="Q13" s="52">
        <f t="shared" si="3"/>
        <v>0</v>
      </c>
      <c r="R13" s="54">
        <f t="shared" si="7"/>
        <v>7.8089805375001786</v>
      </c>
      <c r="S13" s="56">
        <v>7.25</v>
      </c>
      <c r="T13" s="56">
        <f t="shared" si="4"/>
        <v>56.615108896876293</v>
      </c>
    </row>
    <row r="14" spans="1:24" ht="23.25" customHeight="1">
      <c r="A14" s="100"/>
      <c r="B14" s="111"/>
      <c r="C14" s="99" t="s">
        <v>162</v>
      </c>
      <c r="D14" s="99"/>
      <c r="E14" s="99"/>
      <c r="F14" s="51" t="s">
        <v>55</v>
      </c>
      <c r="G14" s="57">
        <f>H13/0.07</f>
        <v>334.00258928572185</v>
      </c>
      <c r="H14" s="58">
        <f>(G14*0.6)</f>
        <v>200.40155357143311</v>
      </c>
      <c r="I14" s="59">
        <v>1</v>
      </c>
      <c r="J14" s="53">
        <f t="shared" si="5"/>
        <v>200.40155357143311</v>
      </c>
      <c r="K14" s="60">
        <v>1.67E-2</v>
      </c>
      <c r="L14" s="54">
        <f t="shared" si="0"/>
        <v>3.3467059446429328</v>
      </c>
      <c r="M14" s="61">
        <f t="shared" si="1"/>
        <v>133.60103571428874</v>
      </c>
      <c r="N14" s="52">
        <f t="shared" si="2"/>
        <v>1</v>
      </c>
      <c r="O14" s="61">
        <v>0</v>
      </c>
      <c r="P14" s="55">
        <f t="shared" si="6"/>
        <v>1.67E-2</v>
      </c>
      <c r="Q14" s="52">
        <f t="shared" si="3"/>
        <v>0</v>
      </c>
      <c r="R14" s="54">
        <f t="shared" si="7"/>
        <v>3.3467059446429328</v>
      </c>
      <c r="S14" s="56">
        <v>7.25</v>
      </c>
      <c r="T14" s="56">
        <f t="shared" si="4"/>
        <v>24.263618098661262</v>
      </c>
      <c r="X14" s="35"/>
    </row>
    <row r="15" spans="1:24" ht="22.5" customHeight="1">
      <c r="A15" s="100"/>
      <c r="B15" s="111"/>
      <c r="C15" s="99" t="s">
        <v>106</v>
      </c>
      <c r="D15" s="99"/>
      <c r="E15" s="99"/>
      <c r="F15" s="62" t="s">
        <v>56</v>
      </c>
      <c r="G15" s="57">
        <v>4128</v>
      </c>
      <c r="H15" s="58">
        <f>(G15)</f>
        <v>4128</v>
      </c>
      <c r="I15" s="59">
        <v>1</v>
      </c>
      <c r="J15" s="53">
        <f t="shared" si="5"/>
        <v>4128</v>
      </c>
      <c r="K15" s="60">
        <v>1.67E-2</v>
      </c>
      <c r="L15" s="54">
        <f t="shared" si="0"/>
        <v>68.937600000000003</v>
      </c>
      <c r="M15" s="52">
        <f t="shared" si="1"/>
        <v>0</v>
      </c>
      <c r="N15" s="52">
        <f t="shared" si="2"/>
        <v>1</v>
      </c>
      <c r="O15" s="61">
        <f>+M15*N15</f>
        <v>0</v>
      </c>
      <c r="P15" s="55">
        <f t="shared" si="6"/>
        <v>1.67E-2</v>
      </c>
      <c r="Q15" s="52">
        <f t="shared" si="3"/>
        <v>0</v>
      </c>
      <c r="R15" s="54">
        <f t="shared" si="7"/>
        <v>68.937600000000003</v>
      </c>
      <c r="S15" s="56">
        <v>7.25</v>
      </c>
      <c r="T15" s="56">
        <f t="shared" si="4"/>
        <v>499.79760000000005</v>
      </c>
      <c r="V15" s="36"/>
      <c r="W15" s="36"/>
      <c r="X15" s="36"/>
    </row>
    <row r="16" spans="1:24" ht="21.75" customHeight="1">
      <c r="A16" s="100"/>
      <c r="B16" s="111"/>
      <c r="C16" s="99" t="s">
        <v>107</v>
      </c>
      <c r="D16" s="99"/>
      <c r="E16" s="99"/>
      <c r="F16" s="51" t="s">
        <v>57</v>
      </c>
      <c r="G16" s="57">
        <v>4128</v>
      </c>
      <c r="H16" s="58">
        <f>(G16*0.9)</f>
        <v>3715.2000000000003</v>
      </c>
      <c r="I16" s="59">
        <v>1</v>
      </c>
      <c r="J16" s="53">
        <f t="shared" si="5"/>
        <v>3715.2000000000003</v>
      </c>
      <c r="K16" s="60">
        <v>5.0099999999999999E-2</v>
      </c>
      <c r="L16" s="54">
        <f t="shared" si="0"/>
        <v>186.13151999999999</v>
      </c>
      <c r="M16" s="61">
        <f t="shared" si="1"/>
        <v>412.79999999999973</v>
      </c>
      <c r="N16" s="52">
        <f t="shared" si="2"/>
        <v>1</v>
      </c>
      <c r="O16" s="61">
        <v>0</v>
      </c>
      <c r="P16" s="55">
        <f t="shared" si="6"/>
        <v>5.0099999999999999E-2</v>
      </c>
      <c r="Q16" s="52">
        <f t="shared" si="3"/>
        <v>0</v>
      </c>
      <c r="R16" s="54">
        <f t="shared" si="7"/>
        <v>186.13151999999999</v>
      </c>
      <c r="S16" s="56">
        <v>7.25</v>
      </c>
      <c r="T16" s="56">
        <f t="shared" si="4"/>
        <v>1349.45352</v>
      </c>
      <c r="U16" s="36"/>
      <c r="V16" s="36"/>
      <c r="W16" s="36"/>
      <c r="X16" s="36"/>
    </row>
    <row r="17" spans="1:24" ht="21.75" customHeight="1">
      <c r="A17" s="100"/>
      <c r="B17" s="111"/>
      <c r="C17" s="99" t="s">
        <v>134</v>
      </c>
      <c r="D17" s="99"/>
      <c r="E17" s="99"/>
      <c r="F17" s="51" t="s">
        <v>96</v>
      </c>
      <c r="G17" s="57">
        <f>(H16)</f>
        <v>3715.2000000000003</v>
      </c>
      <c r="H17" s="58">
        <f>(G17*0.18)</f>
        <v>668.73599999999999</v>
      </c>
      <c r="I17" s="59">
        <v>1</v>
      </c>
      <c r="J17" s="53">
        <f t="shared" si="5"/>
        <v>668.73599999999999</v>
      </c>
      <c r="K17" s="60">
        <v>0.33400000000000002</v>
      </c>
      <c r="L17" s="54">
        <f t="shared" si="0"/>
        <v>223.35782400000002</v>
      </c>
      <c r="M17" s="61">
        <f>G17-H17</f>
        <v>3046.4640000000004</v>
      </c>
      <c r="N17" s="52">
        <f>(I17)</f>
        <v>1</v>
      </c>
      <c r="O17" s="61">
        <v>0</v>
      </c>
      <c r="P17" s="55">
        <f t="shared" si="6"/>
        <v>0.33400000000000002</v>
      </c>
      <c r="Q17" s="52">
        <f t="shared" si="3"/>
        <v>0</v>
      </c>
      <c r="R17" s="54">
        <f>(L17+Q17)</f>
        <v>223.35782400000002</v>
      </c>
      <c r="S17" s="56">
        <v>7.25</v>
      </c>
      <c r="T17" s="56">
        <f t="shared" si="4"/>
        <v>1619.3442240000002</v>
      </c>
      <c r="U17" s="36"/>
      <c r="V17" s="36"/>
      <c r="W17" s="36"/>
      <c r="X17" s="36"/>
    </row>
    <row r="18" spans="1:24" ht="24" customHeight="1">
      <c r="A18" s="100"/>
      <c r="B18" s="111"/>
      <c r="C18" s="99" t="s">
        <v>117</v>
      </c>
      <c r="D18" s="99"/>
      <c r="E18" s="99"/>
      <c r="F18" s="51" t="s">
        <v>50</v>
      </c>
      <c r="G18" s="57">
        <f>(G16)</f>
        <v>4128</v>
      </c>
      <c r="H18" s="58">
        <f>(G18*0.6)</f>
        <v>2476.7999999999997</v>
      </c>
      <c r="I18" s="59">
        <v>1</v>
      </c>
      <c r="J18" s="53">
        <f t="shared" si="5"/>
        <v>2476.7999999999997</v>
      </c>
      <c r="K18" s="60">
        <v>1.67E-2</v>
      </c>
      <c r="L18" s="54">
        <f t="shared" si="0"/>
        <v>41.362559999999995</v>
      </c>
      <c r="M18" s="61">
        <f t="shared" si="1"/>
        <v>1651.2000000000003</v>
      </c>
      <c r="N18" s="52">
        <f t="shared" si="2"/>
        <v>1</v>
      </c>
      <c r="O18" s="61">
        <v>0</v>
      </c>
      <c r="P18" s="55">
        <f t="shared" si="6"/>
        <v>1.67E-2</v>
      </c>
      <c r="Q18" s="52">
        <f t="shared" si="3"/>
        <v>0</v>
      </c>
      <c r="R18" s="54">
        <f t="shared" si="7"/>
        <v>41.362559999999995</v>
      </c>
      <c r="S18" s="56">
        <v>7.25</v>
      </c>
      <c r="T18" s="56">
        <f t="shared" si="4"/>
        <v>299.87855999999994</v>
      </c>
      <c r="U18" s="105"/>
      <c r="V18" s="36"/>
      <c r="W18" s="36"/>
      <c r="X18" s="36"/>
    </row>
    <row r="19" spans="1:24" ht="24" customHeight="1">
      <c r="A19" s="100"/>
      <c r="B19" s="111"/>
      <c r="C19" s="99" t="s">
        <v>123</v>
      </c>
      <c r="D19" s="99"/>
      <c r="E19" s="99"/>
      <c r="F19" s="51" t="s">
        <v>58</v>
      </c>
      <c r="G19" s="57">
        <f>G15-H17</f>
        <v>3459.2640000000001</v>
      </c>
      <c r="H19" s="58">
        <f>(G19*0.9)</f>
        <v>3113.3376000000003</v>
      </c>
      <c r="I19" s="59">
        <v>1</v>
      </c>
      <c r="J19" s="53">
        <f t="shared" si="5"/>
        <v>3113.3376000000003</v>
      </c>
      <c r="K19" s="60">
        <f>(K7)</f>
        <v>1.67E-2</v>
      </c>
      <c r="L19" s="54">
        <f t="shared" si="0"/>
        <v>51.992737920000003</v>
      </c>
      <c r="M19" s="61">
        <f t="shared" si="1"/>
        <v>345.92639999999983</v>
      </c>
      <c r="N19" s="52">
        <f t="shared" si="2"/>
        <v>1</v>
      </c>
      <c r="O19" s="61">
        <v>0</v>
      </c>
      <c r="P19" s="55">
        <f t="shared" si="6"/>
        <v>1.67E-2</v>
      </c>
      <c r="Q19" s="52">
        <f t="shared" si="3"/>
        <v>0</v>
      </c>
      <c r="R19" s="54">
        <f t="shared" si="7"/>
        <v>51.992737920000003</v>
      </c>
      <c r="S19" s="56">
        <v>7.25</v>
      </c>
      <c r="T19" s="56">
        <f t="shared" si="4"/>
        <v>376.94734992000002</v>
      </c>
      <c r="U19" s="105"/>
      <c r="V19" s="36"/>
      <c r="W19" s="36"/>
      <c r="X19" s="36"/>
    </row>
    <row r="20" spans="1:24" ht="24" customHeight="1">
      <c r="A20" s="100"/>
      <c r="B20" s="111"/>
      <c r="C20" s="99" t="s">
        <v>125</v>
      </c>
      <c r="D20" s="99"/>
      <c r="E20" s="99"/>
      <c r="F20" s="51" t="s">
        <v>96</v>
      </c>
      <c r="G20" s="57">
        <f>(G21)</f>
        <v>3113.3376000000003</v>
      </c>
      <c r="H20" s="58">
        <f>(G20*0.35)</f>
        <v>1089.6681599999999</v>
      </c>
      <c r="I20" s="59">
        <v>1</v>
      </c>
      <c r="J20" s="53">
        <f t="shared" si="5"/>
        <v>1089.6681599999999</v>
      </c>
      <c r="K20" s="60">
        <v>0.33400000000000002</v>
      </c>
      <c r="L20" s="54">
        <f t="shared" si="0"/>
        <v>363.94916544</v>
      </c>
      <c r="M20" s="61">
        <f t="shared" si="1"/>
        <v>2023.6694400000003</v>
      </c>
      <c r="N20" s="52">
        <f t="shared" si="2"/>
        <v>1</v>
      </c>
      <c r="O20" s="61">
        <v>0</v>
      </c>
      <c r="P20" s="55">
        <f t="shared" si="6"/>
        <v>0.33400000000000002</v>
      </c>
      <c r="Q20" s="52">
        <f t="shared" si="3"/>
        <v>0</v>
      </c>
      <c r="R20" s="54">
        <f t="shared" si="7"/>
        <v>363.94916544</v>
      </c>
      <c r="S20" s="56">
        <v>7.25</v>
      </c>
      <c r="T20" s="56">
        <f t="shared" si="4"/>
        <v>2638.6314494399999</v>
      </c>
      <c r="U20" s="105"/>
      <c r="V20" s="36"/>
      <c r="W20" s="36"/>
      <c r="X20" s="36"/>
    </row>
    <row r="21" spans="1:24" ht="24" customHeight="1">
      <c r="A21" s="100"/>
      <c r="B21" s="111"/>
      <c r="C21" s="99" t="s">
        <v>120</v>
      </c>
      <c r="D21" s="99"/>
      <c r="E21" s="99"/>
      <c r="F21" s="51" t="s">
        <v>52</v>
      </c>
      <c r="G21" s="57">
        <f>(H19)</f>
        <v>3113.3376000000003</v>
      </c>
      <c r="H21" s="58">
        <f>(G21*0.6)</f>
        <v>1868.0025600000001</v>
      </c>
      <c r="I21" s="59">
        <v>1</v>
      </c>
      <c r="J21" s="53">
        <f t="shared" si="5"/>
        <v>1868.0025600000001</v>
      </c>
      <c r="K21" s="60">
        <v>1.67E-2</v>
      </c>
      <c r="L21" s="54">
        <f t="shared" si="0"/>
        <v>31.195642752000001</v>
      </c>
      <c r="M21" s="61">
        <f t="shared" si="1"/>
        <v>1245.3350400000002</v>
      </c>
      <c r="N21" s="52">
        <f t="shared" si="2"/>
        <v>1</v>
      </c>
      <c r="O21" s="61">
        <v>0</v>
      </c>
      <c r="P21" s="55">
        <f t="shared" si="6"/>
        <v>1.67E-2</v>
      </c>
      <c r="Q21" s="52">
        <f t="shared" si="3"/>
        <v>0</v>
      </c>
      <c r="R21" s="54">
        <f t="shared" si="7"/>
        <v>31.195642752000001</v>
      </c>
      <c r="S21" s="56">
        <v>7.25</v>
      </c>
      <c r="T21" s="56">
        <f t="shared" si="4"/>
        <v>226.16840995200002</v>
      </c>
      <c r="U21" s="105"/>
      <c r="V21" s="36"/>
      <c r="W21" s="36"/>
      <c r="X21" s="36"/>
    </row>
    <row r="22" spans="1:24" ht="24" customHeight="1">
      <c r="A22" s="100"/>
      <c r="B22" s="111"/>
      <c r="C22" s="99" t="s">
        <v>124</v>
      </c>
      <c r="D22" s="99"/>
      <c r="E22" s="99"/>
      <c r="F22" s="51" t="s">
        <v>59</v>
      </c>
      <c r="G22" s="57">
        <f>(G16)-(H17+H20)</f>
        <v>2369.59584</v>
      </c>
      <c r="H22" s="58">
        <f>(G22*0.9)</f>
        <v>2132.6362560000002</v>
      </c>
      <c r="I22" s="59">
        <v>1</v>
      </c>
      <c r="J22" s="53">
        <f t="shared" si="5"/>
        <v>2132.6362560000002</v>
      </c>
      <c r="K22" s="60">
        <f>(K7)</f>
        <v>1.67E-2</v>
      </c>
      <c r="L22" s="54">
        <f t="shared" si="0"/>
        <v>35.6150254752</v>
      </c>
      <c r="M22" s="61">
        <f t="shared" si="1"/>
        <v>236.95958399999972</v>
      </c>
      <c r="N22" s="52">
        <f t="shared" si="2"/>
        <v>1</v>
      </c>
      <c r="O22" s="61">
        <v>0</v>
      </c>
      <c r="P22" s="55">
        <f t="shared" si="6"/>
        <v>1.67E-2</v>
      </c>
      <c r="Q22" s="52">
        <f t="shared" si="3"/>
        <v>0</v>
      </c>
      <c r="R22" s="54">
        <f t="shared" si="7"/>
        <v>35.6150254752</v>
      </c>
      <c r="S22" s="56">
        <v>7.25</v>
      </c>
      <c r="T22" s="56">
        <f t="shared" si="4"/>
        <v>258.20893469520001</v>
      </c>
      <c r="U22" s="105"/>
      <c r="V22" s="36"/>
      <c r="W22" s="36"/>
      <c r="X22" s="36"/>
    </row>
    <row r="23" spans="1:24" ht="15" customHeight="1">
      <c r="A23" s="100"/>
      <c r="B23" s="111"/>
      <c r="C23" s="99" t="s">
        <v>109</v>
      </c>
      <c r="D23" s="99"/>
      <c r="E23" s="99"/>
      <c r="F23" s="51" t="s">
        <v>96</v>
      </c>
      <c r="G23" s="57">
        <f>(H22)</f>
        <v>2132.6362560000002</v>
      </c>
      <c r="H23" s="58">
        <f>(G23*0.25)</f>
        <v>533.15906400000006</v>
      </c>
      <c r="I23" s="59">
        <v>1</v>
      </c>
      <c r="J23" s="53">
        <f t="shared" si="5"/>
        <v>533.15906400000006</v>
      </c>
      <c r="K23" s="60">
        <v>0.33400000000000002</v>
      </c>
      <c r="L23" s="54">
        <f t="shared" si="0"/>
        <v>178.07512737600004</v>
      </c>
      <c r="M23" s="61">
        <f t="shared" si="1"/>
        <v>1599.4771920000003</v>
      </c>
      <c r="N23" s="52">
        <f t="shared" si="2"/>
        <v>1</v>
      </c>
      <c r="O23" s="61">
        <v>0</v>
      </c>
      <c r="P23" s="55">
        <f t="shared" si="6"/>
        <v>0.33400000000000002</v>
      </c>
      <c r="Q23" s="52">
        <f t="shared" si="3"/>
        <v>0</v>
      </c>
      <c r="R23" s="54">
        <f t="shared" si="7"/>
        <v>178.07512737600004</v>
      </c>
      <c r="S23" s="56">
        <v>7.25</v>
      </c>
      <c r="T23" s="56">
        <f t="shared" si="4"/>
        <v>1291.0446734760003</v>
      </c>
      <c r="U23" s="105"/>
      <c r="V23" s="36"/>
      <c r="W23" s="105"/>
      <c r="X23" s="36"/>
    </row>
    <row r="24" spans="1:24" ht="22.5" customHeight="1">
      <c r="A24" s="100"/>
      <c r="B24" s="111"/>
      <c r="C24" s="99" t="s">
        <v>110</v>
      </c>
      <c r="D24" s="99"/>
      <c r="E24" s="99"/>
      <c r="F24" s="51" t="s">
        <v>54</v>
      </c>
      <c r="G24" s="57">
        <f>H24/0.07</f>
        <v>263.38251428571436</v>
      </c>
      <c r="H24" s="58">
        <f>(G26)-(H17+H20+H23)</f>
        <v>18.436776000000009</v>
      </c>
      <c r="I24" s="59">
        <v>1</v>
      </c>
      <c r="J24" s="53">
        <f t="shared" si="5"/>
        <v>18.436776000000009</v>
      </c>
      <c r="K24" s="60">
        <f>(K20)</f>
        <v>0.33400000000000002</v>
      </c>
      <c r="L24" s="54">
        <f t="shared" si="0"/>
        <v>6.1578831840000037</v>
      </c>
      <c r="M24" s="61">
        <f t="shared" si="1"/>
        <v>244.94573828571436</v>
      </c>
      <c r="N24" s="52">
        <f t="shared" si="2"/>
        <v>1</v>
      </c>
      <c r="O24" s="61">
        <v>0</v>
      </c>
      <c r="P24" s="55">
        <f t="shared" si="6"/>
        <v>0.33400000000000002</v>
      </c>
      <c r="Q24" s="52">
        <f t="shared" si="3"/>
        <v>0</v>
      </c>
      <c r="R24" s="54">
        <f t="shared" si="7"/>
        <v>6.1578831840000037</v>
      </c>
      <c r="S24" s="56">
        <v>7.25</v>
      </c>
      <c r="T24" s="56">
        <f t="shared" si="4"/>
        <v>44.644653084000026</v>
      </c>
      <c r="U24" s="105"/>
      <c r="V24" s="36"/>
      <c r="W24" s="105"/>
      <c r="X24" s="36"/>
    </row>
    <row r="25" spans="1:24" ht="22.5" customHeight="1">
      <c r="A25" s="100"/>
      <c r="B25" s="111"/>
      <c r="C25" s="99" t="s">
        <v>163</v>
      </c>
      <c r="D25" s="99"/>
      <c r="E25" s="99"/>
      <c r="F25" s="51" t="s">
        <v>55</v>
      </c>
      <c r="G25" s="57">
        <f>H24/0.07</f>
        <v>263.38251428571436</v>
      </c>
      <c r="H25" s="58">
        <f>(G25*0.6)</f>
        <v>158.02950857142861</v>
      </c>
      <c r="I25" s="59">
        <v>1</v>
      </c>
      <c r="J25" s="53">
        <f t="shared" si="5"/>
        <v>158.02950857142861</v>
      </c>
      <c r="K25" s="60">
        <v>1.67E-2</v>
      </c>
      <c r="L25" s="54">
        <f t="shared" si="0"/>
        <v>2.6390927931428578</v>
      </c>
      <c r="M25" s="61">
        <f t="shared" si="1"/>
        <v>105.35300571428576</v>
      </c>
      <c r="N25" s="52">
        <f t="shared" si="2"/>
        <v>1</v>
      </c>
      <c r="O25" s="61">
        <f>(G25-H25)</f>
        <v>105.35300571428576</v>
      </c>
      <c r="P25" s="55">
        <f t="shared" si="6"/>
        <v>1.67E-2</v>
      </c>
      <c r="Q25" s="52">
        <f t="shared" si="3"/>
        <v>1.759395195428572</v>
      </c>
      <c r="R25" s="54">
        <f>(L25+Q25)</f>
        <v>4.3984879885714303</v>
      </c>
      <c r="S25" s="56">
        <v>7.25</v>
      </c>
      <c r="T25" s="56">
        <f t="shared" si="4"/>
        <v>31.889037917142868</v>
      </c>
      <c r="U25" s="105"/>
      <c r="V25" s="36"/>
      <c r="W25" s="105"/>
      <c r="X25" s="36"/>
    </row>
    <row r="26" spans="1:24" ht="25.5" customHeight="1">
      <c r="A26" s="100"/>
      <c r="B26" s="111"/>
      <c r="C26" s="99" t="s">
        <v>108</v>
      </c>
      <c r="D26" s="99"/>
      <c r="E26" s="99"/>
      <c r="F26" s="62" t="s">
        <v>62</v>
      </c>
      <c r="G26" s="57">
        <v>2310</v>
      </c>
      <c r="H26" s="58">
        <f>(G26)</f>
        <v>2310</v>
      </c>
      <c r="I26" s="59">
        <v>1</v>
      </c>
      <c r="J26" s="53">
        <f t="shared" si="5"/>
        <v>2310</v>
      </c>
      <c r="K26" s="60">
        <v>1.67E-2</v>
      </c>
      <c r="L26" s="54">
        <f t="shared" si="0"/>
        <v>38.576999999999998</v>
      </c>
      <c r="M26" s="52">
        <f t="shared" si="1"/>
        <v>0</v>
      </c>
      <c r="N26" s="52">
        <f t="shared" si="2"/>
        <v>1</v>
      </c>
      <c r="O26" s="61">
        <f t="shared" ref="O26:O31" si="8">+M26*N26</f>
        <v>0</v>
      </c>
      <c r="P26" s="55">
        <f t="shared" si="6"/>
        <v>1.67E-2</v>
      </c>
      <c r="Q26" s="52">
        <f t="shared" si="3"/>
        <v>0</v>
      </c>
      <c r="R26" s="54">
        <f t="shared" si="7"/>
        <v>38.576999999999998</v>
      </c>
      <c r="S26" s="56">
        <v>7.25</v>
      </c>
      <c r="T26" s="56">
        <f t="shared" si="4"/>
        <v>279.68324999999999</v>
      </c>
      <c r="U26" s="105"/>
      <c r="V26" s="36"/>
      <c r="W26" s="105"/>
      <c r="X26" s="36"/>
    </row>
    <row r="27" spans="1:24" ht="25.5" customHeight="1">
      <c r="A27" s="100"/>
      <c r="B27" s="111"/>
      <c r="C27" s="99" t="s">
        <v>130</v>
      </c>
      <c r="D27" s="99"/>
      <c r="E27" s="99"/>
      <c r="F27" s="51" t="s">
        <v>70</v>
      </c>
      <c r="G27" s="57">
        <v>60</v>
      </c>
      <c r="H27" s="58">
        <f>(G27)</f>
        <v>60</v>
      </c>
      <c r="I27" s="59">
        <v>1</v>
      </c>
      <c r="J27" s="53">
        <f t="shared" si="5"/>
        <v>60</v>
      </c>
      <c r="K27" s="60">
        <f>(K7)</f>
        <v>1.67E-2</v>
      </c>
      <c r="L27" s="54">
        <f t="shared" si="0"/>
        <v>1.002</v>
      </c>
      <c r="M27" s="52">
        <f t="shared" si="1"/>
        <v>0</v>
      </c>
      <c r="N27" s="52">
        <f t="shared" si="2"/>
        <v>1</v>
      </c>
      <c r="O27" s="61">
        <f t="shared" si="8"/>
        <v>0</v>
      </c>
      <c r="P27" s="55">
        <f t="shared" si="6"/>
        <v>1.67E-2</v>
      </c>
      <c r="Q27" s="52">
        <f t="shared" si="3"/>
        <v>0</v>
      </c>
      <c r="R27" s="54">
        <f t="shared" si="7"/>
        <v>1.002</v>
      </c>
      <c r="S27" s="56">
        <v>7.25</v>
      </c>
      <c r="T27" s="56">
        <f t="shared" si="4"/>
        <v>7.2645</v>
      </c>
      <c r="U27" s="105"/>
      <c r="V27" s="36"/>
      <c r="W27" s="105"/>
      <c r="X27" s="36"/>
    </row>
    <row r="28" spans="1:24" ht="25.5" customHeight="1">
      <c r="A28" s="100"/>
      <c r="B28" s="111"/>
      <c r="C28" s="99" t="s">
        <v>131</v>
      </c>
      <c r="D28" s="99"/>
      <c r="E28" s="99"/>
      <c r="F28" s="51" t="s">
        <v>69</v>
      </c>
      <c r="G28" s="57">
        <f>(H27)</f>
        <v>60</v>
      </c>
      <c r="H28" s="58">
        <f>(G28*0.85)</f>
        <v>51</v>
      </c>
      <c r="I28" s="59">
        <v>1</v>
      </c>
      <c r="J28" s="53">
        <f t="shared" si="5"/>
        <v>51</v>
      </c>
      <c r="K28" s="60">
        <v>8.3500000000000005E-2</v>
      </c>
      <c r="L28" s="54">
        <f t="shared" si="0"/>
        <v>4.2585000000000006</v>
      </c>
      <c r="M28" s="52">
        <f t="shared" si="1"/>
        <v>9</v>
      </c>
      <c r="N28" s="52">
        <f t="shared" si="2"/>
        <v>1</v>
      </c>
      <c r="O28" s="61">
        <f t="shared" si="8"/>
        <v>9</v>
      </c>
      <c r="P28" s="55">
        <f t="shared" si="6"/>
        <v>8.3500000000000005E-2</v>
      </c>
      <c r="Q28" s="52">
        <f t="shared" si="3"/>
        <v>0.75150000000000006</v>
      </c>
      <c r="R28" s="54">
        <f t="shared" si="7"/>
        <v>5.0100000000000007</v>
      </c>
      <c r="S28" s="56">
        <v>7.25</v>
      </c>
      <c r="T28" s="56">
        <f t="shared" si="4"/>
        <v>36.322500000000005</v>
      </c>
      <c r="U28" s="105"/>
      <c r="V28" s="36"/>
      <c r="W28" s="105"/>
      <c r="X28" s="36"/>
    </row>
    <row r="29" spans="1:24" ht="25.5" customHeight="1">
      <c r="A29" s="100"/>
      <c r="B29" s="111"/>
      <c r="C29" s="99" t="s">
        <v>133</v>
      </c>
      <c r="D29" s="99"/>
      <c r="E29" s="99"/>
      <c r="F29" s="51" t="s">
        <v>63</v>
      </c>
      <c r="G29" s="57">
        <f>(H28)</f>
        <v>51</v>
      </c>
      <c r="H29" s="58">
        <f>(G29)</f>
        <v>51</v>
      </c>
      <c r="I29" s="59">
        <v>1</v>
      </c>
      <c r="J29" s="53">
        <f t="shared" si="5"/>
        <v>51</v>
      </c>
      <c r="K29" s="60">
        <v>1.67E-2</v>
      </c>
      <c r="L29" s="54">
        <f t="shared" si="0"/>
        <v>0.85170000000000001</v>
      </c>
      <c r="M29" s="52">
        <f t="shared" si="1"/>
        <v>0</v>
      </c>
      <c r="N29" s="52">
        <f t="shared" si="2"/>
        <v>1</v>
      </c>
      <c r="O29" s="61">
        <f t="shared" si="8"/>
        <v>0</v>
      </c>
      <c r="P29" s="55">
        <f t="shared" si="6"/>
        <v>1.67E-2</v>
      </c>
      <c r="Q29" s="52">
        <f t="shared" si="3"/>
        <v>0</v>
      </c>
      <c r="R29" s="54">
        <f t="shared" si="7"/>
        <v>0.85170000000000001</v>
      </c>
      <c r="S29" s="56">
        <v>7.25</v>
      </c>
      <c r="T29" s="56">
        <f t="shared" si="4"/>
        <v>6.1748250000000002</v>
      </c>
      <c r="U29" s="105"/>
      <c r="V29" s="36"/>
      <c r="W29" s="105"/>
      <c r="X29" s="36"/>
    </row>
    <row r="30" spans="1:24" ht="25.5" customHeight="1">
      <c r="A30" s="100"/>
      <c r="B30" s="111"/>
      <c r="C30" s="99" t="s">
        <v>111</v>
      </c>
      <c r="D30" s="99"/>
      <c r="E30" s="99"/>
      <c r="F30" s="51" t="s">
        <v>64</v>
      </c>
      <c r="G30" s="57">
        <f>(H29)</f>
        <v>51</v>
      </c>
      <c r="H30" s="58">
        <f>(G30*0.8)</f>
        <v>40.800000000000004</v>
      </c>
      <c r="I30" s="59">
        <v>1</v>
      </c>
      <c r="J30" s="53">
        <f t="shared" si="5"/>
        <v>40.800000000000004</v>
      </c>
      <c r="K30" s="60">
        <v>1</v>
      </c>
      <c r="L30" s="54">
        <f t="shared" si="0"/>
        <v>40.800000000000004</v>
      </c>
      <c r="M30" s="61">
        <f t="shared" si="1"/>
        <v>10.199999999999996</v>
      </c>
      <c r="N30" s="52">
        <f t="shared" si="2"/>
        <v>1</v>
      </c>
      <c r="O30" s="61">
        <f t="shared" si="8"/>
        <v>10.199999999999996</v>
      </c>
      <c r="P30" s="55">
        <f t="shared" si="6"/>
        <v>1</v>
      </c>
      <c r="Q30" s="52">
        <f t="shared" si="3"/>
        <v>10.199999999999996</v>
      </c>
      <c r="R30" s="54">
        <f>(L30+Q30)</f>
        <v>51</v>
      </c>
      <c r="S30" s="56">
        <v>7.25</v>
      </c>
      <c r="T30" s="56">
        <f t="shared" si="4"/>
        <v>369.75</v>
      </c>
      <c r="U30" s="105"/>
      <c r="V30" s="36"/>
      <c r="W30" s="105"/>
      <c r="X30" s="36"/>
    </row>
    <row r="31" spans="1:24" ht="24.75" customHeight="1">
      <c r="A31" s="100"/>
      <c r="B31" s="111"/>
      <c r="C31" s="104" t="s">
        <v>126</v>
      </c>
      <c r="D31" s="104"/>
      <c r="E31" s="104"/>
      <c r="F31" s="62" t="s">
        <v>65</v>
      </c>
      <c r="G31" s="58">
        <f>(H30)</f>
        <v>40.800000000000004</v>
      </c>
      <c r="H31" s="58">
        <f>(G31)</f>
        <v>40.800000000000004</v>
      </c>
      <c r="I31" s="63">
        <v>1</v>
      </c>
      <c r="J31" s="53">
        <f t="shared" si="5"/>
        <v>40.800000000000004</v>
      </c>
      <c r="K31" s="60">
        <v>1.67E-2</v>
      </c>
      <c r="L31" s="54">
        <f t="shared" si="0"/>
        <v>0.68136000000000008</v>
      </c>
      <c r="M31" s="52">
        <f t="shared" si="1"/>
        <v>0</v>
      </c>
      <c r="N31" s="52">
        <f t="shared" si="2"/>
        <v>1</v>
      </c>
      <c r="O31" s="61">
        <f t="shared" si="8"/>
        <v>0</v>
      </c>
      <c r="P31" s="55">
        <f t="shared" si="6"/>
        <v>1.67E-2</v>
      </c>
      <c r="Q31" s="52">
        <f t="shared" si="3"/>
        <v>0</v>
      </c>
      <c r="R31" s="54">
        <f t="shared" si="7"/>
        <v>0.68136000000000008</v>
      </c>
      <c r="S31" s="56">
        <v>7.25</v>
      </c>
      <c r="T31" s="56">
        <f t="shared" si="4"/>
        <v>4.9398600000000004</v>
      </c>
      <c r="U31" s="105"/>
      <c r="V31" s="36"/>
      <c r="W31" s="105"/>
      <c r="X31" s="36"/>
    </row>
    <row r="32" spans="1:24" ht="24" customHeight="1">
      <c r="A32" s="101" t="s">
        <v>38</v>
      </c>
      <c r="B32" s="101"/>
      <c r="C32" s="113"/>
      <c r="D32" s="113"/>
      <c r="E32" s="113"/>
      <c r="F32" s="67"/>
      <c r="G32" s="68">
        <f>G4+G5</f>
        <v>7596</v>
      </c>
      <c r="H32" s="89">
        <f>H4+H5</f>
        <v>6837</v>
      </c>
      <c r="I32" s="90">
        <f>J32/H32</f>
        <v>7.615996892371343</v>
      </c>
      <c r="J32" s="91">
        <f>SUM(J4:J31)</f>
        <v>52070.570753142871</v>
      </c>
      <c r="K32" s="90"/>
      <c r="L32" s="90">
        <f>SUM(L4:L31)</f>
        <v>3309.5242515774871</v>
      </c>
      <c r="M32" s="88">
        <f>M4+M5</f>
        <v>759</v>
      </c>
      <c r="N32" s="87">
        <f>(O32/M32)</f>
        <v>0.16410145680406554</v>
      </c>
      <c r="O32" s="88">
        <f>SUM(O4:O31)</f>
        <v>124.55300571428575</v>
      </c>
      <c r="P32" s="92"/>
      <c r="Q32" s="93">
        <f>SUM(Q4:Q31)</f>
        <v>12.710895195428568</v>
      </c>
      <c r="R32" s="94">
        <f>(L32+Q32)</f>
        <v>3322.2351467729159</v>
      </c>
      <c r="S32" s="69"/>
      <c r="T32" s="69">
        <f>SUM(T4:T31)</f>
        <v>24086.204814103625</v>
      </c>
      <c r="U32" s="36"/>
      <c r="V32" s="36"/>
      <c r="W32" s="105"/>
      <c r="X32" s="36"/>
    </row>
    <row r="33" spans="1:24" ht="19.5" customHeight="1">
      <c r="A33" s="100"/>
      <c r="B33" s="100"/>
      <c r="C33" s="99" t="s">
        <v>168</v>
      </c>
      <c r="D33" s="99"/>
      <c r="E33" s="99"/>
      <c r="F33" s="51" t="s">
        <v>167</v>
      </c>
      <c r="G33" s="57">
        <v>51</v>
      </c>
      <c r="H33" s="57">
        <v>51</v>
      </c>
      <c r="I33" s="59">
        <v>1</v>
      </c>
      <c r="J33" s="61">
        <f t="shared" ref="J33:J54" si="9">(I33*H33)</f>
        <v>51</v>
      </c>
      <c r="K33" s="60">
        <v>2.5000000000000001E-2</v>
      </c>
      <c r="L33" s="54">
        <f>(J33*K33)</f>
        <v>1.2750000000000001</v>
      </c>
      <c r="M33" s="61">
        <f>(G33-H33)</f>
        <v>0</v>
      </c>
      <c r="N33" s="59">
        <f>(I33)</f>
        <v>1</v>
      </c>
      <c r="O33" s="61">
        <v>0</v>
      </c>
      <c r="P33" s="65">
        <f>(K33)</f>
        <v>2.5000000000000001E-2</v>
      </c>
      <c r="Q33" s="61">
        <f>(P33*O33)</f>
        <v>0</v>
      </c>
      <c r="R33" s="54">
        <f>(L33+Q33)</f>
        <v>1.2750000000000001</v>
      </c>
      <c r="S33" s="56">
        <v>53.15</v>
      </c>
      <c r="T33" s="56">
        <f>(R33*S33)</f>
        <v>67.766249999999999</v>
      </c>
      <c r="U33" s="36"/>
      <c r="V33" s="36"/>
      <c r="W33" s="47"/>
      <c r="X33" s="36"/>
    </row>
    <row r="34" spans="1:24" ht="19.5" customHeight="1">
      <c r="A34" s="100"/>
      <c r="B34" s="100"/>
      <c r="C34" s="99" t="s">
        <v>159</v>
      </c>
      <c r="D34" s="99"/>
      <c r="E34" s="99"/>
      <c r="F34" s="51" t="s">
        <v>66</v>
      </c>
      <c r="G34" s="57">
        <v>5</v>
      </c>
      <c r="H34" s="57">
        <v>5</v>
      </c>
      <c r="I34" s="59">
        <v>1</v>
      </c>
      <c r="J34" s="61">
        <f t="shared" si="9"/>
        <v>5</v>
      </c>
      <c r="K34" s="60">
        <v>5.0099999999999999E-2</v>
      </c>
      <c r="L34" s="54">
        <f>(J34*K34)</f>
        <v>0.2505</v>
      </c>
      <c r="M34" s="61">
        <f>(G34-H34)</f>
        <v>0</v>
      </c>
      <c r="N34" s="59">
        <f>(I34)</f>
        <v>1</v>
      </c>
      <c r="O34" s="61">
        <v>0</v>
      </c>
      <c r="P34" s="65">
        <f>(K34)</f>
        <v>5.0099999999999999E-2</v>
      </c>
      <c r="Q34" s="61">
        <f>(P34*O34)</f>
        <v>0</v>
      </c>
      <c r="R34" s="54">
        <f>(L34+Q34)</f>
        <v>0.2505</v>
      </c>
      <c r="S34" s="56">
        <f>(S33)</f>
        <v>53.15</v>
      </c>
      <c r="T34" s="56">
        <f>(R34*S34)</f>
        <v>13.314074999999999</v>
      </c>
      <c r="U34" s="36"/>
      <c r="V34" s="36"/>
      <c r="W34" s="47"/>
      <c r="X34" s="36"/>
    </row>
    <row r="35" spans="1:24" ht="19.5" customHeight="1">
      <c r="A35" s="100"/>
      <c r="B35" s="100"/>
      <c r="C35" s="99" t="s">
        <v>160</v>
      </c>
      <c r="D35" s="99"/>
      <c r="E35" s="99"/>
      <c r="F35" s="51" t="s">
        <v>66</v>
      </c>
      <c r="G35" s="57">
        <v>5</v>
      </c>
      <c r="H35" s="57">
        <v>5</v>
      </c>
      <c r="I35" s="59">
        <v>1</v>
      </c>
      <c r="J35" s="61">
        <f t="shared" si="9"/>
        <v>5</v>
      </c>
      <c r="K35" s="60">
        <v>1</v>
      </c>
      <c r="L35" s="54">
        <f>(J35*K35)</f>
        <v>5</v>
      </c>
      <c r="M35" s="61">
        <f>(G35-H35)</f>
        <v>0</v>
      </c>
      <c r="N35" s="59">
        <f>(I35)</f>
        <v>1</v>
      </c>
      <c r="O35" s="61">
        <v>0</v>
      </c>
      <c r="P35" s="65">
        <f>(K35)</f>
        <v>1</v>
      </c>
      <c r="Q35" s="61">
        <f>(P35*O35)</f>
        <v>0</v>
      </c>
      <c r="R35" s="54">
        <f>(L35+Q35)</f>
        <v>5</v>
      </c>
      <c r="S35" s="56">
        <f>(S33)</f>
        <v>53.15</v>
      </c>
      <c r="T35" s="56">
        <f>(R35*S35)</f>
        <v>265.75</v>
      </c>
      <c r="U35" s="36"/>
      <c r="V35" s="36"/>
      <c r="W35" s="47"/>
      <c r="X35" s="36"/>
    </row>
    <row r="36" spans="1:24" ht="19.5" customHeight="1">
      <c r="A36" s="100"/>
      <c r="B36" s="100"/>
      <c r="C36" s="99" t="s">
        <v>91</v>
      </c>
      <c r="D36" s="99"/>
      <c r="E36" s="99"/>
      <c r="F36" s="51" t="s">
        <v>67</v>
      </c>
      <c r="G36" s="57">
        <v>2</v>
      </c>
      <c r="H36" s="57">
        <f>G36</f>
        <v>2</v>
      </c>
      <c r="I36" s="59">
        <v>1</v>
      </c>
      <c r="J36" s="61">
        <f t="shared" si="9"/>
        <v>2</v>
      </c>
      <c r="K36" s="60">
        <v>8.3500000000000005E-2</v>
      </c>
      <c r="L36" s="54">
        <f>(J36*K36)</f>
        <v>0.16700000000000001</v>
      </c>
      <c r="M36" s="61">
        <f>(G36-H36)</f>
        <v>0</v>
      </c>
      <c r="N36" s="59">
        <f>(I36)</f>
        <v>1</v>
      </c>
      <c r="O36" s="61">
        <v>0</v>
      </c>
      <c r="P36" s="65">
        <f>(K36)</f>
        <v>8.3500000000000005E-2</v>
      </c>
      <c r="Q36" s="61">
        <f>(P36*O36)</f>
        <v>0</v>
      </c>
      <c r="R36" s="54">
        <f>(L36+Q36)</f>
        <v>0.16700000000000001</v>
      </c>
      <c r="S36" s="56">
        <v>53.15</v>
      </c>
      <c r="T36" s="56">
        <f>(R36*S36)</f>
        <v>8.8760500000000011</v>
      </c>
      <c r="U36" s="36"/>
      <c r="V36" s="36"/>
      <c r="W36" s="47"/>
      <c r="X36" s="36"/>
    </row>
    <row r="37" spans="1:24" ht="23.25" customHeight="1">
      <c r="A37" s="100"/>
      <c r="B37" s="100"/>
      <c r="C37" s="99" t="s">
        <v>92</v>
      </c>
      <c r="D37" s="99"/>
      <c r="E37" s="99"/>
      <c r="F37" s="51" t="s">
        <v>67</v>
      </c>
      <c r="G37" s="57">
        <v>2</v>
      </c>
      <c r="H37" s="57">
        <f>G37</f>
        <v>2</v>
      </c>
      <c r="I37" s="59">
        <v>1</v>
      </c>
      <c r="J37" s="61">
        <f t="shared" si="9"/>
        <v>2</v>
      </c>
      <c r="K37" s="60">
        <v>1.5</v>
      </c>
      <c r="L37" s="54">
        <f t="shared" ref="L37:L51" si="10">(J37*K37)</f>
        <v>3</v>
      </c>
      <c r="M37" s="61">
        <f t="shared" ref="M37:M51" si="11">(G37-H37)</f>
        <v>0</v>
      </c>
      <c r="N37" s="59">
        <f t="shared" ref="N37:N51" si="12">(I37)</f>
        <v>1</v>
      </c>
      <c r="O37" s="61">
        <v>0</v>
      </c>
      <c r="P37" s="65">
        <f t="shared" ref="P37:P51" si="13">(K37)</f>
        <v>1.5</v>
      </c>
      <c r="Q37" s="61">
        <f t="shared" ref="Q37:Q51" si="14">(P37*O37)</f>
        <v>0</v>
      </c>
      <c r="R37" s="54">
        <f t="shared" ref="R37:R51" si="15">(L37+Q37)</f>
        <v>3</v>
      </c>
      <c r="S37" s="56">
        <v>53.15</v>
      </c>
      <c r="T37" s="56">
        <f t="shared" ref="T37:T51" si="16">(R37*S37)</f>
        <v>159.44999999999999</v>
      </c>
      <c r="U37" s="36"/>
      <c r="V37" s="36"/>
      <c r="W37" s="40"/>
      <c r="X37" s="36"/>
    </row>
    <row r="38" spans="1:24" ht="25.5" customHeight="1">
      <c r="A38" s="100"/>
      <c r="B38" s="100"/>
      <c r="C38" s="99" t="s">
        <v>127</v>
      </c>
      <c r="D38" s="99"/>
      <c r="E38" s="99"/>
      <c r="F38" s="51" t="s">
        <v>68</v>
      </c>
      <c r="G38" s="57">
        <v>2</v>
      </c>
      <c r="H38" s="57">
        <f>G38</f>
        <v>2</v>
      </c>
      <c r="I38" s="59">
        <v>1</v>
      </c>
      <c r="J38" s="61">
        <f t="shared" si="9"/>
        <v>2</v>
      </c>
      <c r="K38" s="60">
        <v>1.67E-2</v>
      </c>
      <c r="L38" s="54">
        <f t="shared" si="10"/>
        <v>3.3399999999999999E-2</v>
      </c>
      <c r="M38" s="61">
        <f t="shared" si="11"/>
        <v>0</v>
      </c>
      <c r="N38" s="59">
        <f t="shared" si="12"/>
        <v>1</v>
      </c>
      <c r="O38" s="61">
        <v>0</v>
      </c>
      <c r="P38" s="65">
        <f t="shared" si="13"/>
        <v>1.67E-2</v>
      </c>
      <c r="Q38" s="61">
        <f t="shared" si="14"/>
        <v>0</v>
      </c>
      <c r="R38" s="54">
        <f t="shared" si="15"/>
        <v>3.3399999999999999E-2</v>
      </c>
      <c r="S38" s="56">
        <v>53.15</v>
      </c>
      <c r="T38" s="56">
        <f t="shared" si="16"/>
        <v>1.77521</v>
      </c>
      <c r="U38" s="36"/>
      <c r="V38" s="36"/>
      <c r="W38" s="40"/>
      <c r="X38" s="36"/>
    </row>
    <row r="39" spans="1:24" ht="22.5" customHeight="1">
      <c r="A39" s="100"/>
      <c r="B39" s="100"/>
      <c r="C39" s="99" t="s">
        <v>93</v>
      </c>
      <c r="D39" s="99"/>
      <c r="E39" s="99"/>
      <c r="F39" s="51" t="s">
        <v>72</v>
      </c>
      <c r="G39" s="57">
        <f>G38</f>
        <v>2</v>
      </c>
      <c r="H39" s="57">
        <f>G39</f>
        <v>2</v>
      </c>
      <c r="I39" s="59">
        <v>4</v>
      </c>
      <c r="J39" s="61">
        <f t="shared" si="9"/>
        <v>8</v>
      </c>
      <c r="K39" s="60">
        <f>(K7)</f>
        <v>1.67E-2</v>
      </c>
      <c r="L39" s="54">
        <f t="shared" si="10"/>
        <v>0.1336</v>
      </c>
      <c r="M39" s="61">
        <f t="shared" si="11"/>
        <v>0</v>
      </c>
      <c r="N39" s="59">
        <f t="shared" si="12"/>
        <v>4</v>
      </c>
      <c r="O39" s="61">
        <v>0</v>
      </c>
      <c r="P39" s="65">
        <f t="shared" si="13"/>
        <v>1.67E-2</v>
      </c>
      <c r="Q39" s="61">
        <f t="shared" si="14"/>
        <v>0</v>
      </c>
      <c r="R39" s="54">
        <f t="shared" si="15"/>
        <v>0.1336</v>
      </c>
      <c r="S39" s="56">
        <v>53.15</v>
      </c>
      <c r="T39" s="56">
        <f t="shared" si="16"/>
        <v>7.1008399999999998</v>
      </c>
      <c r="U39" s="36"/>
      <c r="V39" s="36"/>
      <c r="W39" s="40"/>
      <c r="X39" s="36"/>
    </row>
    <row r="40" spans="1:24" ht="23.25" customHeight="1">
      <c r="A40" s="100"/>
      <c r="B40" s="100"/>
      <c r="C40" s="99" t="s">
        <v>94</v>
      </c>
      <c r="D40" s="99"/>
      <c r="E40" s="99"/>
      <c r="F40" s="51" t="s">
        <v>73</v>
      </c>
      <c r="G40" s="57">
        <f>(G39)</f>
        <v>2</v>
      </c>
      <c r="H40" s="57">
        <f>(H39)</f>
        <v>2</v>
      </c>
      <c r="I40" s="59">
        <v>1</v>
      </c>
      <c r="J40" s="61">
        <f t="shared" si="9"/>
        <v>2</v>
      </c>
      <c r="K40" s="60">
        <f>(K7)</f>
        <v>1.67E-2</v>
      </c>
      <c r="L40" s="54">
        <f t="shared" si="10"/>
        <v>3.3399999999999999E-2</v>
      </c>
      <c r="M40" s="61">
        <f t="shared" si="11"/>
        <v>0</v>
      </c>
      <c r="N40" s="59">
        <f t="shared" si="12"/>
        <v>1</v>
      </c>
      <c r="O40" s="61">
        <v>0</v>
      </c>
      <c r="P40" s="65">
        <f t="shared" si="13"/>
        <v>1.67E-2</v>
      </c>
      <c r="Q40" s="61">
        <f t="shared" si="14"/>
        <v>0</v>
      </c>
      <c r="R40" s="54">
        <f t="shared" si="15"/>
        <v>3.3399999999999999E-2</v>
      </c>
      <c r="S40" s="56">
        <v>53.15</v>
      </c>
      <c r="T40" s="56">
        <f t="shared" si="16"/>
        <v>1.77521</v>
      </c>
      <c r="U40" s="36"/>
      <c r="V40" s="36"/>
      <c r="W40" s="40"/>
      <c r="X40" s="36"/>
    </row>
    <row r="41" spans="1:24" ht="19.5" customHeight="1">
      <c r="A41" s="100"/>
      <c r="B41" s="100"/>
      <c r="C41" s="99" t="s">
        <v>116</v>
      </c>
      <c r="D41" s="99"/>
      <c r="E41" s="99"/>
      <c r="F41" s="51" t="s">
        <v>97</v>
      </c>
      <c r="G41" s="57">
        <v>2</v>
      </c>
      <c r="H41" s="57">
        <v>2</v>
      </c>
      <c r="I41" s="59">
        <v>4</v>
      </c>
      <c r="J41" s="61">
        <f t="shared" si="9"/>
        <v>8</v>
      </c>
      <c r="K41" s="60">
        <v>0.33400000000000002</v>
      </c>
      <c r="L41" s="54">
        <f t="shared" si="10"/>
        <v>2.6720000000000002</v>
      </c>
      <c r="M41" s="61">
        <f t="shared" si="11"/>
        <v>0</v>
      </c>
      <c r="N41" s="59">
        <f t="shared" si="12"/>
        <v>4</v>
      </c>
      <c r="O41" s="61">
        <v>0</v>
      </c>
      <c r="P41" s="65">
        <f t="shared" si="13"/>
        <v>0.33400000000000002</v>
      </c>
      <c r="Q41" s="61">
        <f t="shared" si="14"/>
        <v>0</v>
      </c>
      <c r="R41" s="54">
        <f t="shared" si="15"/>
        <v>2.6720000000000002</v>
      </c>
      <c r="S41" s="56">
        <v>53.15</v>
      </c>
      <c r="T41" s="56">
        <f t="shared" si="16"/>
        <v>142.01680000000002</v>
      </c>
      <c r="U41" s="36"/>
      <c r="V41" s="36"/>
      <c r="W41" s="40"/>
      <c r="X41" s="36"/>
    </row>
    <row r="42" spans="1:24" ht="19.5" customHeight="1">
      <c r="A42" s="100"/>
      <c r="B42" s="100"/>
      <c r="C42" s="99" t="s">
        <v>95</v>
      </c>
      <c r="D42" s="99"/>
      <c r="E42" s="99"/>
      <c r="F42" s="51" t="s">
        <v>98</v>
      </c>
      <c r="G42" s="57">
        <f>G36</f>
        <v>2</v>
      </c>
      <c r="H42" s="57">
        <f>G42</f>
        <v>2</v>
      </c>
      <c r="I42" s="59">
        <v>1</v>
      </c>
      <c r="J42" s="61">
        <f t="shared" si="9"/>
        <v>2</v>
      </c>
      <c r="K42" s="60">
        <v>0.25</v>
      </c>
      <c r="L42" s="54">
        <f t="shared" si="10"/>
        <v>0.5</v>
      </c>
      <c r="M42" s="61">
        <f t="shared" si="11"/>
        <v>0</v>
      </c>
      <c r="N42" s="59">
        <f t="shared" si="12"/>
        <v>1</v>
      </c>
      <c r="O42" s="61">
        <f>+M42*N42</f>
        <v>0</v>
      </c>
      <c r="P42" s="65">
        <f t="shared" si="13"/>
        <v>0.25</v>
      </c>
      <c r="Q42" s="61">
        <f t="shared" si="14"/>
        <v>0</v>
      </c>
      <c r="R42" s="54">
        <f t="shared" si="15"/>
        <v>0.5</v>
      </c>
      <c r="S42" s="56">
        <v>53.15</v>
      </c>
      <c r="T42" s="56">
        <f t="shared" si="16"/>
        <v>26.574999999999999</v>
      </c>
      <c r="U42" s="36"/>
      <c r="V42" s="36"/>
      <c r="W42" s="40"/>
      <c r="X42" s="36"/>
    </row>
    <row r="43" spans="1:24" ht="23.25" customHeight="1">
      <c r="A43" s="100"/>
      <c r="B43" s="100"/>
      <c r="C43" s="99" t="s">
        <v>83</v>
      </c>
      <c r="D43" s="99"/>
      <c r="E43" s="99"/>
      <c r="F43" s="51" t="s">
        <v>67</v>
      </c>
      <c r="G43" s="57">
        <v>5</v>
      </c>
      <c r="H43" s="57">
        <f>G43</f>
        <v>5</v>
      </c>
      <c r="I43" s="59">
        <v>1</v>
      </c>
      <c r="J43" s="61">
        <f t="shared" si="9"/>
        <v>5</v>
      </c>
      <c r="K43" s="60">
        <v>8.3500000000000005E-2</v>
      </c>
      <c r="L43" s="54">
        <f t="shared" si="10"/>
        <v>0.41750000000000004</v>
      </c>
      <c r="M43" s="61">
        <f t="shared" si="11"/>
        <v>0</v>
      </c>
      <c r="N43" s="59">
        <f t="shared" si="12"/>
        <v>1</v>
      </c>
      <c r="O43" s="61">
        <v>0</v>
      </c>
      <c r="P43" s="65">
        <f t="shared" si="13"/>
        <v>8.3500000000000005E-2</v>
      </c>
      <c r="Q43" s="61">
        <f t="shared" si="14"/>
        <v>0</v>
      </c>
      <c r="R43" s="54">
        <f t="shared" si="15"/>
        <v>0.41750000000000004</v>
      </c>
      <c r="S43" s="56">
        <v>53.15</v>
      </c>
      <c r="T43" s="56">
        <f t="shared" si="16"/>
        <v>22.190125000000002</v>
      </c>
      <c r="U43" s="36"/>
      <c r="V43" s="36"/>
      <c r="W43" s="40"/>
      <c r="X43" s="36"/>
    </row>
    <row r="44" spans="1:24" ht="21.75" customHeight="1">
      <c r="A44" s="100"/>
      <c r="B44" s="100"/>
      <c r="C44" s="99" t="s">
        <v>84</v>
      </c>
      <c r="D44" s="99"/>
      <c r="E44" s="99"/>
      <c r="F44" s="51" t="s">
        <v>67</v>
      </c>
      <c r="G44" s="57">
        <f>G43</f>
        <v>5</v>
      </c>
      <c r="H44" s="57">
        <f>G44</f>
        <v>5</v>
      </c>
      <c r="I44" s="59">
        <v>1</v>
      </c>
      <c r="J44" s="61">
        <f t="shared" si="9"/>
        <v>5</v>
      </c>
      <c r="K44" s="60">
        <v>1.5</v>
      </c>
      <c r="L44" s="54">
        <f t="shared" si="10"/>
        <v>7.5</v>
      </c>
      <c r="M44" s="61">
        <f t="shared" si="11"/>
        <v>0</v>
      </c>
      <c r="N44" s="59">
        <f t="shared" si="12"/>
        <v>1</v>
      </c>
      <c r="O44" s="61">
        <v>0</v>
      </c>
      <c r="P44" s="65">
        <f t="shared" si="13"/>
        <v>1.5</v>
      </c>
      <c r="Q44" s="61">
        <f t="shared" si="14"/>
        <v>0</v>
      </c>
      <c r="R44" s="54">
        <f t="shared" si="15"/>
        <v>7.5</v>
      </c>
      <c r="S44" s="56">
        <v>53.15</v>
      </c>
      <c r="T44" s="56">
        <f t="shared" si="16"/>
        <v>398.625</v>
      </c>
      <c r="U44" s="36"/>
      <c r="V44" s="36"/>
      <c r="W44" s="40"/>
      <c r="X44" s="36"/>
    </row>
    <row r="45" spans="1:24" ht="19.5" customHeight="1">
      <c r="A45" s="100"/>
      <c r="B45" s="100"/>
      <c r="C45" s="99" t="s">
        <v>128</v>
      </c>
      <c r="D45" s="99"/>
      <c r="E45" s="99"/>
      <c r="F45" s="51" t="s">
        <v>71</v>
      </c>
      <c r="G45" s="57">
        <f>G43</f>
        <v>5</v>
      </c>
      <c r="H45" s="57">
        <f>G45</f>
        <v>5</v>
      </c>
      <c r="I45" s="59">
        <v>1</v>
      </c>
      <c r="J45" s="61">
        <f t="shared" si="9"/>
        <v>5</v>
      </c>
      <c r="K45" s="60">
        <v>1.67E-2</v>
      </c>
      <c r="L45" s="54">
        <f t="shared" si="10"/>
        <v>8.3499999999999991E-2</v>
      </c>
      <c r="M45" s="61">
        <f t="shared" si="11"/>
        <v>0</v>
      </c>
      <c r="N45" s="59">
        <f t="shared" si="12"/>
        <v>1</v>
      </c>
      <c r="O45" s="61">
        <v>0</v>
      </c>
      <c r="P45" s="65">
        <f t="shared" si="13"/>
        <v>1.67E-2</v>
      </c>
      <c r="Q45" s="61">
        <f t="shared" si="14"/>
        <v>0</v>
      </c>
      <c r="R45" s="54">
        <f t="shared" si="15"/>
        <v>8.3499999999999991E-2</v>
      </c>
      <c r="S45" s="56">
        <v>53.15</v>
      </c>
      <c r="T45" s="56">
        <f t="shared" si="16"/>
        <v>4.4380249999999997</v>
      </c>
      <c r="U45" s="36"/>
      <c r="V45" s="36"/>
      <c r="W45" s="40"/>
      <c r="X45" s="36"/>
    </row>
    <row r="46" spans="1:24" ht="19.5" customHeight="1">
      <c r="A46" s="100"/>
      <c r="B46" s="100"/>
      <c r="C46" s="99" t="s">
        <v>85</v>
      </c>
      <c r="D46" s="99"/>
      <c r="E46" s="99"/>
      <c r="F46" s="51" t="s">
        <v>72</v>
      </c>
      <c r="G46" s="57">
        <f>G45</f>
        <v>5</v>
      </c>
      <c r="H46" s="57">
        <f>G46</f>
        <v>5</v>
      </c>
      <c r="I46" s="59">
        <v>4</v>
      </c>
      <c r="J46" s="61">
        <f t="shared" si="9"/>
        <v>20</v>
      </c>
      <c r="K46" s="60">
        <f>(K7)</f>
        <v>1.67E-2</v>
      </c>
      <c r="L46" s="54">
        <f t="shared" si="10"/>
        <v>0.33399999999999996</v>
      </c>
      <c r="M46" s="61">
        <f t="shared" si="11"/>
        <v>0</v>
      </c>
      <c r="N46" s="59">
        <f t="shared" si="12"/>
        <v>4</v>
      </c>
      <c r="O46" s="61">
        <v>0</v>
      </c>
      <c r="P46" s="65">
        <f t="shared" si="13"/>
        <v>1.67E-2</v>
      </c>
      <c r="Q46" s="61">
        <f t="shared" si="14"/>
        <v>0</v>
      </c>
      <c r="R46" s="54">
        <f t="shared" si="15"/>
        <v>0.33399999999999996</v>
      </c>
      <c r="S46" s="56">
        <v>53.15</v>
      </c>
      <c r="T46" s="56">
        <f t="shared" si="16"/>
        <v>17.752099999999999</v>
      </c>
      <c r="U46" s="36"/>
      <c r="V46" s="36"/>
      <c r="W46" s="40"/>
      <c r="X46" s="36"/>
    </row>
    <row r="47" spans="1:24" ht="19.5" customHeight="1">
      <c r="A47" s="100"/>
      <c r="B47" s="100"/>
      <c r="C47" s="99" t="s">
        <v>86</v>
      </c>
      <c r="D47" s="99"/>
      <c r="E47" s="99"/>
      <c r="F47" s="51" t="s">
        <v>73</v>
      </c>
      <c r="G47" s="57">
        <f>(G46)</f>
        <v>5</v>
      </c>
      <c r="H47" s="57">
        <f>(H46)</f>
        <v>5</v>
      </c>
      <c r="I47" s="59">
        <v>1</v>
      </c>
      <c r="J47" s="61">
        <f t="shared" si="9"/>
        <v>5</v>
      </c>
      <c r="K47" s="60">
        <f>(K7)</f>
        <v>1.67E-2</v>
      </c>
      <c r="L47" s="54">
        <f t="shared" si="10"/>
        <v>8.3499999999999991E-2</v>
      </c>
      <c r="M47" s="61">
        <f t="shared" si="11"/>
        <v>0</v>
      </c>
      <c r="N47" s="59">
        <f t="shared" si="12"/>
        <v>1</v>
      </c>
      <c r="O47" s="61">
        <v>0</v>
      </c>
      <c r="P47" s="65">
        <f t="shared" si="13"/>
        <v>1.67E-2</v>
      </c>
      <c r="Q47" s="61">
        <f t="shared" si="14"/>
        <v>0</v>
      </c>
      <c r="R47" s="54">
        <f t="shared" si="15"/>
        <v>8.3499999999999991E-2</v>
      </c>
      <c r="S47" s="56">
        <v>53.15</v>
      </c>
      <c r="T47" s="56">
        <f t="shared" si="16"/>
        <v>4.4380249999999997</v>
      </c>
      <c r="U47" s="36"/>
      <c r="V47" s="36"/>
      <c r="W47" s="40"/>
      <c r="X47" s="36"/>
    </row>
    <row r="48" spans="1:24" ht="19.5" customHeight="1">
      <c r="A48" s="100"/>
      <c r="B48" s="100"/>
      <c r="C48" s="99" t="s">
        <v>87</v>
      </c>
      <c r="D48" s="99"/>
      <c r="E48" s="99"/>
      <c r="F48" s="51" t="s">
        <v>97</v>
      </c>
      <c r="G48" s="57">
        <v>5</v>
      </c>
      <c r="H48" s="57">
        <v>5</v>
      </c>
      <c r="I48" s="59">
        <v>4</v>
      </c>
      <c r="J48" s="61">
        <f t="shared" si="9"/>
        <v>20</v>
      </c>
      <c r="K48" s="60">
        <v>0.33400000000000002</v>
      </c>
      <c r="L48" s="54">
        <f t="shared" si="10"/>
        <v>6.6800000000000006</v>
      </c>
      <c r="M48" s="61">
        <f t="shared" si="11"/>
        <v>0</v>
      </c>
      <c r="N48" s="59">
        <f t="shared" si="12"/>
        <v>4</v>
      </c>
      <c r="O48" s="61">
        <v>0</v>
      </c>
      <c r="P48" s="65">
        <f t="shared" si="13"/>
        <v>0.33400000000000002</v>
      </c>
      <c r="Q48" s="61">
        <f t="shared" si="14"/>
        <v>0</v>
      </c>
      <c r="R48" s="54">
        <f t="shared" si="15"/>
        <v>6.6800000000000006</v>
      </c>
      <c r="S48" s="56">
        <v>53.15</v>
      </c>
      <c r="T48" s="56">
        <f t="shared" si="16"/>
        <v>355.04200000000003</v>
      </c>
      <c r="U48" s="36"/>
      <c r="V48" s="36"/>
      <c r="W48" s="40"/>
      <c r="X48" s="36"/>
    </row>
    <row r="49" spans="1:24" ht="19.5" customHeight="1">
      <c r="A49" s="100"/>
      <c r="B49" s="100"/>
      <c r="C49" s="99" t="s">
        <v>82</v>
      </c>
      <c r="D49" s="99"/>
      <c r="E49" s="99"/>
      <c r="F49" s="51" t="s">
        <v>98</v>
      </c>
      <c r="G49" s="57">
        <f>G43</f>
        <v>5</v>
      </c>
      <c r="H49" s="57">
        <f>G49</f>
        <v>5</v>
      </c>
      <c r="I49" s="59">
        <v>1</v>
      </c>
      <c r="J49" s="61">
        <f t="shared" si="9"/>
        <v>5</v>
      </c>
      <c r="K49" s="60">
        <v>0.25</v>
      </c>
      <c r="L49" s="54">
        <f t="shared" si="10"/>
        <v>1.25</v>
      </c>
      <c r="M49" s="61">
        <f t="shared" si="11"/>
        <v>0</v>
      </c>
      <c r="N49" s="59">
        <f t="shared" si="12"/>
        <v>1</v>
      </c>
      <c r="O49" s="61">
        <f>+M49*N49</f>
        <v>0</v>
      </c>
      <c r="P49" s="65">
        <f t="shared" si="13"/>
        <v>0.25</v>
      </c>
      <c r="Q49" s="61">
        <f t="shared" si="14"/>
        <v>0</v>
      </c>
      <c r="R49" s="54">
        <f t="shared" si="15"/>
        <v>1.25</v>
      </c>
      <c r="S49" s="56">
        <v>53.15</v>
      </c>
      <c r="T49" s="56">
        <f t="shared" si="16"/>
        <v>66.4375</v>
      </c>
      <c r="U49" s="36"/>
      <c r="V49" s="36"/>
      <c r="W49" s="40"/>
      <c r="X49" s="36"/>
    </row>
    <row r="50" spans="1:24" ht="24" customHeight="1">
      <c r="A50" s="100"/>
      <c r="B50" s="100"/>
      <c r="C50" s="99" t="s">
        <v>88</v>
      </c>
      <c r="D50" s="99"/>
      <c r="E50" s="99"/>
      <c r="F50" s="51" t="s">
        <v>72</v>
      </c>
      <c r="G50" s="57">
        <f>G49</f>
        <v>5</v>
      </c>
      <c r="H50" s="57">
        <f>G50</f>
        <v>5</v>
      </c>
      <c r="I50" s="59">
        <v>4</v>
      </c>
      <c r="J50" s="61">
        <f t="shared" si="9"/>
        <v>20</v>
      </c>
      <c r="K50" s="60">
        <f>(K7)</f>
        <v>1.67E-2</v>
      </c>
      <c r="L50" s="54">
        <f t="shared" si="10"/>
        <v>0.33399999999999996</v>
      </c>
      <c r="M50" s="61">
        <f t="shared" si="11"/>
        <v>0</v>
      </c>
      <c r="N50" s="59">
        <f t="shared" si="12"/>
        <v>4</v>
      </c>
      <c r="O50" s="61">
        <v>0</v>
      </c>
      <c r="P50" s="65">
        <f t="shared" si="13"/>
        <v>1.67E-2</v>
      </c>
      <c r="Q50" s="61">
        <f t="shared" si="14"/>
        <v>0</v>
      </c>
      <c r="R50" s="54">
        <f t="shared" si="15"/>
        <v>0.33399999999999996</v>
      </c>
      <c r="S50" s="56">
        <v>53.15</v>
      </c>
      <c r="T50" s="56">
        <f t="shared" si="16"/>
        <v>17.752099999999999</v>
      </c>
      <c r="U50" s="36"/>
      <c r="V50" s="36"/>
      <c r="W50" s="40"/>
      <c r="X50" s="36"/>
    </row>
    <row r="51" spans="1:24" ht="21.75" customHeight="1">
      <c r="A51" s="100"/>
      <c r="B51" s="100"/>
      <c r="C51" s="99" t="s">
        <v>89</v>
      </c>
      <c r="D51" s="99"/>
      <c r="E51" s="99"/>
      <c r="F51" s="51" t="s">
        <v>73</v>
      </c>
      <c r="G51" s="57">
        <f>(G50)</f>
        <v>5</v>
      </c>
      <c r="H51" s="57">
        <f>(H50)</f>
        <v>5</v>
      </c>
      <c r="I51" s="59">
        <v>1</v>
      </c>
      <c r="J51" s="61">
        <f t="shared" si="9"/>
        <v>5</v>
      </c>
      <c r="K51" s="60">
        <f>(K7)</f>
        <v>1.67E-2</v>
      </c>
      <c r="L51" s="54">
        <f t="shared" si="10"/>
        <v>8.3499999999999991E-2</v>
      </c>
      <c r="M51" s="61">
        <f t="shared" si="11"/>
        <v>0</v>
      </c>
      <c r="N51" s="59">
        <f t="shared" si="12"/>
        <v>1</v>
      </c>
      <c r="O51" s="61">
        <v>0</v>
      </c>
      <c r="P51" s="65">
        <f t="shared" si="13"/>
        <v>1.67E-2</v>
      </c>
      <c r="Q51" s="61">
        <f t="shared" si="14"/>
        <v>0</v>
      </c>
      <c r="R51" s="54">
        <f t="shared" si="15"/>
        <v>8.3499999999999991E-2</v>
      </c>
      <c r="S51" s="56">
        <v>53.15</v>
      </c>
      <c r="T51" s="56">
        <f t="shared" si="16"/>
        <v>4.4380249999999997</v>
      </c>
      <c r="U51" s="36"/>
      <c r="V51" s="36"/>
      <c r="W51" s="40"/>
      <c r="X51" s="36"/>
    </row>
    <row r="52" spans="1:24" ht="19.5" customHeight="1">
      <c r="A52" s="100"/>
      <c r="B52" s="100"/>
      <c r="C52" s="99" t="s">
        <v>90</v>
      </c>
      <c r="D52" s="99"/>
      <c r="E52" s="99"/>
      <c r="F52" s="51" t="s">
        <v>97</v>
      </c>
      <c r="G52" s="57">
        <v>5</v>
      </c>
      <c r="H52" s="57">
        <v>5</v>
      </c>
      <c r="I52" s="59">
        <v>4</v>
      </c>
      <c r="J52" s="61">
        <f t="shared" si="9"/>
        <v>20</v>
      </c>
      <c r="K52" s="60">
        <v>0.33400000000000002</v>
      </c>
      <c r="L52" s="54">
        <f>(J52*K52)</f>
        <v>6.6800000000000006</v>
      </c>
      <c r="M52" s="61">
        <f>(G52-H52)</f>
        <v>0</v>
      </c>
      <c r="N52" s="59">
        <f>(I52)</f>
        <v>4</v>
      </c>
      <c r="O52" s="61">
        <v>0</v>
      </c>
      <c r="P52" s="65">
        <f>(K52)</f>
        <v>0.33400000000000002</v>
      </c>
      <c r="Q52" s="61">
        <f>(P52*O52)</f>
        <v>0</v>
      </c>
      <c r="R52" s="54">
        <f>(L52+Q52)</f>
        <v>6.6800000000000006</v>
      </c>
      <c r="S52" s="56">
        <v>53.15</v>
      </c>
      <c r="T52" s="56">
        <f>(R52*S52)</f>
        <v>355.04200000000003</v>
      </c>
      <c r="U52" s="36"/>
      <c r="V52" s="36"/>
      <c r="W52" s="44"/>
      <c r="X52" s="36"/>
    </row>
    <row r="53" spans="1:24" ht="19.5" customHeight="1">
      <c r="A53" s="100"/>
      <c r="B53" s="100"/>
      <c r="C53" s="99" t="s">
        <v>99</v>
      </c>
      <c r="D53" s="99"/>
      <c r="E53" s="99"/>
      <c r="F53" s="51" t="s">
        <v>98</v>
      </c>
      <c r="G53" s="57">
        <f>(G52)</f>
        <v>5</v>
      </c>
      <c r="H53" s="57">
        <f>(H52)</f>
        <v>5</v>
      </c>
      <c r="I53" s="59">
        <v>1</v>
      </c>
      <c r="J53" s="61">
        <f t="shared" si="9"/>
        <v>5</v>
      </c>
      <c r="K53" s="60">
        <f>(K42)</f>
        <v>0.25</v>
      </c>
      <c r="L53" s="54">
        <f>(J53*K53)</f>
        <v>1.25</v>
      </c>
      <c r="M53" s="61">
        <f>(G53-H53)</f>
        <v>0</v>
      </c>
      <c r="N53" s="59">
        <f>(I53)</f>
        <v>1</v>
      </c>
      <c r="O53" s="61">
        <v>0</v>
      </c>
      <c r="P53" s="65">
        <f>(K53)</f>
        <v>0.25</v>
      </c>
      <c r="Q53" s="61">
        <f>(P53*O53)</f>
        <v>0</v>
      </c>
      <c r="R53" s="54">
        <f>(L53+Q53)</f>
        <v>1.25</v>
      </c>
      <c r="S53" s="56">
        <v>53.15</v>
      </c>
      <c r="T53" s="56">
        <f>(R53*S53)</f>
        <v>66.4375</v>
      </c>
      <c r="U53" s="36"/>
      <c r="V53" s="36"/>
      <c r="W53" s="40"/>
      <c r="X53" s="36"/>
    </row>
    <row r="54" spans="1:24" ht="22.5" customHeight="1">
      <c r="A54" s="100"/>
      <c r="B54" s="100"/>
      <c r="C54" s="104" t="s">
        <v>115</v>
      </c>
      <c r="D54" s="104"/>
      <c r="E54" s="104"/>
      <c r="F54" s="66" t="s">
        <v>166</v>
      </c>
      <c r="G54" s="64">
        <v>5</v>
      </c>
      <c r="H54" s="57">
        <f>(H53)</f>
        <v>5</v>
      </c>
      <c r="I54" s="59">
        <v>1</v>
      </c>
      <c r="J54" s="61">
        <f t="shared" si="9"/>
        <v>5</v>
      </c>
      <c r="K54" s="60">
        <v>5.0099999999999999E-2</v>
      </c>
      <c r="L54" s="54">
        <f>(J54*K54)</f>
        <v>0.2505</v>
      </c>
      <c r="M54" s="61">
        <f>(G54-H54)</f>
        <v>0</v>
      </c>
      <c r="N54" s="59">
        <f>(I54)</f>
        <v>1</v>
      </c>
      <c r="O54" s="61">
        <v>0</v>
      </c>
      <c r="P54" s="65">
        <f>(K54)</f>
        <v>5.0099999999999999E-2</v>
      </c>
      <c r="Q54" s="61">
        <f>(P54*O54)</f>
        <v>0</v>
      </c>
      <c r="R54" s="54">
        <f>(L54+Q54)</f>
        <v>0.2505</v>
      </c>
      <c r="S54" s="56">
        <v>53.15</v>
      </c>
      <c r="T54" s="56">
        <f>(R54*S54)</f>
        <v>13.314074999999999</v>
      </c>
      <c r="U54" s="36"/>
      <c r="V54" s="36"/>
      <c r="W54" s="42"/>
      <c r="X54" s="36"/>
    </row>
    <row r="55" spans="1:24" ht="21.75" customHeight="1">
      <c r="A55" s="102" t="s">
        <v>60</v>
      </c>
      <c r="B55" s="102"/>
      <c r="C55" s="114"/>
      <c r="D55" s="114"/>
      <c r="E55" s="114"/>
      <c r="F55" s="70"/>
      <c r="G55" s="71">
        <f>G33+G34</f>
        <v>56</v>
      </c>
      <c r="H55" s="89">
        <f>H33+H34</f>
        <v>56</v>
      </c>
      <c r="I55" s="95">
        <f>SUM(J55/H55)</f>
        <v>3.6964285714285716</v>
      </c>
      <c r="J55" s="96">
        <f>SUM(J33:J54)</f>
        <v>207</v>
      </c>
      <c r="K55" s="90"/>
      <c r="L55" s="97">
        <f>SUM(L33:L54)</f>
        <v>38.011400000000002</v>
      </c>
      <c r="M55" s="98">
        <f>G55-H55</f>
        <v>0</v>
      </c>
      <c r="N55" s="88">
        <v>0</v>
      </c>
      <c r="O55" s="98">
        <f>SUM(O33:O54)</f>
        <v>0</v>
      </c>
      <c r="P55" s="92"/>
      <c r="Q55" s="98">
        <f>SUM(Q33:Q54)</f>
        <v>0</v>
      </c>
      <c r="R55" s="94">
        <f>SUM(L55+Q55)</f>
        <v>38.011400000000002</v>
      </c>
      <c r="S55" s="73"/>
      <c r="T55" s="73">
        <f>SUM(T33:T54)</f>
        <v>2020.3059099999998</v>
      </c>
      <c r="U55" s="39"/>
      <c r="V55" s="36"/>
      <c r="W55" s="105"/>
      <c r="X55" s="36"/>
    </row>
    <row r="56" spans="1:24" ht="21" customHeight="1">
      <c r="A56" s="100" t="s">
        <v>39</v>
      </c>
      <c r="B56" s="100" t="s">
        <v>61</v>
      </c>
      <c r="C56" s="99" t="s">
        <v>74</v>
      </c>
      <c r="D56" s="99"/>
      <c r="E56" s="99"/>
      <c r="F56" s="51" t="s">
        <v>114</v>
      </c>
      <c r="G56" s="57">
        <v>4</v>
      </c>
      <c r="H56" s="57">
        <v>4</v>
      </c>
      <c r="I56" s="59">
        <v>1</v>
      </c>
      <c r="J56" s="61">
        <f t="shared" ref="J56:J77" si="17">(I56*H56)</f>
        <v>4</v>
      </c>
      <c r="K56" s="60">
        <v>0.25</v>
      </c>
      <c r="L56" s="54">
        <f t="shared" ref="L56:L65" si="18">(J56*K56)</f>
        <v>1</v>
      </c>
      <c r="M56" s="61">
        <f t="shared" ref="M56:M65" si="19">(G56-H56)</f>
        <v>0</v>
      </c>
      <c r="N56" s="59">
        <f t="shared" ref="N56:N65" si="20">(I56)</f>
        <v>1</v>
      </c>
      <c r="O56" s="61">
        <v>0</v>
      </c>
      <c r="P56" s="65">
        <f t="shared" ref="P56:P65" si="21">(K56)</f>
        <v>0.25</v>
      </c>
      <c r="Q56" s="61">
        <f t="shared" ref="Q56:Q65" si="22">(P56*O56)</f>
        <v>0</v>
      </c>
      <c r="R56" s="54">
        <f t="shared" ref="R56:R65" si="23">(L56+Q56)</f>
        <v>1</v>
      </c>
      <c r="S56" s="56">
        <v>53.15</v>
      </c>
      <c r="T56" s="56">
        <f t="shared" ref="T56:T65" si="24">(R56*S56)</f>
        <v>53.15</v>
      </c>
      <c r="U56" s="34"/>
      <c r="V56" s="36"/>
      <c r="W56" s="105"/>
      <c r="X56" s="36"/>
    </row>
    <row r="57" spans="1:24" ht="21" customHeight="1">
      <c r="A57" s="100"/>
      <c r="B57" s="100"/>
      <c r="C57" s="99" t="s">
        <v>161</v>
      </c>
      <c r="D57" s="99"/>
      <c r="E57" s="99"/>
      <c r="F57" s="51" t="s">
        <v>66</v>
      </c>
      <c r="G57" s="57">
        <v>30</v>
      </c>
      <c r="H57" s="57">
        <v>30</v>
      </c>
      <c r="I57" s="59">
        <v>1</v>
      </c>
      <c r="J57" s="61">
        <f t="shared" si="17"/>
        <v>30</v>
      </c>
      <c r="K57" s="60">
        <v>5.0099999999999999E-2</v>
      </c>
      <c r="L57" s="54">
        <f t="shared" si="18"/>
        <v>1.5029999999999999</v>
      </c>
      <c r="M57" s="61">
        <f t="shared" si="19"/>
        <v>0</v>
      </c>
      <c r="N57" s="59">
        <f t="shared" si="20"/>
        <v>1</v>
      </c>
      <c r="O57" s="61">
        <v>0</v>
      </c>
      <c r="P57" s="65">
        <f t="shared" si="21"/>
        <v>5.0099999999999999E-2</v>
      </c>
      <c r="Q57" s="61">
        <f t="shared" si="22"/>
        <v>0</v>
      </c>
      <c r="R57" s="54">
        <f t="shared" si="23"/>
        <v>1.5029999999999999</v>
      </c>
      <c r="S57" s="56">
        <f>(S56)</f>
        <v>53.15</v>
      </c>
      <c r="T57" s="56">
        <f t="shared" si="24"/>
        <v>79.884449999999987</v>
      </c>
      <c r="U57" s="47"/>
      <c r="V57" s="36"/>
      <c r="W57" s="105"/>
      <c r="X57" s="36"/>
    </row>
    <row r="58" spans="1:24" ht="21" customHeight="1">
      <c r="A58" s="100"/>
      <c r="B58" s="100"/>
      <c r="C58" s="99" t="s">
        <v>160</v>
      </c>
      <c r="D58" s="99"/>
      <c r="E58" s="99"/>
      <c r="F58" s="51" t="s">
        <v>66</v>
      </c>
      <c r="G58" s="57">
        <v>30</v>
      </c>
      <c r="H58" s="57">
        <v>30</v>
      </c>
      <c r="I58" s="59">
        <v>1</v>
      </c>
      <c r="J58" s="61">
        <f t="shared" si="17"/>
        <v>30</v>
      </c>
      <c r="K58" s="60">
        <v>1</v>
      </c>
      <c r="L58" s="54">
        <f t="shared" si="18"/>
        <v>30</v>
      </c>
      <c r="M58" s="61">
        <f t="shared" si="19"/>
        <v>0</v>
      </c>
      <c r="N58" s="59">
        <f t="shared" si="20"/>
        <v>1</v>
      </c>
      <c r="O58" s="61">
        <v>0</v>
      </c>
      <c r="P58" s="65">
        <f t="shared" si="21"/>
        <v>1</v>
      </c>
      <c r="Q58" s="61">
        <f t="shared" si="22"/>
        <v>0</v>
      </c>
      <c r="R58" s="54">
        <f t="shared" si="23"/>
        <v>30</v>
      </c>
      <c r="S58" s="56">
        <f>(S56)</f>
        <v>53.15</v>
      </c>
      <c r="T58" s="56">
        <f t="shared" si="24"/>
        <v>1594.5</v>
      </c>
      <c r="U58" s="47"/>
      <c r="V58" s="36"/>
      <c r="W58" s="105"/>
      <c r="X58" s="36"/>
    </row>
    <row r="59" spans="1:24" ht="21" customHeight="1">
      <c r="A59" s="100"/>
      <c r="B59" s="100"/>
      <c r="C59" s="99" t="s">
        <v>91</v>
      </c>
      <c r="D59" s="99"/>
      <c r="E59" s="99"/>
      <c r="F59" s="51" t="s">
        <v>67</v>
      </c>
      <c r="G59" s="57">
        <v>30</v>
      </c>
      <c r="H59" s="57">
        <f t="shared" ref="H59:H78" si="25">G59</f>
        <v>30</v>
      </c>
      <c r="I59" s="59">
        <v>1</v>
      </c>
      <c r="J59" s="61">
        <f t="shared" si="17"/>
        <v>30</v>
      </c>
      <c r="K59" s="60">
        <v>8.3500000000000005E-2</v>
      </c>
      <c r="L59" s="54">
        <f t="shared" si="18"/>
        <v>2.5050000000000003</v>
      </c>
      <c r="M59" s="61">
        <f t="shared" si="19"/>
        <v>0</v>
      </c>
      <c r="N59" s="59">
        <f t="shared" si="20"/>
        <v>1</v>
      </c>
      <c r="O59" s="61">
        <v>0</v>
      </c>
      <c r="P59" s="65">
        <f t="shared" si="21"/>
        <v>8.3500000000000005E-2</v>
      </c>
      <c r="Q59" s="61">
        <f t="shared" si="22"/>
        <v>0</v>
      </c>
      <c r="R59" s="54">
        <f t="shared" si="23"/>
        <v>2.5050000000000003</v>
      </c>
      <c r="S59" s="56">
        <v>53.15</v>
      </c>
      <c r="T59" s="56">
        <f t="shared" si="24"/>
        <v>133.14075000000003</v>
      </c>
      <c r="U59" s="34"/>
      <c r="V59" s="36"/>
      <c r="W59" s="105"/>
      <c r="X59" s="36"/>
    </row>
    <row r="60" spans="1:24" ht="21" customHeight="1">
      <c r="A60" s="100"/>
      <c r="B60" s="100"/>
      <c r="C60" s="99" t="s">
        <v>92</v>
      </c>
      <c r="D60" s="99"/>
      <c r="E60" s="99"/>
      <c r="F60" s="51" t="s">
        <v>67</v>
      </c>
      <c r="G60" s="57">
        <f>G59</f>
        <v>30</v>
      </c>
      <c r="H60" s="57">
        <f t="shared" si="25"/>
        <v>30</v>
      </c>
      <c r="I60" s="59">
        <v>1</v>
      </c>
      <c r="J60" s="61">
        <f t="shared" si="17"/>
        <v>30</v>
      </c>
      <c r="K60" s="60">
        <v>1.5</v>
      </c>
      <c r="L60" s="54">
        <f t="shared" si="18"/>
        <v>45</v>
      </c>
      <c r="M60" s="61">
        <f t="shared" si="19"/>
        <v>0</v>
      </c>
      <c r="N60" s="59">
        <f t="shared" si="20"/>
        <v>1</v>
      </c>
      <c r="O60" s="61">
        <v>0</v>
      </c>
      <c r="P60" s="65">
        <f t="shared" si="21"/>
        <v>1.5</v>
      </c>
      <c r="Q60" s="61">
        <f t="shared" si="22"/>
        <v>0</v>
      </c>
      <c r="R60" s="54">
        <f t="shared" si="23"/>
        <v>45</v>
      </c>
      <c r="S60" s="56">
        <v>53.15</v>
      </c>
      <c r="T60" s="56">
        <f t="shared" si="24"/>
        <v>2391.75</v>
      </c>
      <c r="U60" s="34"/>
      <c r="V60" s="36"/>
      <c r="W60" s="105"/>
      <c r="X60" s="36"/>
    </row>
    <row r="61" spans="1:24" ht="21" customHeight="1">
      <c r="A61" s="100"/>
      <c r="B61" s="100"/>
      <c r="C61" s="99" t="s">
        <v>127</v>
      </c>
      <c r="D61" s="99"/>
      <c r="E61" s="99"/>
      <c r="F61" s="51" t="s">
        <v>68</v>
      </c>
      <c r="G61" s="57">
        <f t="shared" ref="G61:G76" si="26">G60</f>
        <v>30</v>
      </c>
      <c r="H61" s="57">
        <f t="shared" si="25"/>
        <v>30</v>
      </c>
      <c r="I61" s="59">
        <v>1</v>
      </c>
      <c r="J61" s="61">
        <f t="shared" si="17"/>
        <v>30</v>
      </c>
      <c r="K61" s="60">
        <v>1.67E-2</v>
      </c>
      <c r="L61" s="54">
        <f t="shared" si="18"/>
        <v>0.501</v>
      </c>
      <c r="M61" s="61">
        <f t="shared" si="19"/>
        <v>0</v>
      </c>
      <c r="N61" s="59">
        <f t="shared" si="20"/>
        <v>1</v>
      </c>
      <c r="O61" s="61">
        <v>0</v>
      </c>
      <c r="P61" s="65">
        <f t="shared" si="21"/>
        <v>1.67E-2</v>
      </c>
      <c r="Q61" s="61">
        <f t="shared" si="22"/>
        <v>0</v>
      </c>
      <c r="R61" s="54">
        <f t="shared" si="23"/>
        <v>0.501</v>
      </c>
      <c r="S61" s="56">
        <v>53.15</v>
      </c>
      <c r="T61" s="56">
        <f t="shared" si="24"/>
        <v>26.628149999999998</v>
      </c>
      <c r="U61" s="34"/>
      <c r="V61" s="36"/>
      <c r="W61" s="105"/>
      <c r="X61" s="36"/>
    </row>
    <row r="62" spans="1:24" ht="21" customHeight="1">
      <c r="A62" s="100"/>
      <c r="B62" s="100"/>
      <c r="C62" s="99" t="s">
        <v>93</v>
      </c>
      <c r="D62" s="99"/>
      <c r="E62" s="99"/>
      <c r="F62" s="51" t="s">
        <v>72</v>
      </c>
      <c r="G62" s="57">
        <f t="shared" si="26"/>
        <v>30</v>
      </c>
      <c r="H62" s="57">
        <f t="shared" si="25"/>
        <v>30</v>
      </c>
      <c r="I62" s="59">
        <v>4</v>
      </c>
      <c r="J62" s="61">
        <f t="shared" si="17"/>
        <v>120</v>
      </c>
      <c r="K62" s="60">
        <f>(K7)</f>
        <v>1.67E-2</v>
      </c>
      <c r="L62" s="54">
        <f t="shared" si="18"/>
        <v>2.004</v>
      </c>
      <c r="M62" s="61">
        <f t="shared" si="19"/>
        <v>0</v>
      </c>
      <c r="N62" s="59">
        <f t="shared" si="20"/>
        <v>4</v>
      </c>
      <c r="O62" s="61">
        <v>0</v>
      </c>
      <c r="P62" s="65">
        <f t="shared" si="21"/>
        <v>1.67E-2</v>
      </c>
      <c r="Q62" s="61">
        <f t="shared" si="22"/>
        <v>0</v>
      </c>
      <c r="R62" s="54">
        <f t="shared" si="23"/>
        <v>2.004</v>
      </c>
      <c r="S62" s="56">
        <v>53.15</v>
      </c>
      <c r="T62" s="56">
        <f t="shared" si="24"/>
        <v>106.51259999999999</v>
      </c>
      <c r="U62" s="34"/>
      <c r="V62" s="36"/>
      <c r="W62" s="105"/>
      <c r="X62" s="36"/>
    </row>
    <row r="63" spans="1:24" ht="21" customHeight="1">
      <c r="A63" s="100"/>
      <c r="B63" s="100"/>
      <c r="C63" s="99" t="s">
        <v>94</v>
      </c>
      <c r="D63" s="99"/>
      <c r="E63" s="99"/>
      <c r="F63" s="51" t="s">
        <v>73</v>
      </c>
      <c r="G63" s="57">
        <f t="shared" si="26"/>
        <v>30</v>
      </c>
      <c r="H63" s="57">
        <f t="shared" si="25"/>
        <v>30</v>
      </c>
      <c r="I63" s="59">
        <v>1</v>
      </c>
      <c r="J63" s="61">
        <f t="shared" si="17"/>
        <v>30</v>
      </c>
      <c r="K63" s="60">
        <f>(K7)</f>
        <v>1.67E-2</v>
      </c>
      <c r="L63" s="54">
        <f t="shared" si="18"/>
        <v>0.501</v>
      </c>
      <c r="M63" s="61">
        <f t="shared" si="19"/>
        <v>0</v>
      </c>
      <c r="N63" s="59">
        <f t="shared" si="20"/>
        <v>1</v>
      </c>
      <c r="O63" s="61">
        <v>0</v>
      </c>
      <c r="P63" s="65">
        <f t="shared" si="21"/>
        <v>1.67E-2</v>
      </c>
      <c r="Q63" s="61">
        <f t="shared" si="22"/>
        <v>0</v>
      </c>
      <c r="R63" s="54">
        <f t="shared" si="23"/>
        <v>0.501</v>
      </c>
      <c r="S63" s="56">
        <v>53.15</v>
      </c>
      <c r="T63" s="56">
        <f t="shared" si="24"/>
        <v>26.628149999999998</v>
      </c>
      <c r="U63" s="34"/>
      <c r="V63" s="36"/>
      <c r="W63" s="105"/>
      <c r="X63" s="36"/>
    </row>
    <row r="64" spans="1:24" ht="21" customHeight="1">
      <c r="A64" s="100"/>
      <c r="B64" s="100"/>
      <c r="C64" s="99" t="s">
        <v>116</v>
      </c>
      <c r="D64" s="99"/>
      <c r="E64" s="99"/>
      <c r="F64" s="51" t="s">
        <v>97</v>
      </c>
      <c r="G64" s="57">
        <f t="shared" si="26"/>
        <v>30</v>
      </c>
      <c r="H64" s="57">
        <f t="shared" si="25"/>
        <v>30</v>
      </c>
      <c r="I64" s="59">
        <v>4</v>
      </c>
      <c r="J64" s="61">
        <f t="shared" si="17"/>
        <v>120</v>
      </c>
      <c r="K64" s="60">
        <v>0.33400000000000002</v>
      </c>
      <c r="L64" s="54">
        <f t="shared" si="18"/>
        <v>40.080000000000005</v>
      </c>
      <c r="M64" s="61">
        <f t="shared" si="19"/>
        <v>0</v>
      </c>
      <c r="N64" s="59">
        <f t="shared" si="20"/>
        <v>4</v>
      </c>
      <c r="O64" s="61">
        <v>0</v>
      </c>
      <c r="P64" s="65">
        <f t="shared" si="21"/>
        <v>0.33400000000000002</v>
      </c>
      <c r="Q64" s="61">
        <f t="shared" si="22"/>
        <v>0</v>
      </c>
      <c r="R64" s="54">
        <f t="shared" si="23"/>
        <v>40.080000000000005</v>
      </c>
      <c r="S64" s="56">
        <v>53.15</v>
      </c>
      <c r="T64" s="56">
        <f t="shared" si="24"/>
        <v>2130.2520000000004</v>
      </c>
      <c r="U64" s="34"/>
      <c r="V64" s="36"/>
      <c r="W64" s="105"/>
      <c r="X64" s="36"/>
    </row>
    <row r="65" spans="1:24" ht="21" customHeight="1">
      <c r="A65" s="100"/>
      <c r="B65" s="100"/>
      <c r="C65" s="99" t="s">
        <v>95</v>
      </c>
      <c r="D65" s="99"/>
      <c r="E65" s="99"/>
      <c r="F65" s="51" t="s">
        <v>98</v>
      </c>
      <c r="G65" s="57">
        <f t="shared" si="26"/>
        <v>30</v>
      </c>
      <c r="H65" s="57">
        <f t="shared" si="25"/>
        <v>30</v>
      </c>
      <c r="I65" s="59">
        <v>1</v>
      </c>
      <c r="J65" s="61">
        <f t="shared" si="17"/>
        <v>30</v>
      </c>
      <c r="K65" s="60">
        <v>0.25</v>
      </c>
      <c r="L65" s="54">
        <f t="shared" si="18"/>
        <v>7.5</v>
      </c>
      <c r="M65" s="61">
        <f t="shared" si="19"/>
        <v>0</v>
      </c>
      <c r="N65" s="59">
        <f t="shared" si="20"/>
        <v>1</v>
      </c>
      <c r="O65" s="61">
        <f>+M65*N65</f>
        <v>0</v>
      </c>
      <c r="P65" s="65">
        <f t="shared" si="21"/>
        <v>0.25</v>
      </c>
      <c r="Q65" s="61">
        <f t="shared" si="22"/>
        <v>0</v>
      </c>
      <c r="R65" s="54">
        <f t="shared" si="23"/>
        <v>7.5</v>
      </c>
      <c r="S65" s="56">
        <v>53.15</v>
      </c>
      <c r="T65" s="56">
        <f t="shared" si="24"/>
        <v>398.625</v>
      </c>
      <c r="U65" s="34"/>
      <c r="V65" s="36"/>
      <c r="W65" s="105"/>
      <c r="X65" s="36"/>
    </row>
    <row r="66" spans="1:24" ht="21" customHeight="1">
      <c r="A66" s="100"/>
      <c r="B66" s="100"/>
      <c r="C66" s="99" t="s">
        <v>83</v>
      </c>
      <c r="D66" s="99"/>
      <c r="E66" s="99"/>
      <c r="F66" s="51" t="s">
        <v>67</v>
      </c>
      <c r="G66" s="57">
        <f t="shared" si="26"/>
        <v>30</v>
      </c>
      <c r="H66" s="57">
        <f t="shared" si="25"/>
        <v>30</v>
      </c>
      <c r="I66" s="59">
        <v>1</v>
      </c>
      <c r="J66" s="61">
        <f t="shared" si="17"/>
        <v>30</v>
      </c>
      <c r="K66" s="60">
        <v>8.3500000000000005E-2</v>
      </c>
      <c r="L66" s="54">
        <f t="shared" ref="L66:L72" si="27">(J66*K66)</f>
        <v>2.5050000000000003</v>
      </c>
      <c r="M66" s="61">
        <f t="shared" ref="M66:M72" si="28">(G66-H66)</f>
        <v>0</v>
      </c>
      <c r="N66" s="59">
        <f t="shared" ref="N66:N72" si="29">(I66)</f>
        <v>1</v>
      </c>
      <c r="O66" s="61">
        <v>0</v>
      </c>
      <c r="P66" s="65">
        <f t="shared" ref="P66:P72" si="30">(K66)</f>
        <v>8.3500000000000005E-2</v>
      </c>
      <c r="Q66" s="61">
        <f t="shared" ref="Q66:Q72" si="31">(P66*O66)</f>
        <v>0</v>
      </c>
      <c r="R66" s="54">
        <f t="shared" ref="R66:R72" si="32">(L66+Q66)</f>
        <v>2.5050000000000003</v>
      </c>
      <c r="S66" s="56">
        <v>53.15</v>
      </c>
      <c r="T66" s="56">
        <f t="shared" ref="T66:T72" si="33">(R66*S66)</f>
        <v>133.14075000000003</v>
      </c>
      <c r="U66" s="38"/>
      <c r="V66" s="36"/>
      <c r="W66" s="105"/>
      <c r="X66" s="36"/>
    </row>
    <row r="67" spans="1:24" ht="21" customHeight="1">
      <c r="A67" s="100"/>
      <c r="B67" s="100"/>
      <c r="C67" s="99" t="s">
        <v>84</v>
      </c>
      <c r="D67" s="99"/>
      <c r="E67" s="99"/>
      <c r="F67" s="51" t="s">
        <v>67</v>
      </c>
      <c r="G67" s="57">
        <f t="shared" si="26"/>
        <v>30</v>
      </c>
      <c r="H67" s="57">
        <f t="shared" si="25"/>
        <v>30</v>
      </c>
      <c r="I67" s="59">
        <v>1</v>
      </c>
      <c r="J67" s="61">
        <f t="shared" si="17"/>
        <v>30</v>
      </c>
      <c r="K67" s="60">
        <v>1.5</v>
      </c>
      <c r="L67" s="54">
        <f t="shared" si="27"/>
        <v>45</v>
      </c>
      <c r="M67" s="61">
        <f t="shared" si="28"/>
        <v>0</v>
      </c>
      <c r="N67" s="59">
        <f t="shared" si="29"/>
        <v>1</v>
      </c>
      <c r="O67" s="61">
        <v>0</v>
      </c>
      <c r="P67" s="65">
        <f t="shared" si="30"/>
        <v>1.5</v>
      </c>
      <c r="Q67" s="61">
        <f t="shared" si="31"/>
        <v>0</v>
      </c>
      <c r="R67" s="54">
        <f t="shared" si="32"/>
        <v>45</v>
      </c>
      <c r="S67" s="56">
        <v>53.15</v>
      </c>
      <c r="T67" s="56">
        <f t="shared" si="33"/>
        <v>2391.75</v>
      </c>
      <c r="U67" s="38"/>
      <c r="V67" s="36"/>
      <c r="W67" s="105"/>
      <c r="X67" s="36"/>
    </row>
    <row r="68" spans="1:24" ht="21" customHeight="1">
      <c r="A68" s="100"/>
      <c r="B68" s="100"/>
      <c r="C68" s="99" t="s">
        <v>128</v>
      </c>
      <c r="D68" s="99"/>
      <c r="E68" s="99"/>
      <c r="F68" s="51" t="s">
        <v>71</v>
      </c>
      <c r="G68" s="57">
        <f t="shared" si="26"/>
        <v>30</v>
      </c>
      <c r="H68" s="57">
        <f t="shared" si="25"/>
        <v>30</v>
      </c>
      <c r="I68" s="59">
        <v>1</v>
      </c>
      <c r="J68" s="61">
        <f t="shared" si="17"/>
        <v>30</v>
      </c>
      <c r="K68" s="60">
        <v>1.67E-2</v>
      </c>
      <c r="L68" s="54">
        <f t="shared" si="27"/>
        <v>0.501</v>
      </c>
      <c r="M68" s="61">
        <f t="shared" si="28"/>
        <v>0</v>
      </c>
      <c r="N68" s="59">
        <f t="shared" si="29"/>
        <v>1</v>
      </c>
      <c r="O68" s="61">
        <v>0</v>
      </c>
      <c r="P68" s="65">
        <f t="shared" si="30"/>
        <v>1.67E-2</v>
      </c>
      <c r="Q68" s="61">
        <f t="shared" si="31"/>
        <v>0</v>
      </c>
      <c r="R68" s="54">
        <f t="shared" si="32"/>
        <v>0.501</v>
      </c>
      <c r="S68" s="56">
        <v>53.15</v>
      </c>
      <c r="T68" s="56">
        <f t="shared" si="33"/>
        <v>26.628149999999998</v>
      </c>
      <c r="U68" s="38"/>
      <c r="V68" s="36"/>
      <c r="W68" s="105"/>
      <c r="X68" s="36"/>
    </row>
    <row r="69" spans="1:24" ht="21" customHeight="1">
      <c r="A69" s="100"/>
      <c r="B69" s="100"/>
      <c r="C69" s="99" t="s">
        <v>85</v>
      </c>
      <c r="D69" s="99"/>
      <c r="E69" s="99"/>
      <c r="F69" s="51" t="s">
        <v>72</v>
      </c>
      <c r="G69" s="57">
        <f t="shared" si="26"/>
        <v>30</v>
      </c>
      <c r="H69" s="57">
        <f t="shared" si="25"/>
        <v>30</v>
      </c>
      <c r="I69" s="59">
        <v>4</v>
      </c>
      <c r="J69" s="61">
        <f t="shared" si="17"/>
        <v>120</v>
      </c>
      <c r="K69" s="60">
        <f>(K7)</f>
        <v>1.67E-2</v>
      </c>
      <c r="L69" s="54">
        <f t="shared" si="27"/>
        <v>2.004</v>
      </c>
      <c r="M69" s="61">
        <f t="shared" si="28"/>
        <v>0</v>
      </c>
      <c r="N69" s="59">
        <f t="shared" si="29"/>
        <v>4</v>
      </c>
      <c r="O69" s="61">
        <v>0</v>
      </c>
      <c r="P69" s="65">
        <f t="shared" si="30"/>
        <v>1.67E-2</v>
      </c>
      <c r="Q69" s="61">
        <f t="shared" si="31"/>
        <v>0</v>
      </c>
      <c r="R69" s="54">
        <f t="shared" si="32"/>
        <v>2.004</v>
      </c>
      <c r="S69" s="56">
        <v>53.15</v>
      </c>
      <c r="T69" s="56">
        <f t="shared" si="33"/>
        <v>106.51259999999999</v>
      </c>
      <c r="U69" s="38"/>
      <c r="V69" s="36"/>
      <c r="W69" s="105"/>
      <c r="X69" s="36"/>
    </row>
    <row r="70" spans="1:24" ht="21" customHeight="1">
      <c r="A70" s="100"/>
      <c r="B70" s="100"/>
      <c r="C70" s="99" t="s">
        <v>86</v>
      </c>
      <c r="D70" s="99"/>
      <c r="E70" s="99"/>
      <c r="F70" s="51" t="s">
        <v>73</v>
      </c>
      <c r="G70" s="57">
        <f t="shared" si="26"/>
        <v>30</v>
      </c>
      <c r="H70" s="57">
        <f t="shared" si="25"/>
        <v>30</v>
      </c>
      <c r="I70" s="59">
        <v>1</v>
      </c>
      <c r="J70" s="61">
        <f t="shared" si="17"/>
        <v>30</v>
      </c>
      <c r="K70" s="60">
        <f>(K7)</f>
        <v>1.67E-2</v>
      </c>
      <c r="L70" s="54">
        <f t="shared" si="27"/>
        <v>0.501</v>
      </c>
      <c r="M70" s="61">
        <f t="shared" si="28"/>
        <v>0</v>
      </c>
      <c r="N70" s="59">
        <f t="shared" si="29"/>
        <v>1</v>
      </c>
      <c r="O70" s="61">
        <v>0</v>
      </c>
      <c r="P70" s="65">
        <f t="shared" si="30"/>
        <v>1.67E-2</v>
      </c>
      <c r="Q70" s="61">
        <f t="shared" si="31"/>
        <v>0</v>
      </c>
      <c r="R70" s="54">
        <f t="shared" si="32"/>
        <v>0.501</v>
      </c>
      <c r="S70" s="56">
        <v>53.15</v>
      </c>
      <c r="T70" s="56">
        <f t="shared" si="33"/>
        <v>26.628149999999998</v>
      </c>
      <c r="U70" s="38"/>
      <c r="V70" s="36"/>
      <c r="W70" s="105"/>
      <c r="X70" s="36"/>
    </row>
    <row r="71" spans="1:24" ht="21" customHeight="1">
      <c r="A71" s="100"/>
      <c r="B71" s="100"/>
      <c r="C71" s="99" t="s">
        <v>87</v>
      </c>
      <c r="D71" s="99"/>
      <c r="E71" s="99"/>
      <c r="F71" s="51" t="s">
        <v>97</v>
      </c>
      <c r="G71" s="57">
        <f t="shared" si="26"/>
        <v>30</v>
      </c>
      <c r="H71" s="57">
        <f t="shared" si="25"/>
        <v>30</v>
      </c>
      <c r="I71" s="59">
        <v>4</v>
      </c>
      <c r="J71" s="61">
        <f t="shared" si="17"/>
        <v>120</v>
      </c>
      <c r="K71" s="60">
        <v>0.33400000000000002</v>
      </c>
      <c r="L71" s="54">
        <f t="shared" si="27"/>
        <v>40.080000000000005</v>
      </c>
      <c r="M71" s="61">
        <f t="shared" si="28"/>
        <v>0</v>
      </c>
      <c r="N71" s="59">
        <f t="shared" si="29"/>
        <v>4</v>
      </c>
      <c r="O71" s="61">
        <v>0</v>
      </c>
      <c r="P71" s="65">
        <f t="shared" si="30"/>
        <v>0.33400000000000002</v>
      </c>
      <c r="Q71" s="61">
        <f t="shared" si="31"/>
        <v>0</v>
      </c>
      <c r="R71" s="54">
        <f t="shared" si="32"/>
        <v>40.080000000000005</v>
      </c>
      <c r="S71" s="56">
        <v>53.15</v>
      </c>
      <c r="T71" s="56">
        <f t="shared" si="33"/>
        <v>2130.2520000000004</v>
      </c>
      <c r="U71" s="38"/>
      <c r="V71" s="36"/>
      <c r="W71" s="105"/>
      <c r="X71" s="36"/>
    </row>
    <row r="72" spans="1:24" ht="21" customHeight="1">
      <c r="A72" s="100"/>
      <c r="B72" s="100"/>
      <c r="C72" s="99" t="s">
        <v>82</v>
      </c>
      <c r="D72" s="99"/>
      <c r="E72" s="99"/>
      <c r="F72" s="51" t="s">
        <v>98</v>
      </c>
      <c r="G72" s="57">
        <f t="shared" si="26"/>
        <v>30</v>
      </c>
      <c r="H72" s="57">
        <f t="shared" si="25"/>
        <v>30</v>
      </c>
      <c r="I72" s="59">
        <v>1</v>
      </c>
      <c r="J72" s="61">
        <f t="shared" si="17"/>
        <v>30</v>
      </c>
      <c r="K72" s="60">
        <v>0.25</v>
      </c>
      <c r="L72" s="54">
        <f t="shared" si="27"/>
        <v>7.5</v>
      </c>
      <c r="M72" s="61">
        <f t="shared" si="28"/>
        <v>0</v>
      </c>
      <c r="N72" s="59">
        <f t="shared" si="29"/>
        <v>1</v>
      </c>
      <c r="O72" s="61">
        <f>+M72*N72</f>
        <v>0</v>
      </c>
      <c r="P72" s="65">
        <f t="shared" si="30"/>
        <v>0.25</v>
      </c>
      <c r="Q72" s="61">
        <f t="shared" si="31"/>
        <v>0</v>
      </c>
      <c r="R72" s="54">
        <f t="shared" si="32"/>
        <v>7.5</v>
      </c>
      <c r="S72" s="56">
        <v>53.15</v>
      </c>
      <c r="T72" s="56">
        <f t="shared" si="33"/>
        <v>398.625</v>
      </c>
      <c r="U72" s="38"/>
      <c r="V72" s="36"/>
      <c r="W72" s="105"/>
      <c r="X72" s="36"/>
    </row>
    <row r="73" spans="1:24" ht="21" customHeight="1">
      <c r="A73" s="100"/>
      <c r="B73" s="100"/>
      <c r="C73" s="99" t="s">
        <v>88</v>
      </c>
      <c r="D73" s="99"/>
      <c r="E73" s="99"/>
      <c r="F73" s="51" t="s">
        <v>72</v>
      </c>
      <c r="G73" s="57">
        <f t="shared" si="26"/>
        <v>30</v>
      </c>
      <c r="H73" s="57">
        <f t="shared" si="25"/>
        <v>30</v>
      </c>
      <c r="I73" s="59">
        <v>4</v>
      </c>
      <c r="J73" s="61">
        <f t="shared" si="17"/>
        <v>120</v>
      </c>
      <c r="K73" s="60">
        <f>(K7)</f>
        <v>1.67E-2</v>
      </c>
      <c r="L73" s="54">
        <f t="shared" ref="L73:L81" si="34">(J73*K73)</f>
        <v>2.004</v>
      </c>
      <c r="M73" s="61">
        <f t="shared" ref="M73:M81" si="35">(G73-H73)</f>
        <v>0</v>
      </c>
      <c r="N73" s="59">
        <f t="shared" ref="N73:N81" si="36">(I73)</f>
        <v>4</v>
      </c>
      <c r="O73" s="61">
        <v>0</v>
      </c>
      <c r="P73" s="65">
        <f t="shared" ref="P73:P81" si="37">(K73)</f>
        <v>1.67E-2</v>
      </c>
      <c r="Q73" s="61">
        <f t="shared" ref="Q73:Q81" si="38">(P73*O73)</f>
        <v>0</v>
      </c>
      <c r="R73" s="54">
        <f t="shared" ref="R73:R81" si="39">(L73+Q73)</f>
        <v>2.004</v>
      </c>
      <c r="S73" s="56">
        <v>53.15</v>
      </c>
      <c r="T73" s="56">
        <f t="shared" ref="T73:T81" si="40">(R73*S73)</f>
        <v>106.51259999999999</v>
      </c>
      <c r="U73" s="38"/>
      <c r="V73" s="36"/>
      <c r="W73" s="105"/>
      <c r="X73" s="36"/>
    </row>
    <row r="74" spans="1:24" ht="21" customHeight="1">
      <c r="A74" s="100"/>
      <c r="B74" s="100"/>
      <c r="C74" s="99" t="s">
        <v>89</v>
      </c>
      <c r="D74" s="99"/>
      <c r="E74" s="99"/>
      <c r="F74" s="51" t="s">
        <v>73</v>
      </c>
      <c r="G74" s="57">
        <f t="shared" si="26"/>
        <v>30</v>
      </c>
      <c r="H74" s="57">
        <f t="shared" si="25"/>
        <v>30</v>
      </c>
      <c r="I74" s="59">
        <v>1</v>
      </c>
      <c r="J74" s="61">
        <f t="shared" si="17"/>
        <v>30</v>
      </c>
      <c r="K74" s="60">
        <f>(K7)</f>
        <v>1.67E-2</v>
      </c>
      <c r="L74" s="54">
        <f t="shared" si="34"/>
        <v>0.501</v>
      </c>
      <c r="M74" s="61">
        <f t="shared" si="35"/>
        <v>0</v>
      </c>
      <c r="N74" s="59">
        <f t="shared" si="36"/>
        <v>1</v>
      </c>
      <c r="O74" s="61">
        <v>0</v>
      </c>
      <c r="P74" s="65">
        <f t="shared" si="37"/>
        <v>1.67E-2</v>
      </c>
      <c r="Q74" s="61">
        <f t="shared" si="38"/>
        <v>0</v>
      </c>
      <c r="R74" s="54">
        <f t="shared" si="39"/>
        <v>0.501</v>
      </c>
      <c r="S74" s="56">
        <v>53.15</v>
      </c>
      <c r="T74" s="56">
        <f t="shared" si="40"/>
        <v>26.628149999999998</v>
      </c>
      <c r="U74" s="38"/>
      <c r="V74" s="36"/>
      <c r="W74" s="105"/>
      <c r="X74" s="36"/>
    </row>
    <row r="75" spans="1:24" ht="21" customHeight="1">
      <c r="A75" s="100"/>
      <c r="B75" s="100"/>
      <c r="C75" s="99" t="s">
        <v>90</v>
      </c>
      <c r="D75" s="99"/>
      <c r="E75" s="99"/>
      <c r="F75" s="51" t="s">
        <v>97</v>
      </c>
      <c r="G75" s="57">
        <f t="shared" si="26"/>
        <v>30</v>
      </c>
      <c r="H75" s="57">
        <f t="shared" si="25"/>
        <v>30</v>
      </c>
      <c r="I75" s="59">
        <v>4</v>
      </c>
      <c r="J75" s="61">
        <f t="shared" si="17"/>
        <v>120</v>
      </c>
      <c r="K75" s="60">
        <v>0.33400000000000002</v>
      </c>
      <c r="L75" s="54">
        <f t="shared" si="34"/>
        <v>40.080000000000005</v>
      </c>
      <c r="M75" s="61">
        <f t="shared" si="35"/>
        <v>0</v>
      </c>
      <c r="N75" s="59">
        <f t="shared" si="36"/>
        <v>4</v>
      </c>
      <c r="O75" s="61">
        <v>0</v>
      </c>
      <c r="P75" s="65">
        <f t="shared" si="37"/>
        <v>0.33400000000000002</v>
      </c>
      <c r="Q75" s="61">
        <f t="shared" si="38"/>
        <v>0</v>
      </c>
      <c r="R75" s="54">
        <f t="shared" si="39"/>
        <v>40.080000000000005</v>
      </c>
      <c r="S75" s="56">
        <v>53.15</v>
      </c>
      <c r="T75" s="56">
        <f t="shared" si="40"/>
        <v>2130.2520000000004</v>
      </c>
      <c r="U75" s="38"/>
      <c r="V75" s="36"/>
      <c r="W75" s="105"/>
      <c r="X75" s="36"/>
    </row>
    <row r="76" spans="1:24" ht="21" customHeight="1">
      <c r="A76" s="100"/>
      <c r="B76" s="100"/>
      <c r="C76" s="99" t="s">
        <v>99</v>
      </c>
      <c r="D76" s="99"/>
      <c r="E76" s="99"/>
      <c r="F76" s="51" t="s">
        <v>98</v>
      </c>
      <c r="G76" s="57">
        <f t="shared" si="26"/>
        <v>30</v>
      </c>
      <c r="H76" s="57">
        <f>G76</f>
        <v>30</v>
      </c>
      <c r="I76" s="59">
        <v>1</v>
      </c>
      <c r="J76" s="61">
        <f t="shared" si="17"/>
        <v>30</v>
      </c>
      <c r="K76" s="60">
        <f>(K42)</f>
        <v>0.25</v>
      </c>
      <c r="L76" s="54">
        <f t="shared" si="34"/>
        <v>7.5</v>
      </c>
      <c r="M76" s="61">
        <f t="shared" si="35"/>
        <v>0</v>
      </c>
      <c r="N76" s="59">
        <f t="shared" si="36"/>
        <v>1</v>
      </c>
      <c r="O76" s="61">
        <v>0</v>
      </c>
      <c r="P76" s="65">
        <f t="shared" si="37"/>
        <v>0.25</v>
      </c>
      <c r="Q76" s="61">
        <f t="shared" si="38"/>
        <v>0</v>
      </c>
      <c r="R76" s="54">
        <f t="shared" si="39"/>
        <v>7.5</v>
      </c>
      <c r="S76" s="56">
        <v>53.15</v>
      </c>
      <c r="T76" s="56">
        <f t="shared" si="40"/>
        <v>398.625</v>
      </c>
      <c r="U76" s="42"/>
      <c r="V76" s="36"/>
      <c r="W76" s="105"/>
      <c r="X76" s="36"/>
    </row>
    <row r="77" spans="1:24" ht="21" customHeight="1">
      <c r="A77" s="100"/>
      <c r="B77" s="100"/>
      <c r="C77" s="104" t="s">
        <v>115</v>
      </c>
      <c r="D77" s="104"/>
      <c r="E77" s="104"/>
      <c r="F77" s="66" t="s">
        <v>166</v>
      </c>
      <c r="G77" s="64">
        <v>30</v>
      </c>
      <c r="H77" s="57">
        <f>G77</f>
        <v>30</v>
      </c>
      <c r="I77" s="59">
        <v>1</v>
      </c>
      <c r="J77" s="61">
        <f t="shared" si="17"/>
        <v>30</v>
      </c>
      <c r="K77" s="60">
        <v>5.0099999999999999E-2</v>
      </c>
      <c r="L77" s="54">
        <f t="shared" si="34"/>
        <v>1.5029999999999999</v>
      </c>
      <c r="M77" s="61">
        <f t="shared" si="35"/>
        <v>0</v>
      </c>
      <c r="N77" s="59">
        <f t="shared" si="36"/>
        <v>1</v>
      </c>
      <c r="O77" s="61">
        <v>0</v>
      </c>
      <c r="P77" s="65">
        <f t="shared" si="37"/>
        <v>5.0099999999999999E-2</v>
      </c>
      <c r="Q77" s="61">
        <f t="shared" si="38"/>
        <v>0</v>
      </c>
      <c r="R77" s="54">
        <f t="shared" si="39"/>
        <v>1.5029999999999999</v>
      </c>
      <c r="S77" s="56">
        <v>53.15</v>
      </c>
      <c r="T77" s="56">
        <f t="shared" si="40"/>
        <v>79.884449999999987</v>
      </c>
      <c r="U77" s="44"/>
      <c r="V77" s="36"/>
      <c r="W77" s="105"/>
      <c r="X77" s="36"/>
    </row>
    <row r="78" spans="1:24" ht="25.5" customHeight="1">
      <c r="A78" s="100"/>
      <c r="B78" s="100"/>
      <c r="C78" s="99" t="s">
        <v>78</v>
      </c>
      <c r="D78" s="99"/>
      <c r="E78" s="99"/>
      <c r="F78" s="51" t="s">
        <v>100</v>
      </c>
      <c r="G78" s="52">
        <v>3600</v>
      </c>
      <c r="H78" s="52">
        <f t="shared" si="25"/>
        <v>3600</v>
      </c>
      <c r="I78" s="59">
        <v>1</v>
      </c>
      <c r="J78" s="61">
        <f>(H78*I78)</f>
        <v>3600</v>
      </c>
      <c r="K78" s="60">
        <f>(K77)</f>
        <v>5.0099999999999999E-2</v>
      </c>
      <c r="L78" s="54">
        <f t="shared" si="34"/>
        <v>180.35999999999999</v>
      </c>
      <c r="M78" s="61">
        <f t="shared" si="35"/>
        <v>0</v>
      </c>
      <c r="N78" s="59">
        <f t="shared" si="36"/>
        <v>1</v>
      </c>
      <c r="O78" s="61">
        <f>(M78*N78)</f>
        <v>0</v>
      </c>
      <c r="P78" s="65">
        <f t="shared" si="37"/>
        <v>5.0099999999999999E-2</v>
      </c>
      <c r="Q78" s="61">
        <f t="shared" si="38"/>
        <v>0</v>
      </c>
      <c r="R78" s="54">
        <f t="shared" si="39"/>
        <v>180.35999999999999</v>
      </c>
      <c r="S78" s="56">
        <v>13.61</v>
      </c>
      <c r="T78" s="56">
        <f t="shared" si="40"/>
        <v>2454.6995999999999</v>
      </c>
      <c r="U78" s="36"/>
      <c r="V78" s="36"/>
      <c r="W78" s="105"/>
      <c r="X78" s="36"/>
    </row>
    <row r="79" spans="1:24" ht="25.5" customHeight="1">
      <c r="A79" s="100"/>
      <c r="B79" s="100"/>
      <c r="C79" s="99" t="s">
        <v>79</v>
      </c>
      <c r="D79" s="99"/>
      <c r="E79" s="99"/>
      <c r="F79" s="51" t="s">
        <v>165</v>
      </c>
      <c r="G79" s="52">
        <f>(G78/2)</f>
        <v>1800</v>
      </c>
      <c r="H79" s="52">
        <f>(G79*0.95)</f>
        <v>1710</v>
      </c>
      <c r="I79" s="59">
        <v>1</v>
      </c>
      <c r="J79" s="61">
        <f>(H79*I79)</f>
        <v>1710</v>
      </c>
      <c r="K79" s="60">
        <v>1.67E-2</v>
      </c>
      <c r="L79" s="54">
        <f t="shared" si="34"/>
        <v>28.556999999999999</v>
      </c>
      <c r="M79" s="61">
        <f t="shared" si="35"/>
        <v>90</v>
      </c>
      <c r="N79" s="59">
        <f t="shared" si="36"/>
        <v>1</v>
      </c>
      <c r="O79" s="61">
        <f>SUM(M79*N79)</f>
        <v>90</v>
      </c>
      <c r="P79" s="65">
        <f t="shared" si="37"/>
        <v>1.67E-2</v>
      </c>
      <c r="Q79" s="61">
        <f t="shared" si="38"/>
        <v>1.5029999999999999</v>
      </c>
      <c r="R79" s="54">
        <f t="shared" si="39"/>
        <v>30.06</v>
      </c>
      <c r="S79" s="56">
        <v>13.61</v>
      </c>
      <c r="T79" s="56">
        <f t="shared" si="40"/>
        <v>409.11659999999995</v>
      </c>
      <c r="U79" s="36"/>
      <c r="V79" s="36"/>
      <c r="W79" s="105"/>
      <c r="X79" s="36"/>
    </row>
    <row r="80" spans="1:24" ht="23.25" customHeight="1">
      <c r="A80" s="100"/>
      <c r="B80" s="100"/>
      <c r="C80" s="99" t="s">
        <v>80</v>
      </c>
      <c r="D80" s="99"/>
      <c r="E80" s="99"/>
      <c r="F80" s="51" t="s">
        <v>164</v>
      </c>
      <c r="G80" s="52">
        <f>(G78)</f>
        <v>3600</v>
      </c>
      <c r="H80" s="52">
        <f>(G78*0.8)</f>
        <v>2880</v>
      </c>
      <c r="I80" s="59">
        <v>1</v>
      </c>
      <c r="J80" s="61">
        <f>(H80*I80)</f>
        <v>2880</v>
      </c>
      <c r="K80" s="60">
        <v>0.16700000000000001</v>
      </c>
      <c r="L80" s="54">
        <f t="shared" si="34"/>
        <v>480.96000000000004</v>
      </c>
      <c r="M80" s="61">
        <f t="shared" si="35"/>
        <v>720</v>
      </c>
      <c r="N80" s="59">
        <f t="shared" si="36"/>
        <v>1</v>
      </c>
      <c r="O80" s="61">
        <f>SUM(M80*N80)</f>
        <v>720</v>
      </c>
      <c r="P80" s="65">
        <f t="shared" si="37"/>
        <v>0.16700000000000001</v>
      </c>
      <c r="Q80" s="61">
        <f t="shared" si="38"/>
        <v>120.24000000000001</v>
      </c>
      <c r="R80" s="54">
        <f t="shared" si="39"/>
        <v>601.20000000000005</v>
      </c>
      <c r="S80" s="56">
        <v>13.61</v>
      </c>
      <c r="T80" s="56">
        <f t="shared" si="40"/>
        <v>8182.3320000000003</v>
      </c>
      <c r="U80" s="36"/>
      <c r="V80" s="36"/>
      <c r="W80" s="105"/>
      <c r="X80" s="36"/>
    </row>
    <row r="81" spans="1:24" ht="23.25" customHeight="1">
      <c r="A81" s="100"/>
      <c r="B81" s="100"/>
      <c r="C81" s="99" t="s">
        <v>129</v>
      </c>
      <c r="D81" s="99"/>
      <c r="E81" s="99"/>
      <c r="F81" s="51" t="s">
        <v>101</v>
      </c>
      <c r="G81" s="52">
        <f>(G78*0.8)</f>
        <v>2880</v>
      </c>
      <c r="H81" s="52">
        <f>(G81)</f>
        <v>2880</v>
      </c>
      <c r="I81" s="59">
        <v>1</v>
      </c>
      <c r="J81" s="61">
        <f>(H81*I81)</f>
        <v>2880</v>
      </c>
      <c r="K81" s="60">
        <v>1.67E-2</v>
      </c>
      <c r="L81" s="54">
        <f t="shared" si="34"/>
        <v>48.095999999999997</v>
      </c>
      <c r="M81" s="61">
        <f t="shared" si="35"/>
        <v>0</v>
      </c>
      <c r="N81" s="59">
        <f t="shared" si="36"/>
        <v>1</v>
      </c>
      <c r="O81" s="61">
        <v>0</v>
      </c>
      <c r="P81" s="65">
        <f t="shared" si="37"/>
        <v>1.67E-2</v>
      </c>
      <c r="Q81" s="61">
        <f t="shared" si="38"/>
        <v>0</v>
      </c>
      <c r="R81" s="54">
        <f t="shared" si="39"/>
        <v>48.095999999999997</v>
      </c>
      <c r="S81" s="56">
        <v>13.61</v>
      </c>
      <c r="T81" s="56">
        <f t="shared" si="40"/>
        <v>654.58655999999996</v>
      </c>
      <c r="U81" s="36"/>
      <c r="V81" s="36"/>
      <c r="W81" s="44"/>
      <c r="X81" s="36"/>
    </row>
    <row r="82" spans="1:24" ht="25.5" customHeight="1">
      <c r="A82" s="103" t="s">
        <v>39</v>
      </c>
      <c r="B82" s="103"/>
      <c r="C82" s="112"/>
      <c r="D82" s="112"/>
      <c r="E82" s="112"/>
      <c r="F82" s="74"/>
      <c r="G82" s="71">
        <f>(G56+G59+G80)</f>
        <v>3634</v>
      </c>
      <c r="H82" s="71">
        <f>(H56+H59+H80)</f>
        <v>2914</v>
      </c>
      <c r="I82" s="124">
        <f>(J82/H82)</f>
        <v>4.2017844886753606</v>
      </c>
      <c r="J82" s="72">
        <f>SUM(J56:J81)</f>
        <v>12244</v>
      </c>
      <c r="K82" s="125"/>
      <c r="L82" s="125">
        <f>SUM(L56:L81)</f>
        <v>1018.2460000000001</v>
      </c>
      <c r="M82" s="72">
        <f>(M56+M59+M80)</f>
        <v>720</v>
      </c>
      <c r="N82" s="75">
        <f>(O82/M82)</f>
        <v>1.125</v>
      </c>
      <c r="O82" s="72">
        <f>SUM(O56:O81)</f>
        <v>810</v>
      </c>
      <c r="P82" s="75"/>
      <c r="Q82" s="73">
        <f>SUM(Q56:Q81)</f>
        <v>121.74300000000001</v>
      </c>
      <c r="R82" s="125">
        <f>SUM(R56:R81)</f>
        <v>1139.989</v>
      </c>
      <c r="S82" s="73"/>
      <c r="T82" s="73">
        <f>SUM(T56:T81)</f>
        <v>26597.244710000003</v>
      </c>
      <c r="U82" s="48"/>
      <c r="V82" s="36"/>
      <c r="W82" s="36"/>
      <c r="X82" s="36"/>
    </row>
    <row r="83" spans="1:24" ht="10.5" customHeight="1">
      <c r="A83" s="106" t="s">
        <v>40</v>
      </c>
      <c r="B83" s="107"/>
      <c r="C83" s="112"/>
      <c r="D83" s="112"/>
      <c r="E83" s="112"/>
      <c r="F83" s="74"/>
      <c r="G83" s="71">
        <f>SUM(G32,G55,G82)</f>
        <v>11286</v>
      </c>
      <c r="H83" s="71">
        <f>SUM(H82,H55,H32)</f>
        <v>9807</v>
      </c>
      <c r="I83" s="72"/>
      <c r="J83" s="76">
        <f>(J32+J55+J82)</f>
        <v>64521.570753142871</v>
      </c>
      <c r="K83" s="75"/>
      <c r="L83" s="77">
        <f>(L32+L55+L82)</f>
        <v>4365.7816515774866</v>
      </c>
      <c r="M83" s="72">
        <f>SUM(M82,M55,M32)</f>
        <v>1479</v>
      </c>
      <c r="N83" s="72"/>
      <c r="O83" s="72">
        <f>(O32+O55+O82)</f>
        <v>934.55300571428575</v>
      </c>
      <c r="P83" s="75"/>
      <c r="Q83" s="73">
        <f>SUM(Q32+Q55+Q82)</f>
        <v>134.45389519542857</v>
      </c>
      <c r="R83" s="77">
        <f>SUM(L83+Q83)</f>
        <v>4500.2355467729149</v>
      </c>
      <c r="S83" s="73"/>
      <c r="T83" s="73">
        <f>(T32+T55+T82)</f>
        <v>52703.75543410363</v>
      </c>
      <c r="U83" s="35"/>
    </row>
    <row r="84" spans="1:24" ht="12" hidden="1" customHeight="1">
      <c r="A84" s="25" t="s">
        <v>41</v>
      </c>
      <c r="B84" s="25"/>
      <c r="C84" s="25"/>
      <c r="D84" s="25"/>
      <c r="E84" s="25"/>
      <c r="F84" s="26"/>
      <c r="G84" s="27">
        <f>(J83+O83)/G83</f>
        <v>5.7997628707121347</v>
      </c>
      <c r="H84" s="28"/>
      <c r="I84" s="28"/>
      <c r="J84" s="28"/>
      <c r="K84" s="28"/>
      <c r="L84" s="28"/>
      <c r="M84" s="28"/>
      <c r="N84" s="28"/>
      <c r="O84" s="28"/>
      <c r="P84" s="28"/>
      <c r="Q84" s="28"/>
      <c r="R84" s="28"/>
      <c r="T84" s="33"/>
    </row>
    <row r="85" spans="1:24" ht="12" hidden="1" customHeight="1">
      <c r="A85" s="29" t="s">
        <v>42</v>
      </c>
      <c r="B85" s="29"/>
      <c r="C85" s="29"/>
      <c r="D85" s="29"/>
      <c r="E85" s="29"/>
      <c r="F85" s="31"/>
      <c r="G85" s="32">
        <f>(J83+O83)</f>
        <v>65456.123758857153</v>
      </c>
      <c r="H85" s="29"/>
      <c r="I85" s="29"/>
      <c r="J85" s="29"/>
      <c r="K85" s="29"/>
      <c r="L85" s="29"/>
      <c r="M85" s="29"/>
      <c r="N85" s="29"/>
      <c r="O85" s="29"/>
      <c r="P85" s="29"/>
      <c r="Q85" s="29"/>
      <c r="R85" s="29"/>
      <c r="T85" s="29"/>
    </row>
    <row r="86" spans="1:24" ht="12" hidden="1" customHeight="1">
      <c r="A86" s="29" t="s">
        <v>43</v>
      </c>
      <c r="B86" s="29"/>
      <c r="C86" s="29"/>
      <c r="D86" s="29"/>
      <c r="E86" s="29"/>
      <c r="F86" s="31"/>
      <c r="G86" s="33">
        <f>SUM(R83/G83)</f>
        <v>0.39874495363928009</v>
      </c>
      <c r="H86" s="29"/>
      <c r="I86" s="29"/>
      <c r="J86" s="29"/>
      <c r="K86" s="29"/>
      <c r="L86" s="29"/>
      <c r="M86" s="29"/>
      <c r="N86" s="29"/>
      <c r="O86" s="29"/>
      <c r="P86" s="29"/>
      <c r="Q86" s="29"/>
      <c r="R86" s="29"/>
      <c r="T86" s="29"/>
    </row>
    <row r="88" spans="1:24">
      <c r="A88" s="30" t="s">
        <v>136</v>
      </c>
    </row>
    <row r="89" spans="1:24">
      <c r="A89" s="30" t="s">
        <v>137</v>
      </c>
    </row>
    <row r="90" spans="1:24">
      <c r="A90" s="30" t="s">
        <v>138</v>
      </c>
    </row>
    <row r="91" spans="1:24">
      <c r="A91" s="30" t="s">
        <v>139</v>
      </c>
    </row>
    <row r="92" spans="1:24">
      <c r="A92" s="30" t="s">
        <v>140</v>
      </c>
    </row>
    <row r="93" spans="1:24" s="41" customFormat="1">
      <c r="A93" s="43" t="s">
        <v>141</v>
      </c>
      <c r="B93" s="37"/>
      <c r="C93" s="30"/>
      <c r="D93" s="30"/>
      <c r="E93" s="30"/>
      <c r="F93" s="37"/>
      <c r="G93" s="30"/>
      <c r="H93" s="30"/>
      <c r="I93" s="30"/>
      <c r="J93" s="30"/>
      <c r="K93" s="30"/>
      <c r="L93" s="30"/>
      <c r="M93" s="30"/>
      <c r="N93" s="30"/>
      <c r="O93" s="30"/>
      <c r="P93" s="30"/>
      <c r="Q93" s="30"/>
      <c r="R93" s="30"/>
      <c r="S93" s="30"/>
      <c r="T93" s="30"/>
    </row>
    <row r="94" spans="1:24">
      <c r="A94" s="30" t="s">
        <v>142</v>
      </c>
    </row>
    <row r="95" spans="1:24">
      <c r="A95" s="30" t="s">
        <v>158</v>
      </c>
    </row>
    <row r="96" spans="1:24">
      <c r="A96" s="30" t="s">
        <v>135</v>
      </c>
    </row>
    <row r="97" spans="1:7">
      <c r="A97" s="30" t="s">
        <v>143</v>
      </c>
    </row>
    <row r="98" spans="1:7">
      <c r="A98" s="30" t="s">
        <v>132</v>
      </c>
    </row>
    <row r="99" spans="1:7">
      <c r="A99" s="30" t="s">
        <v>144</v>
      </c>
    </row>
    <row r="100" spans="1:7">
      <c r="A100" s="30" t="s">
        <v>145</v>
      </c>
    </row>
    <row r="101" spans="1:7">
      <c r="A101" s="30" t="s">
        <v>75</v>
      </c>
    </row>
    <row r="102" spans="1:7">
      <c r="A102" s="30" t="s">
        <v>76</v>
      </c>
    </row>
    <row r="103" spans="1:7">
      <c r="A103" s="30" t="s">
        <v>77</v>
      </c>
    </row>
    <row r="104" spans="1:7">
      <c r="A104" s="30" t="s">
        <v>157</v>
      </c>
    </row>
    <row r="105" spans="1:7">
      <c r="A105" s="30" t="s">
        <v>81</v>
      </c>
    </row>
    <row r="106" spans="1:7">
      <c r="A106" s="30" t="s">
        <v>146</v>
      </c>
    </row>
    <row r="107" spans="1:7">
      <c r="A107" s="30" t="s">
        <v>147</v>
      </c>
    </row>
    <row r="111" spans="1:7">
      <c r="A111" s="30" t="s">
        <v>148</v>
      </c>
      <c r="B111" s="37" t="s">
        <v>148</v>
      </c>
      <c r="E111" s="30">
        <f>(H83+M83)/3</f>
        <v>3762</v>
      </c>
      <c r="G111" s="30" t="s">
        <v>170</v>
      </c>
    </row>
    <row r="112" spans="1:7">
      <c r="A112" s="30" t="s">
        <v>3</v>
      </c>
      <c r="E112" s="30">
        <f>(J83+O83)/3</f>
        <v>21818.70791961905</v>
      </c>
      <c r="G112" s="30" t="s">
        <v>171</v>
      </c>
    </row>
    <row r="113" spans="1:10">
      <c r="A113" s="30" t="s">
        <v>155</v>
      </c>
      <c r="E113" s="45">
        <f>(J6+J17+J39+J40+J41+J42+J46+J47+J48+J49+J50+J51+J52+J53+J54)+(J62+J63+J64+J65+J69+J70+J71+J72+J73+J74+J75+J76+J77)</f>
        <v>2748.386</v>
      </c>
      <c r="G113" s="30" t="s">
        <v>151</v>
      </c>
    </row>
    <row r="114" spans="1:10">
      <c r="A114" s="30" t="s">
        <v>156</v>
      </c>
      <c r="E114" s="45">
        <f>(O6+O17+O39+O40+O41+O42+O46+O47+O48+O49+O50+O51+O52+O53+O54)+(O62+O63+O64+O65+O69+O70+O71+O72+O73+O74+O75+O76+O77)</f>
        <v>0</v>
      </c>
      <c r="G114" s="30" t="s">
        <v>152</v>
      </c>
    </row>
    <row r="115" spans="1:10">
      <c r="A115" s="30" t="s">
        <v>149</v>
      </c>
      <c r="E115" s="46">
        <f>((E113+107)/(J83+O83))*100</f>
        <v>4.3622900899530048</v>
      </c>
      <c r="G115" s="30" t="s">
        <v>153</v>
      </c>
    </row>
    <row r="116" spans="1:10">
      <c r="A116" s="30" t="s">
        <v>150</v>
      </c>
      <c r="E116" s="30">
        <f>(R83/3)</f>
        <v>1500.0785155909716</v>
      </c>
      <c r="G116" s="30" t="s">
        <v>169</v>
      </c>
    </row>
    <row r="117" spans="1:10">
      <c r="A117" s="78" t="s">
        <v>154</v>
      </c>
      <c r="B117" s="79"/>
      <c r="C117" s="78"/>
      <c r="D117" s="78"/>
      <c r="E117" s="78">
        <f>(H80+M80)/(H83+M83)*100</f>
        <v>31.897926634768741</v>
      </c>
      <c r="F117" s="79"/>
      <c r="G117" s="78" t="s">
        <v>172</v>
      </c>
      <c r="H117" s="78"/>
      <c r="I117" s="78"/>
      <c r="J117" s="78"/>
    </row>
  </sheetData>
  <mergeCells count="102">
    <mergeCell ref="B1:B3"/>
    <mergeCell ref="C1:E3"/>
    <mergeCell ref="H2:L2"/>
    <mergeCell ref="F1:F3"/>
    <mergeCell ref="G1:G3"/>
    <mergeCell ref="H1:T1"/>
    <mergeCell ref="M2:Q2"/>
    <mergeCell ref="R2:T2"/>
    <mergeCell ref="A1:A3"/>
    <mergeCell ref="A83:B83"/>
    <mergeCell ref="C4:E4"/>
    <mergeCell ref="B56:B81"/>
    <mergeCell ref="A56:A81"/>
    <mergeCell ref="C56:E56"/>
    <mergeCell ref="C63:E63"/>
    <mergeCell ref="C64:E64"/>
    <mergeCell ref="C5:E5"/>
    <mergeCell ref="C11:E11"/>
    <mergeCell ref="C31:E31"/>
    <mergeCell ref="A4:A31"/>
    <mergeCell ref="B4:B31"/>
    <mergeCell ref="C80:E80"/>
    <mergeCell ref="C66:E66"/>
    <mergeCell ref="C67:E67"/>
    <mergeCell ref="C73:E73"/>
    <mergeCell ref="C83:E83"/>
    <mergeCell ref="C32:E32"/>
    <mergeCell ref="C55:E55"/>
    <mergeCell ref="C82:E82"/>
    <mergeCell ref="C81:E81"/>
    <mergeCell ref="C72:E72"/>
    <mergeCell ref="C74:E74"/>
    <mergeCell ref="C75:E75"/>
    <mergeCell ref="W23:W32"/>
    <mergeCell ref="W55:W80"/>
    <mergeCell ref="C78:E78"/>
    <mergeCell ref="C59:E59"/>
    <mergeCell ref="C60:E60"/>
    <mergeCell ref="C61:E61"/>
    <mergeCell ref="C62:E62"/>
    <mergeCell ref="C65:E65"/>
    <mergeCell ref="C79:E79"/>
    <mergeCell ref="U18:U31"/>
    <mergeCell ref="C54:E54"/>
    <mergeCell ref="C57:E57"/>
    <mergeCell ref="C50:E50"/>
    <mergeCell ref="C68:E68"/>
    <mergeCell ref="C69:E69"/>
    <mergeCell ref="C70:E70"/>
    <mergeCell ref="C71:E71"/>
    <mergeCell ref="C37:E37"/>
    <mergeCell ref="C77:E77"/>
    <mergeCell ref="C51:E51"/>
    <mergeCell ref="C76:E76"/>
    <mergeCell ref="A82:B82"/>
    <mergeCell ref="C14:E14"/>
    <mergeCell ref="C24:E24"/>
    <mergeCell ref="C26:E26"/>
    <mergeCell ref="C16:E16"/>
    <mergeCell ref="C23:E23"/>
    <mergeCell ref="C25:E25"/>
    <mergeCell ref="C8:E8"/>
    <mergeCell ref="C10:E10"/>
    <mergeCell ref="C12:E12"/>
    <mergeCell ref="C15:E15"/>
    <mergeCell ref="C19:E19"/>
    <mergeCell ref="C21:E21"/>
    <mergeCell ref="C27:E27"/>
    <mergeCell ref="C29:E29"/>
    <mergeCell ref="C30:E30"/>
    <mergeCell ref="C49:E49"/>
    <mergeCell ref="C52:E52"/>
    <mergeCell ref="C13:E13"/>
    <mergeCell ref="C9:E9"/>
    <mergeCell ref="C33:E33"/>
    <mergeCell ref="C34:E34"/>
    <mergeCell ref="C17:E17"/>
    <mergeCell ref="C18:E18"/>
    <mergeCell ref="C6:E6"/>
    <mergeCell ref="B33:B54"/>
    <mergeCell ref="C58:E58"/>
    <mergeCell ref="C36:E36"/>
    <mergeCell ref="A32:B32"/>
    <mergeCell ref="A55:B55"/>
    <mergeCell ref="C38:E38"/>
    <mergeCell ref="C39:E39"/>
    <mergeCell ref="C40:E40"/>
    <mergeCell ref="C41:E41"/>
    <mergeCell ref="C42:E42"/>
    <mergeCell ref="C43:E43"/>
    <mergeCell ref="C44:E44"/>
    <mergeCell ref="C45:E45"/>
    <mergeCell ref="C46:E46"/>
    <mergeCell ref="C47:E47"/>
    <mergeCell ref="C48:E48"/>
    <mergeCell ref="A33:A54"/>
    <mergeCell ref="C53:E53"/>
    <mergeCell ref="C35:E35"/>
    <mergeCell ref="C7:E7"/>
    <mergeCell ref="C28:E28"/>
    <mergeCell ref="C20:E20"/>
    <mergeCell ref="C22:E22"/>
  </mergeCells>
  <printOptions headings="1"/>
  <pageMargins left="0.25" right="0.25" top="0.75" bottom="0.75" header="0.3" footer="0.3"/>
  <pageSetup paperSize="5" scale="90" fitToHeight="2" orientation="landscape" r:id="rId1"/>
</worksheet>
</file>

<file path=xl/worksheets/sheet2.xml><?xml version="1.0" encoding="utf-8"?>
<worksheet xmlns="http://schemas.openxmlformats.org/spreadsheetml/2006/main" xmlns:r="http://schemas.openxmlformats.org/officeDocument/2006/relationships">
  <dimension ref="A1:D17"/>
  <sheetViews>
    <sheetView workbookViewId="0">
      <selection activeCell="C8" sqref="C8"/>
    </sheetView>
  </sheetViews>
  <sheetFormatPr defaultRowHeight="15"/>
  <cols>
    <col min="1" max="1" width="54.7109375" customWidth="1"/>
    <col min="2" max="2" width="37.7109375" customWidth="1"/>
    <col min="3" max="3" width="11.5703125" customWidth="1"/>
    <col min="4" max="4" width="8.85546875" customWidth="1"/>
  </cols>
  <sheetData>
    <row r="1" spans="1:4" ht="16.5" thickBot="1">
      <c r="A1" s="2" t="s">
        <v>9</v>
      </c>
    </row>
    <row r="2" spans="1:4" ht="15.75" thickBot="1">
      <c r="A2" s="3" t="s">
        <v>10</v>
      </c>
      <c r="B2" s="4" t="s">
        <v>11</v>
      </c>
      <c r="C2" s="122" t="s">
        <v>3</v>
      </c>
      <c r="D2" s="123"/>
    </row>
    <row r="3" spans="1:4" ht="15.75" thickBot="1">
      <c r="A3" s="5" t="s">
        <v>12</v>
      </c>
      <c r="B3" s="6" t="s">
        <v>13</v>
      </c>
      <c r="C3" s="7" t="e">
        <f>'FINI burden table'!#REF!</f>
        <v>#REF!</v>
      </c>
      <c r="D3" s="8"/>
    </row>
    <row r="4" spans="1:4" ht="15.75" thickBot="1">
      <c r="A4" s="9" t="s">
        <v>12</v>
      </c>
      <c r="B4" s="6" t="s">
        <v>14</v>
      </c>
      <c r="C4" s="14" t="e">
        <f>SUM('FINI burden table'!#REF!+'FINI burden table'!#REF!)</f>
        <v>#REF!</v>
      </c>
      <c r="D4" s="8"/>
    </row>
    <row r="5" spans="1:4" ht="15.75" thickBot="1">
      <c r="A5" s="9" t="s">
        <v>15</v>
      </c>
      <c r="B5" s="6" t="s">
        <v>16</v>
      </c>
      <c r="C5" s="14" t="e">
        <f>'FINI burden table'!#REF!</f>
        <v>#REF!</v>
      </c>
      <c r="D5" s="8"/>
    </row>
    <row r="6" spans="1:4" ht="15.75" thickBot="1">
      <c r="A6" s="5" t="s">
        <v>17</v>
      </c>
      <c r="B6" s="6" t="s">
        <v>18</v>
      </c>
      <c r="C6" s="14" t="e">
        <f>'FINI burden table'!#REF!</f>
        <v>#REF!</v>
      </c>
      <c r="D6" s="8"/>
    </row>
    <row r="7" spans="1:4" ht="30.75" thickBot="1">
      <c r="A7" s="5" t="s">
        <v>19</v>
      </c>
      <c r="B7" s="6" t="s">
        <v>20</v>
      </c>
      <c r="C7" s="14" t="e">
        <f>'FINI burden table'!#REF!</f>
        <v>#REF!</v>
      </c>
      <c r="D7" s="8"/>
    </row>
    <row r="8" spans="1:4" ht="15.75" thickBot="1">
      <c r="A8" s="10" t="s">
        <v>21</v>
      </c>
      <c r="B8" s="11"/>
      <c r="C8" s="24">
        <v>2680</v>
      </c>
      <c r="D8" s="21">
        <f>C8/C17</f>
        <v>0.19869513641755635</v>
      </c>
    </row>
    <row r="9" spans="1:4" ht="15.75" thickBot="1">
      <c r="A9" s="12" t="s">
        <v>22</v>
      </c>
      <c r="B9" s="13"/>
      <c r="C9" s="122" t="s">
        <v>3</v>
      </c>
      <c r="D9" s="123"/>
    </row>
    <row r="10" spans="1:4" ht="15.75" thickBot="1">
      <c r="A10" s="5" t="s">
        <v>23</v>
      </c>
      <c r="B10" s="6" t="s">
        <v>24</v>
      </c>
      <c r="C10" s="23" t="e">
        <f>'FINI burden table'!#REF!</f>
        <v>#REF!</v>
      </c>
      <c r="D10" s="8"/>
    </row>
    <row r="11" spans="1:4" ht="15.75" thickBot="1">
      <c r="A11" s="5" t="s">
        <v>25</v>
      </c>
      <c r="B11" s="6" t="s">
        <v>26</v>
      </c>
      <c r="C11" s="23" t="e">
        <f>'FINI burden table'!#REF!+'FINI burden table'!#REF!</f>
        <v>#REF!</v>
      </c>
      <c r="D11" s="8"/>
    </row>
    <row r="12" spans="1:4" ht="15.75" thickBot="1">
      <c r="A12" s="5" t="s">
        <v>27</v>
      </c>
      <c r="B12" s="6" t="s">
        <v>14</v>
      </c>
      <c r="C12" s="14" t="e">
        <f>'FINI burden table'!#REF!</f>
        <v>#REF!</v>
      </c>
      <c r="D12" s="8"/>
    </row>
    <row r="13" spans="1:4" ht="15.75" thickBot="1">
      <c r="A13" s="5" t="s">
        <v>28</v>
      </c>
      <c r="B13" s="6" t="s">
        <v>29</v>
      </c>
      <c r="C13" s="14" t="e">
        <f>'FINI burden table'!#REF!</f>
        <v>#REF!</v>
      </c>
      <c r="D13" s="8"/>
    </row>
    <row r="14" spans="1:4" ht="15.75" thickBot="1">
      <c r="A14" s="5" t="s">
        <v>30</v>
      </c>
      <c r="B14" s="6" t="s">
        <v>6</v>
      </c>
      <c r="C14" s="14" t="e">
        <f>'FINI burden table'!#REF!</f>
        <v>#REF!</v>
      </c>
      <c r="D14" s="8"/>
    </row>
    <row r="15" spans="1:4" ht="15.75" thickBot="1">
      <c r="A15" s="5" t="s">
        <v>31</v>
      </c>
      <c r="B15" s="6" t="s">
        <v>32</v>
      </c>
      <c r="C15" s="14" t="e">
        <f>SUM('FINI burden table'!#REF!)</f>
        <v>#REF!</v>
      </c>
      <c r="D15" s="8"/>
    </row>
    <row r="16" spans="1:4">
      <c r="A16" s="15" t="s">
        <v>33</v>
      </c>
      <c r="B16" s="16"/>
      <c r="C16" s="18">
        <v>10808</v>
      </c>
      <c r="D16" s="22">
        <f>C16/C17</f>
        <v>0.80130486358244368</v>
      </c>
    </row>
    <row r="17" spans="1:4">
      <c r="A17" s="17" t="s">
        <v>34</v>
      </c>
      <c r="B17" s="1"/>
      <c r="C17" s="19">
        <f>SUM(C8+C16)</f>
        <v>13488</v>
      </c>
      <c r="D17" s="20"/>
    </row>
  </sheetData>
  <mergeCells count="2">
    <mergeCell ref="C2:D2"/>
    <mergeCell ref="C9:D9"/>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FINI burden table</vt:lpstr>
      <vt:lpstr>Sheet2</vt:lpstr>
      <vt:lpstr>'FINI burden table'!Print_Area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lywilliams</dc:creator>
  <cp:lastModifiedBy>Windows User</cp:lastModifiedBy>
  <cp:lastPrinted>2015-12-18T19:55:35Z</cp:lastPrinted>
  <dcterms:created xsi:type="dcterms:W3CDTF">2012-11-27T19:01:45Z</dcterms:created>
  <dcterms:modified xsi:type="dcterms:W3CDTF">2016-03-09T20:41:42Z</dcterms:modified>
</cp:coreProperties>
</file>