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defaultThemeVersion="124226"/>
  <mc:AlternateContent xmlns:mc="http://schemas.openxmlformats.org/markup-compatibility/2006">
    <mc:Choice Requires="x15">
      <x15ac:absPath xmlns:x15ac="http://schemas.microsoft.com/office/spreadsheetml/2010/11/ac" url="C:\Users\Christina.Sandberg\Documents\Farm to School Census and Comprehensive Review\Final 10.24.18\"/>
    </mc:Choice>
  </mc:AlternateContent>
  <bookViews>
    <workbookView xWindow="450" yWindow="7620" windowWidth="24240" windowHeight="11490"/>
  </bookViews>
  <sheets>
    <sheet name="Full burden table" sheetId="3" r:id="rId1"/>
    <sheet name="ESRI_MAPINFO_SHEET" sheetId="4" state="veryHidden" r:id="rId2"/>
  </sheets>
  <definedNames>
    <definedName name="_xlnm.Print_Area" localSheetId="0">'Full burden table'!$A$2:$P$71</definedName>
  </definedNames>
  <calcPr calcId="162913"/>
</workbook>
</file>

<file path=xl/calcChain.xml><?xml version="1.0" encoding="utf-8"?>
<calcChain xmlns="http://schemas.openxmlformats.org/spreadsheetml/2006/main">
  <c r="K4" i="3" l="1"/>
  <c r="M4" i="3" s="1"/>
  <c r="K5" i="3"/>
  <c r="M5" i="3" s="1"/>
  <c r="O5" i="3" s="1"/>
  <c r="K6" i="3"/>
  <c r="M6" i="3" s="1"/>
  <c r="O6" i="3" s="1"/>
  <c r="K7" i="3"/>
  <c r="M7" i="3" s="1"/>
  <c r="O7" i="3" s="1"/>
  <c r="K8" i="3"/>
  <c r="M8" i="3" s="1"/>
  <c r="O8" i="3" s="1"/>
  <c r="K10" i="3"/>
  <c r="M10" i="3" s="1"/>
  <c r="K11" i="3"/>
  <c r="M11" i="3" s="1"/>
  <c r="O11" i="3" s="1"/>
  <c r="F12" i="3"/>
  <c r="K12" i="3" s="1"/>
  <c r="M12" i="3" s="1"/>
  <c r="O12" i="3" s="1"/>
  <c r="K13" i="3"/>
  <c r="M13" i="3" s="1"/>
  <c r="O13" i="3" s="1"/>
  <c r="F14" i="3"/>
  <c r="K14" i="3" s="1"/>
  <c r="M14" i="3" s="1"/>
  <c r="O14" i="3" s="1"/>
  <c r="E15" i="3"/>
  <c r="K15" i="3" s="1"/>
  <c r="M15" i="3" s="1"/>
  <c r="O15" i="3" s="1"/>
  <c r="E16" i="3"/>
  <c r="E24" i="3"/>
  <c r="K24" i="3" s="1"/>
  <c r="M24" i="3" s="1"/>
  <c r="O24" i="3" s="1"/>
  <c r="H4" i="3"/>
  <c r="H5" i="3"/>
  <c r="H6" i="3"/>
  <c r="J6" i="3" s="1"/>
  <c r="H7" i="3"/>
  <c r="J7" i="3" s="1"/>
  <c r="H8" i="3"/>
  <c r="J8" i="3" s="1"/>
  <c r="P8" i="3" s="1"/>
  <c r="R8" i="3" s="1"/>
  <c r="H10" i="3"/>
  <c r="H11" i="3"/>
  <c r="J11" i="3" s="1"/>
  <c r="H13" i="3"/>
  <c r="J13" i="3" s="1"/>
  <c r="H15" i="3"/>
  <c r="J15" i="3" s="1"/>
  <c r="H24" i="3"/>
  <c r="J24" i="3" s="1"/>
  <c r="F9" i="3"/>
  <c r="F62" i="3"/>
  <c r="E62" i="3"/>
  <c r="E47" i="3"/>
  <c r="E9" i="3"/>
  <c r="E28" i="3"/>
  <c r="J4" i="3"/>
  <c r="J5" i="3"/>
  <c r="J10" i="3"/>
  <c r="H30" i="3"/>
  <c r="J30" i="3" s="1"/>
  <c r="K30" i="3"/>
  <c r="M30" i="3" s="1"/>
  <c r="O30" i="3" s="1"/>
  <c r="H31" i="3"/>
  <c r="J31" i="3" s="1"/>
  <c r="K31" i="3"/>
  <c r="M31" i="3"/>
  <c r="O31" i="3" s="1"/>
  <c r="F32" i="3"/>
  <c r="K32" i="3" s="1"/>
  <c r="M32" i="3" s="1"/>
  <c r="O32" i="3" s="1"/>
  <c r="F33" i="3"/>
  <c r="H33" i="3" s="1"/>
  <c r="J33" i="3" s="1"/>
  <c r="H34" i="3"/>
  <c r="J34" i="3" s="1"/>
  <c r="E34" i="3"/>
  <c r="K34" i="3" s="1"/>
  <c r="M34" i="3" s="1"/>
  <c r="O34" i="3" s="1"/>
  <c r="E35" i="3"/>
  <c r="F35" i="3" s="1"/>
  <c r="H43" i="3"/>
  <c r="J43" i="3" s="1"/>
  <c r="E43" i="3"/>
  <c r="K43" i="3" s="1"/>
  <c r="M43" i="3" s="1"/>
  <c r="O43" i="3" s="1"/>
  <c r="H48" i="3"/>
  <c r="J48" i="3" s="1"/>
  <c r="K48" i="3"/>
  <c r="M48" i="3" s="1"/>
  <c r="O48" i="3" s="1"/>
  <c r="H49" i="3"/>
  <c r="J49" i="3" s="1"/>
  <c r="K49" i="3"/>
  <c r="M49" i="3" s="1"/>
  <c r="O49" i="3" s="1"/>
  <c r="H50" i="3"/>
  <c r="J50" i="3" s="1"/>
  <c r="K50" i="3"/>
  <c r="E51" i="3" s="1"/>
  <c r="K51" i="3" s="1"/>
  <c r="H51" i="3"/>
  <c r="J51" i="3" s="1"/>
  <c r="H52" i="3"/>
  <c r="J52" i="3" s="1"/>
  <c r="H53" i="3"/>
  <c r="J53" i="3" s="1"/>
  <c r="H54" i="3"/>
  <c r="J54" i="3" s="1"/>
  <c r="H55" i="3"/>
  <c r="J55" i="3"/>
  <c r="H56" i="3"/>
  <c r="J56" i="3" s="1"/>
  <c r="H57" i="3"/>
  <c r="J57" i="3" s="1"/>
  <c r="H58" i="3"/>
  <c r="J58" i="3" s="1"/>
  <c r="K58" i="3"/>
  <c r="M58" i="3" s="1"/>
  <c r="O58" i="3" s="1"/>
  <c r="H59" i="3"/>
  <c r="J59" i="3" s="1"/>
  <c r="K59" i="3"/>
  <c r="O59" i="3"/>
  <c r="H60" i="3"/>
  <c r="J60" i="3" s="1"/>
  <c r="K60" i="3"/>
  <c r="M60" i="3" s="1"/>
  <c r="O60" i="3" s="1"/>
  <c r="J61" i="3"/>
  <c r="K61" i="3"/>
  <c r="M61" i="3" s="1"/>
  <c r="O61" i="3" s="1"/>
  <c r="L9" i="3"/>
  <c r="P49" i="3" l="1"/>
  <c r="R49" i="3" s="1"/>
  <c r="H32" i="3"/>
  <c r="J32" i="3" s="1"/>
  <c r="F47" i="3"/>
  <c r="F63" i="3" s="1"/>
  <c r="P7" i="3"/>
  <c r="R7" i="3" s="1"/>
  <c r="E29" i="3"/>
  <c r="P11" i="3"/>
  <c r="R11" i="3" s="1"/>
  <c r="P13" i="3"/>
  <c r="R13" i="3" s="1"/>
  <c r="P58" i="3"/>
  <c r="R58" i="3" s="1"/>
  <c r="K62" i="3"/>
  <c r="K28" i="3"/>
  <c r="M50" i="3"/>
  <c r="O50" i="3" s="1"/>
  <c r="P50" i="3" s="1"/>
  <c r="R50" i="3" s="1"/>
  <c r="K33" i="3"/>
  <c r="M33" i="3" s="1"/>
  <c r="O33" i="3" s="1"/>
  <c r="P33" i="3" s="1"/>
  <c r="R33" i="3" s="1"/>
  <c r="E63" i="3"/>
  <c r="J9" i="3"/>
  <c r="K9" i="3"/>
  <c r="P61" i="3"/>
  <c r="R61" i="3" s="1"/>
  <c r="P60" i="3"/>
  <c r="R60" i="3" s="1"/>
  <c r="E46" i="3"/>
  <c r="P31" i="3"/>
  <c r="R31" i="3" s="1"/>
  <c r="H14" i="3"/>
  <c r="J14" i="3" s="1"/>
  <c r="P14" i="3" s="1"/>
  <c r="R14" i="3" s="1"/>
  <c r="P48" i="3"/>
  <c r="R48" i="3" s="1"/>
  <c r="P59" i="3"/>
  <c r="R59" i="3" s="1"/>
  <c r="F28" i="3"/>
  <c r="F29" i="3" s="1"/>
  <c r="F16" i="3"/>
  <c r="H16" i="3" s="1"/>
  <c r="J16" i="3" s="1"/>
  <c r="E52" i="3"/>
  <c r="K52" i="3" s="1"/>
  <c r="M51" i="3"/>
  <c r="O51" i="3" s="1"/>
  <c r="P51" i="3" s="1"/>
  <c r="R51" i="3" s="1"/>
  <c r="O10" i="3"/>
  <c r="P24" i="3"/>
  <c r="R24" i="3" s="1"/>
  <c r="J62" i="3"/>
  <c r="H35" i="3"/>
  <c r="K35" i="3"/>
  <c r="P15" i="3"/>
  <c r="R15" i="3" s="1"/>
  <c r="P6" i="3"/>
  <c r="R6" i="3" s="1"/>
  <c r="H9" i="3"/>
  <c r="P34" i="3"/>
  <c r="R34" i="3" s="1"/>
  <c r="H62" i="3"/>
  <c r="G62" i="3" s="1"/>
  <c r="P43" i="3"/>
  <c r="R43" i="3" s="1"/>
  <c r="P32" i="3"/>
  <c r="R32" i="3" s="1"/>
  <c r="P30" i="3"/>
  <c r="P5" i="3"/>
  <c r="R5" i="3" s="1"/>
  <c r="H12" i="3"/>
  <c r="O4" i="3"/>
  <c r="O9" i="3" s="1"/>
  <c r="M9" i="3"/>
  <c r="E27" i="3"/>
  <c r="F64" i="3" l="1"/>
  <c r="K47" i="3"/>
  <c r="K63" i="3"/>
  <c r="E64" i="3"/>
  <c r="K29" i="3"/>
  <c r="R30" i="3"/>
  <c r="F46" i="3"/>
  <c r="H46" i="3" s="1"/>
  <c r="J46" i="3" s="1"/>
  <c r="K16" i="3"/>
  <c r="J12" i="3"/>
  <c r="P10" i="3"/>
  <c r="M35" i="3"/>
  <c r="E36" i="3"/>
  <c r="I62" i="3"/>
  <c r="M52" i="3"/>
  <c r="O52" i="3" s="1"/>
  <c r="P52" i="3" s="1"/>
  <c r="R52" i="3" s="1"/>
  <c r="E53" i="3"/>
  <c r="K53" i="3" s="1"/>
  <c r="F27" i="3"/>
  <c r="H27" i="3" s="1"/>
  <c r="J27" i="3" s="1"/>
  <c r="G9" i="3"/>
  <c r="I9" i="3"/>
  <c r="J35" i="3"/>
  <c r="P4" i="3"/>
  <c r="K64" i="3" l="1"/>
  <c r="K27" i="3"/>
  <c r="M27" i="3" s="1"/>
  <c r="O27" i="3" s="1"/>
  <c r="P27" i="3" s="1"/>
  <c r="R27" i="3" s="1"/>
  <c r="K46" i="3"/>
  <c r="M46" i="3" s="1"/>
  <c r="O46" i="3" s="1"/>
  <c r="P46" i="3" s="1"/>
  <c r="R46" i="3" s="1"/>
  <c r="M16" i="3"/>
  <c r="O16" i="3" s="1"/>
  <c r="P16" i="3" s="1"/>
  <c r="R16" i="3" s="1"/>
  <c r="E17" i="3"/>
  <c r="F17" i="3" s="1"/>
  <c r="H17" i="3" s="1"/>
  <c r="J17" i="3" s="1"/>
  <c r="P12" i="3"/>
  <c r="R12" i="3" s="1"/>
  <c r="R4" i="3"/>
  <c r="R9" i="3" s="1"/>
  <c r="P9" i="3"/>
  <c r="F36" i="3"/>
  <c r="H36" i="3" s="1"/>
  <c r="K36" i="3"/>
  <c r="E54" i="3"/>
  <c r="K54" i="3" s="1"/>
  <c r="M53" i="3"/>
  <c r="O53" i="3" s="1"/>
  <c r="O35" i="3"/>
  <c r="P35" i="3" s="1"/>
  <c r="R10" i="3"/>
  <c r="K17" i="3" l="1"/>
  <c r="E18" i="3" s="1"/>
  <c r="R35" i="3"/>
  <c r="M36" i="3"/>
  <c r="E37" i="3"/>
  <c r="E55" i="3"/>
  <c r="K55" i="3" s="1"/>
  <c r="M54" i="3"/>
  <c r="P53" i="3"/>
  <c r="J36" i="3"/>
  <c r="M17" i="3" l="1"/>
  <c r="O17" i="3" s="1"/>
  <c r="E56" i="3"/>
  <c r="K56" i="3" s="1"/>
  <c r="M55" i="3"/>
  <c r="O55" i="3" s="1"/>
  <c r="P55" i="3" s="1"/>
  <c r="R55" i="3" s="1"/>
  <c r="P36" i="3"/>
  <c r="F37" i="3"/>
  <c r="H37" i="3" s="1"/>
  <c r="O36" i="3"/>
  <c r="F18" i="3"/>
  <c r="H18" i="3" s="1"/>
  <c r="R53" i="3"/>
  <c r="O54" i="3"/>
  <c r="K18" i="3" l="1"/>
  <c r="E19" i="3" s="1"/>
  <c r="P54" i="3"/>
  <c r="P17" i="3"/>
  <c r="R36" i="3"/>
  <c r="J37" i="3"/>
  <c r="J18" i="3"/>
  <c r="K37" i="3"/>
  <c r="E57" i="3"/>
  <c r="K57" i="3" s="1"/>
  <c r="M57" i="3" s="1"/>
  <c r="O57" i="3" s="1"/>
  <c r="P57" i="3" s="1"/>
  <c r="R57" i="3" s="1"/>
  <c r="M56" i="3"/>
  <c r="M18" i="3" l="1"/>
  <c r="O18" i="3" s="1"/>
  <c r="F19" i="3"/>
  <c r="H19" i="3" s="1"/>
  <c r="R17" i="3"/>
  <c r="M37" i="3"/>
  <c r="E38" i="3"/>
  <c r="O56" i="3"/>
  <c r="M62" i="3"/>
  <c r="L62" i="3" s="1"/>
  <c r="R54" i="3"/>
  <c r="J19" i="3" l="1"/>
  <c r="F38" i="3"/>
  <c r="H38" i="3" s="1"/>
  <c r="P56" i="3"/>
  <c r="O62" i="3"/>
  <c r="N62" i="3" s="1"/>
  <c r="K19" i="3"/>
  <c r="O37" i="3"/>
  <c r="P37" i="3" s="1"/>
  <c r="P18" i="3"/>
  <c r="R18" i="3" l="1"/>
  <c r="J38" i="3"/>
  <c r="R37" i="3"/>
  <c r="M19" i="3"/>
  <c r="E20" i="3"/>
  <c r="K38" i="3"/>
  <c r="R56" i="3"/>
  <c r="R62" i="3" s="1"/>
  <c r="P62" i="3"/>
  <c r="O19" i="3" l="1"/>
  <c r="F20" i="3"/>
  <c r="H20" i="3" s="1"/>
  <c r="M38" i="3"/>
  <c r="E39" i="3"/>
  <c r="F39" i="3" l="1"/>
  <c r="H39" i="3" s="1"/>
  <c r="O38" i="3"/>
  <c r="P38" i="3" s="1"/>
  <c r="K20" i="3"/>
  <c r="J20" i="3"/>
  <c r="P19" i="3"/>
  <c r="R38" i="3" l="1"/>
  <c r="J39" i="3"/>
  <c r="R19" i="3"/>
  <c r="M20" i="3"/>
  <c r="O20" i="3" s="1"/>
  <c r="P20" i="3" s="1"/>
  <c r="E21" i="3"/>
  <c r="K39" i="3"/>
  <c r="R20" i="3" l="1"/>
  <c r="E40" i="3"/>
  <c r="M39" i="3"/>
  <c r="O39" i="3" s="1"/>
  <c r="P39" i="3" s="1"/>
  <c r="R39" i="3" s="1"/>
  <c r="F21" i="3"/>
  <c r="H21" i="3" s="1"/>
  <c r="J21" i="3" l="1"/>
  <c r="F40" i="3"/>
  <c r="H40" i="3" s="1"/>
  <c r="J40" i="3" s="1"/>
  <c r="K40" i="3"/>
  <c r="K21" i="3"/>
  <c r="M40" i="3" l="1"/>
  <c r="O40" i="3" s="1"/>
  <c r="P40" i="3" s="1"/>
  <c r="R40" i="3" s="1"/>
  <c r="E41" i="3"/>
  <c r="M21" i="3"/>
  <c r="O21" i="3" s="1"/>
  <c r="P21" i="3" s="1"/>
  <c r="R21" i="3" s="1"/>
  <c r="E22" i="3"/>
  <c r="F41" i="3" l="1"/>
  <c r="H41" i="3" s="1"/>
  <c r="J41" i="3" s="1"/>
  <c r="F22" i="3"/>
  <c r="H22" i="3" s="1"/>
  <c r="J22" i="3" s="1"/>
  <c r="K22" i="3" l="1"/>
  <c r="K41" i="3"/>
  <c r="M41" i="3" l="1"/>
  <c r="O41" i="3" s="1"/>
  <c r="P41" i="3" s="1"/>
  <c r="R41" i="3" s="1"/>
  <c r="E42" i="3"/>
  <c r="M22" i="3"/>
  <c r="O22" i="3" s="1"/>
  <c r="P22" i="3" s="1"/>
  <c r="R22" i="3" s="1"/>
  <c r="E23" i="3"/>
  <c r="F42" i="3" l="1"/>
  <c r="H42" i="3" s="1"/>
  <c r="J42" i="3" s="1"/>
  <c r="F23" i="3"/>
  <c r="H23" i="3" s="1"/>
  <c r="J23" i="3" s="1"/>
  <c r="K23" i="3" l="1"/>
  <c r="K42" i="3"/>
  <c r="M42" i="3" l="1"/>
  <c r="O42" i="3" s="1"/>
  <c r="P42" i="3" s="1"/>
  <c r="R42" i="3" s="1"/>
  <c r="E44" i="3"/>
  <c r="M23" i="3"/>
  <c r="O23" i="3" s="1"/>
  <c r="P23" i="3" s="1"/>
  <c r="R23" i="3" s="1"/>
  <c r="E25" i="3"/>
  <c r="F25" i="3" l="1"/>
  <c r="H25" i="3" s="1"/>
  <c r="J25" i="3" s="1"/>
  <c r="F44" i="3"/>
  <c r="H44" i="3" s="1"/>
  <c r="J44" i="3" s="1"/>
  <c r="K25" i="3" l="1"/>
  <c r="M25" i="3" s="1"/>
  <c r="O25" i="3" s="1"/>
  <c r="P25" i="3" s="1"/>
  <c r="R25" i="3" s="1"/>
  <c r="K44" i="3"/>
  <c r="E26" i="3" l="1"/>
  <c r="F26" i="3" s="1"/>
  <c r="H26" i="3" s="1"/>
  <c r="E45" i="3"/>
  <c r="M44" i="3"/>
  <c r="O44" i="3" s="1"/>
  <c r="P44" i="3" s="1"/>
  <c r="R44" i="3" s="1"/>
  <c r="K26" i="3" l="1"/>
  <c r="M26" i="3" s="1"/>
  <c r="O26" i="3" s="1"/>
  <c r="O28" i="3" s="1"/>
  <c r="J26" i="3"/>
  <c r="H28" i="3"/>
  <c r="F45" i="3"/>
  <c r="H45" i="3" s="1"/>
  <c r="M28" i="3" l="1"/>
  <c r="M29" i="3" s="1"/>
  <c r="P26" i="3"/>
  <c r="J28" i="3"/>
  <c r="K45" i="3"/>
  <c r="M45" i="3" s="1"/>
  <c r="G28" i="3"/>
  <c r="H29" i="3"/>
  <c r="G29" i="3" s="1"/>
  <c r="J45" i="3"/>
  <c r="H47" i="3"/>
  <c r="O29" i="3"/>
  <c r="L28" i="3" l="1"/>
  <c r="N28" i="3"/>
  <c r="N29" i="3"/>
  <c r="J47" i="3"/>
  <c r="O45" i="3"/>
  <c r="O47" i="3" s="1"/>
  <c r="M47" i="3"/>
  <c r="I28" i="3"/>
  <c r="J29" i="3"/>
  <c r="I29" i="3" s="1"/>
  <c r="G47" i="3"/>
  <c r="H63" i="3"/>
  <c r="L29" i="3"/>
  <c r="R26" i="3"/>
  <c r="R28" i="3" s="1"/>
  <c r="R29" i="3" s="1"/>
  <c r="P28" i="3"/>
  <c r="P29" i="3" s="1"/>
  <c r="L47" i="3" l="1"/>
  <c r="M63" i="3"/>
  <c r="I47" i="3"/>
  <c r="J63" i="3"/>
  <c r="G63" i="3"/>
  <c r="H64" i="3"/>
  <c r="G64" i="3" s="1"/>
  <c r="O63" i="3"/>
  <c r="N47" i="3"/>
  <c r="P45" i="3"/>
  <c r="P47" i="3" s="1"/>
  <c r="R45" i="3" l="1"/>
  <c r="R47" i="3" s="1"/>
  <c r="R63" i="3" s="1"/>
  <c r="R64" i="3" s="1"/>
  <c r="P63" i="3"/>
  <c r="L63" i="3"/>
  <c r="M64" i="3"/>
  <c r="L64" i="3" s="1"/>
  <c r="J64" i="3"/>
  <c r="I64" i="3" s="1"/>
  <c r="I63" i="3"/>
  <c r="O64" i="3"/>
  <c r="N63" i="3"/>
  <c r="N64" i="3" l="1"/>
</calcChain>
</file>

<file path=xl/sharedStrings.xml><?xml version="1.0" encoding="utf-8"?>
<sst xmlns="http://schemas.openxmlformats.org/spreadsheetml/2006/main" count="149" uniqueCount="96">
  <si>
    <t>Original Sample Size</t>
  </si>
  <si>
    <t>Estimated number of respondents</t>
  </si>
  <si>
    <t>Frequency of Response</t>
  </si>
  <si>
    <t>Estimated Annual Burden (hours)</t>
  </si>
  <si>
    <t>Responsive</t>
  </si>
  <si>
    <t>Non-Responsive</t>
  </si>
  <si>
    <t>Total Annual Responses</t>
  </si>
  <si>
    <t>Respondent Type</t>
  </si>
  <si>
    <t xml:space="preserve">Data Collection Activity </t>
  </si>
  <si>
    <t>Estimated Total Annual Hour Burden</t>
  </si>
  <si>
    <t>Distributors</t>
  </si>
  <si>
    <t>Hours per Response</t>
  </si>
  <si>
    <t>TOTAL REPORTING BURDEN</t>
  </si>
  <si>
    <t>Respondent Description</t>
  </si>
  <si>
    <t>Business</t>
  </si>
  <si>
    <t xml:space="preserve">State/local government </t>
  </si>
  <si>
    <t>SFA Directors: Public schools</t>
  </si>
  <si>
    <t>Subtotal (Distributors)</t>
  </si>
  <si>
    <t>Subtotal (All Businesses)</t>
  </si>
  <si>
    <t>Subtotal (All State/local government)</t>
  </si>
  <si>
    <t>SFA Directors: Private Schools</t>
  </si>
  <si>
    <t>Subtotal (SFAs: Private Schools)</t>
  </si>
  <si>
    <t>Subtotal (SFAs: Public Schools)</t>
  </si>
  <si>
    <t>State Child Nutrition (CN)  Directors</t>
  </si>
  <si>
    <t>Hourly wage rate</t>
  </si>
  <si>
    <t>Appendix</t>
  </si>
  <si>
    <r>
      <rPr>
        <vertAlign val="superscript"/>
        <sz val="10"/>
        <rFont val="Calibri"/>
        <family val="2"/>
        <scheme val="minor"/>
      </rPr>
      <t xml:space="preserve">1 </t>
    </r>
    <r>
      <rPr>
        <sz val="10"/>
        <rFont val="Calibri"/>
        <family val="2"/>
        <scheme val="minor"/>
      </rPr>
      <t>This email includes a request from the study team to CN Directors for list of SFAs and Director Contact Information.</t>
    </r>
  </si>
  <si>
    <t>Pre-Census Recruitment Email from State Child Nutrition Directors to SFAs</t>
  </si>
  <si>
    <t xml:space="preserve">Census Frequently Asked Questions (FAQ) </t>
  </si>
  <si>
    <t xml:space="preserve">Census thank you email </t>
  </si>
  <si>
    <t xml:space="preserve">Census reminder email #8 </t>
  </si>
  <si>
    <t xml:space="preserve">Census reminder email #7 </t>
  </si>
  <si>
    <t xml:space="preserve">Census reminder email #6 </t>
  </si>
  <si>
    <t xml:space="preserve">Census reminder email #5 </t>
  </si>
  <si>
    <t xml:space="preserve">Census reminder email #4 </t>
  </si>
  <si>
    <t xml:space="preserve">Census reminder email #3 </t>
  </si>
  <si>
    <t xml:space="preserve">Census reminder email #2 </t>
  </si>
  <si>
    <t xml:space="preserve">Census reminder email #1 </t>
  </si>
  <si>
    <t>Distributor Interview Recruitment Email</t>
  </si>
  <si>
    <t>Distributor Interview Frequently Asked Questions (FAQs)</t>
  </si>
  <si>
    <t>Recruitment email from FNS to State Child Nutrition Directors</t>
  </si>
  <si>
    <t>Recruitment email from FNS to State Department of Agriculture</t>
  </si>
  <si>
    <t xml:space="preserve">Census Reminder Emails from State Child Nutrition Directors to SFAs </t>
  </si>
  <si>
    <t xml:space="preserve">Census follow-up telephone script #1 </t>
  </si>
  <si>
    <t>Census follow-up telephone script #2</t>
  </si>
  <si>
    <t>Distributor Interview thank you email</t>
  </si>
  <si>
    <t>Estimated number of non-respondents*</t>
  </si>
  <si>
    <t>Notes:</t>
  </si>
  <si>
    <r>
      <rPr>
        <vertAlign val="superscript"/>
        <sz val="10"/>
        <rFont val="Calibri"/>
        <family val="2"/>
        <scheme val="minor"/>
      </rPr>
      <t xml:space="preserve">2 </t>
    </r>
    <r>
      <rPr>
        <sz val="10"/>
        <rFont val="Calibri"/>
        <family val="2"/>
        <scheme val="minor"/>
      </rPr>
      <t xml:space="preserve">The study team estimates that after each reminder email approximately 20% of non-respondents will complete the Census. </t>
    </r>
  </si>
  <si>
    <t xml:space="preserve">Census reminder emails from State Child Nutrition Directors to SFAs </t>
  </si>
  <si>
    <t>Pre-Census recruitment email from State Child Nutrition Directors to SFAs</t>
  </si>
  <si>
    <t>Census preparation worksheet</t>
  </si>
  <si>
    <r>
      <rPr>
        <vertAlign val="superscript"/>
        <sz val="10"/>
        <rFont val="Calibri"/>
        <family val="2"/>
        <scheme val="minor"/>
      </rPr>
      <t>3</t>
    </r>
    <r>
      <rPr>
        <sz val="10"/>
        <rFont val="Calibri"/>
        <family val="2"/>
        <scheme val="minor"/>
      </rPr>
      <t xml:space="preserve"> Pretest participants are included in the universe of SFAs for the Census. For distributors, the pretest participants will be different than the sample used for the full study. </t>
    </r>
  </si>
  <si>
    <r>
      <t xml:space="preserve">Distributor Interview pretest </t>
    </r>
    <r>
      <rPr>
        <vertAlign val="superscript"/>
        <sz val="10"/>
        <rFont val="Calibri"/>
        <family val="2"/>
        <scheme val="minor"/>
      </rPr>
      <t>3</t>
    </r>
  </si>
  <si>
    <r>
      <t xml:space="preserve">Census survey pretest </t>
    </r>
    <r>
      <rPr>
        <vertAlign val="superscript"/>
        <sz val="10"/>
        <rFont val="Calibri"/>
        <family val="2"/>
        <scheme val="minor"/>
      </rPr>
      <t>3</t>
    </r>
  </si>
  <si>
    <t>Distributor Interview Scheduling Phone Script - Call #1</t>
  </si>
  <si>
    <t>Distributor Interview Scheduling Phone Script - Call #2</t>
  </si>
  <si>
    <t>Distributor Interview Scheduling Phone Script - Call #3</t>
  </si>
  <si>
    <t>Distributor Interview Scheduling Phone Script - Call #4</t>
  </si>
  <si>
    <t>Distributor Interview Scheduling Phone Script - Call #5</t>
  </si>
  <si>
    <t>Distributor Interview Scheduling Phone Script - Call #6</t>
  </si>
  <si>
    <t>Distributor Interview Scheduling Phone Script - Call #7</t>
  </si>
  <si>
    <t>Distributor Interview Scheduling Phone Script - Call #8</t>
  </si>
  <si>
    <t>K</t>
  </si>
  <si>
    <t>L</t>
  </si>
  <si>
    <t>O</t>
  </si>
  <si>
    <t>P</t>
  </si>
  <si>
    <t>R</t>
  </si>
  <si>
    <t>S</t>
  </si>
  <si>
    <t>T</t>
  </si>
  <si>
    <t>D, E</t>
  </si>
  <si>
    <t>Q</t>
  </si>
  <si>
    <t>C</t>
  </si>
  <si>
    <t>G</t>
  </si>
  <si>
    <t>F</t>
  </si>
  <si>
    <t>H</t>
  </si>
  <si>
    <t>J</t>
  </si>
  <si>
    <t>Total Burden 
(in $)</t>
  </si>
  <si>
    <t>State Agriculture Directors</t>
  </si>
  <si>
    <t>Subtotal (States)</t>
  </si>
  <si>
    <r>
      <t xml:space="preserve">Recruitment email from Study Team to State Child Nutrition Directors </t>
    </r>
    <r>
      <rPr>
        <vertAlign val="superscript"/>
        <sz val="10"/>
        <rFont val="Calibri"/>
        <family val="2"/>
        <scheme val="minor"/>
      </rPr>
      <t xml:space="preserve">1 </t>
    </r>
  </si>
  <si>
    <t>Census introductory email from Study Team to SFAs</t>
  </si>
  <si>
    <t>Census survey</t>
  </si>
  <si>
    <t xml:space="preserve">Census survey </t>
  </si>
  <si>
    <t>I</t>
  </si>
  <si>
    <r>
      <t xml:space="preserve">Distributor Interview (by phone) </t>
    </r>
    <r>
      <rPr>
        <vertAlign val="superscript"/>
        <sz val="10"/>
        <rFont val="Calibri"/>
        <family val="2"/>
        <scheme val="minor"/>
      </rPr>
      <t>4</t>
    </r>
  </si>
  <si>
    <r>
      <rPr>
        <vertAlign val="superscript"/>
        <sz val="10"/>
        <rFont val="Calibri"/>
        <family val="2"/>
        <scheme val="minor"/>
      </rPr>
      <t>4</t>
    </r>
    <r>
      <rPr>
        <sz val="10"/>
        <rFont val="Calibri"/>
        <family val="2"/>
        <scheme val="minor"/>
      </rPr>
      <t xml:space="preserve"> While 25 distributors will be recruited to participate in the distributor interview using the Distributor Interview Recruitment Eamil and Distributor Interview Scheduling Phone Script, the assumption is that only 20 distributors will respond to those efforts; thus, the full sample to receive the Distributor Interview Confirmation Email and the Distributor Interview (by phone) is only 20, with all confirmed respondents expected to participate.</t>
    </r>
  </si>
  <si>
    <r>
      <t xml:space="preserve">Distributor Interview Confirmation Email </t>
    </r>
    <r>
      <rPr>
        <vertAlign val="superscript"/>
        <sz val="10"/>
        <rFont val="Calibri"/>
        <family val="2"/>
        <scheme val="minor"/>
      </rPr>
      <t>4</t>
    </r>
  </si>
  <si>
    <t>* For the totals in the column labeled "Estimated number of non-respondents," only those who will never respond are counted as unique non-respondents.</t>
  </si>
  <si>
    <t>M.2</t>
  </si>
  <si>
    <t>N.2</t>
  </si>
  <si>
    <t>Appendix AB. Estimates of Respondent Burden</t>
  </si>
  <si>
    <t>M.1</t>
  </si>
  <si>
    <t>N.1</t>
  </si>
  <si>
    <t>TOTAL REPORTING BURDEN (Fully Loaded)</t>
  </si>
  <si>
    <t>.33% to Account for Fully Loaded Wage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</si>
</sst>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8" formatCode="&quot;$&quot;#,##0.00_);[Red]\(&quot;$&quot;#,##0.00\)"/>
    <numFmt numFmtId="44" formatCode="_(&quot;$&quot;* #,##0.00_);_(&quot;$&quot;* \(#,##0.00\);_(&quot;$&quot;* &quot;-&quot;??_);_(@_)"/>
    <numFmt numFmtId="43" formatCode="_(* #,##0.00_);_(* \(#,##0.00\);_(* &quot;-&quot;??_);_(@_)"/>
    <numFmt numFmtId="164" formatCode="_(* #,##0_);_(* \(#,##0\);_(* &quot;-&quot;??_);_(@_)"/>
  </numFmts>
  <fonts count="7" x14ac:knownFonts="1">
    <font>
      <sz val="11"/>
      <color theme="1"/>
      <name val="Calibri"/>
      <family val="2"/>
      <scheme val="minor"/>
    </font>
    <font>
      <sz val="11"/>
      <color theme="1"/>
      <name val="Calibri"/>
      <family val="2"/>
      <scheme val="minor"/>
    </font>
    <font>
      <sz val="10"/>
      <name val="Calibri"/>
      <family val="2"/>
      <scheme val="minor"/>
    </font>
    <font>
      <b/>
      <sz val="10"/>
      <name val="Calibri"/>
      <family val="2"/>
      <scheme val="minor"/>
    </font>
    <font>
      <b/>
      <i/>
      <sz val="10"/>
      <name val="Calibri"/>
      <family val="2"/>
      <scheme val="minor"/>
    </font>
    <font>
      <vertAlign val="superscript"/>
      <sz val="10"/>
      <name val="Calibri"/>
      <family val="2"/>
      <scheme val="minor"/>
    </font>
    <font>
      <sz val="11"/>
      <color theme="1"/>
      <name val="Courier New"/>
      <family val="3"/>
    </font>
  </fonts>
  <fills count="8">
    <fill>
      <patternFill patternType="none"/>
    </fill>
    <fill>
      <patternFill patternType="gray125"/>
    </fill>
    <fill>
      <patternFill patternType="solid">
        <fgColor theme="0" tint="-0.34998626667073579"/>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3">
    <xf numFmtId="0" fontId="0" fillId="0" borderId="0"/>
    <xf numFmtId="43" fontId="1" fillId="0" borderId="0" applyFont="0" applyFill="0" applyBorder="0" applyAlignment="0" applyProtection="0"/>
    <xf numFmtId="44" fontId="1" fillId="0" borderId="0" applyFont="0" applyFill="0" applyBorder="0" applyAlignment="0" applyProtection="0"/>
  </cellStyleXfs>
  <cellXfs count="100">
    <xf numFmtId="0" fontId="0" fillId="0" borderId="0" xfId="0"/>
    <xf numFmtId="3" fontId="2" fillId="0" borderId="1" xfId="0" applyNumberFormat="1" applyFont="1" applyFill="1" applyBorder="1" applyAlignment="1">
      <alignment horizontal="right" vertical="top"/>
    </xf>
    <xf numFmtId="2" fontId="2" fillId="0" borderId="1" xfId="0" applyNumberFormat="1" applyFont="1" applyFill="1" applyBorder="1" applyAlignment="1">
      <alignment horizontal="right" vertical="top" wrapText="1"/>
    </xf>
    <xf numFmtId="43" fontId="2" fillId="0" borderId="1" xfId="1" applyFont="1" applyFill="1" applyBorder="1" applyAlignment="1">
      <alignment horizontal="right" vertical="top" wrapText="1"/>
    </xf>
    <xf numFmtId="3" fontId="2" fillId="0" borderId="1" xfId="0" applyNumberFormat="1" applyFont="1" applyFill="1" applyBorder="1" applyAlignment="1">
      <alignment horizontal="right" vertical="top" wrapText="1"/>
    </xf>
    <xf numFmtId="1" fontId="2" fillId="0" borderId="1" xfId="1" applyNumberFormat="1" applyFont="1" applyFill="1" applyBorder="1" applyAlignment="1">
      <alignment horizontal="right" vertical="top" wrapText="1"/>
    </xf>
    <xf numFmtId="164" fontId="2" fillId="0" borderId="1" xfId="1" applyNumberFormat="1" applyFont="1" applyFill="1" applyBorder="1" applyAlignment="1">
      <alignment horizontal="right" vertical="top" wrapText="1"/>
    </xf>
    <xf numFmtId="0" fontId="2" fillId="0" borderId="0" xfId="0" applyFont="1" applyAlignment="1">
      <alignment horizontal="center" vertical="top"/>
    </xf>
    <xf numFmtId="2" fontId="2" fillId="0" borderId="1" xfId="1" applyNumberFormat="1" applyFont="1" applyFill="1" applyBorder="1" applyAlignment="1">
      <alignment horizontal="right" vertical="top" wrapText="1"/>
    </xf>
    <xf numFmtId="164" fontId="2" fillId="0" borderId="1" xfId="1" applyNumberFormat="1" applyFont="1" applyFill="1" applyBorder="1" applyAlignment="1">
      <alignment horizontal="right" vertical="top"/>
    </xf>
    <xf numFmtId="1" fontId="2" fillId="0" borderId="1" xfId="0" applyNumberFormat="1" applyFont="1" applyFill="1" applyBorder="1" applyAlignment="1">
      <alignment horizontal="right" vertical="top" wrapText="1"/>
    </xf>
    <xf numFmtId="44" fontId="2" fillId="0" borderId="1" xfId="2" applyFont="1" applyFill="1" applyBorder="1" applyAlignment="1">
      <alignment horizontal="right" vertical="top" wrapText="1"/>
    </xf>
    <xf numFmtId="0" fontId="2" fillId="0" borderId="0" xfId="0" applyFont="1" applyFill="1" applyAlignment="1">
      <alignment horizontal="center" vertical="top" wrapText="1"/>
    </xf>
    <xf numFmtId="4" fontId="2" fillId="0" borderId="1" xfId="0" applyNumberFormat="1" applyFont="1" applyFill="1" applyBorder="1" applyAlignment="1">
      <alignment horizontal="right" vertical="top" wrapText="1"/>
    </xf>
    <xf numFmtId="0" fontId="4" fillId="6" borderId="1" xfId="0" applyFont="1" applyFill="1" applyBorder="1" applyAlignment="1">
      <alignment horizontal="left" vertical="top" wrapText="1"/>
    </xf>
    <xf numFmtId="164" fontId="3" fillId="6" borderId="1" xfId="1" applyNumberFormat="1" applyFont="1" applyFill="1" applyBorder="1" applyAlignment="1">
      <alignment horizontal="right" vertical="top"/>
    </xf>
    <xf numFmtId="2" fontId="3" fillId="6" borderId="1" xfId="1" applyNumberFormat="1" applyFont="1" applyFill="1" applyBorder="1" applyAlignment="1">
      <alignment horizontal="right" vertical="top"/>
    </xf>
    <xf numFmtId="43" fontId="3" fillId="6" borderId="1" xfId="1" applyFont="1" applyFill="1" applyBorder="1" applyAlignment="1">
      <alignment horizontal="right" vertical="top" wrapText="1"/>
    </xf>
    <xf numFmtId="2" fontId="3" fillId="6" borderId="1" xfId="1" applyNumberFormat="1" applyFont="1" applyFill="1" applyBorder="1" applyAlignment="1">
      <alignment horizontal="right" vertical="top" wrapText="1"/>
    </xf>
    <xf numFmtId="44" fontId="3" fillId="6" borderId="1" xfId="2" applyFont="1" applyFill="1" applyBorder="1" applyAlignment="1">
      <alignment horizontal="right" vertical="top" wrapText="1"/>
    </xf>
    <xf numFmtId="0" fontId="2" fillId="0" borderId="0" xfId="0" applyFont="1" applyFill="1" applyAlignment="1">
      <alignment horizontal="center" vertical="top"/>
    </xf>
    <xf numFmtId="0" fontId="2" fillId="7" borderId="1" xfId="0" applyFont="1" applyFill="1" applyBorder="1" applyAlignment="1">
      <alignment horizontal="left" vertical="top" wrapText="1"/>
    </xf>
    <xf numFmtId="44" fontId="2" fillId="7" borderId="1" xfId="2" applyFont="1" applyFill="1" applyBorder="1" applyAlignment="1">
      <alignment horizontal="right" vertical="top"/>
    </xf>
    <xf numFmtId="2" fontId="2" fillId="0" borderId="1" xfId="0" applyNumberFormat="1" applyFont="1" applyFill="1" applyBorder="1" applyAlignment="1">
      <alignment horizontal="right" vertical="top"/>
    </xf>
    <xf numFmtId="164" fontId="3" fillId="6" borderId="1" xfId="1" applyNumberFormat="1" applyFont="1" applyFill="1" applyBorder="1" applyAlignment="1">
      <alignment horizontal="right" vertical="top" wrapText="1"/>
    </xf>
    <xf numFmtId="0" fontId="2" fillId="5" borderId="0" xfId="0" applyFont="1" applyFill="1" applyAlignment="1">
      <alignment horizontal="center" vertical="top"/>
    </xf>
    <xf numFmtId="164" fontId="3" fillId="4" borderId="1" xfId="1" applyNumberFormat="1" applyFont="1" applyFill="1" applyBorder="1" applyAlignment="1">
      <alignment horizontal="right" vertical="top"/>
    </xf>
    <xf numFmtId="2" fontId="3" fillId="4" borderId="1" xfId="1" applyNumberFormat="1" applyFont="1" applyFill="1" applyBorder="1" applyAlignment="1">
      <alignment horizontal="right" vertical="top"/>
    </xf>
    <xf numFmtId="43" fontId="3" fillId="4" borderId="1" xfId="1" applyNumberFormat="1" applyFont="1" applyFill="1" applyBorder="1" applyAlignment="1">
      <alignment horizontal="right" vertical="top"/>
    </xf>
    <xf numFmtId="43" fontId="3" fillId="4" borderId="1" xfId="1" applyFont="1" applyFill="1" applyBorder="1" applyAlignment="1">
      <alignment horizontal="right" vertical="top"/>
    </xf>
    <xf numFmtId="44" fontId="3" fillId="4" borderId="1" xfId="2" applyFont="1" applyFill="1" applyBorder="1" applyAlignment="1">
      <alignment horizontal="right" vertical="top"/>
    </xf>
    <xf numFmtId="2" fontId="3" fillId="6" borderId="1" xfId="0" applyNumberFormat="1" applyFont="1" applyFill="1" applyBorder="1" applyAlignment="1">
      <alignment horizontal="right" vertical="top" wrapText="1"/>
    </xf>
    <xf numFmtId="164" fontId="3" fillId="4" borderId="1" xfId="1" applyNumberFormat="1" applyFont="1" applyFill="1" applyBorder="1" applyAlignment="1">
      <alignment horizontal="right" vertical="top" wrapText="1"/>
    </xf>
    <xf numFmtId="43" fontId="3" fillId="4" borderId="1" xfId="1" applyFont="1" applyFill="1" applyBorder="1" applyAlignment="1">
      <alignment horizontal="right" vertical="top" wrapText="1"/>
    </xf>
    <xf numFmtId="44" fontId="3" fillId="4" borderId="1" xfId="2" applyFont="1" applyFill="1" applyBorder="1" applyAlignment="1">
      <alignment horizontal="right" vertical="top" wrapText="1"/>
    </xf>
    <xf numFmtId="164" fontId="3" fillId="2" borderId="1" xfId="0" applyNumberFormat="1" applyFont="1" applyFill="1" applyBorder="1" applyAlignment="1">
      <alignment horizontal="right" vertical="top"/>
    </xf>
    <xf numFmtId="2" fontId="3" fillId="2" borderId="1" xfId="1" applyNumberFormat="1" applyFont="1" applyFill="1" applyBorder="1" applyAlignment="1">
      <alignment horizontal="right" vertical="top"/>
    </xf>
    <xf numFmtId="43" fontId="3" fillId="2" borderId="1" xfId="1" applyFont="1" applyFill="1" applyBorder="1" applyAlignment="1">
      <alignment horizontal="right" vertical="top"/>
    </xf>
    <xf numFmtId="44" fontId="3" fillId="2" borderId="1" xfId="2" applyFont="1" applyFill="1" applyBorder="1" applyAlignment="1">
      <alignment horizontal="right" vertical="top"/>
    </xf>
    <xf numFmtId="0" fontId="2" fillId="0" borderId="0" xfId="0" applyFont="1" applyAlignment="1">
      <alignment horizontal="left" vertical="top"/>
    </xf>
    <xf numFmtId="164" fontId="3" fillId="0" borderId="0" xfId="0" applyNumberFormat="1" applyFont="1" applyFill="1" applyBorder="1" applyAlignment="1">
      <alignment horizontal="right" vertical="top"/>
    </xf>
    <xf numFmtId="2" fontId="3" fillId="0" borderId="0" xfId="1" applyNumberFormat="1" applyFont="1" applyFill="1" applyBorder="1" applyAlignment="1">
      <alignment horizontal="right" vertical="top"/>
    </xf>
    <xf numFmtId="37" fontId="3" fillId="0" borderId="0" xfId="1" applyNumberFormat="1" applyFont="1" applyFill="1" applyBorder="1" applyAlignment="1">
      <alignment horizontal="right" vertical="top"/>
    </xf>
    <xf numFmtId="43" fontId="3" fillId="0" borderId="0" xfId="1" applyFont="1" applyFill="1" applyBorder="1" applyAlignment="1">
      <alignment horizontal="right" vertical="top"/>
    </xf>
    <xf numFmtId="44" fontId="3" fillId="0" borderId="0" xfId="2" applyFont="1" applyFill="1" applyBorder="1" applyAlignment="1">
      <alignment horizontal="right" vertical="top"/>
    </xf>
    <xf numFmtId="0" fontId="3" fillId="0" borderId="0" xfId="0" applyFont="1" applyFill="1" applyAlignment="1">
      <alignment horizontal="center" vertical="top"/>
    </xf>
    <xf numFmtId="0" fontId="2" fillId="0" borderId="0" xfId="0" applyFont="1" applyFill="1" applyBorder="1" applyAlignment="1">
      <alignment horizontal="left" vertical="top"/>
    </xf>
    <xf numFmtId="0" fontId="3" fillId="0" borderId="0" xfId="0" applyFont="1" applyFill="1" applyAlignment="1">
      <alignment horizontal="left" vertical="top"/>
    </xf>
    <xf numFmtId="0" fontId="2" fillId="0" borderId="0" xfId="0" applyFont="1" applyFill="1" applyAlignment="1">
      <alignment horizontal="left" vertical="top"/>
    </xf>
    <xf numFmtId="0" fontId="2" fillId="0" borderId="1" xfId="0" applyFont="1" applyFill="1" applyBorder="1" applyAlignment="1">
      <alignment horizontal="left" vertical="top" wrapText="1"/>
    </xf>
    <xf numFmtId="0" fontId="6" fillId="0" borderId="0" xfId="0" applyFont="1" applyFill="1" applyAlignment="1">
      <alignment horizontal="right" vertical="top"/>
    </xf>
    <xf numFmtId="0" fontId="2" fillId="0" borderId="0" xfId="0" applyFont="1" applyFill="1" applyAlignment="1">
      <alignment horizontal="right" vertical="top"/>
    </xf>
    <xf numFmtId="44" fontId="2" fillId="0" borderId="0" xfId="2" applyFont="1" applyFill="1" applyAlignment="1">
      <alignment horizontal="right" vertical="top"/>
    </xf>
    <xf numFmtId="0" fontId="2" fillId="0" borderId="0" xfId="0" applyFont="1" applyAlignment="1">
      <alignment horizontal="right" vertical="top"/>
    </xf>
    <xf numFmtId="44" fontId="2" fillId="0" borderId="0" xfId="2" applyFont="1" applyAlignment="1">
      <alignment horizontal="right" vertical="top"/>
    </xf>
    <xf numFmtId="0" fontId="2" fillId="0" borderId="1" xfId="0" applyFont="1" applyFill="1" applyBorder="1" applyAlignment="1">
      <alignment horizontal="left" vertical="top" wrapText="1"/>
    </xf>
    <xf numFmtId="0" fontId="2" fillId="0" borderId="1" xfId="0" applyFont="1" applyFill="1" applyBorder="1" applyAlignment="1">
      <alignment horizontal="center" vertical="top" wrapText="1"/>
    </xf>
    <xf numFmtId="0" fontId="4" fillId="6" borderId="1" xfId="0" applyFont="1" applyFill="1" applyBorder="1" applyAlignment="1">
      <alignment horizontal="center" vertical="top" wrapText="1"/>
    </xf>
    <xf numFmtId="0" fontId="2" fillId="7" borderId="1" xfId="0" applyFont="1" applyFill="1" applyBorder="1" applyAlignment="1">
      <alignment horizontal="center" vertical="top" wrapText="1"/>
    </xf>
    <xf numFmtId="0" fontId="4" fillId="4" borderId="1" xfId="0" applyFont="1" applyFill="1" applyBorder="1" applyAlignment="1">
      <alignment horizontal="center" vertical="top" wrapText="1"/>
    </xf>
    <xf numFmtId="0" fontId="3" fillId="2" borderId="1" xfId="0" applyFont="1" applyFill="1" applyBorder="1" applyAlignment="1">
      <alignment horizontal="center" vertical="top"/>
    </xf>
    <xf numFmtId="0" fontId="3" fillId="0" borderId="0" xfId="0" applyFont="1" applyFill="1" applyBorder="1" applyAlignment="1">
      <alignment horizontal="center" vertical="top"/>
    </xf>
    <xf numFmtId="164" fontId="3" fillId="3" borderId="1" xfId="1" applyNumberFormat="1" applyFont="1" applyFill="1" applyBorder="1" applyAlignment="1">
      <alignment horizontal="center" vertical="center" wrapText="1"/>
    </xf>
    <xf numFmtId="1" fontId="3" fillId="6" borderId="1" xfId="1" applyNumberFormat="1" applyFont="1" applyFill="1" applyBorder="1" applyAlignment="1">
      <alignment horizontal="right" vertical="top"/>
    </xf>
    <xf numFmtId="37" fontId="3" fillId="2" borderId="1" xfId="1" applyNumberFormat="1" applyFont="1" applyFill="1" applyBorder="1" applyAlignment="1">
      <alignment horizontal="right" vertical="top"/>
    </xf>
    <xf numFmtId="44" fontId="2" fillId="0" borderId="1" xfId="2" applyFont="1" applyFill="1" applyBorder="1" applyAlignment="1">
      <alignment horizontal="right" vertical="top"/>
    </xf>
    <xf numFmtId="4" fontId="2" fillId="0" borderId="1" xfId="0" applyNumberFormat="1" applyFont="1" applyFill="1" applyBorder="1" applyAlignment="1">
      <alignment horizontal="right" vertical="top"/>
    </xf>
    <xf numFmtId="0" fontId="3" fillId="0" borderId="0" xfId="0" applyFont="1" applyFill="1" applyAlignment="1">
      <alignment horizontal="center" vertical="top" wrapText="1"/>
    </xf>
    <xf numFmtId="0" fontId="2" fillId="0" borderId="1" xfId="0" applyFont="1" applyFill="1" applyBorder="1" applyAlignment="1">
      <alignment horizontal="center" vertical="top" wrapText="1"/>
    </xf>
    <xf numFmtId="0" fontId="4" fillId="6" borderId="4" xfId="0" applyFont="1" applyFill="1" applyBorder="1" applyAlignment="1">
      <alignment horizontal="left" vertical="top" wrapText="1"/>
    </xf>
    <xf numFmtId="0" fontId="2" fillId="0" borderId="1" xfId="0" applyFont="1" applyFill="1" applyBorder="1" applyAlignment="1">
      <alignment horizontal="center" vertical="top" wrapText="1"/>
    </xf>
    <xf numFmtId="0" fontId="2" fillId="0" borderId="1" xfId="0" applyFont="1" applyFill="1" applyBorder="1" applyAlignment="1">
      <alignment horizontal="center" vertical="top" wrapText="1"/>
    </xf>
    <xf numFmtId="43" fontId="3" fillId="0" borderId="1" xfId="1" applyFont="1" applyFill="1" applyBorder="1" applyAlignment="1">
      <alignment horizontal="right" vertical="top" wrapText="1"/>
    </xf>
    <xf numFmtId="0" fontId="2" fillId="0" borderId="1" xfId="0" applyFont="1" applyFill="1" applyBorder="1" applyAlignment="1">
      <alignment horizontal="center" vertical="top" wrapText="1"/>
    </xf>
    <xf numFmtId="0" fontId="3" fillId="2" borderId="8" xfId="0" applyFont="1" applyFill="1" applyBorder="1" applyAlignment="1">
      <alignment horizontal="left" vertical="top"/>
    </xf>
    <xf numFmtId="0" fontId="3" fillId="2" borderId="7" xfId="0" applyFont="1" applyFill="1" applyBorder="1" applyAlignment="1">
      <alignment horizontal="left" vertical="top"/>
    </xf>
    <xf numFmtId="0" fontId="3" fillId="2" borderId="8" xfId="0" applyFont="1" applyFill="1" applyBorder="1" applyAlignment="1">
      <alignment horizontal="left" vertical="top"/>
    </xf>
    <xf numFmtId="0" fontId="3" fillId="2" borderId="6" xfId="0" applyFont="1" applyFill="1" applyBorder="1" applyAlignment="1">
      <alignment horizontal="left" vertical="top"/>
    </xf>
    <xf numFmtId="0" fontId="3" fillId="3" borderId="2"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1" xfId="0" applyFont="1" applyFill="1" applyBorder="1" applyAlignment="1">
      <alignment horizontal="center" vertical="top" wrapText="1"/>
    </xf>
    <xf numFmtId="0" fontId="2" fillId="0" borderId="2" xfId="0" applyFont="1" applyFill="1" applyBorder="1" applyAlignment="1">
      <alignment horizontal="center" vertical="top" wrapText="1"/>
    </xf>
    <xf numFmtId="0" fontId="2" fillId="0" borderId="3" xfId="0" applyFont="1" applyFill="1" applyBorder="1" applyAlignment="1">
      <alignment horizontal="center" vertical="top" wrapText="1"/>
    </xf>
    <xf numFmtId="0" fontId="2" fillId="0" borderId="4" xfId="0" applyFont="1" applyFill="1" applyBorder="1" applyAlignment="1">
      <alignment horizontal="center" vertical="top" wrapText="1"/>
    </xf>
    <xf numFmtId="0" fontId="2" fillId="0" borderId="5" xfId="0" applyFont="1" applyFill="1" applyBorder="1" applyAlignment="1">
      <alignment horizontal="center" vertical="top"/>
    </xf>
    <xf numFmtId="0" fontId="2" fillId="0" borderId="1" xfId="0" applyFont="1" applyFill="1" applyBorder="1" applyAlignment="1">
      <alignment horizontal="center" vertical="top" wrapText="1"/>
    </xf>
    <xf numFmtId="0" fontId="2" fillId="0" borderId="1" xfId="0" applyFont="1" applyFill="1" applyBorder="1" applyAlignment="1">
      <alignment horizontal="center" vertical="top"/>
    </xf>
    <xf numFmtId="0" fontId="4" fillId="4" borderId="7" xfId="0" applyFont="1" applyFill="1" applyBorder="1" applyAlignment="1">
      <alignment horizontal="left" vertical="top" wrapText="1"/>
    </xf>
    <xf numFmtId="0" fontId="4" fillId="4" borderId="6" xfId="0" applyFont="1" applyFill="1" applyBorder="1" applyAlignment="1">
      <alignment horizontal="left" vertical="top" wrapText="1"/>
    </xf>
    <xf numFmtId="164" fontId="3" fillId="3" borderId="1" xfId="1" applyNumberFormat="1" applyFont="1" applyFill="1" applyBorder="1" applyAlignment="1">
      <alignment horizontal="center" vertical="center" wrapText="1"/>
    </xf>
    <xf numFmtId="164" fontId="3" fillId="3" borderId="1" xfId="1" applyNumberFormat="1" applyFont="1" applyFill="1" applyBorder="1" applyAlignment="1">
      <alignment horizontal="center" vertical="center"/>
    </xf>
    <xf numFmtId="44" fontId="3" fillId="3" borderId="2" xfId="2" applyFont="1" applyFill="1" applyBorder="1" applyAlignment="1">
      <alignment horizontal="center" vertical="center" wrapText="1"/>
    </xf>
    <xf numFmtId="44" fontId="3" fillId="3" borderId="4" xfId="2" applyFont="1" applyFill="1" applyBorder="1" applyAlignment="1">
      <alignment horizontal="center" vertical="center" wrapText="1"/>
    </xf>
    <xf numFmtId="8" fontId="3" fillId="2" borderId="1" xfId="2" applyNumberFormat="1" applyFont="1" applyFill="1" applyBorder="1" applyAlignment="1">
      <alignment horizontal="right" vertical="top"/>
    </xf>
    <xf numFmtId="0" fontId="3" fillId="2" borderId="7" xfId="0" applyFont="1" applyFill="1" applyBorder="1" applyAlignment="1">
      <alignment horizontal="left" vertical="top" wrapText="1"/>
    </xf>
    <xf numFmtId="0" fontId="3" fillId="2" borderId="8" xfId="0" applyFont="1" applyFill="1" applyBorder="1" applyAlignment="1">
      <alignment horizontal="center" vertical="top"/>
    </xf>
    <xf numFmtId="164" fontId="3" fillId="2" borderId="8" xfId="0" applyNumberFormat="1" applyFont="1" applyFill="1" applyBorder="1" applyAlignment="1">
      <alignment horizontal="right" vertical="top"/>
    </xf>
    <xf numFmtId="2" fontId="3" fillId="2" borderId="8" xfId="1" applyNumberFormat="1" applyFont="1" applyFill="1" applyBorder="1" applyAlignment="1">
      <alignment horizontal="right" vertical="top"/>
    </xf>
    <xf numFmtId="37" fontId="3" fillId="2" borderId="8" xfId="1" applyNumberFormat="1" applyFont="1" applyFill="1" applyBorder="1" applyAlignment="1">
      <alignment horizontal="right" vertical="top"/>
    </xf>
    <xf numFmtId="43" fontId="3" fillId="2" borderId="8" xfId="1" applyFont="1" applyFill="1" applyBorder="1" applyAlignment="1">
      <alignment horizontal="right" vertical="top"/>
    </xf>
  </cellXfs>
  <cellStyles count="3">
    <cellStyle name="Comma" xfId="1" builtinId="3"/>
    <cellStyle name="Currency" xfId="2" builtinId="4"/>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absolute">
    <xdr:from>
      <xdr:col>0</xdr:col>
      <xdr:colOff>0</xdr:colOff>
      <xdr:row>0</xdr:row>
      <xdr:rowOff>0</xdr:rowOff>
    </xdr:from>
    <xdr:to>
      <xdr:col>10</xdr:col>
      <xdr:colOff>294147</xdr:colOff>
      <xdr:row>8</xdr:row>
      <xdr:rowOff>126965</xdr:rowOff>
    </xdr:to>
    <xdr:sp macro="" textlink="">
      <xdr:nvSpPr>
        <xdr:cNvPr id="2" name="EsriDoNotEdit"/>
        <xdr:cNvSpPr/>
      </xdr:nvSpPr>
      <xdr:spPr>
        <a:xfrm>
          <a:off x="0" y="0"/>
          <a:ext cx="6390147" cy="1650965"/>
        </a:xfrm>
        <a:prstGeom prst="rect">
          <a:avLst/>
        </a:prstGeom>
        <a:noFill/>
      </xdr:spPr>
      <xdr:txBody>
        <a:bodyPr wrap="none" lIns="91440" tIns="45720" rIns="91440" bIns="45720">
          <a:spAutoFit/>
        </a:bodyPr>
        <a:lstStyle/>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DO NOT EDIT </a:t>
          </a:r>
        </a:p>
        <a:p>
          <a:pPr algn="ctr"/>
          <a:r>
            <a:rPr lang="en-US" sz="5000" b="1" i="0" cap="none" spc="0">
              <a:ln w="18000">
                <a:solidFill>
                  <a:schemeClr val="accent2">
                    <a:satMod val="140000"/>
                  </a:schemeClr>
                </a:solidFill>
                <a:prstDash val="solid"/>
                <a:miter lim="800000"/>
              </a:ln>
              <a:noFill/>
              <a:effectLst>
                <a:outerShdw blurRad="25500" dist="23000" dir="7020000" algn="tl">
                  <a:srgbClr val="000000">
                    <a:alpha val="50000"/>
                  </a:srgbClr>
                </a:outerShdw>
              </a:effectLst>
              <a:latin typeface="Verdana" panose="020B0604030504040204" pitchFamily="34" charset="0"/>
            </a:rPr>
            <a:t> For Esri use only</a:t>
          </a: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81"/>
  <sheetViews>
    <sheetView tabSelected="1" zoomScaleNormal="100" workbookViewId="0">
      <pane xSplit="1" ySplit="3" topLeftCell="B4" activePane="bottomRight" state="frozen"/>
      <selection pane="topRight" activeCell="B1" sqref="B1"/>
      <selection pane="bottomLeft" activeCell="A3" sqref="A3"/>
      <selection pane="bottomRight" activeCell="A66" sqref="A66:R66"/>
    </sheetView>
  </sheetViews>
  <sheetFormatPr defaultColWidth="9.140625" defaultRowHeight="12.75" x14ac:dyDescent="0.25"/>
  <cols>
    <col min="1" max="1" width="24.140625" style="7" customWidth="1"/>
    <col min="2" max="2" width="15.85546875" style="7" customWidth="1"/>
    <col min="3" max="3" width="64.85546875" style="39" customWidth="1"/>
    <col min="4" max="4" width="10.7109375" style="7" bestFit="1" customWidth="1"/>
    <col min="5" max="5" width="10.28515625" style="53" customWidth="1"/>
    <col min="6" max="6" width="14.140625" style="53" customWidth="1"/>
    <col min="7" max="7" width="12" style="53" customWidth="1"/>
    <col min="8" max="8" width="12.85546875" style="53" customWidth="1"/>
    <col min="9" max="9" width="11.5703125" style="53" customWidth="1"/>
    <col min="10" max="10" width="15.42578125" style="53" customWidth="1"/>
    <col min="11" max="11" width="15" style="53" customWidth="1"/>
    <col min="12" max="12" width="11.85546875" style="53" customWidth="1"/>
    <col min="13" max="13" width="12.85546875" style="53" customWidth="1"/>
    <col min="14" max="14" width="11.85546875" style="53" customWidth="1"/>
    <col min="15" max="15" width="13.140625" style="53" customWidth="1"/>
    <col min="16" max="16" width="13" style="53" customWidth="1"/>
    <col min="17" max="17" width="9" style="53" customWidth="1"/>
    <col min="18" max="18" width="16.7109375" style="54" bestFit="1" customWidth="1"/>
    <col min="19" max="16384" width="9.140625" style="7"/>
  </cols>
  <sheetData>
    <row r="1" spans="1:18" x14ac:dyDescent="0.25">
      <c r="A1" s="84" t="s">
        <v>91</v>
      </c>
      <c r="B1" s="84"/>
      <c r="C1" s="84"/>
      <c r="D1" s="84"/>
      <c r="E1" s="84"/>
      <c r="F1" s="84"/>
      <c r="G1" s="84"/>
      <c r="H1" s="84"/>
      <c r="I1" s="84"/>
      <c r="J1" s="84"/>
      <c r="K1" s="84"/>
      <c r="L1" s="84"/>
      <c r="M1" s="84"/>
      <c r="N1" s="84"/>
      <c r="O1" s="84"/>
      <c r="P1" s="84"/>
      <c r="Q1" s="84"/>
      <c r="R1" s="84"/>
    </row>
    <row r="2" spans="1:18" s="20" customFormat="1" ht="14.45" customHeight="1" x14ac:dyDescent="0.25">
      <c r="A2" s="80" t="s">
        <v>7</v>
      </c>
      <c r="B2" s="80" t="s">
        <v>13</v>
      </c>
      <c r="C2" s="80" t="s">
        <v>8</v>
      </c>
      <c r="D2" s="78" t="s">
        <v>25</v>
      </c>
      <c r="E2" s="89" t="s">
        <v>0</v>
      </c>
      <c r="F2" s="90" t="s">
        <v>4</v>
      </c>
      <c r="G2" s="90"/>
      <c r="H2" s="90"/>
      <c r="I2" s="90"/>
      <c r="J2" s="90"/>
      <c r="K2" s="90" t="s">
        <v>5</v>
      </c>
      <c r="L2" s="90"/>
      <c r="M2" s="90"/>
      <c r="N2" s="90"/>
      <c r="O2" s="90"/>
      <c r="P2" s="78" t="s">
        <v>9</v>
      </c>
      <c r="Q2" s="91" t="s">
        <v>24</v>
      </c>
      <c r="R2" s="91" t="s">
        <v>77</v>
      </c>
    </row>
    <row r="3" spans="1:18" s="12" customFormat="1" ht="38.25" x14ac:dyDescent="0.25">
      <c r="A3" s="80"/>
      <c r="B3" s="80"/>
      <c r="C3" s="80"/>
      <c r="D3" s="79"/>
      <c r="E3" s="89"/>
      <c r="F3" s="62" t="s">
        <v>1</v>
      </c>
      <c r="G3" s="62" t="s">
        <v>2</v>
      </c>
      <c r="H3" s="62" t="s">
        <v>6</v>
      </c>
      <c r="I3" s="62" t="s">
        <v>11</v>
      </c>
      <c r="J3" s="62" t="s">
        <v>3</v>
      </c>
      <c r="K3" s="62" t="s">
        <v>46</v>
      </c>
      <c r="L3" s="62" t="s">
        <v>2</v>
      </c>
      <c r="M3" s="62" t="s">
        <v>6</v>
      </c>
      <c r="N3" s="62" t="s">
        <v>11</v>
      </c>
      <c r="O3" s="62" t="s">
        <v>3</v>
      </c>
      <c r="P3" s="79"/>
      <c r="Q3" s="92"/>
      <c r="R3" s="92"/>
    </row>
    <row r="4" spans="1:18" s="12" customFormat="1" ht="12.75" customHeight="1" x14ac:dyDescent="0.25">
      <c r="A4" s="81" t="s">
        <v>15</v>
      </c>
      <c r="B4" s="81" t="s">
        <v>23</v>
      </c>
      <c r="C4" s="49" t="s">
        <v>40</v>
      </c>
      <c r="D4" s="56" t="s">
        <v>63</v>
      </c>
      <c r="E4" s="6">
        <v>55</v>
      </c>
      <c r="F4" s="6">
        <v>55</v>
      </c>
      <c r="G4" s="8">
        <v>1</v>
      </c>
      <c r="H4" s="9">
        <f t="shared" ref="H4" si="0">F4*G4</f>
        <v>55</v>
      </c>
      <c r="I4" s="8">
        <v>0.06</v>
      </c>
      <c r="J4" s="8">
        <f>(I4)*H4</f>
        <v>3.3</v>
      </c>
      <c r="K4" s="4">
        <f t="shared" ref="K4" si="1">E4-F4</f>
        <v>0</v>
      </c>
      <c r="L4" s="8">
        <v>0</v>
      </c>
      <c r="M4" s="10">
        <f t="shared" ref="M4" si="2">+K4*L4</f>
        <v>0</v>
      </c>
      <c r="N4" s="8">
        <v>0</v>
      </c>
      <c r="O4" s="8">
        <f>(N4)*M4</f>
        <v>0</v>
      </c>
      <c r="P4" s="2">
        <f>J4 +O4</f>
        <v>3.3</v>
      </c>
      <c r="Q4" s="11">
        <v>44.89</v>
      </c>
      <c r="R4" s="11">
        <f>Q4*P4</f>
        <v>148.137</v>
      </c>
    </row>
    <row r="5" spans="1:18" s="12" customFormat="1" ht="15" x14ac:dyDescent="0.25">
      <c r="A5" s="82"/>
      <c r="B5" s="82"/>
      <c r="C5" s="49" t="s">
        <v>80</v>
      </c>
      <c r="D5" s="56" t="s">
        <v>64</v>
      </c>
      <c r="E5" s="6">
        <v>55</v>
      </c>
      <c r="F5" s="6">
        <v>55</v>
      </c>
      <c r="G5" s="8">
        <v>1</v>
      </c>
      <c r="H5" s="9">
        <f t="shared" ref="H5" si="3">F5*G5</f>
        <v>55</v>
      </c>
      <c r="I5" s="8">
        <v>1</v>
      </c>
      <c r="J5" s="8">
        <f>(I5)*H5</f>
        <v>55</v>
      </c>
      <c r="K5" s="4">
        <f t="shared" ref="K5:K7" si="4">E5-F5</f>
        <v>0</v>
      </c>
      <c r="L5" s="8">
        <v>0</v>
      </c>
      <c r="M5" s="10">
        <f t="shared" ref="M5:M26" si="5">+K5*L5</f>
        <v>0</v>
      </c>
      <c r="N5" s="8">
        <v>0</v>
      </c>
      <c r="O5" s="8">
        <f>(N5)*M5</f>
        <v>0</v>
      </c>
      <c r="P5" s="2">
        <f>J5 +O5</f>
        <v>55</v>
      </c>
      <c r="Q5" s="11">
        <v>44.89</v>
      </c>
      <c r="R5" s="11">
        <f t="shared" ref="R5:R7" si="6">Q5*P5</f>
        <v>2468.9499999999998</v>
      </c>
    </row>
    <row r="6" spans="1:18" s="12" customFormat="1" x14ac:dyDescent="0.25">
      <c r="A6" s="82"/>
      <c r="B6" s="82"/>
      <c r="C6" s="49" t="s">
        <v>27</v>
      </c>
      <c r="D6" s="73" t="s">
        <v>92</v>
      </c>
      <c r="E6" s="4">
        <v>55</v>
      </c>
      <c r="F6" s="4">
        <v>55</v>
      </c>
      <c r="G6" s="2">
        <v>1</v>
      </c>
      <c r="H6" s="1">
        <f>F6*G6</f>
        <v>55</v>
      </c>
      <c r="I6" s="2">
        <v>0.5</v>
      </c>
      <c r="J6" s="3">
        <f>H6*I6</f>
        <v>27.5</v>
      </c>
      <c r="K6" s="4">
        <f>E6-F6</f>
        <v>0</v>
      </c>
      <c r="L6" s="2">
        <v>0</v>
      </c>
      <c r="M6" s="5">
        <f>+K6*L6</f>
        <v>0</v>
      </c>
      <c r="N6" s="2">
        <v>0</v>
      </c>
      <c r="O6" s="2">
        <f>+M6*N6</f>
        <v>0</v>
      </c>
      <c r="P6" s="13">
        <f>J6+O6</f>
        <v>27.5</v>
      </c>
      <c r="Q6" s="11">
        <v>44.89</v>
      </c>
      <c r="R6" s="11">
        <f t="shared" si="6"/>
        <v>1234.4749999999999</v>
      </c>
    </row>
    <row r="7" spans="1:18" s="12" customFormat="1" x14ac:dyDescent="0.25">
      <c r="A7" s="82"/>
      <c r="B7" s="83"/>
      <c r="C7" s="49" t="s">
        <v>42</v>
      </c>
      <c r="D7" s="73" t="s">
        <v>93</v>
      </c>
      <c r="E7" s="6">
        <v>55</v>
      </c>
      <c r="F7" s="6">
        <v>55</v>
      </c>
      <c r="G7" s="8">
        <v>2</v>
      </c>
      <c r="H7" s="9">
        <f>F7*G7</f>
        <v>110</v>
      </c>
      <c r="I7" s="8">
        <v>0.5</v>
      </c>
      <c r="J7" s="8">
        <f>(I7)*H7</f>
        <v>55</v>
      </c>
      <c r="K7" s="4">
        <f t="shared" si="4"/>
        <v>0</v>
      </c>
      <c r="L7" s="8">
        <v>0</v>
      </c>
      <c r="M7" s="10">
        <f t="shared" si="5"/>
        <v>0</v>
      </c>
      <c r="N7" s="8">
        <v>0</v>
      </c>
      <c r="O7" s="8">
        <f>(N7)*M7</f>
        <v>0</v>
      </c>
      <c r="P7" s="2">
        <f>J7 +O7</f>
        <v>55</v>
      </c>
      <c r="Q7" s="11">
        <v>44.89</v>
      </c>
      <c r="R7" s="11">
        <f t="shared" si="6"/>
        <v>2468.9499999999998</v>
      </c>
    </row>
    <row r="8" spans="1:18" s="20" customFormat="1" ht="27.6" customHeight="1" x14ac:dyDescent="0.25">
      <c r="A8" s="82"/>
      <c r="B8" s="81" t="s">
        <v>78</v>
      </c>
      <c r="C8" s="55" t="s">
        <v>41</v>
      </c>
      <c r="D8" s="56" t="s">
        <v>65</v>
      </c>
      <c r="E8" s="6">
        <v>55</v>
      </c>
      <c r="F8" s="6">
        <v>55</v>
      </c>
      <c r="G8" s="8">
        <v>1</v>
      </c>
      <c r="H8" s="9">
        <f t="shared" ref="H8" si="7">F8*G8</f>
        <v>55</v>
      </c>
      <c r="I8" s="8">
        <v>0.5</v>
      </c>
      <c r="J8" s="8">
        <f>(I8)*H8</f>
        <v>27.5</v>
      </c>
      <c r="K8" s="4">
        <f t="shared" ref="K8" si="8">E8-F8</f>
        <v>0</v>
      </c>
      <c r="L8" s="8">
        <v>0</v>
      </c>
      <c r="M8" s="10">
        <f t="shared" ref="M8" si="9">+K8*L8</f>
        <v>0</v>
      </c>
      <c r="N8" s="8">
        <v>0</v>
      </c>
      <c r="O8" s="8">
        <f>(N8)*M8</f>
        <v>0</v>
      </c>
      <c r="P8" s="2">
        <f>J8 +O8</f>
        <v>27.5</v>
      </c>
      <c r="Q8" s="11">
        <v>44.89</v>
      </c>
      <c r="R8" s="11">
        <f>Q8*P8</f>
        <v>1234.4749999999999</v>
      </c>
    </row>
    <row r="9" spans="1:18" s="20" customFormat="1" ht="15" customHeight="1" x14ac:dyDescent="0.25">
      <c r="A9" s="82"/>
      <c r="B9" s="83"/>
      <c r="C9" s="69" t="s">
        <v>79</v>
      </c>
      <c r="D9" s="57"/>
      <c r="E9" s="15">
        <f>E8</f>
        <v>55</v>
      </c>
      <c r="F9" s="15">
        <f t="shared" ref="F9:L9" si="10">F8</f>
        <v>55</v>
      </c>
      <c r="G9" s="16">
        <f>H9/F9</f>
        <v>6</v>
      </c>
      <c r="H9" s="15">
        <f>SUM(H4:H8)</f>
        <v>330</v>
      </c>
      <c r="I9" s="16">
        <f>J9/H9</f>
        <v>0.51</v>
      </c>
      <c r="J9" s="17">
        <f>SUM(J4:J8)</f>
        <v>168.3</v>
      </c>
      <c r="K9" s="63">
        <f t="shared" si="10"/>
        <v>0</v>
      </c>
      <c r="L9" s="16">
        <f t="shared" si="10"/>
        <v>0</v>
      </c>
      <c r="M9" s="63">
        <f>SUM(M4:M8)</f>
        <v>0</v>
      </c>
      <c r="N9" s="16">
        <v>0</v>
      </c>
      <c r="O9" s="18">
        <f>SUM(O4:O8)</f>
        <v>0</v>
      </c>
      <c r="P9" s="17">
        <f>SUM(P4:P8)</f>
        <v>168.3</v>
      </c>
      <c r="Q9" s="17"/>
      <c r="R9" s="19">
        <f>SUM(R4:R8)</f>
        <v>7554.9869999999992</v>
      </c>
    </row>
    <row r="10" spans="1:18" s="20" customFormat="1" x14ac:dyDescent="0.25">
      <c r="A10" s="82"/>
      <c r="B10" s="85" t="s">
        <v>16</v>
      </c>
      <c r="C10" s="49" t="s">
        <v>50</v>
      </c>
      <c r="D10" s="73" t="s">
        <v>89</v>
      </c>
      <c r="E10" s="4">
        <v>15000</v>
      </c>
      <c r="F10" s="4">
        <v>12000</v>
      </c>
      <c r="G10" s="2">
        <v>1</v>
      </c>
      <c r="H10" s="1">
        <f>+F10*G10</f>
        <v>12000</v>
      </c>
      <c r="I10" s="2">
        <v>0.06</v>
      </c>
      <c r="J10" s="3">
        <f>+H10*I10</f>
        <v>720</v>
      </c>
      <c r="K10" s="4">
        <f t="shared" ref="K10:K15" si="11">E10-F10</f>
        <v>3000</v>
      </c>
      <c r="L10" s="2">
        <v>1</v>
      </c>
      <c r="M10" s="6">
        <f>+K10*L10</f>
        <v>3000</v>
      </c>
      <c r="N10" s="2">
        <v>0.03</v>
      </c>
      <c r="O10" s="2">
        <f>+M10*N10</f>
        <v>90</v>
      </c>
      <c r="P10" s="13">
        <f>J10+O10</f>
        <v>810</v>
      </c>
      <c r="Q10" s="11">
        <v>46.69</v>
      </c>
      <c r="R10" s="65">
        <f>Q10*P10</f>
        <v>37818.9</v>
      </c>
    </row>
    <row r="11" spans="1:18" s="20" customFormat="1" x14ac:dyDescent="0.25">
      <c r="A11" s="82"/>
      <c r="B11" s="85"/>
      <c r="C11" s="49" t="s">
        <v>81</v>
      </c>
      <c r="D11" s="58" t="s">
        <v>66</v>
      </c>
      <c r="E11" s="4">
        <v>15000</v>
      </c>
      <c r="F11" s="4">
        <v>12000</v>
      </c>
      <c r="G11" s="2">
        <v>1</v>
      </c>
      <c r="H11" s="1">
        <f>+F11*G11</f>
        <v>12000</v>
      </c>
      <c r="I11" s="2">
        <v>0.06</v>
      </c>
      <c r="J11" s="3">
        <f>+H11*I11</f>
        <v>720</v>
      </c>
      <c r="K11" s="4">
        <f t="shared" si="11"/>
        <v>3000</v>
      </c>
      <c r="L11" s="2">
        <v>1</v>
      </c>
      <c r="M11" s="6">
        <f>+K11*L11</f>
        <v>3000</v>
      </c>
      <c r="N11" s="2">
        <v>0.03</v>
      </c>
      <c r="O11" s="2">
        <f>+M11*N11</f>
        <v>90</v>
      </c>
      <c r="P11" s="13">
        <f>J11+O11</f>
        <v>810</v>
      </c>
      <c r="Q11" s="11">
        <v>46.69</v>
      </c>
      <c r="R11" s="65">
        <f t="shared" ref="R11:R27" si="12">Q11*P11</f>
        <v>37818.9</v>
      </c>
    </row>
    <row r="12" spans="1:18" s="20" customFormat="1" x14ac:dyDescent="0.25">
      <c r="A12" s="82"/>
      <c r="B12" s="85"/>
      <c r="C12" s="49" t="s">
        <v>51</v>
      </c>
      <c r="D12" s="58" t="s">
        <v>67</v>
      </c>
      <c r="E12" s="4">
        <v>15000</v>
      </c>
      <c r="F12" s="4">
        <f>E12*0.5</f>
        <v>7500</v>
      </c>
      <c r="G12" s="2">
        <v>1</v>
      </c>
      <c r="H12" s="1">
        <f>+F12*G12</f>
        <v>7500</v>
      </c>
      <c r="I12" s="2">
        <v>0.5</v>
      </c>
      <c r="J12" s="3">
        <f>+H12*I12</f>
        <v>3750</v>
      </c>
      <c r="K12" s="4">
        <f t="shared" si="11"/>
        <v>7500</v>
      </c>
      <c r="L12" s="2">
        <v>1</v>
      </c>
      <c r="M12" s="6">
        <f>+K12*L12</f>
        <v>7500</v>
      </c>
      <c r="N12" s="2">
        <v>0.03</v>
      </c>
      <c r="O12" s="2">
        <f>+M12*N12</f>
        <v>225</v>
      </c>
      <c r="P12" s="13">
        <f>J12+O12</f>
        <v>3975</v>
      </c>
      <c r="Q12" s="11">
        <v>46.69</v>
      </c>
      <c r="R12" s="65">
        <f t="shared" si="12"/>
        <v>185592.75</v>
      </c>
    </row>
    <row r="13" spans="1:18" s="20" customFormat="1" ht="15" x14ac:dyDescent="0.25">
      <c r="A13" s="82"/>
      <c r="B13" s="85"/>
      <c r="C13" s="49" t="s">
        <v>54</v>
      </c>
      <c r="D13" s="71"/>
      <c r="E13" s="4">
        <v>6</v>
      </c>
      <c r="F13" s="4">
        <v>6</v>
      </c>
      <c r="G13" s="2">
        <v>1</v>
      </c>
      <c r="H13" s="1">
        <f>+F13*G13</f>
        <v>6</v>
      </c>
      <c r="I13" s="2">
        <v>1.5</v>
      </c>
      <c r="J13" s="3">
        <f>+H13*I13</f>
        <v>9</v>
      </c>
      <c r="K13" s="4">
        <f t="shared" si="11"/>
        <v>0</v>
      </c>
      <c r="L13" s="2">
        <v>0</v>
      </c>
      <c r="M13" s="6">
        <f>+K13*L13</f>
        <v>0</v>
      </c>
      <c r="N13" s="2">
        <v>0</v>
      </c>
      <c r="O13" s="2">
        <f>+M13*N13</f>
        <v>0</v>
      </c>
      <c r="P13" s="13">
        <f>J13+O13</f>
        <v>9</v>
      </c>
      <c r="Q13" s="11">
        <v>46.69</v>
      </c>
      <c r="R13" s="65">
        <f t="shared" ref="R13" si="13">Q13*P13</f>
        <v>420.21</v>
      </c>
    </row>
    <row r="14" spans="1:18" s="20" customFormat="1" x14ac:dyDescent="0.25">
      <c r="A14" s="82"/>
      <c r="B14" s="85"/>
      <c r="C14" s="49" t="s">
        <v>82</v>
      </c>
      <c r="D14" s="58" t="s">
        <v>70</v>
      </c>
      <c r="E14" s="4">
        <v>15000</v>
      </c>
      <c r="F14" s="4">
        <f t="shared" ref="F14" si="14">E14*0.8</f>
        <v>12000</v>
      </c>
      <c r="G14" s="2">
        <v>1</v>
      </c>
      <c r="H14" s="1">
        <f>+F14*G14</f>
        <v>12000</v>
      </c>
      <c r="I14" s="2">
        <v>0.5</v>
      </c>
      <c r="J14" s="3">
        <f>+H14*I14</f>
        <v>6000</v>
      </c>
      <c r="K14" s="4">
        <f t="shared" si="11"/>
        <v>3000</v>
      </c>
      <c r="L14" s="2">
        <v>1</v>
      </c>
      <c r="M14" s="6">
        <f>+K14*L14</f>
        <v>3000</v>
      </c>
      <c r="N14" s="2">
        <v>0.05</v>
      </c>
      <c r="O14" s="2">
        <f>+M14*N14</f>
        <v>150</v>
      </c>
      <c r="P14" s="66">
        <f t="shared" ref="P14" si="15">+O14+J14</f>
        <v>6150</v>
      </c>
      <c r="Q14" s="11">
        <v>46.69</v>
      </c>
      <c r="R14" s="65">
        <f t="shared" si="12"/>
        <v>287143.5</v>
      </c>
    </row>
    <row r="15" spans="1:18" s="20" customFormat="1" x14ac:dyDescent="0.25">
      <c r="A15" s="82"/>
      <c r="B15" s="85"/>
      <c r="C15" s="49" t="s">
        <v>28</v>
      </c>
      <c r="D15" s="58" t="s">
        <v>71</v>
      </c>
      <c r="E15" s="4">
        <f>E10</f>
        <v>15000</v>
      </c>
      <c r="F15" s="4">
        <v>12000</v>
      </c>
      <c r="G15" s="2">
        <v>1</v>
      </c>
      <c r="H15" s="1">
        <f t="shared" ref="H15" si="16">+F15*G15</f>
        <v>12000</v>
      </c>
      <c r="I15" s="2">
        <v>0.25</v>
      </c>
      <c r="J15" s="3">
        <f t="shared" ref="J15" si="17">+H15*I15</f>
        <v>3000</v>
      </c>
      <c r="K15" s="4">
        <f t="shared" si="11"/>
        <v>3000</v>
      </c>
      <c r="L15" s="2">
        <v>1</v>
      </c>
      <c r="M15" s="6">
        <f t="shared" ref="M15" si="18">+K15*L15</f>
        <v>3000</v>
      </c>
      <c r="N15" s="2">
        <v>0.03</v>
      </c>
      <c r="O15" s="2">
        <f t="shared" ref="O15" si="19">+M15*N15</f>
        <v>90</v>
      </c>
      <c r="P15" s="13">
        <f>J15+O15</f>
        <v>3090</v>
      </c>
      <c r="Q15" s="11">
        <v>46.69</v>
      </c>
      <c r="R15" s="65">
        <f t="shared" si="12"/>
        <v>144272.1</v>
      </c>
    </row>
    <row r="16" spans="1:18" s="20" customFormat="1" x14ac:dyDescent="0.25">
      <c r="A16" s="82"/>
      <c r="B16" s="85"/>
      <c r="C16" s="49" t="s">
        <v>37</v>
      </c>
      <c r="D16" s="56" t="s">
        <v>66</v>
      </c>
      <c r="E16" s="4">
        <f>E14-(E14*0.8*0.25)</f>
        <v>12000</v>
      </c>
      <c r="F16" s="4">
        <f>E16*0.2</f>
        <v>2400</v>
      </c>
      <c r="G16" s="2">
        <v>1</v>
      </c>
      <c r="H16" s="1">
        <f t="shared" ref="H16:H27" si="20">+F16*G16</f>
        <v>2400</v>
      </c>
      <c r="I16" s="2">
        <v>0.05</v>
      </c>
      <c r="J16" s="3">
        <f t="shared" ref="J16:J27" si="21">+H16*I16</f>
        <v>120</v>
      </c>
      <c r="K16" s="4">
        <f t="shared" ref="K16:K26" si="22">E16-F16</f>
        <v>9600</v>
      </c>
      <c r="L16" s="2">
        <v>1</v>
      </c>
      <c r="M16" s="6">
        <f t="shared" si="5"/>
        <v>9600</v>
      </c>
      <c r="N16" s="2">
        <v>0.03</v>
      </c>
      <c r="O16" s="2">
        <f t="shared" ref="O16:O26" si="23">+M16*N16</f>
        <v>288</v>
      </c>
      <c r="P16" s="13">
        <f t="shared" ref="P16:P26" si="24">J16+O16</f>
        <v>408</v>
      </c>
      <c r="Q16" s="11">
        <v>46.69</v>
      </c>
      <c r="R16" s="65">
        <f t="shared" si="12"/>
        <v>19049.52</v>
      </c>
    </row>
    <row r="17" spans="1:18" s="20" customFormat="1" x14ac:dyDescent="0.25">
      <c r="A17" s="82"/>
      <c r="B17" s="85"/>
      <c r="C17" s="49" t="s">
        <v>36</v>
      </c>
      <c r="D17" s="56" t="s">
        <v>66</v>
      </c>
      <c r="E17" s="4">
        <f>K16</f>
        <v>9600</v>
      </c>
      <c r="F17" s="4">
        <f t="shared" ref="F17:F26" si="25">E17*0.2</f>
        <v>1920</v>
      </c>
      <c r="G17" s="2">
        <v>1</v>
      </c>
      <c r="H17" s="1">
        <f t="shared" si="20"/>
        <v>1920</v>
      </c>
      <c r="I17" s="2">
        <v>0.05</v>
      </c>
      <c r="J17" s="3">
        <f t="shared" si="21"/>
        <v>96</v>
      </c>
      <c r="K17" s="4">
        <f t="shared" si="22"/>
        <v>7680</v>
      </c>
      <c r="L17" s="2">
        <v>1</v>
      </c>
      <c r="M17" s="6">
        <f t="shared" si="5"/>
        <v>7680</v>
      </c>
      <c r="N17" s="2">
        <v>0.03</v>
      </c>
      <c r="O17" s="2">
        <f t="shared" si="23"/>
        <v>230.39999999999998</v>
      </c>
      <c r="P17" s="13">
        <f t="shared" si="24"/>
        <v>326.39999999999998</v>
      </c>
      <c r="Q17" s="11">
        <v>46.69</v>
      </c>
      <c r="R17" s="65">
        <f t="shared" si="12"/>
        <v>15239.615999999998</v>
      </c>
    </row>
    <row r="18" spans="1:18" s="20" customFormat="1" x14ac:dyDescent="0.25">
      <c r="A18" s="82"/>
      <c r="B18" s="85"/>
      <c r="C18" s="49" t="s">
        <v>35</v>
      </c>
      <c r="D18" s="56" t="s">
        <v>66</v>
      </c>
      <c r="E18" s="4">
        <f t="shared" ref="E18:E26" si="26">K17</f>
        <v>7680</v>
      </c>
      <c r="F18" s="4">
        <f t="shared" si="25"/>
        <v>1536</v>
      </c>
      <c r="G18" s="2">
        <v>1</v>
      </c>
      <c r="H18" s="1">
        <f t="shared" si="20"/>
        <v>1536</v>
      </c>
      <c r="I18" s="2">
        <v>0.05</v>
      </c>
      <c r="J18" s="3">
        <f t="shared" si="21"/>
        <v>76.800000000000011</v>
      </c>
      <c r="K18" s="4">
        <f t="shared" si="22"/>
        <v>6144</v>
      </c>
      <c r="L18" s="2">
        <v>1</v>
      </c>
      <c r="M18" s="6">
        <f t="shared" si="5"/>
        <v>6144</v>
      </c>
      <c r="N18" s="2">
        <v>0.03</v>
      </c>
      <c r="O18" s="2">
        <f t="shared" si="23"/>
        <v>184.32</v>
      </c>
      <c r="P18" s="13">
        <f t="shared" si="24"/>
        <v>261.12</v>
      </c>
      <c r="Q18" s="11">
        <v>46.69</v>
      </c>
      <c r="R18" s="22">
        <f t="shared" si="12"/>
        <v>12191.692799999999</v>
      </c>
    </row>
    <row r="19" spans="1:18" s="20" customFormat="1" x14ac:dyDescent="0.25">
      <c r="A19" s="82"/>
      <c r="B19" s="85"/>
      <c r="C19" s="49" t="s">
        <v>34</v>
      </c>
      <c r="D19" s="56" t="s">
        <v>66</v>
      </c>
      <c r="E19" s="4">
        <f t="shared" si="26"/>
        <v>6144</v>
      </c>
      <c r="F19" s="4">
        <f t="shared" si="25"/>
        <v>1228.8000000000002</v>
      </c>
      <c r="G19" s="2">
        <v>1</v>
      </c>
      <c r="H19" s="1">
        <f t="shared" si="20"/>
        <v>1228.8000000000002</v>
      </c>
      <c r="I19" s="2">
        <v>0.05</v>
      </c>
      <c r="J19" s="3">
        <f t="shared" si="21"/>
        <v>61.440000000000012</v>
      </c>
      <c r="K19" s="4">
        <f t="shared" si="22"/>
        <v>4915.2</v>
      </c>
      <c r="L19" s="2">
        <v>1</v>
      </c>
      <c r="M19" s="6">
        <f t="shared" si="5"/>
        <v>4915.2</v>
      </c>
      <c r="N19" s="2">
        <v>0.03</v>
      </c>
      <c r="O19" s="2">
        <f t="shared" si="23"/>
        <v>147.45599999999999</v>
      </c>
      <c r="P19" s="13">
        <f t="shared" si="24"/>
        <v>208.89600000000002</v>
      </c>
      <c r="Q19" s="11">
        <v>46.69</v>
      </c>
      <c r="R19" s="22">
        <f t="shared" si="12"/>
        <v>9753.3542400000006</v>
      </c>
    </row>
    <row r="20" spans="1:18" s="20" customFormat="1" x14ac:dyDescent="0.25">
      <c r="A20" s="82"/>
      <c r="B20" s="85"/>
      <c r="C20" s="49" t="s">
        <v>33</v>
      </c>
      <c r="D20" s="56" t="s">
        <v>66</v>
      </c>
      <c r="E20" s="4">
        <f t="shared" si="26"/>
        <v>4915.2</v>
      </c>
      <c r="F20" s="4">
        <f t="shared" si="25"/>
        <v>983.04</v>
      </c>
      <c r="G20" s="2">
        <v>1</v>
      </c>
      <c r="H20" s="1">
        <f t="shared" si="20"/>
        <v>983.04</v>
      </c>
      <c r="I20" s="2">
        <v>0.05</v>
      </c>
      <c r="J20" s="3">
        <f t="shared" si="21"/>
        <v>49.152000000000001</v>
      </c>
      <c r="K20" s="4">
        <f t="shared" si="22"/>
        <v>3932.16</v>
      </c>
      <c r="L20" s="2">
        <v>1</v>
      </c>
      <c r="M20" s="6">
        <f t="shared" si="5"/>
        <v>3932.16</v>
      </c>
      <c r="N20" s="2">
        <v>0.03</v>
      </c>
      <c r="O20" s="2">
        <f t="shared" si="23"/>
        <v>117.9648</v>
      </c>
      <c r="P20" s="13">
        <f t="shared" si="24"/>
        <v>167.11680000000001</v>
      </c>
      <c r="Q20" s="11">
        <v>46.69</v>
      </c>
      <c r="R20" s="22">
        <f t="shared" si="12"/>
        <v>7802.6833919999999</v>
      </c>
    </row>
    <row r="21" spans="1:18" s="20" customFormat="1" x14ac:dyDescent="0.25">
      <c r="A21" s="82"/>
      <c r="B21" s="85"/>
      <c r="C21" s="49" t="s">
        <v>32</v>
      </c>
      <c r="D21" s="56" t="s">
        <v>66</v>
      </c>
      <c r="E21" s="4">
        <f t="shared" si="26"/>
        <v>3932.16</v>
      </c>
      <c r="F21" s="4">
        <f t="shared" si="25"/>
        <v>786.43200000000002</v>
      </c>
      <c r="G21" s="2">
        <v>1</v>
      </c>
      <c r="H21" s="1">
        <f t="shared" si="20"/>
        <v>786.43200000000002</v>
      </c>
      <c r="I21" s="2">
        <v>0.05</v>
      </c>
      <c r="J21" s="3">
        <f t="shared" si="21"/>
        <v>39.321600000000004</v>
      </c>
      <c r="K21" s="4">
        <f t="shared" si="22"/>
        <v>3145.7280000000001</v>
      </c>
      <c r="L21" s="2">
        <v>1</v>
      </c>
      <c r="M21" s="6">
        <f t="shared" si="5"/>
        <v>3145.7280000000001</v>
      </c>
      <c r="N21" s="2">
        <v>0.03</v>
      </c>
      <c r="O21" s="2">
        <f t="shared" si="23"/>
        <v>94.371839999999992</v>
      </c>
      <c r="P21" s="13">
        <f t="shared" si="24"/>
        <v>133.69344000000001</v>
      </c>
      <c r="Q21" s="11">
        <v>46.69</v>
      </c>
      <c r="R21" s="22">
        <f t="shared" si="12"/>
        <v>6242.1467136000001</v>
      </c>
    </row>
    <row r="22" spans="1:18" s="20" customFormat="1" x14ac:dyDescent="0.25">
      <c r="A22" s="82"/>
      <c r="B22" s="85"/>
      <c r="C22" s="49" t="s">
        <v>31</v>
      </c>
      <c r="D22" s="56" t="s">
        <v>66</v>
      </c>
      <c r="E22" s="4">
        <f t="shared" si="26"/>
        <v>3145.7280000000001</v>
      </c>
      <c r="F22" s="4">
        <f t="shared" si="25"/>
        <v>629.14560000000006</v>
      </c>
      <c r="G22" s="2">
        <v>1</v>
      </c>
      <c r="H22" s="1">
        <f t="shared" si="20"/>
        <v>629.14560000000006</v>
      </c>
      <c r="I22" s="2">
        <v>0.05</v>
      </c>
      <c r="J22" s="3">
        <f t="shared" si="21"/>
        <v>31.457280000000004</v>
      </c>
      <c r="K22" s="4">
        <f t="shared" si="22"/>
        <v>2516.5824000000002</v>
      </c>
      <c r="L22" s="2">
        <v>1</v>
      </c>
      <c r="M22" s="6">
        <f t="shared" si="5"/>
        <v>2516.5824000000002</v>
      </c>
      <c r="N22" s="2">
        <v>0.03</v>
      </c>
      <c r="O22" s="2">
        <f t="shared" si="23"/>
        <v>75.497472000000002</v>
      </c>
      <c r="P22" s="13">
        <f t="shared" si="24"/>
        <v>106.95475200000001</v>
      </c>
      <c r="Q22" s="11">
        <v>46.69</v>
      </c>
      <c r="R22" s="22">
        <f t="shared" si="12"/>
        <v>4993.7173708800001</v>
      </c>
    </row>
    <row r="23" spans="1:18" s="20" customFormat="1" x14ac:dyDescent="0.25">
      <c r="A23" s="82"/>
      <c r="B23" s="85"/>
      <c r="C23" s="49" t="s">
        <v>30</v>
      </c>
      <c r="D23" s="56" t="s">
        <v>66</v>
      </c>
      <c r="E23" s="4">
        <f t="shared" si="26"/>
        <v>2516.5824000000002</v>
      </c>
      <c r="F23" s="4">
        <f>E23*0.201</f>
        <v>505.83306240000007</v>
      </c>
      <c r="G23" s="2">
        <v>1</v>
      </c>
      <c r="H23" s="1">
        <f t="shared" si="20"/>
        <v>505.83306240000007</v>
      </c>
      <c r="I23" s="2">
        <v>0.05</v>
      </c>
      <c r="J23" s="3">
        <f t="shared" si="21"/>
        <v>25.291653120000007</v>
      </c>
      <c r="K23" s="4">
        <f t="shared" si="22"/>
        <v>2010.7493376000002</v>
      </c>
      <c r="L23" s="2">
        <v>1</v>
      </c>
      <c r="M23" s="6">
        <f t="shared" si="5"/>
        <v>2010.7493376000002</v>
      </c>
      <c r="N23" s="2">
        <v>0.03</v>
      </c>
      <c r="O23" s="2">
        <f t="shared" si="23"/>
        <v>60.322480128000002</v>
      </c>
      <c r="P23" s="13">
        <f t="shared" si="24"/>
        <v>85.614133248000002</v>
      </c>
      <c r="Q23" s="11">
        <v>46.69</v>
      </c>
      <c r="R23" s="22">
        <f t="shared" si="12"/>
        <v>3997.3238813491198</v>
      </c>
    </row>
    <row r="24" spans="1:18" s="20" customFormat="1" x14ac:dyDescent="0.25">
      <c r="A24" s="82"/>
      <c r="B24" s="85"/>
      <c r="C24" s="49" t="s">
        <v>49</v>
      </c>
      <c r="D24" s="73" t="s">
        <v>90</v>
      </c>
      <c r="E24" s="4">
        <f>E14</f>
        <v>15000</v>
      </c>
      <c r="F24" s="4">
        <v>12000</v>
      </c>
      <c r="G24" s="2">
        <v>2</v>
      </c>
      <c r="H24" s="1">
        <f t="shared" ref="H24" si="27">+F24*G24</f>
        <v>24000</v>
      </c>
      <c r="I24" s="2">
        <v>0.06</v>
      </c>
      <c r="J24" s="3">
        <f t="shared" ref="J24" si="28">+H24*I24</f>
        <v>1440</v>
      </c>
      <c r="K24" s="4">
        <f>E24-F24</f>
        <v>3000</v>
      </c>
      <c r="L24" s="2">
        <v>2</v>
      </c>
      <c r="M24" s="6">
        <f t="shared" ref="M24" si="29">+K24*L24</f>
        <v>6000</v>
      </c>
      <c r="N24" s="2">
        <v>0.03</v>
      </c>
      <c r="O24" s="2">
        <f t="shared" ref="O24" si="30">+M24*N24</f>
        <v>180</v>
      </c>
      <c r="P24" s="13">
        <f>J24+O24</f>
        <v>1620</v>
      </c>
      <c r="Q24" s="11">
        <v>46.69</v>
      </c>
      <c r="R24" s="22">
        <f t="shared" si="12"/>
        <v>75637.8</v>
      </c>
    </row>
    <row r="25" spans="1:18" s="20" customFormat="1" x14ac:dyDescent="0.25">
      <c r="A25" s="82"/>
      <c r="B25" s="85"/>
      <c r="C25" s="49" t="s">
        <v>43</v>
      </c>
      <c r="D25" s="56" t="s">
        <v>68</v>
      </c>
      <c r="E25" s="4">
        <f>K23</f>
        <v>2010.7493376000002</v>
      </c>
      <c r="F25" s="4">
        <f t="shared" si="25"/>
        <v>402.14986752000004</v>
      </c>
      <c r="G25" s="2">
        <v>1</v>
      </c>
      <c r="H25" s="1">
        <f t="shared" si="20"/>
        <v>402.14986752000004</v>
      </c>
      <c r="I25" s="2">
        <v>0.05</v>
      </c>
      <c r="J25" s="3">
        <f t="shared" si="21"/>
        <v>20.107493376000004</v>
      </c>
      <c r="K25" s="4">
        <f t="shared" si="22"/>
        <v>1608.5994700800002</v>
      </c>
      <c r="L25" s="2">
        <v>1</v>
      </c>
      <c r="M25" s="6">
        <f t="shared" si="5"/>
        <v>1608.5994700800002</v>
      </c>
      <c r="N25" s="2">
        <v>0.03</v>
      </c>
      <c r="O25" s="2">
        <f t="shared" si="23"/>
        <v>48.257984102400002</v>
      </c>
      <c r="P25" s="13">
        <f t="shared" si="24"/>
        <v>68.36547747840001</v>
      </c>
      <c r="Q25" s="11">
        <v>46.69</v>
      </c>
      <c r="R25" s="22">
        <f t="shared" si="12"/>
        <v>3191.9841434664963</v>
      </c>
    </row>
    <row r="26" spans="1:18" s="20" customFormat="1" x14ac:dyDescent="0.25">
      <c r="A26" s="82"/>
      <c r="B26" s="85"/>
      <c r="C26" s="49" t="s">
        <v>44</v>
      </c>
      <c r="D26" s="56" t="s">
        <v>68</v>
      </c>
      <c r="E26" s="4">
        <f t="shared" si="26"/>
        <v>1608.5994700800002</v>
      </c>
      <c r="F26" s="4">
        <f t="shared" si="25"/>
        <v>321.71989401600007</v>
      </c>
      <c r="G26" s="2">
        <v>1</v>
      </c>
      <c r="H26" s="1">
        <f t="shared" si="20"/>
        <v>321.71989401600007</v>
      </c>
      <c r="I26" s="2">
        <v>0.05</v>
      </c>
      <c r="J26" s="3">
        <f t="shared" si="21"/>
        <v>16.085994700800004</v>
      </c>
      <c r="K26" s="4">
        <f t="shared" si="22"/>
        <v>1286.879576064</v>
      </c>
      <c r="L26" s="2">
        <v>1</v>
      </c>
      <c r="M26" s="6">
        <f t="shared" si="5"/>
        <v>1286.879576064</v>
      </c>
      <c r="N26" s="2">
        <v>0.03</v>
      </c>
      <c r="O26" s="2">
        <f t="shared" si="23"/>
        <v>38.60638728192</v>
      </c>
      <c r="P26" s="13">
        <f t="shared" si="24"/>
        <v>54.692381982720008</v>
      </c>
      <c r="Q26" s="11">
        <v>46.69</v>
      </c>
      <c r="R26" s="22">
        <f t="shared" si="12"/>
        <v>2553.5873147731972</v>
      </c>
    </row>
    <row r="27" spans="1:18" s="20" customFormat="1" x14ac:dyDescent="0.25">
      <c r="A27" s="82"/>
      <c r="B27" s="85"/>
      <c r="C27" s="49" t="s">
        <v>29</v>
      </c>
      <c r="D27" s="56" t="s">
        <v>69</v>
      </c>
      <c r="E27" s="4">
        <f>+F14</f>
        <v>12000</v>
      </c>
      <c r="F27" s="4">
        <f>E27</f>
        <v>12000</v>
      </c>
      <c r="G27" s="2">
        <v>1</v>
      </c>
      <c r="H27" s="1">
        <f t="shared" si="20"/>
        <v>12000</v>
      </c>
      <c r="I27" s="2">
        <v>0.03</v>
      </c>
      <c r="J27" s="3">
        <f t="shared" si="21"/>
        <v>360</v>
      </c>
      <c r="K27" s="4">
        <f t="shared" ref="K27" si="31">E27-F27</f>
        <v>0</v>
      </c>
      <c r="L27" s="2">
        <v>0</v>
      </c>
      <c r="M27" s="5">
        <f t="shared" ref="M27" si="32">K27*L27</f>
        <v>0</v>
      </c>
      <c r="N27" s="2">
        <v>0</v>
      </c>
      <c r="O27" s="2">
        <f>M27*N27</f>
        <v>0</v>
      </c>
      <c r="P27" s="23">
        <f t="shared" ref="P27" si="33">+O27+J27</f>
        <v>360</v>
      </c>
      <c r="Q27" s="11">
        <v>46.69</v>
      </c>
      <c r="R27" s="22">
        <f t="shared" si="12"/>
        <v>16808.399999999998</v>
      </c>
    </row>
    <row r="28" spans="1:18" s="25" customFormat="1" x14ac:dyDescent="0.25">
      <c r="A28" s="82"/>
      <c r="B28" s="85"/>
      <c r="C28" s="14" t="s">
        <v>22</v>
      </c>
      <c r="D28" s="57"/>
      <c r="E28" s="15">
        <f>E14</f>
        <v>15000</v>
      </c>
      <c r="F28" s="15">
        <f>F14</f>
        <v>12000</v>
      </c>
      <c r="G28" s="16">
        <f>H28/F28</f>
        <v>8.5182600353280016</v>
      </c>
      <c r="H28" s="15">
        <f>SUM(H10:H27)</f>
        <v>102219.12042393601</v>
      </c>
      <c r="I28" s="16">
        <f>J28/H28</f>
        <v>0.16175697807437778</v>
      </c>
      <c r="J28" s="17">
        <f>SUM(J10:J27)</f>
        <v>16534.656021196799</v>
      </c>
      <c r="K28" s="15">
        <f>K14</f>
        <v>3000</v>
      </c>
      <c r="L28" s="16">
        <f>M28/K28</f>
        <v>22.779966261248003</v>
      </c>
      <c r="M28" s="24">
        <f>SUM(M10:M27)</f>
        <v>68339.898783744007</v>
      </c>
      <c r="N28" s="16">
        <f>O28/M28</f>
        <v>3.0877964425874625E-2</v>
      </c>
      <c r="O28" s="17">
        <f>SUM(O10:O27)</f>
        <v>2110.1969635123201</v>
      </c>
      <c r="P28" s="17">
        <f>SUM(P10:P27)</f>
        <v>18644.852984709123</v>
      </c>
      <c r="Q28" s="17"/>
      <c r="R28" s="19">
        <f>SUM(R10:R27)</f>
        <v>870528.18585606897</v>
      </c>
    </row>
    <row r="29" spans="1:18" s="20" customFormat="1" ht="12.75" customHeight="1" x14ac:dyDescent="0.25">
      <c r="A29" s="83"/>
      <c r="B29" s="87" t="s">
        <v>19</v>
      </c>
      <c r="C29" s="88"/>
      <c r="D29" s="59"/>
      <c r="E29" s="26">
        <f>E9+E28</f>
        <v>15055</v>
      </c>
      <c r="F29" s="26">
        <f>F9+F28</f>
        <v>12055</v>
      </c>
      <c r="G29" s="27">
        <f>H29/F29</f>
        <v>8.506770669758275</v>
      </c>
      <c r="H29" s="26">
        <f>H9+H28</f>
        <v>102549.12042393601</v>
      </c>
      <c r="I29" s="27">
        <f>J29/H29</f>
        <v>0.16287761369524295</v>
      </c>
      <c r="J29" s="28">
        <f>J9+J28</f>
        <v>16702.956021196798</v>
      </c>
      <c r="K29" s="26">
        <f>K9+K28</f>
        <v>3000</v>
      </c>
      <c r="L29" s="27">
        <f>M29/K29</f>
        <v>22.779966261248003</v>
      </c>
      <c r="M29" s="26">
        <f>M9+M28</f>
        <v>68339.898783744007</v>
      </c>
      <c r="N29" s="27">
        <f>O29/M29</f>
        <v>3.0877964425874625E-2</v>
      </c>
      <c r="O29" s="29">
        <f>O9+O28</f>
        <v>2110.1969635123201</v>
      </c>
      <c r="P29" s="29">
        <f>P9+P28</f>
        <v>18813.152984709122</v>
      </c>
      <c r="Q29" s="29"/>
      <c r="R29" s="30">
        <f>R9+R28</f>
        <v>878083.17285606894</v>
      </c>
    </row>
    <row r="30" spans="1:18" s="20" customFormat="1" ht="12.75" customHeight="1" x14ac:dyDescent="0.25">
      <c r="A30" s="86" t="s">
        <v>14</v>
      </c>
      <c r="B30" s="81" t="s">
        <v>20</v>
      </c>
      <c r="C30" s="49" t="s">
        <v>50</v>
      </c>
      <c r="D30" s="73" t="s">
        <v>89</v>
      </c>
      <c r="E30" s="4">
        <v>5000</v>
      </c>
      <c r="F30" s="4">
        <v>4000</v>
      </c>
      <c r="G30" s="2">
        <v>1</v>
      </c>
      <c r="H30" s="1">
        <f>+F30*G30</f>
        <v>4000</v>
      </c>
      <c r="I30" s="2">
        <v>0.06</v>
      </c>
      <c r="J30" s="3">
        <f>+H30*I30</f>
        <v>240</v>
      </c>
      <c r="K30" s="4">
        <f t="shared" ref="K30:K34" si="34">E30-F30</f>
        <v>1000</v>
      </c>
      <c r="L30" s="2">
        <v>1</v>
      </c>
      <c r="M30" s="6">
        <f>K30*L30</f>
        <v>1000</v>
      </c>
      <c r="N30" s="2">
        <v>0.03</v>
      </c>
      <c r="O30" s="2">
        <f>+M30*N30</f>
        <v>30</v>
      </c>
      <c r="P30" s="13">
        <f>J30+O30</f>
        <v>270</v>
      </c>
      <c r="Q30" s="11">
        <v>46.69</v>
      </c>
      <c r="R30" s="65">
        <f>Q30*P30</f>
        <v>12606.3</v>
      </c>
    </row>
    <row r="31" spans="1:18" s="20" customFormat="1" x14ac:dyDescent="0.25">
      <c r="A31" s="86"/>
      <c r="B31" s="82"/>
      <c r="C31" s="49" t="s">
        <v>81</v>
      </c>
      <c r="D31" s="58" t="s">
        <v>66</v>
      </c>
      <c r="E31" s="4">
        <v>5000</v>
      </c>
      <c r="F31" s="4">
        <v>4000</v>
      </c>
      <c r="G31" s="2">
        <v>1</v>
      </c>
      <c r="H31" s="1">
        <f>+F31*G31</f>
        <v>4000</v>
      </c>
      <c r="I31" s="2">
        <v>0.06</v>
      </c>
      <c r="J31" s="3">
        <f>+H31*I31</f>
        <v>240</v>
      </c>
      <c r="K31" s="4">
        <f t="shared" si="34"/>
        <v>1000</v>
      </c>
      <c r="L31" s="2">
        <v>1</v>
      </c>
      <c r="M31" s="6">
        <f>+K31*L31</f>
        <v>1000</v>
      </c>
      <c r="N31" s="2">
        <v>0.03</v>
      </c>
      <c r="O31" s="2">
        <f>+M31*N31</f>
        <v>30</v>
      </c>
      <c r="P31" s="13">
        <f>J31+O31</f>
        <v>270</v>
      </c>
      <c r="Q31" s="11">
        <v>46.69</v>
      </c>
      <c r="R31" s="65">
        <f t="shared" ref="R31:R46" si="35">Q31*P31</f>
        <v>12606.3</v>
      </c>
    </row>
    <row r="32" spans="1:18" s="20" customFormat="1" x14ac:dyDescent="0.25">
      <c r="A32" s="86"/>
      <c r="B32" s="82"/>
      <c r="C32" s="49" t="s">
        <v>51</v>
      </c>
      <c r="D32" s="58" t="s">
        <v>67</v>
      </c>
      <c r="E32" s="4">
        <v>5000</v>
      </c>
      <c r="F32" s="4">
        <f>0.5*E32</f>
        <v>2500</v>
      </c>
      <c r="G32" s="2">
        <v>1</v>
      </c>
      <c r="H32" s="1">
        <f>+F32*G32</f>
        <v>2500</v>
      </c>
      <c r="I32" s="2">
        <v>0.5</v>
      </c>
      <c r="J32" s="3">
        <f>+H32*I32</f>
        <v>1250</v>
      </c>
      <c r="K32" s="4">
        <f t="shared" si="34"/>
        <v>2500</v>
      </c>
      <c r="L32" s="2">
        <v>1</v>
      </c>
      <c r="M32" s="6">
        <f>+K32*L32</f>
        <v>2500</v>
      </c>
      <c r="N32" s="2">
        <v>0.03</v>
      </c>
      <c r="O32" s="2">
        <f>+M32*N32</f>
        <v>75</v>
      </c>
      <c r="P32" s="13">
        <f>J32+O32</f>
        <v>1325</v>
      </c>
      <c r="Q32" s="11">
        <v>46.69</v>
      </c>
      <c r="R32" s="65">
        <f t="shared" si="35"/>
        <v>61864.25</v>
      </c>
    </row>
    <row r="33" spans="1:18" s="20" customFormat="1" x14ac:dyDescent="0.25">
      <c r="A33" s="86"/>
      <c r="B33" s="82"/>
      <c r="C33" s="55" t="s">
        <v>83</v>
      </c>
      <c r="D33" s="68" t="s">
        <v>70</v>
      </c>
      <c r="E33" s="4">
        <v>5000</v>
      </c>
      <c r="F33" s="4">
        <f t="shared" ref="F33" si="36">E33*0.8</f>
        <v>4000</v>
      </c>
      <c r="G33" s="2">
        <v>1</v>
      </c>
      <c r="H33" s="1">
        <f>+F33*G33</f>
        <v>4000</v>
      </c>
      <c r="I33" s="2">
        <v>0.5</v>
      </c>
      <c r="J33" s="3">
        <f>+H33*I33</f>
        <v>2000</v>
      </c>
      <c r="K33" s="4">
        <f t="shared" si="34"/>
        <v>1000</v>
      </c>
      <c r="L33" s="2">
        <v>1</v>
      </c>
      <c r="M33" s="6">
        <f>+K33*L33</f>
        <v>1000</v>
      </c>
      <c r="N33" s="2">
        <v>0.05</v>
      </c>
      <c r="O33" s="2">
        <f>+M33*N33</f>
        <v>50</v>
      </c>
      <c r="P33" s="66">
        <f t="shared" ref="P33" si="37">+O33+J33</f>
        <v>2050</v>
      </c>
      <c r="Q33" s="11">
        <v>46.69</v>
      </c>
      <c r="R33" s="65">
        <f t="shared" si="35"/>
        <v>95714.5</v>
      </c>
    </row>
    <row r="34" spans="1:18" s="20" customFormat="1" x14ac:dyDescent="0.25">
      <c r="A34" s="86"/>
      <c r="B34" s="82"/>
      <c r="C34" s="49" t="s">
        <v>28</v>
      </c>
      <c r="D34" s="58" t="s">
        <v>71</v>
      </c>
      <c r="E34" s="4">
        <f>E30</f>
        <v>5000</v>
      </c>
      <c r="F34" s="4">
        <v>4000</v>
      </c>
      <c r="G34" s="2">
        <v>1</v>
      </c>
      <c r="H34" s="1">
        <f t="shared" ref="H34" si="38">+F34*G34</f>
        <v>4000</v>
      </c>
      <c r="I34" s="2">
        <v>0.25</v>
      </c>
      <c r="J34" s="3">
        <f t="shared" ref="J34" si="39">+H34*I34</f>
        <v>1000</v>
      </c>
      <c r="K34" s="4">
        <f t="shared" si="34"/>
        <v>1000</v>
      </c>
      <c r="L34" s="2">
        <v>1</v>
      </c>
      <c r="M34" s="6">
        <f t="shared" ref="M34" si="40">+K34*L34</f>
        <v>1000</v>
      </c>
      <c r="N34" s="2">
        <v>0.03</v>
      </c>
      <c r="O34" s="2">
        <f t="shared" ref="O34" si="41">+M34*N34</f>
        <v>30</v>
      </c>
      <c r="P34" s="13">
        <f>J34+O34</f>
        <v>1030</v>
      </c>
      <c r="Q34" s="11">
        <v>46.69</v>
      </c>
      <c r="R34" s="65">
        <f t="shared" si="35"/>
        <v>48090.7</v>
      </c>
    </row>
    <row r="35" spans="1:18" s="20" customFormat="1" x14ac:dyDescent="0.25">
      <c r="A35" s="86"/>
      <c r="B35" s="82"/>
      <c r="C35" s="49" t="s">
        <v>37</v>
      </c>
      <c r="D35" s="56" t="s">
        <v>66</v>
      </c>
      <c r="E35" s="4">
        <f>E33-(E33*0.8*0.25)</f>
        <v>4000</v>
      </c>
      <c r="F35" s="4">
        <f>E35*0.2</f>
        <v>800</v>
      </c>
      <c r="G35" s="2">
        <v>1</v>
      </c>
      <c r="H35" s="1">
        <f t="shared" ref="H35:H46" si="42">+F35*G35</f>
        <v>800</v>
      </c>
      <c r="I35" s="2">
        <v>0.05</v>
      </c>
      <c r="J35" s="3">
        <f t="shared" ref="J35:J46" si="43">+H35*I35</f>
        <v>40</v>
      </c>
      <c r="K35" s="4">
        <f t="shared" ref="K35:K45" si="44">E35-F35</f>
        <v>3200</v>
      </c>
      <c r="L35" s="2">
        <v>1</v>
      </c>
      <c r="M35" s="6">
        <f t="shared" ref="M35:M45" si="45">+K35*L35</f>
        <v>3200</v>
      </c>
      <c r="N35" s="2">
        <v>0.03</v>
      </c>
      <c r="O35" s="2">
        <f t="shared" ref="O35:O45" si="46">+M35*N35</f>
        <v>96</v>
      </c>
      <c r="P35" s="13">
        <f t="shared" ref="P35:P45" si="47">J35+O35</f>
        <v>136</v>
      </c>
      <c r="Q35" s="11">
        <v>46.69</v>
      </c>
      <c r="R35" s="65">
        <f t="shared" si="35"/>
        <v>6349.84</v>
      </c>
    </row>
    <row r="36" spans="1:18" s="20" customFormat="1" x14ac:dyDescent="0.25">
      <c r="A36" s="86"/>
      <c r="B36" s="82"/>
      <c r="C36" s="49" t="s">
        <v>36</v>
      </c>
      <c r="D36" s="56" t="s">
        <v>66</v>
      </c>
      <c r="E36" s="4">
        <f>K35</f>
        <v>3200</v>
      </c>
      <c r="F36" s="4">
        <f t="shared" ref="F36:F45" si="48">E36*0.2</f>
        <v>640</v>
      </c>
      <c r="G36" s="2">
        <v>1</v>
      </c>
      <c r="H36" s="1">
        <f t="shared" si="42"/>
        <v>640</v>
      </c>
      <c r="I36" s="2">
        <v>0.05</v>
      </c>
      <c r="J36" s="3">
        <f t="shared" si="43"/>
        <v>32</v>
      </c>
      <c r="K36" s="4">
        <f t="shared" si="44"/>
        <v>2560</v>
      </c>
      <c r="L36" s="2">
        <v>1</v>
      </c>
      <c r="M36" s="6">
        <f t="shared" si="45"/>
        <v>2560</v>
      </c>
      <c r="N36" s="2">
        <v>0.03</v>
      </c>
      <c r="O36" s="2">
        <f t="shared" si="46"/>
        <v>76.8</v>
      </c>
      <c r="P36" s="13">
        <f t="shared" si="47"/>
        <v>108.8</v>
      </c>
      <c r="Q36" s="11">
        <v>46.69</v>
      </c>
      <c r="R36" s="65">
        <f t="shared" si="35"/>
        <v>5079.8719999999994</v>
      </c>
    </row>
    <row r="37" spans="1:18" s="20" customFormat="1" x14ac:dyDescent="0.25">
      <c r="A37" s="86"/>
      <c r="B37" s="82"/>
      <c r="C37" s="49" t="s">
        <v>35</v>
      </c>
      <c r="D37" s="56" t="s">
        <v>66</v>
      </c>
      <c r="E37" s="4">
        <f t="shared" ref="E37:E45" si="49">K36</f>
        <v>2560</v>
      </c>
      <c r="F37" s="4">
        <f t="shared" si="48"/>
        <v>512</v>
      </c>
      <c r="G37" s="2">
        <v>1</v>
      </c>
      <c r="H37" s="1">
        <f t="shared" si="42"/>
        <v>512</v>
      </c>
      <c r="I37" s="2">
        <v>0.05</v>
      </c>
      <c r="J37" s="3">
        <f t="shared" si="43"/>
        <v>25.6</v>
      </c>
      <c r="K37" s="4">
        <f t="shared" si="44"/>
        <v>2048</v>
      </c>
      <c r="L37" s="2">
        <v>1</v>
      </c>
      <c r="M37" s="6">
        <f t="shared" si="45"/>
        <v>2048</v>
      </c>
      <c r="N37" s="2">
        <v>0.03</v>
      </c>
      <c r="O37" s="2">
        <f t="shared" si="46"/>
        <v>61.44</v>
      </c>
      <c r="P37" s="13">
        <f t="shared" si="47"/>
        <v>87.039999999999992</v>
      </c>
      <c r="Q37" s="11">
        <v>46.69</v>
      </c>
      <c r="R37" s="65">
        <f t="shared" si="35"/>
        <v>4063.8975999999993</v>
      </c>
    </row>
    <row r="38" spans="1:18" s="20" customFormat="1" x14ac:dyDescent="0.25">
      <c r="A38" s="86"/>
      <c r="B38" s="82"/>
      <c r="C38" s="49" t="s">
        <v>34</v>
      </c>
      <c r="D38" s="56" t="s">
        <v>66</v>
      </c>
      <c r="E38" s="4">
        <f t="shared" si="49"/>
        <v>2048</v>
      </c>
      <c r="F38" s="4">
        <f t="shared" si="48"/>
        <v>409.6</v>
      </c>
      <c r="G38" s="2">
        <v>1</v>
      </c>
      <c r="H38" s="1">
        <f t="shared" si="42"/>
        <v>409.6</v>
      </c>
      <c r="I38" s="2">
        <v>0.05</v>
      </c>
      <c r="J38" s="3">
        <f t="shared" si="43"/>
        <v>20.480000000000004</v>
      </c>
      <c r="K38" s="4">
        <f t="shared" si="44"/>
        <v>1638.4</v>
      </c>
      <c r="L38" s="2">
        <v>1</v>
      </c>
      <c r="M38" s="6">
        <f t="shared" si="45"/>
        <v>1638.4</v>
      </c>
      <c r="N38" s="2">
        <v>0.03</v>
      </c>
      <c r="O38" s="2">
        <f t="shared" si="46"/>
        <v>49.152000000000001</v>
      </c>
      <c r="P38" s="13">
        <f t="shared" si="47"/>
        <v>69.632000000000005</v>
      </c>
      <c r="Q38" s="11">
        <v>46.69</v>
      </c>
      <c r="R38" s="22">
        <f t="shared" si="35"/>
        <v>3251.1180800000002</v>
      </c>
    </row>
    <row r="39" spans="1:18" s="20" customFormat="1" x14ac:dyDescent="0.25">
      <c r="A39" s="86"/>
      <c r="B39" s="82"/>
      <c r="C39" s="49" t="s">
        <v>33</v>
      </c>
      <c r="D39" s="56" t="s">
        <v>66</v>
      </c>
      <c r="E39" s="4">
        <f t="shared" si="49"/>
        <v>1638.4</v>
      </c>
      <c r="F39" s="4">
        <f>E39*0.201</f>
        <v>329.31840000000005</v>
      </c>
      <c r="G39" s="2">
        <v>1</v>
      </c>
      <c r="H39" s="1">
        <f t="shared" si="42"/>
        <v>329.31840000000005</v>
      </c>
      <c r="I39" s="2">
        <v>0.05</v>
      </c>
      <c r="J39" s="3">
        <f t="shared" si="43"/>
        <v>16.465920000000004</v>
      </c>
      <c r="K39" s="4">
        <f t="shared" si="44"/>
        <v>1309.0816</v>
      </c>
      <c r="L39" s="2">
        <v>1</v>
      </c>
      <c r="M39" s="6">
        <f t="shared" si="45"/>
        <v>1309.0816</v>
      </c>
      <c r="N39" s="2">
        <v>0.03</v>
      </c>
      <c r="O39" s="2">
        <f t="shared" si="46"/>
        <v>39.272447999999997</v>
      </c>
      <c r="P39" s="13">
        <f t="shared" si="47"/>
        <v>55.738368000000001</v>
      </c>
      <c r="Q39" s="11">
        <v>46.69</v>
      </c>
      <c r="R39" s="22">
        <f t="shared" si="35"/>
        <v>2602.42440192</v>
      </c>
    </row>
    <row r="40" spans="1:18" s="20" customFormat="1" x14ac:dyDescent="0.25">
      <c r="A40" s="86"/>
      <c r="B40" s="82"/>
      <c r="C40" s="49" t="s">
        <v>32</v>
      </c>
      <c r="D40" s="56" t="s">
        <v>66</v>
      </c>
      <c r="E40" s="4">
        <f t="shared" si="49"/>
        <v>1309.0816</v>
      </c>
      <c r="F40" s="4">
        <f t="shared" si="48"/>
        <v>261.81632000000002</v>
      </c>
      <c r="G40" s="2">
        <v>1</v>
      </c>
      <c r="H40" s="1">
        <f t="shared" si="42"/>
        <v>261.81632000000002</v>
      </c>
      <c r="I40" s="2">
        <v>0.05</v>
      </c>
      <c r="J40" s="3">
        <f t="shared" si="43"/>
        <v>13.090816000000002</v>
      </c>
      <c r="K40" s="4">
        <f t="shared" si="44"/>
        <v>1047.2652800000001</v>
      </c>
      <c r="L40" s="2">
        <v>1</v>
      </c>
      <c r="M40" s="6">
        <f t="shared" si="45"/>
        <v>1047.2652800000001</v>
      </c>
      <c r="N40" s="2">
        <v>0.03</v>
      </c>
      <c r="O40" s="2">
        <f t="shared" si="46"/>
        <v>31.4179584</v>
      </c>
      <c r="P40" s="13">
        <f t="shared" si="47"/>
        <v>44.5087744</v>
      </c>
      <c r="Q40" s="11">
        <v>46.69</v>
      </c>
      <c r="R40" s="22">
        <f t="shared" si="35"/>
        <v>2078.1146767360001</v>
      </c>
    </row>
    <row r="41" spans="1:18" s="20" customFormat="1" x14ac:dyDescent="0.25">
      <c r="A41" s="86"/>
      <c r="B41" s="82"/>
      <c r="C41" s="49" t="s">
        <v>31</v>
      </c>
      <c r="D41" s="56" t="s">
        <v>66</v>
      </c>
      <c r="E41" s="4">
        <f t="shared" si="49"/>
        <v>1047.2652800000001</v>
      </c>
      <c r="F41" s="4">
        <f t="shared" si="48"/>
        <v>209.45305600000003</v>
      </c>
      <c r="G41" s="2">
        <v>1</v>
      </c>
      <c r="H41" s="1">
        <f t="shared" si="42"/>
        <v>209.45305600000003</v>
      </c>
      <c r="I41" s="2">
        <v>0.05</v>
      </c>
      <c r="J41" s="3">
        <f t="shared" si="43"/>
        <v>10.472652800000002</v>
      </c>
      <c r="K41" s="4">
        <f t="shared" si="44"/>
        <v>837.81222400000001</v>
      </c>
      <c r="L41" s="2">
        <v>1</v>
      </c>
      <c r="M41" s="6">
        <f t="shared" si="45"/>
        <v>837.81222400000001</v>
      </c>
      <c r="N41" s="2">
        <v>0.03</v>
      </c>
      <c r="O41" s="2">
        <f t="shared" si="46"/>
        <v>25.134366719999999</v>
      </c>
      <c r="P41" s="13">
        <f t="shared" si="47"/>
        <v>35.607019520000001</v>
      </c>
      <c r="Q41" s="11">
        <v>46.69</v>
      </c>
      <c r="R41" s="22">
        <f t="shared" si="35"/>
        <v>1662.4917413887999</v>
      </c>
    </row>
    <row r="42" spans="1:18" s="20" customFormat="1" x14ac:dyDescent="0.25">
      <c r="A42" s="86"/>
      <c r="B42" s="82"/>
      <c r="C42" s="49" t="s">
        <v>30</v>
      </c>
      <c r="D42" s="56" t="s">
        <v>66</v>
      </c>
      <c r="E42" s="4">
        <f t="shared" si="49"/>
        <v>837.81222400000001</v>
      </c>
      <c r="F42" s="4">
        <f t="shared" si="48"/>
        <v>167.56244480000001</v>
      </c>
      <c r="G42" s="2">
        <v>1</v>
      </c>
      <c r="H42" s="1">
        <f t="shared" si="42"/>
        <v>167.56244480000001</v>
      </c>
      <c r="I42" s="2">
        <v>0.05</v>
      </c>
      <c r="J42" s="3">
        <f t="shared" si="43"/>
        <v>8.3781222400000015</v>
      </c>
      <c r="K42" s="4">
        <f t="shared" si="44"/>
        <v>670.24977920000003</v>
      </c>
      <c r="L42" s="2">
        <v>1</v>
      </c>
      <c r="M42" s="6">
        <f t="shared" si="45"/>
        <v>670.24977920000003</v>
      </c>
      <c r="N42" s="2">
        <v>0.03</v>
      </c>
      <c r="O42" s="2">
        <f t="shared" si="46"/>
        <v>20.107493376000001</v>
      </c>
      <c r="P42" s="13">
        <f t="shared" si="47"/>
        <v>28.485615616000004</v>
      </c>
      <c r="Q42" s="11">
        <v>46.69</v>
      </c>
      <c r="R42" s="22">
        <f t="shared" si="35"/>
        <v>1329.9933931110402</v>
      </c>
    </row>
    <row r="43" spans="1:18" s="20" customFormat="1" x14ac:dyDescent="0.25">
      <c r="A43" s="86"/>
      <c r="B43" s="82"/>
      <c r="C43" s="49" t="s">
        <v>49</v>
      </c>
      <c r="D43" s="73" t="s">
        <v>90</v>
      </c>
      <c r="E43" s="4">
        <f>E33</f>
        <v>5000</v>
      </c>
      <c r="F43" s="4">
        <v>4000</v>
      </c>
      <c r="G43" s="2">
        <v>2</v>
      </c>
      <c r="H43" s="1">
        <f t="shared" ref="H43" si="50">+F43*G43</f>
        <v>8000</v>
      </c>
      <c r="I43" s="2">
        <v>0.06</v>
      </c>
      <c r="J43" s="3">
        <f t="shared" ref="J43" si="51">+H43*I43</f>
        <v>480</v>
      </c>
      <c r="K43" s="4">
        <f>E43-F43</f>
        <v>1000</v>
      </c>
      <c r="L43" s="2">
        <v>2</v>
      </c>
      <c r="M43" s="6">
        <f t="shared" ref="M43" si="52">+K43*L43</f>
        <v>2000</v>
      </c>
      <c r="N43" s="2">
        <v>0.03</v>
      </c>
      <c r="O43" s="2">
        <f t="shared" ref="O43" si="53">+M43*N43</f>
        <v>60</v>
      </c>
      <c r="P43" s="13">
        <f>J43+O43</f>
        <v>540</v>
      </c>
      <c r="Q43" s="11">
        <v>46.69</v>
      </c>
      <c r="R43" s="22">
        <f t="shared" si="35"/>
        <v>25212.6</v>
      </c>
    </row>
    <row r="44" spans="1:18" s="20" customFormat="1" x14ac:dyDescent="0.25">
      <c r="A44" s="86"/>
      <c r="B44" s="82"/>
      <c r="C44" s="49" t="s">
        <v>43</v>
      </c>
      <c r="D44" s="56" t="s">
        <v>68</v>
      </c>
      <c r="E44" s="4">
        <f>K42</f>
        <v>670.24977920000003</v>
      </c>
      <c r="F44" s="4">
        <f t="shared" si="48"/>
        <v>134.04995584000002</v>
      </c>
      <c r="G44" s="2">
        <v>1</v>
      </c>
      <c r="H44" s="1">
        <f t="shared" si="42"/>
        <v>134.04995584000002</v>
      </c>
      <c r="I44" s="2">
        <v>0.05</v>
      </c>
      <c r="J44" s="3">
        <f t="shared" si="43"/>
        <v>6.7024977920000017</v>
      </c>
      <c r="K44" s="4">
        <f t="shared" si="44"/>
        <v>536.19982335999998</v>
      </c>
      <c r="L44" s="2">
        <v>1</v>
      </c>
      <c r="M44" s="6">
        <f t="shared" si="45"/>
        <v>536.19982335999998</v>
      </c>
      <c r="N44" s="2">
        <v>0.03</v>
      </c>
      <c r="O44" s="2">
        <f t="shared" si="46"/>
        <v>16.085994700800001</v>
      </c>
      <c r="P44" s="13">
        <f t="shared" si="47"/>
        <v>22.788492492800003</v>
      </c>
      <c r="Q44" s="11">
        <v>46.69</v>
      </c>
      <c r="R44" s="22">
        <f t="shared" si="35"/>
        <v>1063.9947144888322</v>
      </c>
    </row>
    <row r="45" spans="1:18" s="20" customFormat="1" x14ac:dyDescent="0.25">
      <c r="A45" s="86"/>
      <c r="B45" s="82"/>
      <c r="C45" s="49" t="s">
        <v>44</v>
      </c>
      <c r="D45" s="56" t="s">
        <v>68</v>
      </c>
      <c r="E45" s="4">
        <f t="shared" si="49"/>
        <v>536.19982335999998</v>
      </c>
      <c r="F45" s="4">
        <f t="shared" si="48"/>
        <v>107.239964672</v>
      </c>
      <c r="G45" s="2">
        <v>1</v>
      </c>
      <c r="H45" s="1">
        <f t="shared" si="42"/>
        <v>107.239964672</v>
      </c>
      <c r="I45" s="2">
        <v>0.05</v>
      </c>
      <c r="J45" s="3">
        <f t="shared" si="43"/>
        <v>5.3619982336000005</v>
      </c>
      <c r="K45" s="4">
        <f t="shared" si="44"/>
        <v>428.959858688</v>
      </c>
      <c r="L45" s="2">
        <v>1</v>
      </c>
      <c r="M45" s="6">
        <f t="shared" si="45"/>
        <v>428.959858688</v>
      </c>
      <c r="N45" s="2">
        <v>0.03</v>
      </c>
      <c r="O45" s="2">
        <f t="shared" si="46"/>
        <v>12.868795760639999</v>
      </c>
      <c r="P45" s="13">
        <f t="shared" si="47"/>
        <v>18.230793994239999</v>
      </c>
      <c r="Q45" s="11">
        <v>46.69</v>
      </c>
      <c r="R45" s="22">
        <f t="shared" si="35"/>
        <v>851.19577159106552</v>
      </c>
    </row>
    <row r="46" spans="1:18" s="20" customFormat="1" x14ac:dyDescent="0.25">
      <c r="A46" s="86"/>
      <c r="B46" s="82"/>
      <c r="C46" s="49" t="s">
        <v>29</v>
      </c>
      <c r="D46" s="56" t="s">
        <v>69</v>
      </c>
      <c r="E46" s="4">
        <f>+F33</f>
        <v>4000</v>
      </c>
      <c r="F46" s="4">
        <f>E46</f>
        <v>4000</v>
      </c>
      <c r="G46" s="2">
        <v>1</v>
      </c>
      <c r="H46" s="1">
        <f t="shared" si="42"/>
        <v>4000</v>
      </c>
      <c r="I46" s="2">
        <v>0.03</v>
      </c>
      <c r="J46" s="3">
        <f t="shared" si="43"/>
        <v>120</v>
      </c>
      <c r="K46" s="4">
        <f t="shared" ref="K46" si="54">E46-F46</f>
        <v>0</v>
      </c>
      <c r="L46" s="2">
        <v>0</v>
      </c>
      <c r="M46" s="5">
        <f t="shared" ref="M46" si="55">K46*L46</f>
        <v>0</v>
      </c>
      <c r="N46" s="2">
        <v>0</v>
      </c>
      <c r="O46" s="2">
        <f>M46*N46</f>
        <v>0</v>
      </c>
      <c r="P46" s="23">
        <f t="shared" ref="P46" si="56">+O46+J46</f>
        <v>120</v>
      </c>
      <c r="Q46" s="11">
        <v>46.69</v>
      </c>
      <c r="R46" s="22">
        <f t="shared" si="35"/>
        <v>5602.7999999999993</v>
      </c>
    </row>
    <row r="47" spans="1:18" s="25" customFormat="1" x14ac:dyDescent="0.25">
      <c r="A47" s="86"/>
      <c r="B47" s="83"/>
      <c r="C47" s="14" t="s">
        <v>21</v>
      </c>
      <c r="D47" s="57"/>
      <c r="E47" s="15">
        <f>E33</f>
        <v>5000</v>
      </c>
      <c r="F47" s="15">
        <f>F33</f>
        <v>4000</v>
      </c>
      <c r="G47" s="16">
        <f>H47/F47</f>
        <v>8.5177600353279992</v>
      </c>
      <c r="H47" s="15">
        <f>SUM(H30:H46)</f>
        <v>34071.040141311998</v>
      </c>
      <c r="I47" s="16">
        <f>J47/H47</f>
        <v>0.16167842203286131</v>
      </c>
      <c r="J47" s="17">
        <f>+SUM(J30:J46)</f>
        <v>5508.5520070656003</v>
      </c>
      <c r="K47" s="15">
        <f>K33</f>
        <v>1000</v>
      </c>
      <c r="L47" s="16">
        <f>M47/K47</f>
        <v>22.775968565247997</v>
      </c>
      <c r="M47" s="15">
        <f>SUM(M30:M46)</f>
        <v>22775.968565247997</v>
      </c>
      <c r="N47" s="16">
        <f>O47/M47</f>
        <v>3.0878118528426333E-2</v>
      </c>
      <c r="O47" s="17">
        <f>+SUM(O30:O46)</f>
        <v>703.27905695743993</v>
      </c>
      <c r="P47" s="72">
        <f>SUM(P30:P46)</f>
        <v>6211.8310640230411</v>
      </c>
      <c r="Q47" s="17"/>
      <c r="R47" s="19">
        <f>SUM(R30:R46)</f>
        <v>290030.39237923571</v>
      </c>
    </row>
    <row r="48" spans="1:18" s="12" customFormat="1" x14ac:dyDescent="0.25">
      <c r="A48" s="86"/>
      <c r="B48" s="81" t="s">
        <v>10</v>
      </c>
      <c r="C48" s="49" t="s">
        <v>38</v>
      </c>
      <c r="D48" s="56" t="s">
        <v>74</v>
      </c>
      <c r="E48" s="6">
        <v>25</v>
      </c>
      <c r="F48" s="6">
        <v>20</v>
      </c>
      <c r="G48" s="8">
        <v>1</v>
      </c>
      <c r="H48" s="9">
        <f>F48*G48</f>
        <v>20</v>
      </c>
      <c r="I48" s="8">
        <v>0.06</v>
      </c>
      <c r="J48" s="8">
        <f>(I48)*H48</f>
        <v>1.2</v>
      </c>
      <c r="K48" s="6">
        <f>E48-F48</f>
        <v>5</v>
      </c>
      <c r="L48" s="8">
        <v>1</v>
      </c>
      <c r="M48" s="5">
        <f t="shared" ref="M48:M61" si="57">K48*L48</f>
        <v>5</v>
      </c>
      <c r="N48" s="8">
        <v>0.03</v>
      </c>
      <c r="O48" s="8">
        <f>(N48)*M48</f>
        <v>0.15</v>
      </c>
      <c r="P48" s="2">
        <f>J48 +O48</f>
        <v>1.3499999999999999</v>
      </c>
      <c r="Q48" s="11">
        <v>46.9</v>
      </c>
      <c r="R48" s="11">
        <f>Q48*P48</f>
        <v>63.314999999999991</v>
      </c>
    </row>
    <row r="49" spans="1:18" s="12" customFormat="1" x14ac:dyDescent="0.25">
      <c r="A49" s="86"/>
      <c r="B49" s="82"/>
      <c r="C49" s="49" t="s">
        <v>39</v>
      </c>
      <c r="D49" s="56" t="s">
        <v>73</v>
      </c>
      <c r="E49" s="6">
        <v>25</v>
      </c>
      <c r="F49" s="6">
        <v>20</v>
      </c>
      <c r="G49" s="8">
        <v>1</v>
      </c>
      <c r="H49" s="9">
        <f>F49*G49</f>
        <v>20</v>
      </c>
      <c r="I49" s="8">
        <v>0.25</v>
      </c>
      <c r="J49" s="8">
        <f>(I49)*H49</f>
        <v>5</v>
      </c>
      <c r="K49" s="6">
        <f>E49-F49</f>
        <v>5</v>
      </c>
      <c r="L49" s="8">
        <v>1</v>
      </c>
      <c r="M49" s="5">
        <f>K49*L49</f>
        <v>5</v>
      </c>
      <c r="N49" s="8">
        <v>0.03</v>
      </c>
      <c r="O49" s="8">
        <f>(N49)*M49</f>
        <v>0.15</v>
      </c>
      <c r="P49" s="2">
        <f>J49 +O49</f>
        <v>5.15</v>
      </c>
      <c r="Q49" s="11">
        <v>46.9</v>
      </c>
      <c r="R49" s="11">
        <f>Q49*P49</f>
        <v>241.535</v>
      </c>
    </row>
    <row r="50" spans="1:18" s="12" customFormat="1" x14ac:dyDescent="0.25">
      <c r="A50" s="86"/>
      <c r="B50" s="82"/>
      <c r="C50" s="49" t="s">
        <v>55</v>
      </c>
      <c r="D50" s="56" t="s">
        <v>75</v>
      </c>
      <c r="E50" s="6">
        <v>25</v>
      </c>
      <c r="F50" s="6">
        <v>6</v>
      </c>
      <c r="G50" s="8">
        <v>1</v>
      </c>
      <c r="H50" s="9">
        <f>F50*G50</f>
        <v>6</v>
      </c>
      <c r="I50" s="8">
        <v>0.06</v>
      </c>
      <c r="J50" s="8">
        <f>(I50)*H50</f>
        <v>0.36</v>
      </c>
      <c r="K50" s="6">
        <f t="shared" ref="K50:K61" si="58">E50-F50</f>
        <v>19</v>
      </c>
      <c r="L50" s="8">
        <v>1</v>
      </c>
      <c r="M50" s="5">
        <f t="shared" si="57"/>
        <v>19</v>
      </c>
      <c r="N50" s="8">
        <v>0.03</v>
      </c>
      <c r="O50" s="8">
        <f>(N50)*M50</f>
        <v>0.56999999999999995</v>
      </c>
      <c r="P50" s="2">
        <f>J50 +O50</f>
        <v>0.92999999999999994</v>
      </c>
      <c r="Q50" s="11">
        <v>46.9</v>
      </c>
      <c r="R50" s="11">
        <f t="shared" ref="R50:R61" si="59">Q50*P50</f>
        <v>43.616999999999997</v>
      </c>
    </row>
    <row r="51" spans="1:18" s="12" customFormat="1" x14ac:dyDescent="0.25">
      <c r="A51" s="86"/>
      <c r="B51" s="82"/>
      <c r="C51" s="49" t="s">
        <v>56</v>
      </c>
      <c r="D51" s="56" t="s">
        <v>75</v>
      </c>
      <c r="E51" s="6">
        <f>K50</f>
        <v>19</v>
      </c>
      <c r="F51" s="6">
        <v>2</v>
      </c>
      <c r="G51" s="8">
        <v>1</v>
      </c>
      <c r="H51" s="9">
        <f t="shared" ref="H51:H57" si="60">F51*G51</f>
        <v>2</v>
      </c>
      <c r="I51" s="8">
        <v>0.06</v>
      </c>
      <c r="J51" s="8">
        <f t="shared" ref="J51:J57" si="61">(I51)*H51</f>
        <v>0.12</v>
      </c>
      <c r="K51" s="6">
        <f t="shared" ref="K51:K57" si="62">E51-F51</f>
        <v>17</v>
      </c>
      <c r="L51" s="8">
        <v>1</v>
      </c>
      <c r="M51" s="5">
        <f t="shared" ref="M51:M57" si="63">K51*L51</f>
        <v>17</v>
      </c>
      <c r="N51" s="8">
        <v>0.03</v>
      </c>
      <c r="O51" s="8">
        <f t="shared" ref="O51:O57" si="64">(N51)*M51</f>
        <v>0.51</v>
      </c>
      <c r="P51" s="2">
        <f t="shared" ref="P51:P57" si="65">J51 +O51</f>
        <v>0.63</v>
      </c>
      <c r="Q51" s="11">
        <v>46.9</v>
      </c>
      <c r="R51" s="11">
        <f t="shared" ref="R51:R57" si="66">Q51*P51</f>
        <v>29.547000000000001</v>
      </c>
    </row>
    <row r="52" spans="1:18" s="12" customFormat="1" x14ac:dyDescent="0.25">
      <c r="A52" s="86"/>
      <c r="B52" s="82"/>
      <c r="C52" s="49" t="s">
        <v>57</v>
      </c>
      <c r="D52" s="56" t="s">
        <v>75</v>
      </c>
      <c r="E52" s="6">
        <f t="shared" ref="E52:E57" si="67">K51</f>
        <v>17</v>
      </c>
      <c r="F52" s="6">
        <v>2</v>
      </c>
      <c r="G52" s="8">
        <v>1</v>
      </c>
      <c r="H52" s="9">
        <f t="shared" si="60"/>
        <v>2</v>
      </c>
      <c r="I52" s="8">
        <v>0.06</v>
      </c>
      <c r="J52" s="8">
        <f t="shared" si="61"/>
        <v>0.12</v>
      </c>
      <c r="K52" s="6">
        <f t="shared" si="62"/>
        <v>15</v>
      </c>
      <c r="L52" s="8">
        <v>1</v>
      </c>
      <c r="M52" s="5">
        <f t="shared" si="63"/>
        <v>15</v>
      </c>
      <c r="N52" s="8">
        <v>0.03</v>
      </c>
      <c r="O52" s="8">
        <f t="shared" si="64"/>
        <v>0.44999999999999996</v>
      </c>
      <c r="P52" s="2">
        <f t="shared" si="65"/>
        <v>0.56999999999999995</v>
      </c>
      <c r="Q52" s="11">
        <v>46.9</v>
      </c>
      <c r="R52" s="11">
        <f t="shared" si="66"/>
        <v>26.732999999999997</v>
      </c>
    </row>
    <row r="53" spans="1:18" s="12" customFormat="1" x14ac:dyDescent="0.25">
      <c r="A53" s="86"/>
      <c r="B53" s="82"/>
      <c r="C53" s="49" t="s">
        <v>58</v>
      </c>
      <c r="D53" s="56" t="s">
        <v>75</v>
      </c>
      <c r="E53" s="6">
        <f t="shared" si="67"/>
        <v>15</v>
      </c>
      <c r="F53" s="6">
        <v>2</v>
      </c>
      <c r="G53" s="8">
        <v>1</v>
      </c>
      <c r="H53" s="9">
        <f t="shared" si="60"/>
        <v>2</v>
      </c>
      <c r="I53" s="8">
        <v>0.06</v>
      </c>
      <c r="J53" s="8">
        <f t="shared" si="61"/>
        <v>0.12</v>
      </c>
      <c r="K53" s="6">
        <f t="shared" si="62"/>
        <v>13</v>
      </c>
      <c r="L53" s="8">
        <v>1</v>
      </c>
      <c r="M53" s="5">
        <f t="shared" si="63"/>
        <v>13</v>
      </c>
      <c r="N53" s="8">
        <v>0.03</v>
      </c>
      <c r="O53" s="8">
        <f t="shared" si="64"/>
        <v>0.39</v>
      </c>
      <c r="P53" s="2">
        <f t="shared" si="65"/>
        <v>0.51</v>
      </c>
      <c r="Q53" s="11">
        <v>46.9</v>
      </c>
      <c r="R53" s="11">
        <f t="shared" si="66"/>
        <v>23.919</v>
      </c>
    </row>
    <row r="54" spans="1:18" s="12" customFormat="1" x14ac:dyDescent="0.25">
      <c r="A54" s="86"/>
      <c r="B54" s="82"/>
      <c r="C54" s="49" t="s">
        <v>59</v>
      </c>
      <c r="D54" s="56" t="s">
        <v>75</v>
      </c>
      <c r="E54" s="6">
        <f t="shared" si="67"/>
        <v>13</v>
      </c>
      <c r="F54" s="6">
        <v>2</v>
      </c>
      <c r="G54" s="8">
        <v>1</v>
      </c>
      <c r="H54" s="9">
        <f t="shared" si="60"/>
        <v>2</v>
      </c>
      <c r="I54" s="8">
        <v>0.06</v>
      </c>
      <c r="J54" s="8">
        <f t="shared" si="61"/>
        <v>0.12</v>
      </c>
      <c r="K54" s="6">
        <f t="shared" si="62"/>
        <v>11</v>
      </c>
      <c r="L54" s="8">
        <v>1</v>
      </c>
      <c r="M54" s="5">
        <f t="shared" si="63"/>
        <v>11</v>
      </c>
      <c r="N54" s="8">
        <v>0.03</v>
      </c>
      <c r="O54" s="8">
        <f t="shared" si="64"/>
        <v>0.32999999999999996</v>
      </c>
      <c r="P54" s="2">
        <f t="shared" si="65"/>
        <v>0.44999999999999996</v>
      </c>
      <c r="Q54" s="11">
        <v>46.9</v>
      </c>
      <c r="R54" s="11">
        <f t="shared" si="66"/>
        <v>21.104999999999997</v>
      </c>
    </row>
    <row r="55" spans="1:18" s="12" customFormat="1" x14ac:dyDescent="0.25">
      <c r="A55" s="86"/>
      <c r="B55" s="82"/>
      <c r="C55" s="49" t="s">
        <v>60</v>
      </c>
      <c r="D55" s="56" t="s">
        <v>75</v>
      </c>
      <c r="E55" s="6">
        <f t="shared" si="67"/>
        <v>11</v>
      </c>
      <c r="F55" s="6">
        <v>2</v>
      </c>
      <c r="G55" s="8">
        <v>1</v>
      </c>
      <c r="H55" s="9">
        <f t="shared" si="60"/>
        <v>2</v>
      </c>
      <c r="I55" s="8">
        <v>0.06</v>
      </c>
      <c r="J55" s="8">
        <f t="shared" si="61"/>
        <v>0.12</v>
      </c>
      <c r="K55" s="6">
        <f t="shared" si="62"/>
        <v>9</v>
      </c>
      <c r="L55" s="8">
        <v>1</v>
      </c>
      <c r="M55" s="5">
        <f t="shared" si="63"/>
        <v>9</v>
      </c>
      <c r="N55" s="8">
        <v>0.03</v>
      </c>
      <c r="O55" s="8">
        <f t="shared" si="64"/>
        <v>0.27</v>
      </c>
      <c r="P55" s="2">
        <f t="shared" si="65"/>
        <v>0.39</v>
      </c>
      <c r="Q55" s="11">
        <v>46.9</v>
      </c>
      <c r="R55" s="11">
        <f t="shared" si="66"/>
        <v>18.291</v>
      </c>
    </row>
    <row r="56" spans="1:18" s="12" customFormat="1" x14ac:dyDescent="0.25">
      <c r="A56" s="86"/>
      <c r="B56" s="82"/>
      <c r="C56" s="49" t="s">
        <v>61</v>
      </c>
      <c r="D56" s="56" t="s">
        <v>75</v>
      </c>
      <c r="E56" s="6">
        <f t="shared" si="67"/>
        <v>9</v>
      </c>
      <c r="F56" s="6">
        <v>2</v>
      </c>
      <c r="G56" s="8">
        <v>1</v>
      </c>
      <c r="H56" s="9">
        <f t="shared" si="60"/>
        <v>2</v>
      </c>
      <c r="I56" s="8">
        <v>0.06</v>
      </c>
      <c r="J56" s="8">
        <f t="shared" si="61"/>
        <v>0.12</v>
      </c>
      <c r="K56" s="6">
        <f t="shared" si="62"/>
        <v>7</v>
      </c>
      <c r="L56" s="8">
        <v>1</v>
      </c>
      <c r="M56" s="5">
        <f t="shared" si="63"/>
        <v>7</v>
      </c>
      <c r="N56" s="8">
        <v>0.03</v>
      </c>
      <c r="O56" s="8">
        <f t="shared" si="64"/>
        <v>0.21</v>
      </c>
      <c r="P56" s="2">
        <f t="shared" si="65"/>
        <v>0.32999999999999996</v>
      </c>
      <c r="Q56" s="11">
        <v>46.9</v>
      </c>
      <c r="R56" s="11">
        <f t="shared" si="66"/>
        <v>15.476999999999999</v>
      </c>
    </row>
    <row r="57" spans="1:18" s="12" customFormat="1" x14ac:dyDescent="0.25">
      <c r="A57" s="86"/>
      <c r="B57" s="82"/>
      <c r="C57" s="49" t="s">
        <v>62</v>
      </c>
      <c r="D57" s="56" t="s">
        <v>75</v>
      </c>
      <c r="E57" s="6">
        <f t="shared" si="67"/>
        <v>7</v>
      </c>
      <c r="F57" s="6">
        <v>2</v>
      </c>
      <c r="G57" s="8">
        <v>1</v>
      </c>
      <c r="H57" s="9">
        <f t="shared" si="60"/>
        <v>2</v>
      </c>
      <c r="I57" s="8">
        <v>0.06</v>
      </c>
      <c r="J57" s="8">
        <f t="shared" si="61"/>
        <v>0.12</v>
      </c>
      <c r="K57" s="6">
        <f t="shared" si="62"/>
        <v>5</v>
      </c>
      <c r="L57" s="8">
        <v>1</v>
      </c>
      <c r="M57" s="5">
        <f t="shared" si="63"/>
        <v>5</v>
      </c>
      <c r="N57" s="8">
        <v>0.03</v>
      </c>
      <c r="O57" s="8">
        <f t="shared" si="64"/>
        <v>0.15</v>
      </c>
      <c r="P57" s="2">
        <f t="shared" si="65"/>
        <v>0.27</v>
      </c>
      <c r="Q57" s="11">
        <v>46.9</v>
      </c>
      <c r="R57" s="11">
        <f t="shared" si="66"/>
        <v>12.663</v>
      </c>
    </row>
    <row r="58" spans="1:18" s="12" customFormat="1" ht="15" x14ac:dyDescent="0.25">
      <c r="A58" s="86"/>
      <c r="B58" s="82"/>
      <c r="C58" s="49" t="s">
        <v>87</v>
      </c>
      <c r="D58" s="56" t="s">
        <v>84</v>
      </c>
      <c r="E58" s="6">
        <v>20</v>
      </c>
      <c r="F58" s="6">
        <v>20</v>
      </c>
      <c r="G58" s="8">
        <v>1</v>
      </c>
      <c r="H58" s="9">
        <f>F58*G58</f>
        <v>20</v>
      </c>
      <c r="I58" s="8">
        <v>0.06</v>
      </c>
      <c r="J58" s="8">
        <f>(I58)*H58</f>
        <v>1.2</v>
      </c>
      <c r="K58" s="5">
        <f t="shared" si="58"/>
        <v>0</v>
      </c>
      <c r="L58" s="8">
        <v>0</v>
      </c>
      <c r="M58" s="5">
        <f t="shared" si="57"/>
        <v>0</v>
      </c>
      <c r="N58" s="8">
        <v>0</v>
      </c>
      <c r="O58" s="8">
        <f>(N58)*M58</f>
        <v>0</v>
      </c>
      <c r="P58" s="2">
        <f>J58 +O58</f>
        <v>1.2</v>
      </c>
      <c r="Q58" s="11">
        <v>46.9</v>
      </c>
      <c r="R58" s="11">
        <f t="shared" si="59"/>
        <v>56.279999999999994</v>
      </c>
    </row>
    <row r="59" spans="1:18" s="12" customFormat="1" ht="15" x14ac:dyDescent="0.25">
      <c r="A59" s="86"/>
      <c r="B59" s="82"/>
      <c r="C59" s="49" t="s">
        <v>53</v>
      </c>
      <c r="D59" s="71"/>
      <c r="E59" s="4">
        <v>3</v>
      </c>
      <c r="F59" s="4">
        <v>3</v>
      </c>
      <c r="G59" s="2">
        <v>1</v>
      </c>
      <c r="H59" s="1">
        <f>+F59*G59</f>
        <v>3</v>
      </c>
      <c r="I59" s="2">
        <v>1.5</v>
      </c>
      <c r="J59" s="3">
        <f>+H59*I59</f>
        <v>4.5</v>
      </c>
      <c r="K59" s="10">
        <f>E59-F59</f>
        <v>0</v>
      </c>
      <c r="L59" s="2">
        <v>0</v>
      </c>
      <c r="M59" s="5">
        <v>0</v>
      </c>
      <c r="N59" s="2">
        <v>0</v>
      </c>
      <c r="O59" s="2">
        <f>+M59*N59</f>
        <v>0</v>
      </c>
      <c r="P59" s="13">
        <f>J59+O59</f>
        <v>4.5</v>
      </c>
      <c r="Q59" s="11">
        <v>46.9</v>
      </c>
      <c r="R59" s="65">
        <f t="shared" si="59"/>
        <v>211.04999999999998</v>
      </c>
    </row>
    <row r="60" spans="1:18" s="12" customFormat="1" ht="15" x14ac:dyDescent="0.25">
      <c r="A60" s="86"/>
      <c r="B60" s="82"/>
      <c r="C60" s="21" t="s">
        <v>85</v>
      </c>
      <c r="D60" s="58" t="s">
        <v>72</v>
      </c>
      <c r="E60" s="6">
        <v>20</v>
      </c>
      <c r="F60" s="6">
        <v>20</v>
      </c>
      <c r="G60" s="8">
        <v>1</v>
      </c>
      <c r="H60" s="9">
        <f>F60*G60</f>
        <v>20</v>
      </c>
      <c r="I60" s="8">
        <v>1</v>
      </c>
      <c r="J60" s="8">
        <f t="shared" ref="J60:J61" si="68">(I60)*H60</f>
        <v>20</v>
      </c>
      <c r="K60" s="5">
        <f t="shared" si="58"/>
        <v>0</v>
      </c>
      <c r="L60" s="8">
        <v>0</v>
      </c>
      <c r="M60" s="5">
        <f t="shared" si="57"/>
        <v>0</v>
      </c>
      <c r="N60" s="8">
        <v>0</v>
      </c>
      <c r="O60" s="8">
        <f t="shared" ref="O60:O61" si="69">(N60)*M60</f>
        <v>0</v>
      </c>
      <c r="P60" s="2">
        <f>J60 +O60</f>
        <v>20</v>
      </c>
      <c r="Q60" s="11">
        <v>46.9</v>
      </c>
      <c r="R60" s="11">
        <f t="shared" si="59"/>
        <v>938</v>
      </c>
    </row>
    <row r="61" spans="1:18" s="12" customFormat="1" x14ac:dyDescent="0.25">
      <c r="A61" s="86"/>
      <c r="B61" s="82"/>
      <c r="C61" s="21" t="s">
        <v>45</v>
      </c>
      <c r="D61" s="70" t="s">
        <v>76</v>
      </c>
      <c r="E61" s="6">
        <v>20</v>
      </c>
      <c r="F61" s="6">
        <v>20</v>
      </c>
      <c r="G61" s="8">
        <v>1</v>
      </c>
      <c r="H61" s="9">
        <v>20</v>
      </c>
      <c r="I61" s="8">
        <v>0.03</v>
      </c>
      <c r="J61" s="8">
        <f t="shared" si="68"/>
        <v>0.6</v>
      </c>
      <c r="K61" s="5">
        <f t="shared" si="58"/>
        <v>0</v>
      </c>
      <c r="L61" s="8">
        <v>0</v>
      </c>
      <c r="M61" s="5">
        <f t="shared" si="57"/>
        <v>0</v>
      </c>
      <c r="N61" s="8">
        <v>0</v>
      </c>
      <c r="O61" s="8">
        <f t="shared" si="69"/>
        <v>0</v>
      </c>
      <c r="P61" s="2">
        <f>J61 +O61</f>
        <v>0.6</v>
      </c>
      <c r="Q61" s="11">
        <v>46.9</v>
      </c>
      <c r="R61" s="11">
        <f t="shared" si="59"/>
        <v>28.139999999999997</v>
      </c>
    </row>
    <row r="62" spans="1:18" s="67" customFormat="1" x14ac:dyDescent="0.25">
      <c r="A62" s="86"/>
      <c r="B62" s="83"/>
      <c r="C62" s="14" t="s">
        <v>17</v>
      </c>
      <c r="D62" s="57"/>
      <c r="E62" s="24">
        <f>E48+E59</f>
        <v>28</v>
      </c>
      <c r="F62" s="24">
        <f>F48+F59</f>
        <v>23</v>
      </c>
      <c r="G62" s="16">
        <f>H62/F62</f>
        <v>5.3478260869565215</v>
      </c>
      <c r="H62" s="15">
        <f>SUM(H48:H61)</f>
        <v>123</v>
      </c>
      <c r="I62" s="16">
        <f>J62/H62</f>
        <v>0.27398373983739838</v>
      </c>
      <c r="J62" s="17">
        <f>SUM(J48:J61)</f>
        <v>33.700000000000003</v>
      </c>
      <c r="K62" s="24">
        <f>K48</f>
        <v>5</v>
      </c>
      <c r="L62" s="16">
        <f>M62/K62</f>
        <v>21.2</v>
      </c>
      <c r="M62" s="24">
        <f>SUM(M48:M61)</f>
        <v>106</v>
      </c>
      <c r="N62" s="16">
        <f>O62/M62</f>
        <v>0.03</v>
      </c>
      <c r="O62" s="18">
        <f>SUM(O48:O61)</f>
        <v>3.1799999999999997</v>
      </c>
      <c r="P62" s="31">
        <f>SUM(P48:P61)</f>
        <v>36.880000000000003</v>
      </c>
      <c r="Q62" s="31"/>
      <c r="R62" s="19">
        <f>SUM(R48:R61)</f>
        <v>1729.672</v>
      </c>
    </row>
    <row r="63" spans="1:18" s="67" customFormat="1" ht="12.75" customHeight="1" x14ac:dyDescent="0.25">
      <c r="A63" s="86"/>
      <c r="B63" s="87" t="s">
        <v>18</v>
      </c>
      <c r="C63" s="88"/>
      <c r="D63" s="59"/>
      <c r="E63" s="32">
        <f>E47+E62</f>
        <v>5028</v>
      </c>
      <c r="F63" s="32">
        <f>F47+F62</f>
        <v>4023</v>
      </c>
      <c r="G63" s="27">
        <f>H63/F63</f>
        <v>8.4996371218772051</v>
      </c>
      <c r="H63" s="26">
        <f>H47+H62</f>
        <v>34194.040141311998</v>
      </c>
      <c r="I63" s="27">
        <f>J63/H63</f>
        <v>0.16208239752194864</v>
      </c>
      <c r="J63" s="28">
        <f>J47+J62</f>
        <v>5542.2520070656001</v>
      </c>
      <c r="K63" s="32">
        <f>K47+K62</f>
        <v>1005</v>
      </c>
      <c r="L63" s="27">
        <f>M63/K63</f>
        <v>22.768127925619897</v>
      </c>
      <c r="M63" s="32">
        <f>M47+M62</f>
        <v>22881.968565247997</v>
      </c>
      <c r="N63" s="27">
        <f>O63/M63</f>
        <v>3.087405067195027E-2</v>
      </c>
      <c r="O63" s="27">
        <f>O47+O62</f>
        <v>706.45905695743988</v>
      </c>
      <c r="P63" s="33">
        <f>P47+P62</f>
        <v>6248.7110640230412</v>
      </c>
      <c r="Q63" s="33"/>
      <c r="R63" s="34">
        <f>R47+R62</f>
        <v>291760.06437923573</v>
      </c>
    </row>
    <row r="64" spans="1:18" s="45" customFormat="1" x14ac:dyDescent="0.25">
      <c r="A64" s="75" t="s">
        <v>12</v>
      </c>
      <c r="B64" s="76"/>
      <c r="C64" s="77"/>
      <c r="D64" s="60"/>
      <c r="E64" s="35">
        <f>E29+E63</f>
        <v>20083</v>
      </c>
      <c r="F64" s="35">
        <f>F29+F63</f>
        <v>16078</v>
      </c>
      <c r="G64" s="36">
        <f>H64/F64</f>
        <v>8.5049857298947629</v>
      </c>
      <c r="H64" s="64">
        <f>H63+H29</f>
        <v>136743.16056524799</v>
      </c>
      <c r="I64" s="36">
        <f>J64/H64</f>
        <v>0.16267876167486955</v>
      </c>
      <c r="J64" s="37">
        <f>J63+J29</f>
        <v>22245.208028262397</v>
      </c>
      <c r="K64" s="35">
        <f>K29+K63</f>
        <v>4005</v>
      </c>
      <c r="L64" s="36">
        <f>M64/K64</f>
        <v>22.776995592757054</v>
      </c>
      <c r="M64" s="35">
        <f>M29+M63</f>
        <v>91221.867348992004</v>
      </c>
      <c r="N64" s="36">
        <f>O64/M64</f>
        <v>3.0876982705187777E-2</v>
      </c>
      <c r="O64" s="37">
        <f>O63+O29</f>
        <v>2816.6560204697598</v>
      </c>
      <c r="P64" s="37">
        <v>25061</v>
      </c>
      <c r="Q64" s="37"/>
      <c r="R64" s="38">
        <f>R29+R63</f>
        <v>1169843.2372353047</v>
      </c>
    </row>
    <row r="65" spans="1:18" s="45" customFormat="1" ht="26.25" customHeight="1" x14ac:dyDescent="0.25">
      <c r="A65" s="94" t="s">
        <v>95</v>
      </c>
      <c r="B65" s="74"/>
      <c r="C65" s="74"/>
      <c r="D65" s="95"/>
      <c r="E65" s="96"/>
      <c r="F65" s="96"/>
      <c r="G65" s="97"/>
      <c r="H65" s="98"/>
      <c r="I65" s="97"/>
      <c r="J65" s="99"/>
      <c r="K65" s="96"/>
      <c r="L65" s="97"/>
      <c r="M65" s="96"/>
      <c r="N65" s="97"/>
      <c r="O65" s="99"/>
      <c r="P65" s="99"/>
      <c r="Q65" s="37"/>
      <c r="R65" s="93">
        <v>386048.27</v>
      </c>
    </row>
    <row r="66" spans="1:18" s="45" customFormat="1" ht="25.5" x14ac:dyDescent="0.25">
      <c r="A66" s="94" t="s">
        <v>94</v>
      </c>
      <c r="B66" s="74"/>
      <c r="C66" s="74"/>
      <c r="D66" s="95"/>
      <c r="E66" s="96"/>
      <c r="F66" s="96"/>
      <c r="G66" s="97"/>
      <c r="H66" s="98"/>
      <c r="I66" s="97"/>
      <c r="J66" s="99"/>
      <c r="K66" s="96"/>
      <c r="L66" s="97"/>
      <c r="M66" s="96"/>
      <c r="N66" s="97"/>
      <c r="O66" s="99"/>
      <c r="P66" s="99"/>
      <c r="Q66" s="37"/>
      <c r="R66" s="93">
        <v>1555891.51</v>
      </c>
    </row>
    <row r="67" spans="1:18" s="45" customFormat="1" x14ac:dyDescent="0.25">
      <c r="A67" s="47" t="s">
        <v>47</v>
      </c>
      <c r="B67" s="61"/>
      <c r="D67" s="61"/>
      <c r="E67" s="40"/>
      <c r="F67" s="40"/>
      <c r="G67" s="41"/>
      <c r="H67" s="42"/>
      <c r="I67" s="41"/>
      <c r="J67" s="43"/>
      <c r="K67" s="40"/>
      <c r="L67" s="41"/>
      <c r="M67" s="40"/>
      <c r="N67" s="41"/>
      <c r="O67" s="43"/>
      <c r="P67" s="43"/>
      <c r="Q67" s="43"/>
      <c r="R67" s="44"/>
    </row>
    <row r="68" spans="1:18" s="45" customFormat="1" ht="15" x14ac:dyDescent="0.25">
      <c r="A68" s="46" t="s">
        <v>88</v>
      </c>
      <c r="B68" s="61"/>
      <c r="D68" s="61"/>
      <c r="E68" s="40"/>
      <c r="F68" s="50"/>
      <c r="G68" s="41"/>
      <c r="H68" s="42"/>
      <c r="I68" s="41"/>
      <c r="J68" s="43"/>
      <c r="K68" s="40"/>
      <c r="L68" s="40"/>
      <c r="M68" s="40"/>
      <c r="N68" s="40"/>
      <c r="O68" s="43"/>
      <c r="P68" s="43"/>
      <c r="Q68" s="43"/>
      <c r="R68" s="44"/>
    </row>
    <row r="69" spans="1:18" s="45" customFormat="1" ht="15" x14ac:dyDescent="0.25">
      <c r="A69" s="46" t="s">
        <v>26</v>
      </c>
      <c r="B69" s="61"/>
      <c r="D69" s="61"/>
      <c r="E69" s="40"/>
      <c r="F69" s="40"/>
      <c r="G69" s="41"/>
      <c r="H69" s="42"/>
      <c r="I69" s="41"/>
      <c r="J69" s="43"/>
      <c r="K69" s="40"/>
      <c r="L69" s="41"/>
      <c r="M69" s="40"/>
      <c r="N69" s="41"/>
      <c r="O69" s="43"/>
      <c r="P69" s="43"/>
      <c r="Q69" s="43"/>
      <c r="R69" s="44"/>
    </row>
    <row r="70" spans="1:18" s="45" customFormat="1" ht="15" x14ac:dyDescent="0.25">
      <c r="A70" s="46" t="s">
        <v>48</v>
      </c>
      <c r="B70" s="61"/>
      <c r="D70" s="61"/>
      <c r="E70" s="40"/>
      <c r="F70" s="40"/>
      <c r="G70" s="41"/>
      <c r="H70" s="42"/>
      <c r="I70" s="41"/>
      <c r="J70" s="43"/>
      <c r="K70" s="40"/>
      <c r="L70" s="41"/>
      <c r="M70" s="40"/>
      <c r="N70" s="41"/>
      <c r="O70" s="43"/>
      <c r="P70" s="43"/>
      <c r="Q70" s="43"/>
      <c r="R70" s="44"/>
    </row>
    <row r="71" spans="1:18" s="20" customFormat="1" ht="15" x14ac:dyDescent="0.25">
      <c r="A71" s="48" t="s">
        <v>52</v>
      </c>
      <c r="C71" s="48"/>
      <c r="E71" s="51"/>
      <c r="F71" s="51"/>
      <c r="G71" s="51"/>
      <c r="H71" s="51"/>
      <c r="I71" s="51"/>
      <c r="J71" s="51"/>
      <c r="K71" s="51"/>
      <c r="L71" s="51"/>
      <c r="M71" s="51"/>
      <c r="N71" s="51"/>
      <c r="O71" s="51"/>
      <c r="P71" s="51"/>
      <c r="Q71" s="51"/>
      <c r="R71" s="52"/>
    </row>
    <row r="72" spans="1:18" s="20" customFormat="1" ht="15" x14ac:dyDescent="0.25">
      <c r="A72" s="48" t="s">
        <v>86</v>
      </c>
      <c r="C72" s="48"/>
      <c r="E72" s="51"/>
      <c r="F72" s="51"/>
      <c r="G72" s="51"/>
      <c r="H72" s="51"/>
      <c r="I72" s="51"/>
      <c r="J72" s="51"/>
      <c r="K72" s="51"/>
      <c r="L72" s="51"/>
      <c r="M72" s="51"/>
      <c r="N72" s="51"/>
      <c r="O72" s="51"/>
      <c r="P72" s="51"/>
      <c r="Q72" s="51"/>
      <c r="R72" s="52"/>
    </row>
    <row r="73" spans="1:18" s="20" customFormat="1" x14ac:dyDescent="0.25">
      <c r="C73" s="48"/>
      <c r="E73" s="51"/>
      <c r="F73" s="51"/>
      <c r="G73" s="51"/>
      <c r="H73" s="51"/>
      <c r="I73" s="51"/>
      <c r="J73" s="51"/>
      <c r="K73" s="51"/>
      <c r="L73" s="51"/>
      <c r="M73" s="51"/>
      <c r="N73" s="51"/>
      <c r="O73" s="51"/>
      <c r="P73" s="51"/>
      <c r="Q73" s="51"/>
      <c r="R73" s="52"/>
    </row>
    <row r="79" spans="1:18" ht="15" x14ac:dyDescent="0.25">
      <c r="A79" s="46"/>
      <c r="B79" s="61"/>
      <c r="C79" s="45"/>
      <c r="D79" s="61"/>
      <c r="E79" s="40"/>
      <c r="F79" s="50"/>
      <c r="G79" s="41"/>
      <c r="H79" s="42"/>
      <c r="I79" s="41"/>
    </row>
    <row r="80" spans="1:18" ht="15" x14ac:dyDescent="0.25">
      <c r="A80" s="46"/>
      <c r="B80" s="61"/>
      <c r="C80" s="45"/>
      <c r="D80" s="61"/>
      <c r="E80" s="40"/>
      <c r="F80" s="50"/>
      <c r="G80" s="41"/>
      <c r="H80" s="42"/>
      <c r="I80" s="41"/>
    </row>
    <row r="81" spans="1:9" ht="15" x14ac:dyDescent="0.25">
      <c r="A81" s="46"/>
      <c r="B81" s="61"/>
      <c r="C81" s="45"/>
      <c r="D81" s="61"/>
      <c r="E81" s="40"/>
      <c r="F81" s="50"/>
      <c r="G81" s="41"/>
      <c r="H81" s="42"/>
      <c r="I81" s="41"/>
    </row>
  </sheetData>
  <mergeCells count="21">
    <mergeCell ref="A1:R1"/>
    <mergeCell ref="B10:B28"/>
    <mergeCell ref="A30:A63"/>
    <mergeCell ref="B29:C29"/>
    <mergeCell ref="B63:C63"/>
    <mergeCell ref="E2:E3"/>
    <mergeCell ref="F2:J2"/>
    <mergeCell ref="K2:O2"/>
    <mergeCell ref="B2:B3"/>
    <mergeCell ref="A2:A3"/>
    <mergeCell ref="P2:P3"/>
    <mergeCell ref="Q2:Q3"/>
    <mergeCell ref="R2:R3"/>
    <mergeCell ref="B8:B9"/>
    <mergeCell ref="A64:C64"/>
    <mergeCell ref="D2:D3"/>
    <mergeCell ref="C2:C3"/>
    <mergeCell ref="B30:B47"/>
    <mergeCell ref="B48:B62"/>
    <mergeCell ref="B4:B7"/>
    <mergeCell ref="A4:A29"/>
  </mergeCells>
  <pageMargins left="0.25" right="0.25" top="0.75" bottom="0.75" header="0.3" footer="0.3"/>
  <pageSetup paperSize="5" scale="56"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Full burden table</vt:lpstr>
      <vt:lpstr>'Full burden table'!Print_Area</vt:lpstr>
    </vt:vector>
  </TitlesOfParts>
  <Company>Abt Associates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Erin Bumgarner</dc:creator>
  <cp:lastModifiedBy>Sandberg, Christina - FNS</cp:lastModifiedBy>
  <cp:lastPrinted>2018-10-23T20:02:09Z</cp:lastPrinted>
  <dcterms:created xsi:type="dcterms:W3CDTF">2016-02-23T18:57:18Z</dcterms:created>
  <dcterms:modified xsi:type="dcterms:W3CDTF">2018-11-20T23:31:59Z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SRI_WORKBOOK_ID">
    <vt:lpwstr>d3856eaa21ca43919b0a8c1d41d0631b</vt:lpwstr>
  </property>
</Properties>
</file>