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defaultThemeVersion="124226"/>
  <mc:AlternateContent xmlns:mc="http://schemas.openxmlformats.org/markup-compatibility/2006">
    <mc:Choice Requires="x15">
      <x15ac:absPath xmlns:x15ac="http://schemas.microsoft.com/office/spreadsheetml/2010/11/ac" url="E:\2018 Renewal E card\Submit\"/>
    </mc:Choice>
  </mc:AlternateContent>
  <bookViews>
    <workbookView xWindow="0" yWindow="60" windowWidth="15192" windowHeight="9216" tabRatio="915"/>
  </bookViews>
  <sheets>
    <sheet name="Table 5 Cert" sheetId="1" r:id="rId1"/>
    <sheet name="Table 6 GHG Engines" sheetId="38" r:id="rId2"/>
    <sheet name="Table 7 GHG Vehicles" sheetId="37" r:id="rId3"/>
    <sheet name="Table 8 PLT" sheetId="7" r:id="rId4"/>
    <sheet name="Table 9 In-use" sheetId="31" r:id="rId5"/>
    <sheet name="Table 10 Defects" sheetId="35" r:id="rId6"/>
    <sheet name="Table 11-Alt Fuel" sheetId="41" r:id="rId7"/>
    <sheet name="Table 12 TPEM" sheetId="20" r:id="rId8"/>
    <sheet name="Table 13 Special Compliance" sheetId="27" r:id="rId9"/>
    <sheet name="Table 17 -Agency Burden" sheetId="26" r:id="rId10"/>
    <sheet name="Table 18 Cert Participation" sheetId="39" r:id="rId11"/>
    <sheet name="Table 19 Reports" sheetId="32" r:id="rId12"/>
    <sheet name="Table 20 ICs" sheetId="34" r:id="rId13"/>
    <sheet name="Table 21 IC Changes" sheetId="40" r:id="rId14"/>
  </sheets>
  <definedNames>
    <definedName name="LABOR" localSheetId="6">#REF!</definedName>
    <definedName name="LABOR" localSheetId="11">#REF!</definedName>
    <definedName name="LABOR" localSheetId="12">#REF!</definedName>
    <definedName name="LABOR">#REF!</definedName>
    <definedName name="_xlnm.Print_Area">#N/A</definedName>
  </definedNames>
  <calcPr calcId="171027"/>
</workbook>
</file>

<file path=xl/calcChain.xml><?xml version="1.0" encoding="utf-8"?>
<calcChain xmlns="http://schemas.openxmlformats.org/spreadsheetml/2006/main">
  <c r="E5" i="34" l="1"/>
  <c r="E6" i="34"/>
  <c r="E7" i="34"/>
  <c r="E8" i="34"/>
  <c r="F8" i="34" s="1"/>
  <c r="E9" i="34"/>
  <c r="E16" i="34"/>
  <c r="E21" i="34"/>
  <c r="J4" i="34"/>
  <c r="J5" i="34"/>
  <c r="J6" i="34"/>
  <c r="J7" i="34"/>
  <c r="J8" i="34"/>
  <c r="J9" i="34"/>
  <c r="J13" i="34"/>
  <c r="J16" i="34"/>
  <c r="J21" i="34"/>
  <c r="J10" i="34" l="1"/>
  <c r="J22" i="34" s="1"/>
  <c r="E14" i="26"/>
  <c r="J12" i="26"/>
  <c r="D14" i="26"/>
  <c r="C14" i="26"/>
  <c r="I13" i="26"/>
  <c r="H13" i="26"/>
  <c r="H6" i="26"/>
  <c r="H14" i="26" s="1"/>
  <c r="F13" i="26"/>
  <c r="D13" i="26"/>
  <c r="C13" i="26"/>
  <c r="I6" i="26"/>
  <c r="I14" i="26" s="1"/>
  <c r="J14" i="26" s="1"/>
  <c r="L17" i="1" l="1"/>
  <c r="M24" i="1"/>
  <c r="O24" i="1" s="1"/>
  <c r="M17" i="1"/>
  <c r="O17" i="1" s="1"/>
  <c r="B4" i="32"/>
  <c r="P17" i="1" l="1"/>
  <c r="P24" i="1"/>
  <c r="D8" i="39"/>
  <c r="C13" i="34"/>
  <c r="B12" i="39"/>
  <c r="J19" i="41"/>
  <c r="J18" i="41"/>
  <c r="J17" i="41"/>
  <c r="J16" i="41"/>
  <c r="J15" i="41"/>
  <c r="I18" i="41"/>
  <c r="G18" i="41"/>
  <c r="F18" i="41"/>
  <c r="I17" i="41"/>
  <c r="G17" i="41"/>
  <c r="F17" i="41"/>
  <c r="I15" i="41"/>
  <c r="G15" i="41"/>
  <c r="M15" i="41" s="1"/>
  <c r="F15" i="41"/>
  <c r="L18" i="41" l="1"/>
  <c r="L17" i="41"/>
  <c r="M17" i="41"/>
  <c r="L15" i="41"/>
  <c r="M18" i="41"/>
  <c r="F8" i="41"/>
  <c r="L8" i="41" s="1"/>
  <c r="G8" i="41"/>
  <c r="M8" i="41" s="1"/>
  <c r="F9" i="41"/>
  <c r="L9" i="41" s="1"/>
  <c r="G9" i="41"/>
  <c r="I25" i="41"/>
  <c r="F10" i="41"/>
  <c r="L10" i="41" s="1"/>
  <c r="G10" i="41"/>
  <c r="M10" i="41" s="1"/>
  <c r="F11" i="41"/>
  <c r="L11" i="41" s="1"/>
  <c r="G11" i="41"/>
  <c r="M11" i="41" s="1"/>
  <c r="F12" i="41"/>
  <c r="L12" i="41" s="1"/>
  <c r="G12" i="41"/>
  <c r="M12" i="41" s="1"/>
  <c r="F13" i="41"/>
  <c r="L13" i="41" s="1"/>
  <c r="G13" i="41"/>
  <c r="M13" i="41" s="1"/>
  <c r="F16" i="41"/>
  <c r="L16" i="41" s="1"/>
  <c r="G16" i="41"/>
  <c r="M16" i="41" s="1"/>
  <c r="F19" i="41"/>
  <c r="L19" i="41" s="1"/>
  <c r="G19" i="41"/>
  <c r="M19" i="41" s="1"/>
  <c r="F21" i="41"/>
  <c r="L21" i="41" s="1"/>
  <c r="G21" i="41"/>
  <c r="M21" i="41" s="1"/>
  <c r="F22" i="41"/>
  <c r="L22" i="41" s="1"/>
  <c r="G22" i="41"/>
  <c r="M22" i="41" s="1"/>
  <c r="F24" i="41"/>
  <c r="G24" i="41"/>
  <c r="M24" i="41" s="1"/>
  <c r="B25" i="41"/>
  <c r="C25" i="41"/>
  <c r="D25" i="41"/>
  <c r="E25" i="41"/>
  <c r="H25" i="41"/>
  <c r="L24" i="41" l="1"/>
  <c r="E13" i="34"/>
  <c r="G26" i="41"/>
  <c r="M9" i="41"/>
  <c r="M26" i="41" s="1"/>
  <c r="F25" i="41"/>
  <c r="I26" i="41"/>
  <c r="L26" i="41"/>
  <c r="G25" i="41"/>
  <c r="H8" i="40" l="1"/>
  <c r="K7" i="27" l="1"/>
  <c r="B8" i="40"/>
  <c r="E8" i="40"/>
  <c r="G6" i="40"/>
  <c r="F6" i="40" s="1"/>
  <c r="B6" i="32" l="1"/>
  <c r="B7" i="32"/>
  <c r="B9" i="32"/>
  <c r="D9" i="39"/>
  <c r="D4" i="32"/>
  <c r="D11" i="32" s="1"/>
  <c r="E12" i="39"/>
  <c r="C12" i="39"/>
  <c r="F11" i="39"/>
  <c r="D11" i="39"/>
  <c r="F10" i="39"/>
  <c r="D10" i="39"/>
  <c r="F9" i="39"/>
  <c r="F8" i="39"/>
  <c r="F7" i="39"/>
  <c r="D7" i="39"/>
  <c r="F6" i="39"/>
  <c r="D6" i="39"/>
  <c r="F5" i="39"/>
  <c r="D5" i="39"/>
  <c r="F4" i="39"/>
  <c r="D4" i="39"/>
  <c r="F3" i="39"/>
  <c r="D3" i="39"/>
  <c r="C21" i="34"/>
  <c r="D14" i="32"/>
  <c r="B14" i="32"/>
  <c r="J10" i="27"/>
  <c r="D16" i="32" l="1"/>
  <c r="F12" i="39"/>
  <c r="D12" i="39"/>
  <c r="G8" i="27"/>
  <c r="G9" i="27"/>
  <c r="G10" i="27"/>
  <c r="G11" i="27"/>
  <c r="G12" i="27"/>
  <c r="G13" i="27"/>
  <c r="G15" i="27"/>
  <c r="G7" i="27"/>
  <c r="M15" i="1"/>
  <c r="C22" i="34" l="1"/>
  <c r="L9" i="34"/>
  <c r="I9" i="34"/>
  <c r="K9" i="34" s="1"/>
  <c r="G9" i="34"/>
  <c r="L6" i="34"/>
  <c r="I6" i="34"/>
  <c r="K6" i="34" s="1"/>
  <c r="G6" i="34"/>
  <c r="D6" i="34"/>
  <c r="F6" i="34" s="1"/>
  <c r="L5" i="34"/>
  <c r="I5" i="34"/>
  <c r="K5" i="34" s="1"/>
  <c r="G5" i="34"/>
  <c r="N17" i="38"/>
  <c r="M17" i="38"/>
  <c r="D5" i="34"/>
  <c r="F5" i="34" s="1"/>
  <c r="D10" i="31"/>
  <c r="E10" i="31" s="1"/>
  <c r="H10" i="31" s="1"/>
  <c r="H10" i="34"/>
  <c r="H22" i="34" s="1"/>
  <c r="P13" i="1"/>
  <c r="S7" i="26" l="1"/>
  <c r="S8" i="26"/>
  <c r="S9" i="26"/>
  <c r="S10" i="26"/>
  <c r="S11" i="26"/>
  <c r="S12" i="26"/>
  <c r="S6" i="26"/>
  <c r="R6" i="26"/>
  <c r="R12" i="26"/>
  <c r="R11" i="26"/>
  <c r="R10" i="26"/>
  <c r="R9" i="26"/>
  <c r="R8" i="26"/>
  <c r="R7" i="26"/>
  <c r="L3" i="26"/>
  <c r="L2" i="26"/>
  <c r="L1" i="26"/>
  <c r="S14" i="26" l="1"/>
  <c r="G22" i="20"/>
  <c r="L22" i="20" s="1"/>
  <c r="F22" i="20"/>
  <c r="K22" i="20" s="1"/>
  <c r="G21" i="20"/>
  <c r="L21" i="20" s="1"/>
  <c r="F21" i="20"/>
  <c r="K21" i="20" s="1"/>
  <c r="G20" i="20"/>
  <c r="L20" i="20" s="1"/>
  <c r="F20" i="20"/>
  <c r="K20" i="20" s="1"/>
  <c r="G9" i="20"/>
  <c r="G10" i="20"/>
  <c r="G11" i="20"/>
  <c r="G12" i="20"/>
  <c r="G13" i="20"/>
  <c r="G14" i="20"/>
  <c r="G15" i="20"/>
  <c r="G16" i="20"/>
  <c r="G17" i="20"/>
  <c r="G18" i="20"/>
  <c r="G24" i="20"/>
  <c r="G8" i="20"/>
  <c r="E4" i="32"/>
  <c r="F36" i="1"/>
  <c r="G36" i="1"/>
  <c r="I32" i="1"/>
  <c r="O32" i="1" s="1"/>
  <c r="J32" i="1"/>
  <c r="P32" i="1" s="1"/>
  <c r="I33" i="1"/>
  <c r="O33" i="1" s="1"/>
  <c r="J33" i="1"/>
  <c r="P33" i="1" s="1"/>
  <c r="I31" i="1"/>
  <c r="M28" i="1"/>
  <c r="M27" i="1"/>
  <c r="M26" i="1"/>
  <c r="M25" i="1"/>
  <c r="M23" i="1"/>
  <c r="M22" i="1"/>
  <c r="M20" i="1"/>
  <c r="M19" i="1"/>
  <c r="M18" i="1"/>
  <c r="M16" i="1"/>
  <c r="M12" i="1"/>
  <c r="M10" i="1"/>
  <c r="J10" i="1"/>
  <c r="I10" i="1"/>
  <c r="O13" i="1"/>
  <c r="M16" i="7"/>
  <c r="J19" i="7"/>
  <c r="J17" i="7"/>
  <c r="J16" i="7"/>
  <c r="J15" i="7"/>
  <c r="J14" i="7"/>
  <c r="J10" i="7"/>
  <c r="J8" i="7"/>
  <c r="J9" i="7"/>
  <c r="J11" i="7"/>
  <c r="J13" i="7"/>
  <c r="J7" i="7"/>
  <c r="I7" i="7"/>
  <c r="E6" i="31"/>
  <c r="E7" i="31"/>
  <c r="E8" i="31"/>
  <c r="E9" i="31"/>
  <c r="E5" i="31"/>
  <c r="H5" i="31" s="1"/>
  <c r="P10" i="1" l="1"/>
  <c r="P22" i="1"/>
  <c r="P23" i="1"/>
  <c r="P25" i="1"/>
  <c r="P27" i="1"/>
  <c r="P26" i="1"/>
  <c r="C15" i="32"/>
  <c r="O10" i="1"/>
  <c r="E15" i="32" l="1"/>
  <c r="D7" i="40" s="1"/>
  <c r="C7" i="40" s="1"/>
  <c r="B13" i="32" l="1"/>
  <c r="B16" i="32" s="1"/>
  <c r="E8" i="32"/>
  <c r="F8" i="32" s="1"/>
  <c r="G21" i="35" l="1"/>
  <c r="M21" i="35" s="1"/>
  <c r="G19" i="35"/>
  <c r="M19" i="35" s="1"/>
  <c r="G15" i="35"/>
  <c r="M15" i="35" s="1"/>
  <c r="G13" i="35"/>
  <c r="M13" i="35" s="1"/>
  <c r="G9" i="35"/>
  <c r="K55" i="35"/>
  <c r="I22" i="35"/>
  <c r="H22" i="35"/>
  <c r="E22" i="35"/>
  <c r="D22" i="35"/>
  <c r="C22" i="35"/>
  <c r="F21" i="35"/>
  <c r="L21" i="35" s="1"/>
  <c r="F19" i="35"/>
  <c r="B18" i="35"/>
  <c r="B17" i="35"/>
  <c r="B16" i="35"/>
  <c r="F16" i="35" s="1"/>
  <c r="F15" i="35"/>
  <c r="L15" i="35" s="1"/>
  <c r="F13" i="35"/>
  <c r="B12" i="35"/>
  <c r="G12" i="35" s="1"/>
  <c r="B11" i="35"/>
  <c r="G11" i="35" s="1"/>
  <c r="B10" i="35"/>
  <c r="G10" i="35" s="1"/>
  <c r="F9" i="35"/>
  <c r="L9" i="35" s="1"/>
  <c r="I23" i="35" l="1"/>
  <c r="G18" i="35"/>
  <c r="M18" i="35" s="1"/>
  <c r="G16" i="35"/>
  <c r="G17" i="35"/>
  <c r="M17" i="35" s="1"/>
  <c r="M11" i="35"/>
  <c r="F17" i="35"/>
  <c r="L17" i="35" s="1"/>
  <c r="M10" i="35"/>
  <c r="M12" i="35"/>
  <c r="L13" i="35"/>
  <c r="L16" i="35"/>
  <c r="L19" i="35"/>
  <c r="B22" i="35"/>
  <c r="M16" i="35"/>
  <c r="M9" i="35"/>
  <c r="F10" i="35"/>
  <c r="F11" i="35"/>
  <c r="F12" i="35"/>
  <c r="F18" i="35"/>
  <c r="L16" i="1"/>
  <c r="P16" i="1" s="1"/>
  <c r="L15" i="1"/>
  <c r="P15" i="1" l="1"/>
  <c r="L37" i="1"/>
  <c r="G23" i="35"/>
  <c r="L11" i="35"/>
  <c r="L12" i="35"/>
  <c r="L10" i="35"/>
  <c r="F22" i="35"/>
  <c r="M23" i="35"/>
  <c r="L18" i="35"/>
  <c r="G22" i="35"/>
  <c r="J35" i="1"/>
  <c r="P35" i="1" s="1"/>
  <c r="J31" i="1"/>
  <c r="P31" i="1" s="1"/>
  <c r="J29" i="1"/>
  <c r="P29" i="1" s="1"/>
  <c r="J28" i="1"/>
  <c r="P28" i="1" s="1"/>
  <c r="J20" i="1"/>
  <c r="P20" i="1" s="1"/>
  <c r="J19" i="1"/>
  <c r="P19" i="1" s="1"/>
  <c r="J18" i="1"/>
  <c r="P18" i="1" s="1"/>
  <c r="J9" i="1"/>
  <c r="P9" i="1" s="1"/>
  <c r="J12" i="1"/>
  <c r="P12" i="1" s="1"/>
  <c r="J8" i="1"/>
  <c r="P8" i="1" s="1"/>
  <c r="P37" i="1" l="1"/>
  <c r="L4" i="34" s="1"/>
  <c r="J37" i="1"/>
  <c r="G4" i="34" s="1"/>
  <c r="L23" i="35"/>
  <c r="D9" i="34" s="1"/>
  <c r="F9" i="34" s="1"/>
  <c r="E6" i="32" l="1"/>
  <c r="E13" i="32"/>
  <c r="E5" i="32"/>
  <c r="D5" i="40" l="1"/>
  <c r="C5" i="40" s="1"/>
  <c r="F12" i="27"/>
  <c r="E14" i="32"/>
  <c r="D6" i="40" l="1"/>
  <c r="C6" i="40"/>
  <c r="C17" i="34"/>
  <c r="C10" i="32"/>
  <c r="E10" i="32" s="1"/>
  <c r="F10" i="32" s="1"/>
  <c r="C9" i="32"/>
  <c r="I7" i="26"/>
  <c r="E9" i="32" l="1"/>
  <c r="F9" i="32" s="1"/>
  <c r="C11" i="32"/>
  <c r="C16" i="32" s="1"/>
  <c r="F15" i="32"/>
  <c r="F14" i="32"/>
  <c r="E7" i="32"/>
  <c r="F6" i="32"/>
  <c r="F13" i="32"/>
  <c r="F5" i="32"/>
  <c r="I16" i="7"/>
  <c r="O16" i="7" s="1"/>
  <c r="I15" i="7"/>
  <c r="C14" i="31"/>
  <c r="F13" i="20"/>
  <c r="K13" i="20" s="1"/>
  <c r="L13" i="20"/>
  <c r="G10" i="31"/>
  <c r="H9" i="31"/>
  <c r="G9" i="31"/>
  <c r="C11" i="31"/>
  <c r="H6" i="31"/>
  <c r="H7" i="31"/>
  <c r="H8" i="31"/>
  <c r="F13" i="27"/>
  <c r="K13" i="27" s="1"/>
  <c r="L13" i="27"/>
  <c r="F7" i="32" l="1"/>
  <c r="E11" i="32"/>
  <c r="F4" i="32"/>
  <c r="G8" i="34"/>
  <c r="D11" i="31"/>
  <c r="F18" i="20"/>
  <c r="K18" i="20" s="1"/>
  <c r="L18" i="20"/>
  <c r="F17" i="20"/>
  <c r="K17" i="20" s="1"/>
  <c r="L17" i="20"/>
  <c r="F16" i="20"/>
  <c r="K16" i="20" s="1"/>
  <c r="L16" i="20"/>
  <c r="D4" i="40" l="1"/>
  <c r="E16" i="32"/>
  <c r="F17" i="32" s="1"/>
  <c r="F11" i="32"/>
  <c r="F8" i="27"/>
  <c r="K8" i="27" s="1"/>
  <c r="F9" i="27"/>
  <c r="K9" i="27" s="1"/>
  <c r="F10" i="27"/>
  <c r="K10" i="27" s="1"/>
  <c r="F11" i="27"/>
  <c r="K11" i="27" s="1"/>
  <c r="F15" i="27"/>
  <c r="F7" i="27"/>
  <c r="L8" i="27"/>
  <c r="L9" i="27"/>
  <c r="L10" i="27"/>
  <c r="L11" i="27"/>
  <c r="L7" i="27"/>
  <c r="C4" i="40" l="1"/>
  <c r="C8" i="40" s="1"/>
  <c r="D8" i="40"/>
  <c r="F16" i="27"/>
  <c r="E11" i="31"/>
  <c r="H12" i="31"/>
  <c r="G12" i="31"/>
  <c r="C15" i="31" l="1"/>
  <c r="I8" i="34" s="1"/>
  <c r="K8" i="34" s="1"/>
  <c r="L8" i="34"/>
  <c r="I17" i="27" l="1"/>
  <c r="I21" i="34" s="1"/>
  <c r="I16" i="27"/>
  <c r="H16" i="27"/>
  <c r="E16" i="27"/>
  <c r="D16" i="27"/>
  <c r="C16" i="27"/>
  <c r="B16" i="27"/>
  <c r="L15" i="27"/>
  <c r="K15" i="27"/>
  <c r="L12" i="27"/>
  <c r="K12" i="27"/>
  <c r="G17" i="27"/>
  <c r="J7" i="40" l="1"/>
  <c r="I7" i="40" s="1"/>
  <c r="K21" i="34"/>
  <c r="G21" i="34"/>
  <c r="L17" i="27"/>
  <c r="L21" i="34" s="1"/>
  <c r="G16" i="27"/>
  <c r="K17" i="27"/>
  <c r="D21" i="34" l="1"/>
  <c r="F21" i="34" s="1"/>
  <c r="G7" i="40"/>
  <c r="D12" i="26"/>
  <c r="D11" i="26"/>
  <c r="D10" i="26"/>
  <c r="D9" i="26"/>
  <c r="D8" i="26"/>
  <c r="I8" i="26" s="1"/>
  <c r="F7" i="40" l="1"/>
  <c r="F12" i="26"/>
  <c r="H12" i="26" s="1"/>
  <c r="I12" i="26"/>
  <c r="F11" i="26"/>
  <c r="H11" i="26" s="1"/>
  <c r="I11" i="26"/>
  <c r="I9" i="26"/>
  <c r="I10" i="26"/>
  <c r="D6" i="26"/>
  <c r="I22" i="26" l="1"/>
  <c r="F10" i="26"/>
  <c r="H10" i="26" s="1"/>
  <c r="F9" i="26"/>
  <c r="H9" i="26" s="1"/>
  <c r="F8" i="26"/>
  <c r="H8" i="26" s="1"/>
  <c r="F7" i="26"/>
  <c r="H7" i="26" s="1"/>
  <c r="F6" i="26"/>
  <c r="I23" i="26" l="1"/>
  <c r="L16" i="7" l="1"/>
  <c r="P16" i="7" s="1"/>
  <c r="O31" i="1"/>
  <c r="I29" i="1" l="1"/>
  <c r="O29" i="1" s="1"/>
  <c r="G13" i="34" l="1"/>
  <c r="I13" i="34"/>
  <c r="K13" i="34" s="1"/>
  <c r="D13" i="34"/>
  <c r="F13" i="34" s="1"/>
  <c r="H25" i="20"/>
  <c r="E25" i="20"/>
  <c r="D25" i="20"/>
  <c r="C25" i="20"/>
  <c r="B25" i="20"/>
  <c r="L24" i="20"/>
  <c r="F24" i="20"/>
  <c r="L15" i="20"/>
  <c r="F15" i="20"/>
  <c r="K15" i="20" s="1"/>
  <c r="G25" i="20"/>
  <c r="F14" i="20"/>
  <c r="K14" i="20" s="1"/>
  <c r="I26" i="20"/>
  <c r="F12" i="20"/>
  <c r="K12" i="20" s="1"/>
  <c r="L11" i="20"/>
  <c r="F11" i="20"/>
  <c r="K11" i="20" s="1"/>
  <c r="L10" i="20"/>
  <c r="F10" i="20"/>
  <c r="K10" i="20" s="1"/>
  <c r="L9" i="20"/>
  <c r="F9" i="20"/>
  <c r="K9" i="20" s="1"/>
  <c r="G26" i="20"/>
  <c r="F8" i="20"/>
  <c r="J5" i="40" l="1"/>
  <c r="G5" i="40"/>
  <c r="G16" i="34"/>
  <c r="I16" i="34"/>
  <c r="F25" i="20"/>
  <c r="L13" i="34"/>
  <c r="K8" i="20"/>
  <c r="K26" i="20" s="1"/>
  <c r="D16" i="34" s="1"/>
  <c r="F16" i="34" s="1"/>
  <c r="L12" i="20"/>
  <c r="L14" i="20"/>
  <c r="I25" i="20"/>
  <c r="L8" i="20"/>
  <c r="O26" i="1"/>
  <c r="J6" i="40" l="1"/>
  <c r="I6" i="40" s="1"/>
  <c r="K16" i="34"/>
  <c r="F5" i="40"/>
  <c r="I5" i="40"/>
  <c r="L26" i="20"/>
  <c r="L16" i="34" s="1"/>
  <c r="O16" i="1"/>
  <c r="O7" i="7" l="1"/>
  <c r="P7" i="7"/>
  <c r="I8" i="7"/>
  <c r="O8" i="7" s="1"/>
  <c r="P8" i="7"/>
  <c r="I9" i="7"/>
  <c r="O9" i="7" s="1"/>
  <c r="P9" i="7"/>
  <c r="I10" i="7"/>
  <c r="O10" i="7" s="1"/>
  <c r="P10" i="7"/>
  <c r="I11" i="7"/>
  <c r="O11" i="7" s="1"/>
  <c r="P11" i="7"/>
  <c r="I13" i="7"/>
  <c r="O13" i="7" s="1"/>
  <c r="P13" i="7"/>
  <c r="I14" i="7"/>
  <c r="O14" i="7" s="1"/>
  <c r="P14" i="7"/>
  <c r="O15" i="7"/>
  <c r="P15" i="7"/>
  <c r="I17" i="7"/>
  <c r="O17" i="7" s="1"/>
  <c r="P17" i="7"/>
  <c r="I19" i="7"/>
  <c r="O19" i="7" s="1"/>
  <c r="P19" i="7"/>
  <c r="J20" i="7"/>
  <c r="K20" i="7"/>
  <c r="J21" i="7"/>
  <c r="G7" i="34" s="1"/>
  <c r="G10" i="34" s="1"/>
  <c r="G22" i="34" s="1"/>
  <c r="L21" i="7"/>
  <c r="I7" i="34" s="1"/>
  <c r="K7" i="34" s="1"/>
  <c r="I8" i="1"/>
  <c r="O8" i="1" s="1"/>
  <c r="I9" i="1"/>
  <c r="O9" i="1" s="1"/>
  <c r="I12" i="1"/>
  <c r="O12" i="1" s="1"/>
  <c r="O15" i="1"/>
  <c r="I18" i="1"/>
  <c r="O18" i="1" s="1"/>
  <c r="I19" i="1"/>
  <c r="O19" i="1" s="1"/>
  <c r="I20" i="1"/>
  <c r="O20" i="1" s="1"/>
  <c r="O22" i="1"/>
  <c r="O23" i="1"/>
  <c r="O25" i="1"/>
  <c r="I28" i="1"/>
  <c r="O28" i="1" s="1"/>
  <c r="I35" i="1"/>
  <c r="E4" i="34" s="1"/>
  <c r="E10" i="34" s="1"/>
  <c r="E22" i="34" s="1"/>
  <c r="B36" i="1"/>
  <c r="C36" i="1"/>
  <c r="D36" i="1"/>
  <c r="E36" i="1"/>
  <c r="H36" i="1"/>
  <c r="J36" i="1"/>
  <c r="K36" i="1"/>
  <c r="O35" i="1" l="1"/>
  <c r="O37" i="1" s="1"/>
  <c r="D4" i="34" s="1"/>
  <c r="F4" i="34" s="1"/>
  <c r="I4" i="34"/>
  <c r="P21" i="7"/>
  <c r="L7" i="34" s="1"/>
  <c r="L10" i="34" s="1"/>
  <c r="L22" i="34" s="1"/>
  <c r="O21" i="7"/>
  <c r="I36" i="1"/>
  <c r="I10" i="34" l="1"/>
  <c r="I22" i="34" s="1"/>
  <c r="K4" i="34"/>
  <c r="K10" i="34" s="1"/>
  <c r="K22" i="34" s="1"/>
  <c r="D7" i="34"/>
  <c r="F7" i="34" s="1"/>
  <c r="F10" i="34" s="1"/>
  <c r="F22" i="34" s="1"/>
  <c r="J4" i="40" l="1"/>
  <c r="I4" i="40" s="1"/>
  <c r="I8" i="40" s="1"/>
  <c r="D10" i="34"/>
  <c r="J8" i="40" l="1"/>
  <c r="D22" i="34"/>
  <c r="D23" i="34" s="1"/>
  <c r="G4" i="40"/>
  <c r="F4" i="40" l="1"/>
  <c r="F8" i="40" s="1"/>
  <c r="G8" i="40"/>
</calcChain>
</file>

<file path=xl/sharedStrings.xml><?xml version="1.0" encoding="utf-8"?>
<sst xmlns="http://schemas.openxmlformats.org/spreadsheetml/2006/main" count="691" uniqueCount="325">
  <si>
    <t>Information Collection              Activity</t>
  </si>
  <si>
    <t>Preparing and supporting running changes</t>
  </si>
  <si>
    <t>Store, file and maintain records</t>
  </si>
  <si>
    <t>Total per respondent</t>
  </si>
  <si>
    <t>varies</t>
  </si>
  <si>
    <t>Total for the industry</t>
  </si>
  <si>
    <t>N/A</t>
  </si>
  <si>
    <t>Developing deterioration factors</t>
  </si>
  <si>
    <t>Preparing and submitting "carry over" applications</t>
  </si>
  <si>
    <t>Analyze data to determine compliance</t>
  </si>
  <si>
    <t>Preparing and submitting certification application and fee filing form</t>
  </si>
  <si>
    <t>Labor Cost/yr</t>
  </si>
  <si>
    <t>Total hr/yr</t>
  </si>
  <si>
    <t>Total Cost/yr</t>
  </si>
  <si>
    <t>Review of instructions and regulations</t>
  </si>
  <si>
    <t>Training</t>
  </si>
  <si>
    <t>Projecting testing needs and planning test schedules</t>
  </si>
  <si>
    <t>Engine selection and transport</t>
  </si>
  <si>
    <t xml:space="preserve">Engine inspection </t>
  </si>
  <si>
    <t>Preparing and submitting  report</t>
  </si>
  <si>
    <t>Total per manufacturer</t>
  </si>
  <si>
    <t>Data entry and analysis</t>
  </si>
  <si>
    <t>Other tasks (test equipment calibration, engine repair, etc.)</t>
  </si>
  <si>
    <t>Recordkeeping</t>
  </si>
  <si>
    <t>SES-1</t>
  </si>
  <si>
    <t>Number of Respondents</t>
  </si>
  <si>
    <t>Total Hours and Cost</t>
  </si>
  <si>
    <t>Number of Respondents (3)</t>
  </si>
  <si>
    <t>Developing engine family groups</t>
  </si>
  <si>
    <t>Testing/Gathering emission data on test engines</t>
  </si>
  <si>
    <t>Review of regulations and guidance documents</t>
  </si>
  <si>
    <t>NRCI</t>
  </si>
  <si>
    <t>HD California only</t>
  </si>
  <si>
    <t>HD and NR</t>
  </si>
  <si>
    <t>Review of regulations, contact EPA for guidance</t>
  </si>
  <si>
    <t>Select an allowance</t>
  </si>
  <si>
    <t>Notify EPA of participation</t>
  </si>
  <si>
    <t>Prepare and send letter to engine manufacturer</t>
  </si>
  <si>
    <t>Post Bonds (foreign OEMs only)</t>
  </si>
  <si>
    <t>Keep track of exempt equipment/gather information</t>
  </si>
  <si>
    <t>Keep track of engines to be used in exempt equipment/gather information</t>
  </si>
  <si>
    <t>Develop and submit reports</t>
  </si>
  <si>
    <t>ABT</t>
  </si>
  <si>
    <t>PLT</t>
  </si>
  <si>
    <t xml:space="preserve">HD Federal </t>
  </si>
  <si>
    <t>Engineer</t>
  </si>
  <si>
    <t>Manager</t>
  </si>
  <si>
    <t>Legal</t>
  </si>
  <si>
    <t>Engine Shipping Costs</t>
  </si>
  <si>
    <t>Lodging for employees to oversee testing</t>
  </si>
  <si>
    <t>Cost of OBD Scan Tool software updates (annualized)</t>
  </si>
  <si>
    <t>Scan OBD and print results</t>
  </si>
  <si>
    <t>Total per response (eng family)</t>
  </si>
  <si>
    <t>Fee</t>
  </si>
  <si>
    <t>OBD Compliance Demo</t>
  </si>
  <si>
    <t>Answer questions related to EPA's confirmatory testing</t>
  </si>
  <si>
    <t>Preparing and Submitting Annual Production Report</t>
  </si>
  <si>
    <t>Employee</t>
  </si>
  <si>
    <t>Hours and Labor Cost</t>
  </si>
  <si>
    <t>Level</t>
  </si>
  <si>
    <t>Rate Increase by 1.6</t>
  </si>
  <si>
    <t>Number of Employees</t>
  </si>
  <si>
    <t>% of Time</t>
  </si>
  <si>
    <t>Total  hr/yr</t>
  </si>
  <si>
    <t>Total Labor cost/yr</t>
  </si>
  <si>
    <t>SEE Support</t>
  </si>
  <si>
    <t>O&amp;M Costs</t>
  </si>
  <si>
    <t xml:space="preserve">Contract Support - Compliance </t>
  </si>
  <si>
    <t xml:space="preserve">Contract Support -Certification </t>
  </si>
  <si>
    <t xml:space="preserve">TOTAL: </t>
  </si>
  <si>
    <t>Total Annual Labor Cost</t>
  </si>
  <si>
    <t>Full time hours per employee</t>
  </si>
  <si>
    <t>In-use Testing</t>
  </si>
  <si>
    <t>GS 13/10</t>
  </si>
  <si>
    <t>SES-2</t>
  </si>
  <si>
    <t>Division Director</t>
  </si>
  <si>
    <t>Office Director</t>
  </si>
  <si>
    <t>Other Staff</t>
  </si>
  <si>
    <t>IT/Contract Support</t>
  </si>
  <si>
    <t>GS-11/5</t>
  </si>
  <si>
    <t>OGC &amp; OECA (lawyers)</t>
  </si>
  <si>
    <t>O&amp;M Total:</t>
  </si>
  <si>
    <t>Special Compliance Provisions</t>
  </si>
  <si>
    <t>Keep track of exempt engines</t>
  </si>
  <si>
    <t>Table 6 - Annual Respondent Burden and Cost</t>
  </si>
  <si>
    <t>Table 7 - Annual Respondent Burden and Cost</t>
  </si>
  <si>
    <t>Table 8 - Annual Respondent Burden and Cost</t>
  </si>
  <si>
    <t>Table 9 - Annual Respondent Burden and Cost</t>
  </si>
  <si>
    <t>Manufacturer-run In-use Testing Program for HD Engines/Vehicles</t>
  </si>
  <si>
    <t>Cost per vehicle</t>
  </si>
  <si>
    <t>Vendor Cost</t>
  </si>
  <si>
    <t>Vehicle manufacturer hours</t>
  </si>
  <si>
    <t xml:space="preserve">60 hours per vehicle for recruiting, inspection, testing, data review and submission, test follow up, etc </t>
  </si>
  <si>
    <t>Vehicle manufacturer staff travel</t>
  </si>
  <si>
    <t xml:space="preserve">Inspection and testing - varies by locaction, this is an estimate of an average </t>
  </si>
  <si>
    <t>Customer incentive</t>
  </si>
  <si>
    <t>For customer to use during equipment installation</t>
  </si>
  <si>
    <t>Program</t>
  </si>
  <si>
    <t>Total Hours Per Year</t>
  </si>
  <si>
    <t>Total Labor Cost Per Year</t>
  </si>
  <si>
    <t>Total Annual Capital Costs</t>
  </si>
  <si>
    <t>Total Annual O&amp;M Costs</t>
  </si>
  <si>
    <t>Total Costs</t>
  </si>
  <si>
    <t>Amend NSEs</t>
  </si>
  <si>
    <t>Prepare and submit National Security Exemptions (NSEs), annualized</t>
  </si>
  <si>
    <t>Prepare Hardship Relief Requests (annualized)</t>
  </si>
  <si>
    <t>Meet with EPA staff to answer questions (annualized)</t>
  </si>
  <si>
    <t>Gather additional Data (annualized)</t>
  </si>
  <si>
    <t>Develop and submit reports,if applicable</t>
  </si>
  <si>
    <t>Prepare and submit exemptions-related FOIA requests</t>
  </si>
  <si>
    <t>Hour and Cost per Response</t>
  </si>
  <si>
    <t>Burden Hours per Vehicle Tested</t>
  </si>
  <si>
    <t>Cost for 5 vehicles (minimum for in-use each test)</t>
  </si>
  <si>
    <t>Voluntary payment to customers lending their vehicles for testing.</t>
  </si>
  <si>
    <t xml:space="preserve">Vendor supplies PEMS equipment, all expendables; Installs, operate, removes equipment. Maintains and calibrates equipment, analyzes data, supplies draft EPA submittal files, a test summary, and all backup QA/QC documentation. Travel time and travel costs included. </t>
  </si>
  <si>
    <t>Replacement vehicle rental</t>
  </si>
  <si>
    <t>Information Collection</t>
  </si>
  <si>
    <t>Activity</t>
  </si>
  <si>
    <t>Description</t>
  </si>
  <si>
    <t>Apply for Bond Waivers</t>
  </si>
  <si>
    <t>Evaporative Cert</t>
  </si>
  <si>
    <t>In-use</t>
  </si>
  <si>
    <t>SEAs</t>
  </si>
  <si>
    <t>Certification</t>
  </si>
  <si>
    <t>Total Labor Cost:</t>
  </si>
  <si>
    <t>Total O&amp;M Costs:</t>
  </si>
  <si>
    <t xml:space="preserve">Burden &amp; Labor Total: </t>
  </si>
  <si>
    <t>Travel</t>
  </si>
  <si>
    <t>Time - Recordkepping</t>
  </si>
  <si>
    <t>Recordk costs O&amp;M</t>
  </si>
  <si>
    <t>O&amp;M Cost w/o rk</t>
  </si>
  <si>
    <t>Recordkeeping hr</t>
  </si>
  <si>
    <t>TPEM IC</t>
  </si>
  <si>
    <t>Total number of Reports Per Program</t>
  </si>
  <si>
    <t>Number of Reports per Respondent</t>
  </si>
  <si>
    <t>Total:</t>
  </si>
  <si>
    <t>Overall number of reports per respondent:</t>
  </si>
  <si>
    <t>Certification IC</t>
  </si>
  <si>
    <t>Special Compliance Provisions IC</t>
  </si>
  <si>
    <t>Burden and Cost per Application</t>
  </si>
  <si>
    <t>Total Burden and Cost</t>
  </si>
  <si>
    <t xml:space="preserve">Clerical </t>
  </si>
  <si>
    <t>Respondent hr/yr</t>
  </si>
  <si>
    <t>Capital Startup Cost</t>
  </si>
  <si>
    <t xml:space="preserve">Total  Cost/yr       </t>
  </si>
  <si>
    <t>Rate/hour</t>
  </si>
  <si>
    <t>Locomotives</t>
  </si>
  <si>
    <t>HD GHG Engines</t>
  </si>
  <si>
    <t>HD GHG Vehicles</t>
  </si>
  <si>
    <t>Marine CI (All Categories)</t>
  </si>
  <si>
    <t>Compile Data</t>
  </si>
  <si>
    <t>Prepare and submit  reports</t>
  </si>
  <si>
    <t>Review reports</t>
  </si>
  <si>
    <t>Review regulations</t>
  </si>
  <si>
    <t>Prepare and submit report VERR updates</t>
  </si>
  <si>
    <t>Maintain Owner Records</t>
  </si>
  <si>
    <t>Total for the Industry</t>
  </si>
  <si>
    <t>Defects</t>
  </si>
  <si>
    <t>IC 1:  Investigation Reports &amp; Defect Information Reports (DIRs)</t>
  </si>
  <si>
    <t>IC #2:Remedial Plans &amp; Recall Reports</t>
  </si>
  <si>
    <t>Prepare and submit report Remedial Plan</t>
  </si>
  <si>
    <t>Mechanical Engineering Technician</t>
  </si>
  <si>
    <t>Truck Driver</t>
  </si>
  <si>
    <t>IMO Only</t>
  </si>
  <si>
    <t>Alt Fuel</t>
  </si>
  <si>
    <t>Pickups &amp; Vans Certification &amp; Compliance</t>
  </si>
  <si>
    <r>
      <t>O &amp; M Cost</t>
    </r>
    <r>
      <rPr>
        <b/>
        <vertAlign val="superscript"/>
        <sz val="10"/>
        <color theme="0"/>
        <rFont val="Arial"/>
        <family val="2"/>
      </rPr>
      <t>1</t>
    </r>
  </si>
  <si>
    <r>
      <t>Frequency or Applications/Respondent</t>
    </r>
    <r>
      <rPr>
        <b/>
        <vertAlign val="superscript"/>
        <sz val="10"/>
        <color theme="0"/>
        <rFont val="Arial"/>
        <family val="2"/>
      </rPr>
      <t>2</t>
    </r>
  </si>
  <si>
    <t>Review of regulations and guidance</t>
  </si>
  <si>
    <t>Test/Gather emission data on test vehicles</t>
  </si>
  <si>
    <t>Pickups/Vans</t>
  </si>
  <si>
    <t>Dyno Testing</t>
  </si>
  <si>
    <t>Coast Down Testing</t>
  </si>
  <si>
    <t>Vocational Vehicles</t>
  </si>
  <si>
    <t>Tire Testing (ISO28580)</t>
  </si>
  <si>
    <t xml:space="preserve">Collect, Input GEM Data &amp; Run Model </t>
  </si>
  <si>
    <t>Combination Tractors</t>
  </si>
  <si>
    <t>Coefficient of Drag Tests:</t>
  </si>
  <si>
    <t xml:space="preserve">    - Coast Down Testing</t>
  </si>
  <si>
    <t xml:space="preserve">    - Wind Tunnel Testing</t>
  </si>
  <si>
    <t xml:space="preserve">    - Cfd (initial drawing)</t>
  </si>
  <si>
    <t xml:space="preserve">    - Cfd (layers) </t>
  </si>
  <si>
    <t xml:space="preserve">    Tire Testing ISO 28580</t>
  </si>
  <si>
    <t>Collect Data &amp; Run GEM</t>
  </si>
  <si>
    <t>Prepare and submit new, non-carryover certification applications</t>
  </si>
  <si>
    <r>
      <t xml:space="preserve">Prepare and submit "carryover" application </t>
    </r>
    <r>
      <rPr>
        <vertAlign val="superscript"/>
        <sz val="10"/>
        <rFont val="Arial"/>
        <family val="2"/>
      </rPr>
      <t>(3)</t>
    </r>
  </si>
  <si>
    <t>Labeling Requirements</t>
  </si>
  <si>
    <t>Prepare &amp; Review GHG Compliance Plan (pick up mfrs only)</t>
  </si>
  <si>
    <t>Preparing and supporting running changes/corrections</t>
  </si>
  <si>
    <t>HD Engines Certification &amp; Compliance</t>
  </si>
  <si>
    <t xml:space="preserve">Review of regs and guidance document </t>
  </si>
  <si>
    <t>Adding GHG data to new, non carry-over certification applications</t>
  </si>
  <si>
    <t>Prepare &amp; Review GHG Compliance Plan</t>
  </si>
  <si>
    <t>Submitting AB&amp;T and Production Reports</t>
  </si>
  <si>
    <t>Alternative Fuel Conversions - Beginning-of-Useful-Life Conversions</t>
  </si>
  <si>
    <t>Marine CI &amp; Locomotive Production Line Testing Program</t>
  </si>
  <si>
    <t>Assembler</t>
  </si>
  <si>
    <t>Testing</t>
  </si>
  <si>
    <t>Preparing and Submitting AB&amp;T Reports</t>
  </si>
  <si>
    <t xml:space="preserve">Marine CI </t>
  </si>
  <si>
    <t>CI Exhaust Emissions Certification &amp; AB&amp;T Programs - All Industries Except Alternative Fuels &amp; HD GHG</t>
  </si>
  <si>
    <t>Compliance Programs</t>
  </si>
  <si>
    <t>All Industries</t>
  </si>
  <si>
    <t>Transition Program for Equipment Manufacturers - Equipment Manufacturers</t>
  </si>
  <si>
    <t>Equipment Manufacturers</t>
  </si>
  <si>
    <t>Engine Manufacturers</t>
  </si>
  <si>
    <t>Rate</t>
  </si>
  <si>
    <t>Full time hours</t>
  </si>
  <si>
    <t>GS-14/1</t>
  </si>
  <si>
    <t>GS-13/1</t>
  </si>
  <si>
    <t>Contracts/Compliance</t>
  </si>
  <si>
    <t xml:space="preserve">Attorney </t>
  </si>
  <si>
    <t>Managers</t>
  </si>
  <si>
    <t>GS-15/1</t>
  </si>
  <si>
    <t xml:space="preserve">SES-1 </t>
  </si>
  <si>
    <t>SES - 1</t>
  </si>
  <si>
    <t>IT Support</t>
  </si>
  <si>
    <t>GS-12/1</t>
  </si>
  <si>
    <t>IT Support (EPA)</t>
  </si>
  <si>
    <t>Subtotal</t>
  </si>
  <si>
    <t>Other</t>
  </si>
  <si>
    <t>13-5</t>
  </si>
  <si>
    <t>13-10</t>
  </si>
  <si>
    <t>14-5</t>
  </si>
  <si>
    <t>GS 12 through 15</t>
  </si>
  <si>
    <t>GS 13/5</t>
  </si>
  <si>
    <t>Confirmatory &amp; Other Testing</t>
  </si>
  <si>
    <t>Table Number Section 6(a)</t>
  </si>
  <si>
    <t>Respondent Tally:</t>
  </si>
  <si>
    <t>Alternative Fuels IC</t>
  </si>
  <si>
    <t>Total for Cert IC:</t>
  </si>
  <si>
    <t>Table 5 - Annual Respondent Burden and Cost</t>
  </si>
  <si>
    <t xml:space="preserve">Table 17 - Annual Agency Burden and Cost </t>
  </si>
  <si>
    <t>Prepare and submit general exemptions (e.g. testing, display, not including imports/exports)</t>
  </si>
  <si>
    <t>Certification + Annual Production Reports</t>
  </si>
  <si>
    <t>Develop and submit final calculations (Annual Report)</t>
  </si>
  <si>
    <t>TPEM</t>
  </si>
  <si>
    <t>Annual Reports + Running Changes + Amendments</t>
  </si>
  <si>
    <t>AB&amp;T (end-of-year + final reports)</t>
  </si>
  <si>
    <t>Table 19 - Number of Reports</t>
  </si>
  <si>
    <t>~33 manufacturers submit AB&amp;T reports</t>
  </si>
  <si>
    <t>Industry</t>
  </si>
  <si>
    <t># Engine Families</t>
  </si>
  <si>
    <t>New Engine Families</t>
  </si>
  <si>
    <t>% Carry-Over</t>
  </si>
  <si>
    <t>Carry-Over Applications</t>
  </si>
  <si>
    <t>HD Engines Gas &amp; Diesel (Exhaust Emissions)</t>
  </si>
  <si>
    <t>HD Evaporative</t>
  </si>
  <si>
    <t>MCI 
Categories 1-3</t>
  </si>
  <si>
    <t>10 manufacturers
71 reports</t>
  </si>
  <si>
    <t>14 manufacturers
17 reports</t>
  </si>
  <si>
    <t>Table 18 - Certification Response Levels Per Respondent Type</t>
  </si>
  <si>
    <t>Table 10 - Defects Respondent Burden and Cost</t>
  </si>
  <si>
    <t>Table 11- Respondent Burden and Cost</t>
  </si>
  <si>
    <t>Table 13 - Annual Respondent Burden and Cost</t>
  </si>
  <si>
    <t>HD Alternative Fuel Conversions</t>
  </si>
  <si>
    <t>Table 20 - Summary by IC and Respondent Tally</t>
  </si>
  <si>
    <t>Responses</t>
  </si>
  <si>
    <t>Hours</t>
  </si>
  <si>
    <t xml:space="preserve">Previously Approved </t>
  </si>
  <si>
    <t>Total Requested</t>
  </si>
  <si>
    <t>IC #1 – Certification</t>
  </si>
  <si>
    <t>Reason</t>
  </si>
  <si>
    <t>Total for Cert:</t>
  </si>
  <si>
    <r>
      <t>Number of Respondents</t>
    </r>
    <r>
      <rPr>
        <b/>
        <vertAlign val="superscript"/>
        <sz val="10"/>
        <color theme="0"/>
        <rFont val="Arial"/>
        <family val="2"/>
      </rPr>
      <t>1</t>
    </r>
  </si>
  <si>
    <t>Initial Response (Application/
Notification/
Report)</t>
  </si>
  <si>
    <t>Information Collection (IC)</t>
  </si>
  <si>
    <t>Previously Approved</t>
  </si>
  <si>
    <t>Table 21 - Change in Burden per IC</t>
  </si>
  <si>
    <t>Far fewer respondents as program is no longer available for most former respondents</t>
  </si>
  <si>
    <t>Average Burden Per Respondent</t>
  </si>
  <si>
    <t>Non-labor Costs</t>
  </si>
  <si>
    <t>Change 
(+/-)</t>
  </si>
  <si>
    <t>General Tasks</t>
  </si>
  <si>
    <t>Intermediate Age Conversions - New applications Only</t>
  </si>
  <si>
    <t>Beginning of Useful Life Conversions - New Applications Only</t>
  </si>
  <si>
    <r>
      <t>Test Cost (annualized)</t>
    </r>
    <r>
      <rPr>
        <vertAlign val="superscript"/>
        <sz val="10"/>
        <rFont val="Arial"/>
        <family val="2"/>
      </rPr>
      <t>3</t>
    </r>
  </si>
  <si>
    <r>
      <rPr>
        <vertAlign val="superscript"/>
        <sz val="8"/>
        <rFont val="Arial"/>
        <family val="2"/>
      </rPr>
      <t>3</t>
    </r>
    <r>
      <rPr>
        <sz val="8"/>
        <rFont val="Arial"/>
        <family val="2"/>
      </rPr>
      <t>Exhaust Testing only. Evap Certification is accounted for in Table 5 Certification.</t>
    </r>
  </si>
  <si>
    <r>
      <rPr>
        <vertAlign val="superscript"/>
        <sz val="8"/>
        <rFont val="Arial"/>
        <family val="2"/>
      </rPr>
      <t>1</t>
    </r>
    <r>
      <rPr>
        <sz val="8"/>
        <rFont val="Arial"/>
        <family val="2"/>
      </rPr>
      <t>Includes phone calls, lab maintenance and testing limited to GHG certification. Other lab-related costs have already been accounted for in the general certification collection, ICR 1684.  See section 6(b)(ii) for details.</t>
    </r>
  </si>
  <si>
    <r>
      <rPr>
        <vertAlign val="superscript"/>
        <sz val="8"/>
        <rFont val="Arial"/>
        <family val="2"/>
      </rPr>
      <t>2</t>
    </r>
    <r>
      <rPr>
        <sz val="8"/>
        <rFont val="Arial"/>
        <family val="2"/>
      </rPr>
      <t>See section 6(d) for details. Frequency refers to the number of times a respondent performs each task per year. In most instances, this is tied to the number of certification applications in each category, except when in one-time tasks or tasks that apply all applicactions, such as reviewing regulations.</t>
    </r>
  </si>
  <si>
    <t>IC #3 – Transition Program for Equipment Manufacturers</t>
  </si>
  <si>
    <t>IC #4 – Special Compliance Provisions</t>
  </si>
  <si>
    <t>IC #2 – Alternative Fuel Conversions</t>
  </si>
  <si>
    <t>Increase in the number of respondents (2 to 8) and responses (4 to 16).</t>
  </si>
  <si>
    <t>Consolidation of 4 ICRs into ICR 1684.20, as discussed in Section 1(b). The reduction in cost is likely due to the higher use of carry-over applications (from an average of 56% to 78%).</t>
  </si>
  <si>
    <t>Adjustment in estimates. Previous ICR mistakenly included respondents not covered in this ICR.</t>
  </si>
  <si>
    <t># of Manufacturers (Cert IC only)</t>
  </si>
  <si>
    <t>*Per the footnote in Table 18, the real number of respondents in certification (not inlcuding HD Alternative Fuel Conversions) is 103. The total shown here comes from 103 respondents in Certification + 8 in HD Alternative Fuel Convertions + 132 in TPEM and 225 in Special Compliance = 468.</t>
  </si>
  <si>
    <r>
      <t>Totals</t>
    </r>
    <r>
      <rPr>
        <vertAlign val="superscript"/>
        <sz val="10"/>
        <color theme="0"/>
        <rFont val="Arial"/>
        <family val="2"/>
      </rPr>
      <t>1</t>
    </r>
    <r>
      <rPr>
        <sz val="10"/>
        <color theme="0"/>
        <rFont val="Arial"/>
        <family val="2"/>
      </rPr>
      <t>:</t>
    </r>
  </si>
  <si>
    <r>
      <rPr>
        <vertAlign val="superscript"/>
        <sz val="8"/>
        <rFont val="Arial"/>
        <family val="2"/>
      </rPr>
      <t>1</t>
    </r>
    <r>
      <rPr>
        <sz val="8"/>
        <rFont val="Arial"/>
        <family val="2"/>
      </rPr>
      <t xml:space="preserve">Many companies certify engines/vehicles in more than one industry. Therefore, the real total of certification respondents (# of manufacturers) is lower than the sum of manufacturers in each industry. </t>
    </r>
  </si>
  <si>
    <t>Certification (IC #1)</t>
  </si>
  <si>
    <t>Other Programs (ICs #2-4)</t>
  </si>
  <si>
    <t>Table Number [Section 6(a)]</t>
  </si>
  <si>
    <t>CD Full-time Career Employees</t>
  </si>
  <si>
    <t>NHTSA Full-time Career Employees</t>
  </si>
  <si>
    <r>
      <t>Frequency or 
Reports per Respondent</t>
    </r>
    <r>
      <rPr>
        <b/>
        <vertAlign val="superscript"/>
        <sz val="10"/>
        <color theme="0"/>
        <rFont val="Arial"/>
        <family val="2"/>
      </rPr>
      <t>2</t>
    </r>
  </si>
  <si>
    <r>
      <t>O &amp; M Cost</t>
    </r>
    <r>
      <rPr>
        <b/>
        <vertAlign val="superscript"/>
        <sz val="9"/>
        <color theme="0"/>
        <rFont val="Arial"/>
        <family val="2"/>
      </rPr>
      <t>1</t>
    </r>
  </si>
  <si>
    <r>
      <t>Frequency or Applications/Respondent</t>
    </r>
    <r>
      <rPr>
        <b/>
        <vertAlign val="superscript"/>
        <sz val="9"/>
        <color theme="0"/>
        <rFont val="Arial"/>
        <family val="2"/>
      </rPr>
      <t>2</t>
    </r>
  </si>
  <si>
    <t>Table 11 - Annual Respondent Burden and Cost</t>
  </si>
  <si>
    <t>Testing/Gathering 
emission data</t>
  </si>
  <si>
    <r>
      <rPr>
        <vertAlign val="superscript"/>
        <sz val="8"/>
        <rFont val="Arial"/>
        <family val="2"/>
      </rPr>
      <t>3</t>
    </r>
    <r>
      <rPr>
        <sz val="8"/>
        <rFont val="Arial"/>
        <family val="2"/>
      </rPr>
      <t>Some manufacturers, usually large companies with many engine families, invest in in-house testing laboratories for compliance testing as well as research &amp; development.</t>
    </r>
  </si>
  <si>
    <r>
      <t>In-houseTesting</t>
    </r>
    <r>
      <rPr>
        <vertAlign val="superscript"/>
        <sz val="10"/>
        <rFont val="Arial"/>
        <family val="2"/>
      </rPr>
      <t>3</t>
    </r>
  </si>
  <si>
    <t>Laboratory
 maintenance</t>
  </si>
  <si>
    <r>
      <t>Outsourced Testing Costs, Annualized</t>
    </r>
    <r>
      <rPr>
        <vertAlign val="superscript"/>
        <sz val="10"/>
        <rFont val="Arial"/>
        <family val="2"/>
      </rPr>
      <t>4</t>
    </r>
  </si>
  <si>
    <r>
      <rPr>
        <vertAlign val="superscript"/>
        <sz val="10"/>
        <rFont val="Arial"/>
        <family val="2"/>
      </rPr>
      <t>4</t>
    </r>
    <r>
      <rPr>
        <sz val="10"/>
        <rFont val="Arial"/>
        <family val="2"/>
      </rPr>
      <t>Preparing and submitting "carry over" applications</t>
    </r>
  </si>
  <si>
    <r>
      <t>Application Fee</t>
    </r>
    <r>
      <rPr>
        <vertAlign val="superscript"/>
        <sz val="10"/>
        <rFont val="Arial"/>
        <family val="2"/>
      </rPr>
      <t>5</t>
    </r>
  </si>
  <si>
    <r>
      <rPr>
        <vertAlign val="superscript"/>
        <sz val="8"/>
        <rFont val="Arial"/>
        <family val="2"/>
      </rPr>
      <t>5</t>
    </r>
    <r>
      <rPr>
        <sz val="8"/>
        <rFont val="Arial"/>
        <family val="2"/>
      </rPr>
      <t>Carry over applications are generally a copy of the previous year application except for the first letter of the engine family name. The submittal of certification applications is already accounted for in the certification ICR.</t>
    </r>
  </si>
  <si>
    <r>
      <t>Information Collection              Activity</t>
    </r>
    <r>
      <rPr>
        <b/>
        <vertAlign val="superscript"/>
        <sz val="10"/>
        <color theme="0"/>
        <rFont val="Arial"/>
        <family val="2"/>
      </rPr>
      <t>1</t>
    </r>
  </si>
  <si>
    <r>
      <t>O &amp; M Cost</t>
    </r>
    <r>
      <rPr>
        <b/>
        <vertAlign val="superscript"/>
        <sz val="10"/>
        <color theme="0"/>
        <rFont val="Arial"/>
        <family val="2"/>
      </rPr>
      <t>2</t>
    </r>
  </si>
  <si>
    <r>
      <t>Frequency or Applications/Respondent</t>
    </r>
    <r>
      <rPr>
        <b/>
        <vertAlign val="superscript"/>
        <sz val="10"/>
        <color theme="0"/>
        <rFont val="Arial"/>
        <family val="2"/>
      </rPr>
      <t>3</t>
    </r>
  </si>
  <si>
    <r>
      <t>Carry over applications</t>
    </r>
    <r>
      <rPr>
        <vertAlign val="superscript"/>
        <sz val="10"/>
        <rFont val="Arial"/>
        <family val="2"/>
      </rPr>
      <t>4</t>
    </r>
  </si>
  <si>
    <r>
      <rPr>
        <vertAlign val="superscript"/>
        <sz val="8"/>
        <rFont val="Arial"/>
        <family val="2"/>
      </rPr>
      <t>2</t>
    </r>
    <r>
      <rPr>
        <sz val="8"/>
        <rFont val="Arial"/>
        <family val="2"/>
      </rPr>
      <t>Includes phone calls, lab maintenance and testing limited to GHG certification. Other lab-related costs have already been accounted for in Table 5, Certification.</t>
    </r>
  </si>
  <si>
    <r>
      <rPr>
        <vertAlign val="superscript"/>
        <sz val="8"/>
        <rFont val="Arial"/>
        <family val="2"/>
      </rPr>
      <t>3</t>
    </r>
    <r>
      <rPr>
        <sz val="8"/>
        <rFont val="Arial"/>
        <family val="2"/>
      </rPr>
      <t>See section 6(d) for details. Frequency refers to the number of times a respondent performs each task per year. In most instances, this is tied to the number of certification applications in each category, except when in one-time tasks or tasks that apply all applicactions, such as reviewing regulations.</t>
    </r>
  </si>
  <si>
    <r>
      <rPr>
        <vertAlign val="superscript"/>
        <sz val="8"/>
        <rFont val="Arial"/>
        <family val="2"/>
      </rPr>
      <t>4</t>
    </r>
    <r>
      <rPr>
        <sz val="8"/>
        <rFont val="Arial"/>
        <family val="2"/>
      </rPr>
      <t>Carry over applications are generally a copy of the previous year application except for the first letter of the engine family name. The submittal of certification applications is already accounted for in the certification ICR.</t>
    </r>
  </si>
  <si>
    <r>
      <rPr>
        <vertAlign val="superscript"/>
        <sz val="8"/>
        <rFont val="Arial"/>
        <family val="2"/>
      </rPr>
      <t>4</t>
    </r>
    <r>
      <rPr>
        <sz val="8"/>
        <rFont val="Arial"/>
        <family val="2"/>
      </rPr>
      <t xml:space="preserve"> Some manufacturers, usually smaller companies, hire outside laboratories for testing.</t>
    </r>
  </si>
  <si>
    <r>
      <rPr>
        <vertAlign val="superscript"/>
        <sz val="8"/>
        <rFont val="Arial"/>
        <family val="2"/>
      </rPr>
      <t>1</t>
    </r>
    <r>
      <rPr>
        <sz val="8"/>
        <rFont val="Arial"/>
        <family val="2"/>
      </rPr>
      <t>This table accounts for the incremental cost of adding GHG data to the HD certification application. Other certification burden and costs are accounted for on Table 5, Certification.</t>
    </r>
  </si>
  <si>
    <t xml:space="preserve">1Includes expenses such phone calls, printing costs and testing limited to GHG certification, annualized. See section 6(b)(ii) for details. </t>
  </si>
  <si>
    <r>
      <rPr>
        <vertAlign val="superscript"/>
        <sz val="10"/>
        <rFont val="Arial"/>
        <family val="2"/>
      </rPr>
      <t>2</t>
    </r>
    <r>
      <rPr>
        <sz val="10"/>
        <rFont val="Arial"/>
        <family val="2"/>
      </rPr>
      <t>See section 6(d) for details. Frequency refers to the number of times a respondent performs each task per year, usually equal to the number of applications or reports per respondent per year.</t>
    </r>
  </si>
  <si>
    <r>
      <rPr>
        <vertAlign val="superscript"/>
        <sz val="10"/>
        <rFont val="Arial"/>
        <family val="2"/>
      </rPr>
      <t>3</t>
    </r>
    <r>
      <rPr>
        <sz val="10"/>
        <rFont val="Arial"/>
        <family val="2"/>
      </rPr>
      <t>Carry over applications are generally a copy of the previous year application except for the first letter of the engine family name. The submittal of certification applications is already accounted for in the certification ICR.</t>
    </r>
  </si>
  <si>
    <t>Prepare &amp; submit certification applications</t>
  </si>
  <si>
    <r>
      <rPr>
        <vertAlign val="superscript"/>
        <sz val="8"/>
        <rFont val="Arial"/>
        <family val="2"/>
      </rPr>
      <t>2</t>
    </r>
    <r>
      <rPr>
        <sz val="8"/>
        <rFont val="Arial"/>
        <family val="2"/>
      </rPr>
      <t>Frequency: 1 = one time tasks; 4 = tasks carried out quarterly; other # = based on actual number of tests.  Refer to Section 6(d) for further detail.</t>
    </r>
  </si>
  <si>
    <r>
      <rPr>
        <vertAlign val="superscript"/>
        <sz val="8"/>
        <rFont val="Arial"/>
        <family val="2"/>
      </rPr>
      <t>1</t>
    </r>
    <r>
      <rPr>
        <sz val="8"/>
        <rFont val="Arial"/>
        <family val="2"/>
      </rPr>
      <t>Includes photocopying, postage expenses, phone calls, testing costs and some lab costs, annualized. Most lab costs for in-house testing are accounted for in Table 5, Certification.  See section 6(b)(iii) for details.</t>
    </r>
  </si>
  <si>
    <r>
      <t>Testing (In-house)</t>
    </r>
    <r>
      <rPr>
        <vertAlign val="superscript"/>
        <sz val="10"/>
        <rFont val="Arial"/>
        <family val="2"/>
      </rPr>
      <t>3</t>
    </r>
  </si>
  <si>
    <r>
      <t>Testing (Contract out)</t>
    </r>
    <r>
      <rPr>
        <vertAlign val="superscript"/>
        <sz val="10"/>
        <rFont val="Arial"/>
        <family val="2"/>
      </rPr>
      <t>4</t>
    </r>
  </si>
  <si>
    <r>
      <rPr>
        <vertAlign val="superscript"/>
        <sz val="8"/>
        <rFont val="Arial"/>
        <family val="2"/>
      </rPr>
      <t>1</t>
    </r>
    <r>
      <rPr>
        <sz val="8"/>
        <rFont val="Arial"/>
        <family val="2"/>
      </rPr>
      <t>Includes costs such as phone calls and photocopying. See section 6(b)(ii) for details.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</si>
</sst>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0"/>
    <numFmt numFmtId="165" formatCode="&quot;$&quot;#,##0"/>
    <numFmt numFmtId="166" formatCode="&quot;$&quot;#,##0.00"/>
    <numFmt numFmtId="167" formatCode="_(&quot;$&quot;* #,##0_);_(&quot;$&quot;* \(#,##0\);_(&quot;$&quot;* &quot;-&quot;??_);_(@_)"/>
    <numFmt numFmtId="168" formatCode="_(* #,##0_);_(* \(#,##0\);_(* &quot;-&quot;??_);_(@_)"/>
    <numFmt numFmtId="169" formatCode="&quot;$&quot;#,##0.0"/>
    <numFmt numFmtId="170" formatCode="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sz val="12"/>
      <color indexed="10"/>
      <name val="Arial"/>
      <family val="2"/>
    </font>
    <font>
      <sz val="12"/>
      <name val="Arial"/>
      <family val="2"/>
    </font>
    <font>
      <sz val="10"/>
      <name val="Arial"/>
      <family val="2"/>
    </font>
    <font>
      <b/>
      <sz val="8"/>
      <name val="Arial"/>
      <family val="2"/>
    </font>
    <font>
      <sz val="10"/>
      <name val="Arial"/>
      <family val="2"/>
    </font>
    <font>
      <b/>
      <sz val="15"/>
      <color theme="3"/>
      <name val="Calibri"/>
      <family val="2"/>
      <scheme val="minor"/>
    </font>
    <font>
      <b/>
      <sz val="9"/>
      <color theme="0"/>
      <name val="Arial"/>
      <family val="2"/>
    </font>
    <font>
      <sz val="9"/>
      <name val="Arial"/>
      <family val="2"/>
    </font>
    <font>
      <b/>
      <sz val="9"/>
      <color theme="0"/>
      <name val="Calibri"/>
      <family val="2"/>
    </font>
    <font>
      <b/>
      <sz val="10"/>
      <color indexed="9"/>
      <name val="Arial"/>
      <family val="2"/>
    </font>
    <font>
      <vertAlign val="superscript"/>
      <sz val="10"/>
      <name val="Arial"/>
      <family val="2"/>
    </font>
    <font>
      <u/>
      <sz val="10"/>
      <color theme="10"/>
      <name val="Arial"/>
      <family val="2"/>
    </font>
    <font>
      <sz val="10"/>
      <name val="Arial"/>
      <family val="2"/>
    </font>
    <font>
      <sz val="11"/>
      <color theme="0"/>
      <name val="Calibri"/>
      <family val="2"/>
      <scheme val="minor"/>
    </font>
    <font>
      <sz val="10"/>
      <color theme="0"/>
      <name val="Arial"/>
      <family val="2"/>
    </font>
    <font>
      <b/>
      <sz val="10"/>
      <color theme="0"/>
      <name val="Arial"/>
      <family val="2"/>
    </font>
    <font>
      <b/>
      <sz val="10"/>
      <color theme="0"/>
      <name val="Calibri"/>
      <family val="2"/>
    </font>
    <font>
      <sz val="11"/>
      <name val="Arial"/>
      <family val="2"/>
    </font>
    <font>
      <b/>
      <vertAlign val="superscript"/>
      <sz val="10"/>
      <color theme="0"/>
      <name val="Arial"/>
      <family val="2"/>
    </font>
    <font>
      <b/>
      <sz val="8"/>
      <color theme="0"/>
      <name val="Arial"/>
      <family val="2"/>
    </font>
    <font>
      <b/>
      <sz val="18"/>
      <name val="Arial"/>
      <family val="2"/>
    </font>
    <font>
      <b/>
      <sz val="12"/>
      <name val="Arial"/>
      <family val="2"/>
    </font>
    <font>
      <b/>
      <sz val="18"/>
      <name val="Arial"/>
      <family val="2"/>
    </font>
    <font>
      <b/>
      <sz val="12"/>
      <name val="Arial"/>
      <family val="2"/>
    </font>
    <font>
      <sz val="12"/>
      <name val="Arial"/>
      <family val="2"/>
    </font>
    <font>
      <b/>
      <sz val="11"/>
      <color theme="0"/>
      <name val="Arial"/>
      <family val="2"/>
    </font>
    <font>
      <b/>
      <sz val="11"/>
      <name val="Arial"/>
      <family val="2"/>
    </font>
    <font>
      <b/>
      <sz val="9"/>
      <name val="Arial"/>
      <family val="2"/>
    </font>
    <font>
      <sz val="9"/>
      <color rgb="FFFF0000"/>
      <name val="Arial"/>
      <family val="2"/>
    </font>
    <font>
      <sz val="9"/>
      <color theme="0"/>
      <name val="Arial"/>
      <family val="2"/>
    </font>
    <font>
      <vertAlign val="superscript"/>
      <sz val="8"/>
      <name val="Arial"/>
      <family val="2"/>
    </font>
    <font>
      <b/>
      <vertAlign val="superscript"/>
      <sz val="9"/>
      <color theme="0"/>
      <name val="Arial"/>
      <family val="2"/>
    </font>
    <font>
      <sz val="10"/>
      <name val="Arial"/>
    </font>
    <font>
      <vertAlign val="superscript"/>
      <sz val="10"/>
      <color theme="0"/>
      <name val="Arial"/>
      <family val="2"/>
    </font>
  </fonts>
  <fills count="18">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E6E6E6"/>
        <bgColor indexed="9"/>
      </patternFill>
    </fill>
    <fill>
      <patternFill patternType="solid">
        <fgColor theme="3" tint="0.59999389629810485"/>
        <bgColor indexed="64"/>
      </patternFill>
    </fill>
    <fill>
      <patternFill patternType="solid">
        <fgColor theme="4" tint="-0.249977111117893"/>
        <bgColor indexed="9"/>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indexed="22"/>
        <bgColor indexed="9"/>
      </patternFill>
    </fill>
    <fill>
      <patternFill patternType="solid">
        <fgColor theme="0" tint="-0.249977111117893"/>
        <bgColor indexed="9"/>
      </patternFill>
    </fill>
    <fill>
      <patternFill patternType="solid">
        <fgColor theme="0" tint="-4.9989318521683403E-2"/>
        <bgColor indexed="9"/>
      </patternFill>
    </fill>
    <fill>
      <patternFill patternType="solid">
        <fgColor rgb="FF92D050"/>
        <bgColor indexed="64"/>
      </patternFill>
    </fill>
    <fill>
      <patternFill patternType="solid">
        <fgColor theme="3" tint="0.59999389629810485"/>
        <bgColor indexed="9"/>
      </patternFill>
    </fill>
    <fill>
      <patternFill patternType="solid">
        <fgColor rgb="FFF2F2F2"/>
        <bgColor indexed="64"/>
      </patternFill>
    </fill>
    <fill>
      <patternFill patternType="solid">
        <fgColor theme="6" tint="-0.24997711111789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thick">
        <color theme="4"/>
      </bottom>
      <diagonal/>
    </border>
    <border>
      <left style="thin">
        <color indexed="64"/>
      </left>
      <right/>
      <top style="thick">
        <color theme="4"/>
      </top>
      <bottom style="thin">
        <color indexed="64"/>
      </bottom>
      <diagonal/>
    </border>
    <border>
      <left/>
      <right/>
      <top style="thick">
        <color theme="4"/>
      </top>
      <bottom style="thin">
        <color indexed="64"/>
      </bottom>
      <diagonal/>
    </border>
    <border>
      <left/>
      <right style="thin">
        <color indexed="64"/>
      </right>
      <top style="thick">
        <color theme="4"/>
      </top>
      <bottom style="thin">
        <color indexed="64"/>
      </bottom>
      <diagonal/>
    </border>
    <border>
      <left/>
      <right/>
      <top style="thick">
        <color theme="4"/>
      </top>
      <bottom style="thick">
        <color theme="4"/>
      </bottom>
      <diagonal/>
    </border>
    <border>
      <left/>
      <right/>
      <top style="double">
        <color indexed="0"/>
      </top>
      <bottom/>
      <diagonal/>
    </border>
    <border>
      <left style="thin">
        <color indexed="64"/>
      </left>
      <right/>
      <top style="thick">
        <color theme="4"/>
      </top>
      <bottom/>
      <diagonal/>
    </border>
    <border>
      <left/>
      <right/>
      <top style="thick">
        <color theme="4"/>
      </top>
      <bottom/>
      <diagonal/>
    </border>
    <border>
      <left/>
      <right/>
      <top style="double">
        <color indexed="64"/>
      </top>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s>
  <cellStyleXfs count="74">
    <xf numFmtId="0" fontId="0" fillId="0" borderId="0"/>
    <xf numFmtId="0" fontId="6" fillId="0" borderId="0"/>
    <xf numFmtId="44" fontId="6" fillId="0" borderId="0" applyFont="0" applyFill="0" applyBorder="0" applyAlignment="0" applyProtection="0"/>
    <xf numFmtId="43" fontId="6" fillId="0" borderId="0" applyFont="0" applyFill="0" applyBorder="0" applyAlignment="0" applyProtection="0"/>
    <xf numFmtId="0" fontId="11" fillId="0" borderId="0">
      <alignment vertical="top"/>
    </xf>
    <xf numFmtId="44" fontId="12" fillId="0" borderId="0" applyFont="0" applyFill="0" applyBorder="0" applyAlignment="0" applyProtection="0"/>
    <xf numFmtId="0" fontId="11" fillId="0" borderId="0">
      <alignment vertical="top"/>
    </xf>
    <xf numFmtId="9"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12" fillId="0" borderId="0" applyFont="0" applyFill="0" applyBorder="0" applyAlignment="0" applyProtection="0"/>
    <xf numFmtId="0" fontId="5" fillId="0" borderId="0"/>
    <xf numFmtId="44" fontId="14" fillId="0" borderId="0" applyFont="0" applyFill="0" applyBorder="0" applyAlignment="0" applyProtection="0"/>
    <xf numFmtId="43" fontId="14" fillId="0" borderId="0" applyFont="0" applyFill="0" applyBorder="0" applyAlignment="0" applyProtection="0"/>
    <xf numFmtId="0" fontId="3" fillId="0" borderId="0"/>
    <xf numFmtId="0" fontId="15" fillId="0" borderId="17" applyNumberFormat="0" applyFill="0" applyAlignment="0" applyProtection="0"/>
    <xf numFmtId="9" fontId="22" fillId="0" borderId="0" applyFont="0" applyFill="0" applyBorder="0" applyAlignment="0" applyProtection="0"/>
    <xf numFmtId="0" fontId="2" fillId="0" borderId="0"/>
    <xf numFmtId="0" fontId="22" fillId="0" borderId="0">
      <alignment vertical="top"/>
    </xf>
    <xf numFmtId="0" fontId="6" fillId="0" borderId="0">
      <alignment vertical="top"/>
    </xf>
    <xf numFmtId="9" fontId="6" fillId="0" borderId="0" applyFont="0" applyFill="0" applyBorder="0" applyAlignment="0" applyProtection="0"/>
    <xf numFmtId="4" fontId="6" fillId="0" borderId="0" applyFont="0" applyFill="0" applyBorder="0" applyAlignment="0" applyProtection="0"/>
    <xf numFmtId="3" fontId="6" fillId="0" borderId="0" applyFont="0" applyFill="0" applyBorder="0" applyAlignment="0" applyProtection="0"/>
    <xf numFmtId="7" fontId="6" fillId="0" borderId="0" applyFont="0" applyFill="0" applyBorder="0" applyAlignment="0" applyProtection="0"/>
    <xf numFmtId="5" fontId="6" fillId="0" borderId="0" applyFont="0" applyFill="0" applyBorder="0" applyAlignment="0" applyProtection="0"/>
    <xf numFmtId="14" fontId="6" fillId="0" borderId="0" applyFont="0" applyFill="0" applyBorder="0" applyAlignment="0" applyProtection="0"/>
    <xf numFmtId="2" fontId="6" fillId="0" borderId="0" applyFont="0" applyFill="0" applyBorder="0" applyAlignment="0" applyProtection="0"/>
    <xf numFmtId="0" fontId="30" fillId="0" borderId="0" applyNumberFormat="0" applyFont="0" applyFill="0" applyAlignment="0" applyProtection="0"/>
    <xf numFmtId="0" fontId="31" fillId="0" borderId="0" applyNumberFormat="0" applyFont="0" applyFill="0" applyAlignment="0" applyProtection="0"/>
    <xf numFmtId="10" fontId="6" fillId="0" borderId="0" applyFont="0" applyFill="0" applyBorder="0" applyAlignment="0" applyProtection="0"/>
    <xf numFmtId="0" fontId="6" fillId="0" borderId="22" applyNumberFormat="0" applyFont="0" applyBorder="0" applyAlignment="0" applyProtection="0"/>
    <xf numFmtId="0" fontId="6" fillId="0" borderId="0"/>
    <xf numFmtId="9"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9" fontId="11" fillId="0" borderId="0" applyFont="0" applyFill="0" applyBorder="0" applyAlignment="0" applyProtection="0"/>
    <xf numFmtId="0" fontId="2" fillId="0" borderId="0"/>
    <xf numFmtId="0" fontId="6" fillId="0" borderId="0"/>
    <xf numFmtId="9"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alignment vertical="top"/>
    </xf>
    <xf numFmtId="44" fontId="11" fillId="0" borderId="0" applyFont="0" applyFill="0" applyBorder="0" applyAlignment="0" applyProtection="0"/>
    <xf numFmtId="43" fontId="11" fillId="0" borderId="0" applyFont="0" applyFill="0" applyBorder="0" applyAlignment="0" applyProtection="0"/>
    <xf numFmtId="0" fontId="11" fillId="0" borderId="0">
      <alignment vertical="top"/>
    </xf>
    <xf numFmtId="0" fontId="11" fillId="0" borderId="0">
      <alignment vertical="top"/>
    </xf>
    <xf numFmtId="0" fontId="11" fillId="0" borderId="0">
      <alignment vertical="top"/>
    </xf>
    <xf numFmtId="43" fontId="11" fillId="0" borderId="0" applyFont="0" applyFill="0" applyBorder="0" applyAlignment="0" applyProtection="0"/>
    <xf numFmtId="44" fontId="11" fillId="0" borderId="0" applyFont="0" applyFill="0" applyBorder="0" applyAlignment="0" applyProtection="0"/>
    <xf numFmtId="0" fontId="22" fillId="0" borderId="0">
      <alignment vertical="top"/>
    </xf>
    <xf numFmtId="0" fontId="21" fillId="0" borderId="0" applyNumberFormat="0" applyFill="0" applyBorder="0" applyAlignment="0" applyProtection="0">
      <alignment vertical="top"/>
    </xf>
    <xf numFmtId="4" fontId="22" fillId="0" borderId="0" applyFont="0" applyFill="0" applyBorder="0" applyAlignment="0" applyProtection="0"/>
    <xf numFmtId="3" fontId="22" fillId="0" borderId="0" applyFont="0" applyFill="0" applyBorder="0" applyAlignment="0" applyProtection="0"/>
    <xf numFmtId="7" fontId="22" fillId="0" borderId="0" applyFont="0" applyFill="0" applyBorder="0" applyAlignment="0" applyProtection="0"/>
    <xf numFmtId="5" fontId="22" fillId="0" borderId="0" applyFont="0" applyFill="0" applyBorder="0" applyAlignment="0" applyProtection="0"/>
    <xf numFmtId="14" fontId="22" fillId="0" borderId="0" applyFont="0" applyFill="0" applyBorder="0" applyAlignment="0" applyProtection="0"/>
    <xf numFmtId="2" fontId="22" fillId="0" borderId="0" applyFont="0" applyFill="0" applyBorder="0" applyAlignment="0" applyProtection="0"/>
    <xf numFmtId="0" fontId="32" fillId="0" borderId="0" applyNumberFormat="0" applyFont="0" applyFill="0" applyAlignment="0" applyProtection="0"/>
    <xf numFmtId="0" fontId="33" fillId="0" borderId="0" applyNumberFormat="0" applyFont="0" applyFill="0" applyAlignment="0" applyProtection="0"/>
    <xf numFmtId="0" fontId="34" fillId="0" borderId="0">
      <alignment vertical="top"/>
    </xf>
    <xf numFmtId="10" fontId="22" fillId="0" borderId="0" applyFont="0" applyFill="0" applyBorder="0" applyAlignment="0" applyProtection="0"/>
    <xf numFmtId="0" fontId="22" fillId="0" borderId="22" applyNumberFormat="0" applyFont="0" applyBorder="0" applyAlignment="0" applyProtection="0"/>
    <xf numFmtId="0" fontId="22" fillId="0" borderId="0"/>
    <xf numFmtId="0" fontId="22" fillId="0" borderId="0"/>
    <xf numFmtId="9" fontId="34" fillId="0" borderId="0" applyFont="0" applyFill="0" applyBorder="0" applyAlignment="0" applyProtection="0"/>
    <xf numFmtId="43" fontId="34" fillId="0" borderId="0" applyFont="0" applyFill="0" applyBorder="0" applyAlignment="0" applyProtection="0"/>
    <xf numFmtId="44" fontId="34" fillId="0" borderId="0" applyFont="0" applyFill="0" applyBorder="0" applyAlignment="0" applyProtection="0"/>
    <xf numFmtId="0" fontId="34" fillId="0" borderId="0">
      <alignment vertical="top"/>
    </xf>
    <xf numFmtId="44" fontId="22" fillId="0" borderId="0" applyFont="0" applyFill="0" applyBorder="0" applyAlignment="0" applyProtection="0"/>
    <xf numFmtId="43" fontId="22" fillId="0" borderId="0" applyFont="0" applyFill="0" applyBorder="0" applyAlignment="0" applyProtection="0"/>
    <xf numFmtId="0" fontId="1" fillId="0" borderId="0"/>
    <xf numFmtId="42" fontId="42" fillId="0" borderId="0" applyFont="0" applyFill="0" applyBorder="0" applyAlignment="0" applyProtection="0"/>
  </cellStyleXfs>
  <cellXfs count="590">
    <xf numFmtId="0" fontId="0" fillId="0" borderId="0" xfId="0"/>
    <xf numFmtId="0" fontId="0" fillId="0" borderId="0" xfId="0" applyBorder="1"/>
    <xf numFmtId="0" fontId="7" fillId="0" borderId="0" xfId="0" applyNumberFormat="1" applyFont="1" applyAlignment="1"/>
    <xf numFmtId="0" fontId="7" fillId="0" borderId="0" xfId="0" applyFont="1"/>
    <xf numFmtId="0" fontId="6" fillId="0" borderId="0" xfId="0" applyFont="1"/>
    <xf numFmtId="0" fontId="6" fillId="0" borderId="1" xfId="0" applyFont="1" applyBorder="1" applyAlignment="1">
      <alignment wrapText="1"/>
    </xf>
    <xf numFmtId="3" fontId="7" fillId="0" borderId="0" xfId="0" applyNumberFormat="1" applyFont="1" applyBorder="1" applyAlignment="1">
      <alignment horizontal="right"/>
    </xf>
    <xf numFmtId="165" fontId="7" fillId="0" borderId="0" xfId="0" applyNumberFormat="1" applyFont="1" applyBorder="1" applyAlignment="1">
      <alignment horizontal="right"/>
    </xf>
    <xf numFmtId="3" fontId="9" fillId="0" borderId="1" xfId="0" applyNumberFormat="1" applyFont="1" applyBorder="1" applyAlignment="1">
      <alignment horizontal="right"/>
    </xf>
    <xf numFmtId="3" fontId="9" fillId="0" borderId="1" xfId="0" applyNumberFormat="1" applyFont="1" applyFill="1" applyBorder="1" applyAlignment="1">
      <alignment horizontal="right"/>
    </xf>
    <xf numFmtId="164" fontId="9" fillId="0" borderId="1" xfId="0" applyNumberFormat="1" applyFont="1" applyFill="1" applyBorder="1" applyAlignment="1">
      <alignment horizontal="right"/>
    </xf>
    <xf numFmtId="3" fontId="9" fillId="0" borderId="1" xfId="0" applyNumberFormat="1" applyFont="1" applyFill="1" applyBorder="1"/>
    <xf numFmtId="0" fontId="9" fillId="0" borderId="1" xfId="0" applyNumberFormat="1" applyFont="1" applyBorder="1" applyAlignment="1">
      <alignment horizontal="left" vertical="top" wrapText="1"/>
    </xf>
    <xf numFmtId="0" fontId="9" fillId="0" borderId="1" xfId="0" applyNumberFormat="1" applyFont="1" applyBorder="1" applyAlignment="1">
      <alignment vertical="top" wrapText="1"/>
    </xf>
    <xf numFmtId="0" fontId="6" fillId="0" borderId="0" xfId="0" applyFont="1" applyFill="1"/>
    <xf numFmtId="0" fontId="9" fillId="0" borderId="6" xfId="0" applyNumberFormat="1" applyFont="1" applyBorder="1" applyAlignment="1">
      <alignment horizontal="left" vertical="top" wrapText="1"/>
    </xf>
    <xf numFmtId="3" fontId="9" fillId="0" borderId="6" xfId="0" applyNumberFormat="1" applyFont="1" applyBorder="1" applyAlignment="1">
      <alignment horizontal="right"/>
    </xf>
    <xf numFmtId="0" fontId="9" fillId="0" borderId="1" xfId="0" applyNumberFormat="1" applyFont="1" applyBorder="1" applyAlignment="1">
      <alignment horizontal="right" vertical="top" wrapText="1"/>
    </xf>
    <xf numFmtId="0" fontId="9" fillId="0" borderId="1" xfId="0" applyFont="1" applyBorder="1"/>
    <xf numFmtId="0" fontId="6" fillId="0" borderId="0" xfId="1"/>
    <xf numFmtId="0" fontId="6" fillId="0" borderId="1" xfId="1" applyBorder="1" applyAlignment="1">
      <alignment wrapText="1"/>
    </xf>
    <xf numFmtId="0" fontId="0" fillId="0" borderId="1" xfId="3" applyNumberFormat="1" applyFont="1" applyBorder="1" applyAlignment="1">
      <alignment horizontal="right"/>
    </xf>
    <xf numFmtId="167" fontId="0" fillId="0" borderId="1" xfId="2" applyNumberFormat="1" applyFont="1" applyBorder="1" applyAlignment="1">
      <alignment horizontal="right"/>
    </xf>
    <xf numFmtId="167" fontId="0" fillId="0" borderId="1" xfId="2" applyNumberFormat="1" applyFont="1" applyFill="1" applyBorder="1" applyAlignment="1">
      <alignment horizontal="right"/>
    </xf>
    <xf numFmtId="0" fontId="6" fillId="0" borderId="13" xfId="1" applyBorder="1" applyAlignment="1">
      <alignment wrapText="1"/>
    </xf>
    <xf numFmtId="0" fontId="0" fillId="0" borderId="13" xfId="3" applyNumberFormat="1" applyFont="1" applyBorder="1" applyAlignment="1">
      <alignment horizontal="right"/>
    </xf>
    <xf numFmtId="0" fontId="0" fillId="0" borderId="13" xfId="3" applyNumberFormat="1" applyFont="1" applyFill="1" applyBorder="1" applyAlignment="1">
      <alignment horizontal="right"/>
    </xf>
    <xf numFmtId="167" fontId="0" fillId="0" borderId="13" xfId="2" applyNumberFormat="1" applyFont="1" applyFill="1" applyBorder="1" applyAlignment="1">
      <alignment horizontal="right"/>
    </xf>
    <xf numFmtId="167" fontId="0" fillId="0" borderId="13" xfId="2" applyNumberFormat="1" applyFont="1" applyBorder="1" applyAlignment="1">
      <alignment horizontal="right"/>
    </xf>
    <xf numFmtId="167" fontId="0" fillId="0" borderId="0" xfId="2" applyNumberFormat="1" applyFont="1"/>
    <xf numFmtId="0" fontId="6" fillId="0" borderId="0" xfId="1" applyFill="1" applyBorder="1" applyAlignment="1">
      <alignment wrapText="1"/>
    </xf>
    <xf numFmtId="0" fontId="6" fillId="0" borderId="0" xfId="1" applyBorder="1"/>
    <xf numFmtId="0" fontId="6" fillId="0" borderId="0" xfId="1" applyNumberFormat="1" applyFont="1" applyAlignment="1"/>
    <xf numFmtId="0" fontId="10" fillId="0" borderId="0" xfId="1" applyNumberFormat="1" applyFont="1" applyAlignment="1"/>
    <xf numFmtId="4" fontId="10" fillId="0" borderId="0" xfId="1" applyNumberFormat="1" applyFont="1"/>
    <xf numFmtId="3" fontId="10" fillId="0" borderId="0" xfId="1" applyNumberFormat="1" applyFont="1" applyAlignment="1">
      <alignment horizontal="right" vertical="top"/>
    </xf>
    <xf numFmtId="3" fontId="10" fillId="0" borderId="0" xfId="1" applyNumberFormat="1" applyFont="1" applyAlignment="1">
      <alignment horizontal="right"/>
    </xf>
    <xf numFmtId="0" fontId="0" fillId="0" borderId="1" xfId="3" applyNumberFormat="1" applyFont="1" applyBorder="1"/>
    <xf numFmtId="0" fontId="6" fillId="0" borderId="0" xfId="0" applyFont="1" applyAlignment="1">
      <alignment wrapText="1"/>
    </xf>
    <xf numFmtId="0" fontId="6" fillId="0" borderId="1" xfId="0" applyFont="1" applyBorder="1"/>
    <xf numFmtId="0" fontId="6" fillId="0" borderId="1" xfId="0" applyFont="1" applyFill="1" applyBorder="1"/>
    <xf numFmtId="1" fontId="9" fillId="0" borderId="1" xfId="0" applyNumberFormat="1" applyFont="1" applyBorder="1"/>
    <xf numFmtId="164" fontId="6" fillId="0" borderId="1" xfId="0" applyNumberFormat="1" applyFont="1" applyFill="1" applyBorder="1" applyAlignment="1">
      <alignment horizontal="right"/>
    </xf>
    <xf numFmtId="0" fontId="6" fillId="0" borderId="1" xfId="0" applyNumberFormat="1" applyFont="1" applyBorder="1" applyAlignment="1">
      <alignment horizontal="right" vertical="top" wrapText="1"/>
    </xf>
    <xf numFmtId="0" fontId="9" fillId="0" borderId="1" xfId="0" applyNumberFormat="1" applyFont="1" applyFill="1" applyBorder="1" applyAlignment="1">
      <alignment horizontal="right" vertical="top" wrapText="1"/>
    </xf>
    <xf numFmtId="164" fontId="9" fillId="0" borderId="6" xfId="0" applyNumberFormat="1" applyFont="1" applyFill="1" applyBorder="1" applyAlignment="1">
      <alignment horizontal="right"/>
    </xf>
    <xf numFmtId="3" fontId="9" fillId="0" borderId="6" xfId="0" applyNumberFormat="1" applyFont="1" applyFill="1" applyBorder="1" applyAlignment="1">
      <alignment horizontal="right"/>
    </xf>
    <xf numFmtId="3" fontId="6" fillId="0" borderId="1" xfId="0" applyNumberFormat="1" applyFont="1" applyBorder="1" applyAlignment="1">
      <alignment horizontal="right"/>
    </xf>
    <xf numFmtId="3" fontId="6" fillId="0" borderId="1" xfId="0" applyNumberFormat="1" applyFont="1" applyFill="1" applyBorder="1" applyAlignment="1">
      <alignment horizontal="right"/>
    </xf>
    <xf numFmtId="0" fontId="6" fillId="0" borderId="1" xfId="0" applyNumberFormat="1" applyFont="1" applyBorder="1" applyAlignment="1">
      <alignment horizontal="left" vertical="top" wrapText="1"/>
    </xf>
    <xf numFmtId="0" fontId="7" fillId="0" borderId="0" xfId="0" applyFont="1" applyFill="1"/>
    <xf numFmtId="0" fontId="6" fillId="0" borderId="6" xfId="4" applyNumberFormat="1" applyFont="1" applyBorder="1" applyAlignment="1">
      <alignment wrapText="1"/>
    </xf>
    <xf numFmtId="3" fontId="6" fillId="0" borderId="12" xfId="4" applyNumberFormat="1" applyFont="1" applyBorder="1" applyAlignment="1">
      <alignment horizontal="right" wrapText="1"/>
    </xf>
    <xf numFmtId="165" fontId="6" fillId="0" borderId="12" xfId="4" applyNumberFormat="1" applyFont="1" applyBorder="1" applyAlignment="1">
      <alignment horizontal="right" wrapText="1"/>
    </xf>
    <xf numFmtId="3" fontId="6" fillId="0" borderId="2" xfId="4" applyNumberFormat="1" applyFont="1" applyBorder="1" applyAlignment="1">
      <alignment horizontal="right" wrapText="1"/>
    </xf>
    <xf numFmtId="0" fontId="11" fillId="0" borderId="0" xfId="6" applyAlignment="1">
      <alignment wrapText="1"/>
    </xf>
    <xf numFmtId="0" fontId="7" fillId="0" borderId="1" xfId="4" applyFont="1" applyFill="1" applyBorder="1" applyAlignment="1">
      <alignment wrapText="1"/>
    </xf>
    <xf numFmtId="0" fontId="7" fillId="0" borderId="1" xfId="4" applyFont="1" applyBorder="1" applyAlignment="1">
      <alignment wrapText="1"/>
    </xf>
    <xf numFmtId="165" fontId="7" fillId="0" borderId="1" xfId="4" applyNumberFormat="1" applyFont="1" applyBorder="1" applyAlignment="1">
      <alignment horizontal="right" wrapText="1"/>
    </xf>
    <xf numFmtId="0" fontId="7" fillId="0" borderId="1" xfId="4" applyFont="1" applyFill="1" applyBorder="1" applyAlignment="1">
      <alignment horizontal="left" wrapText="1"/>
    </xf>
    <xf numFmtId="9" fontId="7" fillId="0" borderId="1" xfId="4" applyNumberFormat="1" applyFont="1" applyBorder="1" applyAlignment="1">
      <alignment wrapText="1"/>
    </xf>
    <xf numFmtId="9" fontId="7" fillId="0" borderId="1" xfId="7" applyFont="1" applyBorder="1" applyAlignment="1">
      <alignment wrapText="1"/>
    </xf>
    <xf numFmtId="0" fontId="13" fillId="0" borderId="4" xfId="4" applyFont="1" applyFill="1" applyBorder="1" applyAlignment="1">
      <alignment horizontal="center" wrapText="1"/>
    </xf>
    <xf numFmtId="0" fontId="13" fillId="0" borderId="5" xfId="4" applyFont="1" applyFill="1" applyBorder="1" applyAlignment="1">
      <alignment horizontal="center" wrapText="1"/>
    </xf>
    <xf numFmtId="0" fontId="13" fillId="0" borderId="2" xfId="4" applyFont="1" applyFill="1" applyBorder="1" applyAlignment="1">
      <alignment horizontal="center" wrapText="1"/>
    </xf>
    <xf numFmtId="165" fontId="7" fillId="0" borderId="2" xfId="4" applyNumberFormat="1" applyFont="1" applyBorder="1" applyAlignment="1">
      <alignment horizontal="right" wrapText="1"/>
    </xf>
    <xf numFmtId="0" fontId="13" fillId="0" borderId="7" xfId="4" applyFont="1" applyFill="1" applyBorder="1" applyAlignment="1">
      <alignment horizontal="center" wrapText="1"/>
    </xf>
    <xf numFmtId="0" fontId="13" fillId="0" borderId="8" xfId="4" applyFont="1" applyFill="1" applyBorder="1" applyAlignment="1">
      <alignment horizontal="center" wrapText="1"/>
    </xf>
    <xf numFmtId="0" fontId="13" fillId="0" borderId="9" xfId="4" applyFont="1" applyFill="1" applyBorder="1" applyAlignment="1">
      <alignment horizontal="center" wrapText="1"/>
    </xf>
    <xf numFmtId="0" fontId="7" fillId="0" borderId="1" xfId="4" applyFont="1" applyFill="1" applyBorder="1" applyAlignment="1">
      <alignment horizontal="left"/>
    </xf>
    <xf numFmtId="167" fontId="11" fillId="0" borderId="0" xfId="6" applyNumberFormat="1" applyAlignment="1">
      <alignment wrapText="1"/>
    </xf>
    <xf numFmtId="6" fontId="7" fillId="0" borderId="1" xfId="4" applyNumberFormat="1" applyFont="1" applyBorder="1" applyAlignment="1">
      <alignment wrapText="1"/>
    </xf>
    <xf numFmtId="8" fontId="7" fillId="0" borderId="1" xfId="4" applyNumberFormat="1" applyFont="1" applyBorder="1" applyAlignment="1">
      <alignment horizontal="center" wrapText="1"/>
    </xf>
    <xf numFmtId="168" fontId="7" fillId="0" borderId="1" xfId="10" applyNumberFormat="1" applyFont="1" applyBorder="1" applyAlignment="1">
      <alignment horizontal="right" wrapText="1"/>
    </xf>
    <xf numFmtId="0" fontId="7" fillId="0" borderId="7" xfId="4" applyFont="1" applyFill="1" applyBorder="1" applyAlignment="1">
      <alignment horizontal="left" wrapText="1"/>
    </xf>
    <xf numFmtId="0" fontId="7" fillId="0" borderId="4" xfId="4" applyFont="1" applyFill="1" applyBorder="1" applyAlignment="1">
      <alignment horizontal="left"/>
    </xf>
    <xf numFmtId="0" fontId="7" fillId="0" borderId="4" xfId="4" applyFont="1" applyFill="1" applyBorder="1" applyAlignment="1">
      <alignment horizontal="left" wrapText="1"/>
    </xf>
    <xf numFmtId="0" fontId="13" fillId="4" borderId="7" xfId="4" applyFont="1" applyFill="1" applyBorder="1" applyAlignment="1">
      <alignment horizontal="center" wrapText="1"/>
    </xf>
    <xf numFmtId="168" fontId="13" fillId="4" borderId="7" xfId="8" applyNumberFormat="1" applyFont="1" applyFill="1" applyBorder="1" applyAlignment="1">
      <alignment horizontal="center" wrapText="1"/>
    </xf>
    <xf numFmtId="167" fontId="13" fillId="4" borderId="1" xfId="9" applyNumberFormat="1" applyFont="1" applyFill="1" applyBorder="1" applyAlignment="1">
      <alignment horizontal="center" wrapText="1"/>
    </xf>
    <xf numFmtId="167" fontId="13" fillId="4" borderId="2" xfId="9" applyNumberFormat="1" applyFont="1" applyFill="1" applyBorder="1" applyAlignment="1">
      <alignment horizontal="center" wrapText="1"/>
    </xf>
    <xf numFmtId="165" fontId="7" fillId="0" borderId="2" xfId="4" applyNumberFormat="1" applyFont="1" applyFill="1" applyBorder="1" applyAlignment="1">
      <alignment horizontal="right" wrapText="1"/>
    </xf>
    <xf numFmtId="165" fontId="11" fillId="0" borderId="0" xfId="6" applyNumberFormat="1" applyAlignment="1">
      <alignment wrapText="1"/>
    </xf>
    <xf numFmtId="0" fontId="11" fillId="0" borderId="0" xfId="6" applyFill="1" applyAlignment="1">
      <alignment wrapText="1"/>
    </xf>
    <xf numFmtId="0" fontId="7" fillId="0" borderId="10" xfId="4" applyFont="1" applyFill="1" applyBorder="1" applyAlignment="1">
      <alignment horizontal="left" wrapText="1"/>
    </xf>
    <xf numFmtId="0" fontId="13" fillId="0" borderId="0" xfId="4" applyFont="1" applyFill="1" applyBorder="1" applyAlignment="1">
      <alignment horizontal="center" wrapText="1"/>
    </xf>
    <xf numFmtId="0" fontId="13" fillId="0" borderId="14" xfId="4" applyFont="1" applyFill="1" applyBorder="1" applyAlignment="1">
      <alignment horizontal="center" wrapText="1"/>
    </xf>
    <xf numFmtId="0" fontId="13" fillId="4" borderId="4" xfId="4" applyFont="1" applyFill="1" applyBorder="1" applyAlignment="1">
      <alignment horizontal="center" wrapText="1"/>
    </xf>
    <xf numFmtId="0" fontId="13" fillId="4" borderId="5" xfId="4" applyFont="1" applyFill="1" applyBorder="1" applyAlignment="1">
      <alignment horizontal="center" wrapText="1"/>
    </xf>
    <xf numFmtId="168" fontId="13" fillId="4" borderId="2" xfId="8" applyNumberFormat="1" applyFont="1" applyFill="1" applyBorder="1" applyAlignment="1">
      <alignment horizontal="center" wrapText="1"/>
    </xf>
    <xf numFmtId="165" fontId="9" fillId="0" borderId="1" xfId="0" applyNumberFormat="1" applyFont="1" applyBorder="1" applyAlignment="1">
      <alignment horizontal="right"/>
    </xf>
    <xf numFmtId="165" fontId="9" fillId="0" borderId="1" xfId="0" applyNumberFormat="1" applyFont="1" applyFill="1" applyBorder="1" applyAlignment="1">
      <alignment horizontal="right"/>
    </xf>
    <xf numFmtId="165" fontId="7" fillId="0" borderId="0" xfId="0" applyNumberFormat="1" applyFont="1"/>
    <xf numFmtId="0" fontId="5" fillId="0" borderId="0" xfId="11"/>
    <xf numFmtId="166" fontId="5" fillId="0" borderId="0" xfId="11" applyNumberFormat="1"/>
    <xf numFmtId="44" fontId="6" fillId="0" borderId="2" xfId="5" applyFont="1" applyBorder="1" applyAlignment="1">
      <alignment horizontal="right"/>
    </xf>
    <xf numFmtId="0" fontId="0" fillId="0" borderId="1" xfId="3" applyNumberFormat="1" applyFont="1" applyFill="1" applyBorder="1"/>
    <xf numFmtId="0" fontId="0" fillId="0" borderId="13" xfId="3" applyNumberFormat="1" applyFont="1" applyFill="1" applyBorder="1"/>
    <xf numFmtId="167" fontId="0" fillId="0" borderId="1" xfId="5" applyNumberFormat="1" applyFont="1" applyFill="1" applyBorder="1"/>
    <xf numFmtId="0" fontId="6" fillId="0" borderId="6" xfId="1" applyBorder="1" applyAlignment="1">
      <alignment wrapText="1"/>
    </xf>
    <xf numFmtId="0" fontId="0" fillId="0" borderId="6" xfId="3" applyNumberFormat="1" applyFont="1" applyBorder="1" applyAlignment="1">
      <alignment horizontal="right"/>
    </xf>
    <xf numFmtId="0" fontId="0" fillId="0" borderId="6" xfId="3" applyNumberFormat="1" applyFont="1" applyFill="1" applyBorder="1" applyAlignment="1">
      <alignment horizontal="right"/>
    </xf>
    <xf numFmtId="167" fontId="0" fillId="0" borderId="13" xfId="5" applyNumberFormat="1" applyFont="1" applyFill="1" applyBorder="1"/>
    <xf numFmtId="0" fontId="0" fillId="0" borderId="6" xfId="3" applyNumberFormat="1" applyFont="1" applyFill="1" applyBorder="1"/>
    <xf numFmtId="167" fontId="0" fillId="0" borderId="6" xfId="5" applyNumberFormat="1" applyFont="1" applyFill="1" applyBorder="1"/>
    <xf numFmtId="167" fontId="0" fillId="0" borderId="1" xfId="5" applyNumberFormat="1" applyFont="1" applyBorder="1"/>
    <xf numFmtId="3" fontId="9" fillId="0" borderId="4" xfId="0" applyNumberFormat="1" applyFont="1" applyFill="1" applyBorder="1"/>
    <xf numFmtId="165" fontId="9" fillId="0" borderId="2" xfId="0" applyNumberFormat="1" applyFont="1" applyFill="1" applyBorder="1"/>
    <xf numFmtId="165" fontId="5" fillId="0" borderId="1" xfId="11" applyNumberFormat="1" applyBorder="1" applyAlignment="1"/>
    <xf numFmtId="0" fontId="5" fillId="0" borderId="1" xfId="11" applyBorder="1" applyAlignment="1">
      <alignment wrapText="1"/>
    </xf>
    <xf numFmtId="0" fontId="5" fillId="0" borderId="1" xfId="11" applyBorder="1" applyAlignment="1"/>
    <xf numFmtId="0" fontId="4" fillId="0" borderId="1" xfId="11" applyFont="1" applyBorder="1" applyAlignment="1">
      <alignment wrapText="1"/>
    </xf>
    <xf numFmtId="0" fontId="5" fillId="0" borderId="1" xfId="11" applyBorder="1" applyAlignment="1">
      <alignment horizontal="right"/>
    </xf>
    <xf numFmtId="167" fontId="5" fillId="0" borderId="1" xfId="5" applyNumberFormat="1" applyFont="1" applyBorder="1" applyAlignment="1"/>
    <xf numFmtId="3" fontId="9" fillId="0" borderId="16" xfId="0" applyNumberFormat="1" applyFont="1" applyFill="1" applyBorder="1" applyAlignment="1">
      <alignment wrapText="1"/>
    </xf>
    <xf numFmtId="3" fontId="9" fillId="3" borderId="16" xfId="0" applyNumberFormat="1" applyFont="1" applyFill="1" applyBorder="1" applyAlignment="1">
      <alignment wrapText="1"/>
    </xf>
    <xf numFmtId="0" fontId="5" fillId="3" borderId="6" xfId="11" applyFill="1" applyBorder="1"/>
    <xf numFmtId="3" fontId="9" fillId="3" borderId="3" xfId="0" applyNumberFormat="1" applyFont="1" applyFill="1" applyBorder="1" applyAlignment="1">
      <alignment wrapText="1"/>
    </xf>
    <xf numFmtId="0" fontId="5" fillId="3" borderId="0" xfId="11" applyFill="1" applyAlignment="1"/>
    <xf numFmtId="0" fontId="8" fillId="0" borderId="0" xfId="0" applyFont="1" applyFill="1" applyBorder="1" applyAlignment="1"/>
    <xf numFmtId="0" fontId="5" fillId="0" borderId="1" xfId="11" applyBorder="1" applyAlignment="1">
      <alignment horizontal="left" vertical="center" wrapText="1"/>
    </xf>
    <xf numFmtId="0" fontId="4" fillId="0" borderId="1" xfId="11" applyFont="1" applyBorder="1" applyAlignment="1">
      <alignment horizontal="left" vertical="center" wrapText="1"/>
    </xf>
    <xf numFmtId="167" fontId="0" fillId="3" borderId="1" xfId="2" applyNumberFormat="1" applyFont="1" applyFill="1" applyBorder="1" applyAlignment="1">
      <alignment horizontal="right"/>
    </xf>
    <xf numFmtId="165" fontId="5" fillId="0" borderId="0" xfId="11" applyNumberFormat="1"/>
    <xf numFmtId="169" fontId="7" fillId="0" borderId="0" xfId="0" applyNumberFormat="1" applyFont="1"/>
    <xf numFmtId="0" fontId="0" fillId="0" borderId="0" xfId="0"/>
    <xf numFmtId="0" fontId="7" fillId="0" borderId="0" xfId="0" applyFont="1"/>
    <xf numFmtId="0" fontId="0" fillId="0" borderId="1" xfId="3" applyNumberFormat="1" applyFont="1" applyFill="1" applyBorder="1"/>
    <xf numFmtId="0" fontId="6" fillId="0" borderId="1" xfId="3" applyNumberFormat="1" applyFont="1" applyBorder="1" applyAlignment="1">
      <alignment horizontal="right"/>
    </xf>
    <xf numFmtId="0" fontId="6" fillId="0" borderId="13" xfId="3" applyNumberFormat="1" applyFont="1" applyFill="1" applyBorder="1" applyAlignment="1">
      <alignment horizontal="right"/>
    </xf>
    <xf numFmtId="0" fontId="6" fillId="0" borderId="1" xfId="3" applyNumberFormat="1" applyFont="1" applyFill="1" applyBorder="1" applyAlignment="1">
      <alignment horizontal="right"/>
    </xf>
    <xf numFmtId="0" fontId="17" fillId="0" borderId="0" xfId="0" applyFont="1" applyAlignment="1"/>
    <xf numFmtId="0" fontId="16" fillId="6" borderId="6" xfId="0" applyFont="1" applyFill="1" applyBorder="1" applyAlignment="1">
      <alignment horizontal="center" wrapText="1"/>
    </xf>
    <xf numFmtId="8" fontId="18" fillId="7" borderId="1" xfId="0" applyNumberFormat="1" applyFont="1" applyFill="1" applyBorder="1" applyAlignment="1">
      <alignment horizontal="center" wrapText="1"/>
    </xf>
    <xf numFmtId="0" fontId="6" fillId="0" borderId="0" xfId="0" applyFont="1" applyAlignment="1"/>
    <xf numFmtId="0" fontId="6" fillId="0" borderId="0" xfId="0" applyFont="1" applyFill="1" applyAlignment="1"/>
    <xf numFmtId="0" fontId="6" fillId="0" borderId="0" xfId="0" applyFont="1" applyAlignment="1">
      <alignment horizontal="center"/>
    </xf>
    <xf numFmtId="0" fontId="8" fillId="0" borderId="7" xfId="0" applyNumberFormat="1" applyFont="1" applyFill="1" applyBorder="1" applyAlignment="1">
      <alignment horizontal="center" wrapText="1"/>
    </xf>
    <xf numFmtId="8" fontId="8" fillId="0" borderId="5" xfId="0" applyNumberFormat="1" applyFont="1" applyFill="1" applyBorder="1" applyAlignment="1">
      <alignment horizontal="center" vertical="top" wrapText="1"/>
    </xf>
    <xf numFmtId="4" fontId="8" fillId="0" borderId="8" xfId="0" applyNumberFormat="1" applyFont="1" applyFill="1" applyBorder="1" applyAlignment="1">
      <alignment horizontal="center" wrapText="1"/>
    </xf>
    <xf numFmtId="4" fontId="8" fillId="0" borderId="9" xfId="0" applyNumberFormat="1" applyFont="1" applyFill="1" applyBorder="1" applyAlignment="1">
      <alignment horizontal="center" wrapText="1"/>
    </xf>
    <xf numFmtId="0" fontId="6" fillId="0" borderId="1" xfId="0" applyFont="1" applyBorder="1" applyAlignment="1">
      <alignment horizontal="left" wrapText="1"/>
    </xf>
    <xf numFmtId="0" fontId="6" fillId="0" borderId="1" xfId="0" applyFont="1" applyBorder="1" applyAlignment="1">
      <alignment horizontal="right" wrapText="1"/>
    </xf>
    <xf numFmtId="0" fontId="6" fillId="0" borderId="0" xfId="0" applyFont="1" applyFill="1" applyBorder="1"/>
    <xf numFmtId="3" fontId="6" fillId="0" borderId="0" xfId="0" applyNumberFormat="1" applyFont="1"/>
    <xf numFmtId="0" fontId="19" fillId="7" borderId="1" xfId="0" applyFont="1" applyFill="1" applyBorder="1" applyAlignment="1">
      <alignment horizontal="left" wrapText="1"/>
    </xf>
    <xf numFmtId="3" fontId="19" fillId="7" borderId="1" xfId="0" applyNumberFormat="1" applyFont="1" applyFill="1" applyBorder="1" applyAlignment="1">
      <alignment horizontal="right"/>
    </xf>
    <xf numFmtId="0" fontId="6" fillId="8" borderId="1" xfId="0" applyFont="1" applyFill="1" applyBorder="1" applyAlignment="1">
      <alignment horizontal="left" wrapText="1"/>
    </xf>
    <xf numFmtId="3" fontId="6" fillId="8" borderId="1" xfId="0" applyNumberFormat="1" applyFont="1" applyFill="1" applyBorder="1" applyAlignment="1">
      <alignment horizontal="right"/>
    </xf>
    <xf numFmtId="166" fontId="6" fillId="8" borderId="1" xfId="0" applyNumberFormat="1" applyFont="1" applyFill="1" applyBorder="1" applyAlignment="1">
      <alignment horizontal="right"/>
    </xf>
    <xf numFmtId="165" fontId="6" fillId="0" borderId="1" xfId="0" applyNumberFormat="1" applyFont="1" applyFill="1" applyBorder="1" applyAlignment="1">
      <alignment horizontal="right"/>
    </xf>
    <xf numFmtId="165" fontId="6" fillId="0" borderId="1" xfId="0" applyNumberFormat="1" applyFont="1" applyBorder="1" applyAlignment="1">
      <alignment horizontal="right"/>
    </xf>
    <xf numFmtId="165" fontId="19" fillId="7" borderId="1" xfId="0" applyNumberFormat="1" applyFont="1" applyFill="1" applyBorder="1" applyAlignment="1">
      <alignment horizontal="right"/>
    </xf>
    <xf numFmtId="0" fontId="16" fillId="6" borderId="6" xfId="0" applyFont="1" applyFill="1" applyBorder="1" applyAlignment="1">
      <alignment horizontal="center" wrapText="1"/>
    </xf>
    <xf numFmtId="9" fontId="0" fillId="0" borderId="1" xfId="16" applyFont="1" applyBorder="1"/>
    <xf numFmtId="0" fontId="6" fillId="0" borderId="1" xfId="0" applyFont="1" applyFill="1" applyBorder="1" applyAlignment="1">
      <alignment horizontal="center" wrapText="1"/>
    </xf>
    <xf numFmtId="0" fontId="6" fillId="0" borderId="0" xfId="18" applyFont="1" applyFill="1">
      <alignment vertical="top"/>
    </xf>
    <xf numFmtId="0" fontId="6" fillId="0" borderId="1" xfId="18" applyFont="1" applyBorder="1" applyAlignment="1">
      <alignment horizontal="left" vertical="top" wrapText="1"/>
    </xf>
    <xf numFmtId="170" fontId="6" fillId="0" borderId="1" xfId="18" applyNumberFormat="1" applyFont="1" applyBorder="1" applyAlignment="1">
      <alignment horizontal="right" wrapText="1"/>
    </xf>
    <xf numFmtId="3" fontId="6" fillId="0" borderId="2" xfId="18" applyNumberFormat="1" applyFont="1" applyBorder="1" applyAlignment="1">
      <alignment horizontal="right" wrapText="1"/>
    </xf>
    <xf numFmtId="3" fontId="6" fillId="0" borderId="1" xfId="18" applyNumberFormat="1" applyFont="1" applyBorder="1" applyAlignment="1">
      <alignment horizontal="right" wrapText="1"/>
    </xf>
    <xf numFmtId="166" fontId="6" fillId="0" borderId="1" xfId="18" applyNumberFormat="1" applyFont="1" applyBorder="1" applyAlignment="1">
      <alignment horizontal="right" wrapText="1"/>
    </xf>
    <xf numFmtId="165" fontId="6" fillId="0" borderId="1" xfId="18" applyNumberFormat="1" applyFont="1" applyBorder="1" applyAlignment="1">
      <alignment horizontal="right" wrapText="1"/>
    </xf>
    <xf numFmtId="170" fontId="6" fillId="0" borderId="1" xfId="18" applyNumberFormat="1" applyFont="1" applyBorder="1" applyAlignment="1">
      <alignment horizontal="center" wrapText="1"/>
    </xf>
    <xf numFmtId="0" fontId="6" fillId="0" borderId="1" xfId="18" applyFont="1" applyBorder="1" applyAlignment="1">
      <alignment horizontal="right" wrapText="1"/>
    </xf>
    <xf numFmtId="0" fontId="6" fillId="2" borderId="1" xfId="18" applyFont="1" applyFill="1" applyBorder="1" applyAlignment="1">
      <alignment horizontal="left" vertical="top" wrapText="1"/>
    </xf>
    <xf numFmtId="0" fontId="6" fillId="0" borderId="1" xfId="18" applyFont="1" applyFill="1" applyBorder="1" applyAlignment="1">
      <alignment horizontal="right" vertical="center" wrapText="1"/>
    </xf>
    <xf numFmtId="0" fontId="6" fillId="2" borderId="1" xfId="18" applyFont="1" applyFill="1" applyBorder="1" applyAlignment="1">
      <alignment vertical="center" wrapText="1"/>
    </xf>
    <xf numFmtId="0" fontId="6" fillId="2" borderId="1" xfId="18" applyFont="1" applyFill="1" applyBorder="1" applyAlignment="1">
      <alignment horizontal="left" vertical="center" wrapText="1"/>
    </xf>
    <xf numFmtId="0" fontId="6" fillId="0" borderId="1" xfId="18" applyFont="1" applyFill="1" applyBorder="1" applyAlignment="1">
      <alignment vertical="center" wrapText="1"/>
    </xf>
    <xf numFmtId="0" fontId="24" fillId="7" borderId="1" xfId="18" applyFont="1" applyFill="1" applyBorder="1" applyAlignment="1">
      <alignment horizontal="left" vertical="top" wrapText="1"/>
    </xf>
    <xf numFmtId="3" fontId="24" fillId="7" borderId="1" xfId="18" applyNumberFormat="1" applyFont="1" applyFill="1" applyBorder="1" applyAlignment="1">
      <alignment horizontal="right" wrapText="1"/>
    </xf>
    <xf numFmtId="165" fontId="24" fillId="7" borderId="1" xfId="18" applyNumberFormat="1" applyFont="1" applyFill="1" applyBorder="1" applyAlignment="1">
      <alignment horizontal="right" wrapText="1"/>
    </xf>
    <xf numFmtId="170" fontId="6" fillId="0" borderId="1" xfId="18" applyNumberFormat="1" applyFont="1" applyFill="1" applyBorder="1" applyAlignment="1">
      <alignment horizontal="center" wrapText="1"/>
    </xf>
    <xf numFmtId="0" fontId="6" fillId="0" borderId="1" xfId="18" applyFont="1" applyFill="1" applyBorder="1" applyAlignment="1">
      <alignment horizontal="right" wrapText="1"/>
    </xf>
    <xf numFmtId="164" fontId="6" fillId="0" borderId="1" xfId="18" applyNumberFormat="1" applyFont="1" applyFill="1" applyBorder="1" applyAlignment="1">
      <alignment horizontal="right"/>
    </xf>
    <xf numFmtId="170" fontId="6" fillId="0" borderId="1" xfId="18" applyNumberFormat="1" applyFont="1" applyFill="1" applyBorder="1" applyAlignment="1">
      <alignment horizontal="right" vertical="center"/>
    </xf>
    <xf numFmtId="0" fontId="6" fillId="0" borderId="0" xfId="18" applyFont="1" applyBorder="1" applyAlignment="1"/>
    <xf numFmtId="0" fontId="6" fillId="0" borderId="0" xfId="18" applyFont="1">
      <alignment vertical="top"/>
    </xf>
    <xf numFmtId="0" fontId="6" fillId="0" borderId="0" xfId="18" applyFont="1" applyFill="1" applyAlignment="1"/>
    <xf numFmtId="3" fontId="6" fillId="0" borderId="0" xfId="18" applyNumberFormat="1" applyFont="1" applyFill="1" applyAlignment="1"/>
    <xf numFmtId="4" fontId="6" fillId="0" borderId="0" xfId="18" applyNumberFormat="1" applyFont="1" applyFill="1" applyAlignment="1"/>
    <xf numFmtId="4" fontId="6" fillId="0" borderId="0" xfId="18" applyNumberFormat="1" applyFont="1" applyFill="1" applyBorder="1" applyAlignment="1"/>
    <xf numFmtId="165" fontId="6" fillId="0" borderId="0" xfId="18" applyNumberFormat="1" applyFont="1" applyFill="1">
      <alignment vertical="top"/>
    </xf>
    <xf numFmtId="0" fontId="6" fillId="0" borderId="0" xfId="18" applyFont="1" applyFill="1" applyBorder="1" applyAlignment="1">
      <alignment horizontal="center"/>
    </xf>
    <xf numFmtId="0" fontId="24" fillId="7" borderId="3" xfId="19" applyFont="1" applyFill="1" applyBorder="1" applyAlignment="1">
      <alignment horizontal="left" wrapText="1"/>
    </xf>
    <xf numFmtId="0" fontId="24" fillId="7" borderId="1" xfId="18" applyFont="1" applyFill="1" applyBorder="1" applyAlignment="1">
      <alignment horizontal="right" wrapText="1"/>
    </xf>
    <xf numFmtId="170" fontId="24" fillId="7" borderId="1" xfId="18" applyNumberFormat="1" applyFont="1" applyFill="1" applyBorder="1" applyAlignment="1">
      <alignment horizontal="center" wrapText="1"/>
    </xf>
    <xf numFmtId="0" fontId="24" fillId="7" borderId="1" xfId="19" applyFont="1" applyFill="1" applyBorder="1" applyAlignment="1">
      <alignment horizontal="left" wrapText="1"/>
    </xf>
    <xf numFmtId="164" fontId="6" fillId="0" borderId="1" xfId="19" applyNumberFormat="1" applyFont="1" applyFill="1" applyBorder="1" applyAlignment="1">
      <alignment horizontal="right"/>
    </xf>
    <xf numFmtId="0" fontId="6" fillId="0" borderId="4" xfId="19" applyFont="1" applyBorder="1" applyAlignment="1">
      <alignment horizontal="left" wrapText="1"/>
    </xf>
    <xf numFmtId="0" fontId="25" fillId="6" borderId="6" xfId="0" applyFont="1" applyFill="1" applyBorder="1" applyAlignment="1">
      <alignment horizontal="center" wrapText="1"/>
    </xf>
    <xf numFmtId="8" fontId="26" fillId="7" borderId="1" xfId="0" applyNumberFormat="1" applyFont="1" applyFill="1" applyBorder="1" applyAlignment="1">
      <alignment horizontal="center" wrapText="1"/>
    </xf>
    <xf numFmtId="0" fontId="6" fillId="0" borderId="0" xfId="19">
      <alignment vertical="top"/>
    </xf>
    <xf numFmtId="0" fontId="6" fillId="0" borderId="0" xfId="19" applyAlignment="1"/>
    <xf numFmtId="0" fontId="6" fillId="0" borderId="1" xfId="19" applyFont="1" applyBorder="1" applyAlignment="1">
      <alignment horizontal="right" wrapText="1"/>
    </xf>
    <xf numFmtId="3" fontId="6" fillId="0" borderId="1" xfId="19" applyNumberFormat="1" applyFont="1" applyBorder="1" applyAlignment="1">
      <alignment horizontal="right" wrapText="1"/>
    </xf>
    <xf numFmtId="0" fontId="7" fillId="0" borderId="0" xfId="19" applyFont="1" applyFill="1" applyBorder="1" applyAlignment="1">
      <alignment horizontal="center"/>
    </xf>
    <xf numFmtId="0" fontId="7" fillId="0" borderId="0" xfId="19" applyFont="1" applyFill="1" applyBorder="1" applyAlignment="1"/>
    <xf numFmtId="170" fontId="6" fillId="0" borderId="1" xfId="19" applyNumberFormat="1" applyFont="1" applyBorder="1" applyAlignment="1">
      <alignment horizontal="center" wrapText="1"/>
    </xf>
    <xf numFmtId="0" fontId="7" fillId="0" borderId="0" xfId="19" applyFont="1" applyBorder="1" applyAlignment="1"/>
    <xf numFmtId="0" fontId="6" fillId="0" borderId="0" xfId="19" applyFill="1" applyAlignment="1"/>
    <xf numFmtId="164" fontId="7" fillId="0" borderId="0" xfId="19" applyNumberFormat="1" applyFont="1" applyFill="1" applyBorder="1" applyAlignment="1"/>
    <xf numFmtId="165" fontId="6" fillId="0" borderId="1" xfId="19" applyNumberFormat="1" applyFont="1" applyBorder="1" applyAlignment="1">
      <alignment horizontal="right" wrapText="1"/>
    </xf>
    <xf numFmtId="0" fontId="6" fillId="0" borderId="0" xfId="19" applyBorder="1">
      <alignment vertical="top"/>
    </xf>
    <xf numFmtId="0" fontId="6" fillId="0" borderId="0" xfId="19" applyFont="1" applyBorder="1">
      <alignment vertical="top"/>
    </xf>
    <xf numFmtId="168" fontId="6" fillId="0" borderId="0" xfId="3" applyNumberFormat="1" applyFont="1" applyBorder="1" applyAlignment="1">
      <alignment vertical="top"/>
    </xf>
    <xf numFmtId="167" fontId="6" fillId="0" borderId="0" xfId="2" applyNumberFormat="1" applyFont="1" applyBorder="1" applyAlignment="1">
      <alignment vertical="top"/>
    </xf>
    <xf numFmtId="165" fontId="6" fillId="0" borderId="0" xfId="19" applyNumberFormat="1" applyFill="1" applyAlignment="1"/>
    <xf numFmtId="165" fontId="7" fillId="0" borderId="0" xfId="19" applyNumberFormat="1" applyFont="1" applyFill="1" applyBorder="1" applyAlignment="1"/>
    <xf numFmtId="3" fontId="24" fillId="7" borderId="3" xfId="19" applyNumberFormat="1" applyFont="1" applyFill="1" applyBorder="1" applyAlignment="1">
      <alignment horizontal="right" wrapText="1"/>
    </xf>
    <xf numFmtId="0" fontId="24" fillId="7" borderId="3" xfId="19" applyFont="1" applyFill="1" applyBorder="1" applyAlignment="1">
      <alignment horizontal="center" wrapText="1"/>
    </xf>
    <xf numFmtId="0" fontId="24" fillId="7" borderId="3" xfId="19" applyFont="1" applyFill="1" applyBorder="1" applyAlignment="1">
      <alignment horizontal="right" wrapText="1"/>
    </xf>
    <xf numFmtId="3" fontId="24" fillId="7" borderId="1" xfId="19" applyNumberFormat="1" applyFont="1" applyFill="1" applyBorder="1" applyAlignment="1">
      <alignment horizontal="right" wrapText="1"/>
    </xf>
    <xf numFmtId="164" fontId="24" fillId="7" borderId="1" xfId="19" applyNumberFormat="1" applyFont="1" applyFill="1" applyBorder="1" applyAlignment="1">
      <alignment horizontal="center" wrapText="1"/>
    </xf>
    <xf numFmtId="0" fontId="24" fillId="7" borderId="1" xfId="19" applyFont="1" applyFill="1" applyBorder="1" applyAlignment="1">
      <alignment horizontal="right" wrapText="1"/>
    </xf>
    <xf numFmtId="165" fontId="24" fillId="7" borderId="3" xfId="19" applyNumberFormat="1" applyFont="1" applyFill="1" applyBorder="1" applyAlignment="1">
      <alignment horizontal="right" wrapText="1"/>
    </xf>
    <xf numFmtId="165" fontId="24" fillId="7" borderId="1" xfId="19" applyNumberFormat="1" applyFont="1" applyFill="1" applyBorder="1" applyAlignment="1">
      <alignment horizontal="right" wrapText="1"/>
    </xf>
    <xf numFmtId="0" fontId="6" fillId="0" borderId="0" xfId="19" applyFill="1" applyBorder="1">
      <alignment vertical="top"/>
    </xf>
    <xf numFmtId="0" fontId="6" fillId="0" borderId="0" xfId="19" applyFill="1" applyBorder="1" applyAlignment="1"/>
    <xf numFmtId="165" fontId="6" fillId="0" borderId="0" xfId="19" applyNumberFormat="1" applyFill="1" applyBorder="1" applyAlignment="1"/>
    <xf numFmtId="0" fontId="6" fillId="0" borderId="0" xfId="19" applyFont="1" applyFill="1" applyBorder="1">
      <alignment vertical="top"/>
    </xf>
    <xf numFmtId="165" fontId="6" fillId="0" borderId="0" xfId="19" applyNumberFormat="1" applyFill="1" applyBorder="1">
      <alignment vertical="top"/>
    </xf>
    <xf numFmtId="165" fontId="6" fillId="0" borderId="0" xfId="19" applyNumberFormat="1" applyFont="1" applyFill="1" applyBorder="1">
      <alignment vertical="top"/>
    </xf>
    <xf numFmtId="170" fontId="6" fillId="0" borderId="0" xfId="19" applyNumberFormat="1" applyFill="1" applyBorder="1" applyAlignment="1"/>
    <xf numFmtId="9" fontId="6" fillId="0" borderId="0" xfId="20" applyFont="1" applyFill="1" applyBorder="1" applyAlignment="1">
      <alignment vertical="top"/>
    </xf>
    <xf numFmtId="0" fontId="6" fillId="9" borderId="3" xfId="18" applyFont="1" applyFill="1" applyBorder="1" applyAlignment="1">
      <alignment horizontal="left" vertical="top" wrapText="1"/>
    </xf>
    <xf numFmtId="168" fontId="6" fillId="9" borderId="3" xfId="3" applyNumberFormat="1" applyFont="1" applyFill="1" applyBorder="1" applyAlignment="1">
      <alignment horizontal="right" wrapText="1"/>
    </xf>
    <xf numFmtId="165" fontId="6" fillId="9" borderId="3" xfId="18" applyNumberFormat="1" applyFont="1" applyFill="1" applyBorder="1" applyAlignment="1">
      <alignment horizontal="right" wrapText="1"/>
    </xf>
    <xf numFmtId="165" fontId="6" fillId="9" borderId="3" xfId="18" applyNumberFormat="1" applyFont="1" applyFill="1" applyBorder="1" applyAlignment="1">
      <alignment horizontal="center" wrapText="1"/>
    </xf>
    <xf numFmtId="3" fontId="24" fillId="7" borderId="1" xfId="0" applyNumberFormat="1" applyFont="1" applyFill="1" applyBorder="1" applyAlignment="1">
      <alignment horizontal="right"/>
    </xf>
    <xf numFmtId="167" fontId="24" fillId="7" borderId="1" xfId="5" applyNumberFormat="1" applyFont="1" applyFill="1" applyBorder="1" applyAlignment="1">
      <alignment horizontal="right"/>
    </xf>
    <xf numFmtId="0" fontId="24" fillId="7" borderId="1" xfId="0" applyFont="1" applyFill="1" applyBorder="1" applyAlignment="1">
      <alignment wrapText="1"/>
    </xf>
    <xf numFmtId="0" fontId="24" fillId="7" borderId="1" xfId="0" applyFont="1" applyFill="1" applyBorder="1" applyAlignment="1">
      <alignment horizontal="right"/>
    </xf>
    <xf numFmtId="165" fontId="24" fillId="7" borderId="1" xfId="0" applyNumberFormat="1" applyFont="1" applyFill="1" applyBorder="1" applyAlignment="1">
      <alignment horizontal="right"/>
    </xf>
    <xf numFmtId="165" fontId="24" fillId="7" borderId="1" xfId="0" quotePrefix="1" applyNumberFormat="1" applyFont="1" applyFill="1" applyBorder="1" applyAlignment="1">
      <alignment horizontal="right"/>
    </xf>
    <xf numFmtId="0" fontId="24" fillId="7" borderId="1" xfId="0" applyFont="1" applyFill="1" applyBorder="1"/>
    <xf numFmtId="165" fontId="6" fillId="0" borderId="1" xfId="0" applyNumberFormat="1" applyFont="1" applyBorder="1"/>
    <xf numFmtId="0" fontId="24" fillId="7" borderId="3" xfId="0" applyNumberFormat="1" applyFont="1" applyFill="1" applyBorder="1" applyAlignment="1">
      <alignment horizontal="left" vertical="top" wrapText="1"/>
    </xf>
    <xf numFmtId="3" fontId="24" fillId="7" borderId="3" xfId="0" applyNumberFormat="1" applyFont="1" applyFill="1" applyBorder="1" applyAlignment="1">
      <alignment horizontal="right"/>
    </xf>
    <xf numFmtId="165" fontId="24" fillId="7" borderId="3" xfId="0" applyNumberFormat="1" applyFont="1" applyFill="1" applyBorder="1" applyAlignment="1">
      <alignment horizontal="right"/>
    </xf>
    <xf numFmtId="0" fontId="24" fillId="7" borderId="1" xfId="0" applyNumberFormat="1" applyFont="1" applyFill="1" applyBorder="1" applyAlignment="1">
      <alignment horizontal="left" vertical="top" wrapText="1"/>
    </xf>
    <xf numFmtId="3" fontId="6" fillId="0" borderId="6" xfId="4" applyNumberFormat="1" applyFont="1" applyBorder="1" applyAlignment="1">
      <alignment horizontal="right" wrapText="1"/>
    </xf>
    <xf numFmtId="170" fontId="24" fillId="7" borderId="1" xfId="0" applyNumberFormat="1" applyFont="1" applyFill="1" applyBorder="1" applyAlignment="1">
      <alignment horizontal="center" wrapText="1"/>
    </xf>
    <xf numFmtId="0" fontId="24" fillId="7" borderId="1" xfId="0" applyFont="1" applyFill="1" applyBorder="1" applyAlignment="1">
      <alignment horizontal="center" wrapText="1"/>
    </xf>
    <xf numFmtId="0" fontId="23" fillId="7" borderId="1" xfId="11" applyFont="1" applyFill="1" applyBorder="1" applyAlignment="1">
      <alignment horizontal="center"/>
    </xf>
    <xf numFmtId="0" fontId="23" fillId="7" borderId="1" xfId="11" applyFont="1" applyFill="1" applyBorder="1" applyAlignment="1">
      <alignment horizontal="center" wrapText="1"/>
    </xf>
    <xf numFmtId="0" fontId="24" fillId="7" borderId="6" xfId="0" applyFont="1" applyFill="1" applyBorder="1" applyAlignment="1">
      <alignment horizontal="center" wrapText="1"/>
    </xf>
    <xf numFmtId="0" fontId="24" fillId="7" borderId="1" xfId="1" applyFont="1" applyFill="1" applyBorder="1" applyAlignment="1">
      <alignment horizontal="center" wrapText="1"/>
    </xf>
    <xf numFmtId="0" fontId="24" fillId="7" borderId="1" xfId="0" applyFont="1" applyFill="1" applyBorder="1" applyAlignment="1">
      <alignment horizontal="center"/>
    </xf>
    <xf numFmtId="168" fontId="23" fillId="7" borderId="1" xfId="10" applyNumberFormat="1" applyFont="1" applyFill="1" applyBorder="1" applyAlignment="1"/>
    <xf numFmtId="167" fontId="23" fillId="7" borderId="1" xfId="5" applyNumberFormat="1" applyFont="1" applyFill="1" applyBorder="1" applyAlignment="1"/>
    <xf numFmtId="165" fontId="23" fillId="7" borderId="1" xfId="11" applyNumberFormat="1" applyFont="1" applyFill="1" applyBorder="1" applyAlignment="1"/>
    <xf numFmtId="165" fontId="24" fillId="7" borderId="1" xfId="0" applyNumberFormat="1" applyFont="1" applyFill="1" applyBorder="1" applyAlignment="1">
      <alignment horizontal="center"/>
    </xf>
    <xf numFmtId="3" fontId="24" fillId="7" borderId="1" xfId="0" applyNumberFormat="1" applyFont="1" applyFill="1" applyBorder="1"/>
    <xf numFmtId="0" fontId="23" fillId="7" borderId="0" xfId="11" applyFont="1" applyFill="1" applyAlignment="1">
      <alignment horizontal="right"/>
    </xf>
    <xf numFmtId="167" fontId="23" fillId="7" borderId="0" xfId="11" applyNumberFormat="1" applyFont="1" applyFill="1"/>
    <xf numFmtId="167" fontId="23" fillId="7" borderId="0" xfId="5" applyNumberFormat="1" applyFont="1" applyFill="1"/>
    <xf numFmtId="168" fontId="0" fillId="0" borderId="1" xfId="10" applyNumberFormat="1" applyFont="1" applyBorder="1" applyAlignment="1">
      <alignment horizontal="right"/>
    </xf>
    <xf numFmtId="168" fontId="0" fillId="0" borderId="13" xfId="10" applyNumberFormat="1" applyFont="1" applyBorder="1" applyAlignment="1">
      <alignment horizontal="right"/>
    </xf>
    <xf numFmtId="167" fontId="11" fillId="0" borderId="0" xfId="6" applyNumberFormat="1" applyFill="1" applyAlignment="1">
      <alignment wrapText="1"/>
    </xf>
    <xf numFmtId="167" fontId="11" fillId="0" borderId="0" xfId="5" applyNumberFormat="1" applyFont="1" applyAlignment="1">
      <alignment wrapText="1"/>
    </xf>
    <xf numFmtId="167" fontId="11" fillId="0" borderId="0" xfId="5" applyNumberFormat="1" applyFont="1" applyFill="1" applyAlignment="1">
      <alignment wrapText="1"/>
    </xf>
    <xf numFmtId="0" fontId="35" fillId="6" borderId="1" xfId="61" applyFont="1" applyFill="1" applyBorder="1" applyAlignment="1">
      <alignment horizontal="center" wrapText="1"/>
    </xf>
    <xf numFmtId="0" fontId="36" fillId="11" borderId="7" xfId="61" applyFont="1" applyFill="1" applyBorder="1" applyAlignment="1">
      <alignment horizontal="center" wrapText="1"/>
    </xf>
    <xf numFmtId="168" fontId="36" fillId="11" borderId="7" xfId="53" applyNumberFormat="1" applyFont="1" applyFill="1" applyBorder="1" applyAlignment="1">
      <alignment horizontal="center" wrapText="1"/>
    </xf>
    <xf numFmtId="167" fontId="36" fillId="11" borderId="7" xfId="55" applyNumberFormat="1" applyFont="1" applyFill="1" applyBorder="1" applyAlignment="1">
      <alignment horizontal="center" wrapText="1"/>
    </xf>
    <xf numFmtId="0" fontId="27" fillId="0" borderId="0" xfId="51" applyFont="1" applyAlignment="1">
      <alignment wrapText="1"/>
    </xf>
    <xf numFmtId="167" fontId="27" fillId="0" borderId="0" xfId="51" applyNumberFormat="1" applyFont="1" applyAlignment="1">
      <alignment wrapText="1"/>
    </xf>
    <xf numFmtId="0" fontId="27" fillId="0" borderId="0" xfId="61" applyFont="1" applyFill="1" applyBorder="1" applyAlignment="1">
      <alignment horizontal="left"/>
    </xf>
    <xf numFmtId="167" fontId="35" fillId="6" borderId="2" xfId="55" applyNumberFormat="1" applyFont="1" applyFill="1" applyBorder="1" applyAlignment="1">
      <alignment horizontal="center" wrapText="1"/>
    </xf>
    <xf numFmtId="0" fontId="36" fillId="11" borderId="7" xfId="61" applyFont="1" applyFill="1" applyBorder="1" applyAlignment="1">
      <alignment horizontal="center"/>
    </xf>
    <xf numFmtId="0" fontId="27" fillId="0" borderId="0" xfId="51" applyFont="1" applyAlignment="1"/>
    <xf numFmtId="0" fontId="6" fillId="0" borderId="1" xfId="61" applyFont="1" applyFill="1" applyBorder="1" applyAlignment="1">
      <alignment horizontal="left"/>
    </xf>
    <xf numFmtId="8" fontId="6" fillId="0" borderId="1" xfId="61" applyNumberFormat="1" applyFont="1" applyFill="1" applyBorder="1" applyAlignment="1">
      <alignment wrapText="1"/>
    </xf>
    <xf numFmtId="0" fontId="6" fillId="0" borderId="1" xfId="61" applyFont="1" applyFill="1" applyBorder="1" applyAlignment="1">
      <alignment wrapText="1"/>
    </xf>
    <xf numFmtId="9" fontId="6" fillId="0" borderId="1" xfId="61" applyNumberFormat="1" applyFont="1" applyFill="1" applyBorder="1" applyAlignment="1">
      <alignment wrapText="1"/>
    </xf>
    <xf numFmtId="8" fontId="6" fillId="0" borderId="1" xfId="61" applyNumberFormat="1" applyFont="1" applyBorder="1" applyAlignment="1">
      <alignment wrapText="1"/>
    </xf>
    <xf numFmtId="0" fontId="6" fillId="0" borderId="1" xfId="61" applyFont="1" applyBorder="1" applyAlignment="1">
      <alignment wrapText="1"/>
    </xf>
    <xf numFmtId="9" fontId="6" fillId="0" borderId="1" xfId="62" applyNumberFormat="1" applyFont="1" applyBorder="1" applyAlignment="1">
      <alignment wrapText="1"/>
    </xf>
    <xf numFmtId="0" fontId="8" fillId="0" borderId="7" xfId="61" applyFont="1" applyFill="1" applyBorder="1" applyAlignment="1">
      <alignment horizontal="center" wrapText="1"/>
    </xf>
    <xf numFmtId="0" fontId="8" fillId="0" borderId="8" xfId="61" applyFont="1" applyFill="1" applyBorder="1" applyAlignment="1">
      <alignment horizontal="center" wrapText="1"/>
    </xf>
    <xf numFmtId="0" fontId="8" fillId="0" borderId="9" xfId="61" applyFont="1" applyFill="1" applyBorder="1" applyAlignment="1">
      <alignment horizontal="center" wrapText="1"/>
    </xf>
    <xf numFmtId="0" fontId="8" fillId="0" borderId="4" xfId="61" applyFont="1" applyFill="1" applyBorder="1" applyAlignment="1">
      <alignment horizontal="center" wrapText="1"/>
    </xf>
    <xf numFmtId="0" fontId="8" fillId="0" borderId="5" xfId="61" applyFont="1" applyFill="1" applyBorder="1" applyAlignment="1">
      <alignment horizontal="center" wrapText="1"/>
    </xf>
    <xf numFmtId="0" fontId="8" fillId="0" borderId="2" xfId="61" applyFont="1" applyFill="1" applyBorder="1" applyAlignment="1">
      <alignment horizontal="center" wrapText="1"/>
    </xf>
    <xf numFmtId="165" fontId="6" fillId="0" borderId="2" xfId="61" applyNumberFormat="1" applyFont="1" applyBorder="1" applyAlignment="1">
      <alignment horizontal="right" wrapText="1"/>
    </xf>
    <xf numFmtId="8" fontId="6" fillId="0" borderId="7" xfId="61" applyNumberFormat="1" applyFont="1" applyBorder="1" applyAlignment="1">
      <alignment wrapText="1"/>
    </xf>
    <xf numFmtId="8" fontId="6" fillId="0" borderId="8" xfId="61" applyNumberFormat="1" applyFont="1" applyFill="1" applyBorder="1" applyAlignment="1">
      <alignment wrapText="1"/>
    </xf>
    <xf numFmtId="0" fontId="6" fillId="0" borderId="8" xfId="61" applyFont="1" applyBorder="1" applyAlignment="1">
      <alignment wrapText="1"/>
    </xf>
    <xf numFmtId="9" fontId="6" fillId="0" borderId="8" xfId="62" applyNumberFormat="1" applyFont="1" applyBorder="1" applyAlignment="1">
      <alignment wrapText="1"/>
    </xf>
    <xf numFmtId="0" fontId="6" fillId="0" borderId="9" xfId="61" applyFont="1" applyFill="1" applyBorder="1" applyAlignment="1">
      <alignment wrapText="1"/>
    </xf>
    <xf numFmtId="0" fontId="29" fillId="6" borderId="16" xfId="4" applyFont="1" applyFill="1" applyBorder="1" applyAlignment="1">
      <alignment horizontal="center" wrapText="1"/>
    </xf>
    <xf numFmtId="0" fontId="29" fillId="6" borderId="3" xfId="4" applyFont="1" applyFill="1" applyBorder="1" applyAlignment="1">
      <alignment horizontal="center" wrapText="1"/>
    </xf>
    <xf numFmtId="0" fontId="29" fillId="6" borderId="1" xfId="4" applyFont="1" applyFill="1" applyBorder="1" applyAlignment="1">
      <alignment horizontal="center" wrapText="1"/>
    </xf>
    <xf numFmtId="167" fontId="29" fillId="6" borderId="2" xfId="9" applyNumberFormat="1" applyFont="1" applyFill="1" applyBorder="1" applyAlignment="1">
      <alignment horizontal="center" wrapText="1"/>
    </xf>
    <xf numFmtId="0" fontId="6" fillId="0" borderId="0" xfId="61" applyFont="1" applyFill="1" applyBorder="1" applyAlignment="1">
      <alignment horizontal="left"/>
    </xf>
    <xf numFmtId="0" fontId="8" fillId="0" borderId="0" xfId="61" applyFont="1" applyFill="1" applyBorder="1" applyAlignment="1">
      <alignment horizontal="center" wrapText="1"/>
    </xf>
    <xf numFmtId="166" fontId="9" fillId="0" borderId="2" xfId="0" applyNumberFormat="1" applyFont="1" applyFill="1" applyBorder="1"/>
    <xf numFmtId="168" fontId="24" fillId="7" borderId="1" xfId="10" applyNumberFormat="1" applyFont="1" applyFill="1" applyBorder="1" applyAlignment="1">
      <alignment horizontal="right" wrapText="1"/>
    </xf>
    <xf numFmtId="44" fontId="6" fillId="0" borderId="1" xfId="5" applyFont="1" applyBorder="1" applyAlignment="1">
      <alignment horizontal="right" wrapText="1"/>
    </xf>
    <xf numFmtId="167" fontId="6" fillId="0" borderId="1" xfId="5" applyNumberFormat="1" applyFont="1" applyBorder="1" applyAlignment="1">
      <alignment horizontal="right" wrapText="1"/>
    </xf>
    <xf numFmtId="168" fontId="19" fillId="7" borderId="1" xfId="10" applyNumberFormat="1" applyFont="1" applyFill="1" applyBorder="1" applyAlignment="1">
      <alignment horizontal="right"/>
    </xf>
    <xf numFmtId="0" fontId="24" fillId="7" borderId="1" xfId="1" applyFont="1" applyFill="1" applyBorder="1" applyAlignment="1">
      <alignment wrapText="1"/>
    </xf>
    <xf numFmtId="168" fontId="24" fillId="7" borderId="1" xfId="3" applyNumberFormat="1" applyFont="1" applyFill="1" applyBorder="1" applyAlignment="1">
      <alignment horizontal="right"/>
    </xf>
    <xf numFmtId="167" fontId="24" fillId="7" borderId="1" xfId="2" applyNumberFormat="1" applyFont="1" applyFill="1" applyBorder="1" applyAlignment="1">
      <alignment horizontal="right"/>
    </xf>
    <xf numFmtId="0" fontId="24" fillId="7" borderId="1" xfId="3" applyNumberFormat="1" applyFont="1" applyFill="1" applyBorder="1" applyAlignment="1">
      <alignment horizontal="right"/>
    </xf>
    <xf numFmtId="0" fontId="6" fillId="0" borderId="1" xfId="1" applyBorder="1" applyAlignment="1">
      <alignment horizontal="right" wrapText="1"/>
    </xf>
    <xf numFmtId="0" fontId="24" fillId="7" borderId="1" xfId="1" applyFont="1" applyFill="1" applyBorder="1" applyAlignment="1">
      <alignment horizontal="left" wrapText="1"/>
    </xf>
    <xf numFmtId="1" fontId="24" fillId="7" borderId="1" xfId="1" applyNumberFormat="1" applyFont="1" applyFill="1" applyBorder="1" applyAlignment="1">
      <alignment horizontal="right"/>
    </xf>
    <xf numFmtId="165" fontId="24" fillId="7" borderId="1" xfId="1" applyNumberFormat="1" applyFont="1" applyFill="1" applyBorder="1" applyAlignment="1">
      <alignment horizontal="right"/>
    </xf>
    <xf numFmtId="0" fontId="24" fillId="7" borderId="1" xfId="0" applyFont="1" applyFill="1" applyBorder="1" applyAlignment="1">
      <alignment horizontal="right" wrapText="1"/>
    </xf>
    <xf numFmtId="0" fontId="8" fillId="8" borderId="4" xfId="0" applyFont="1" applyFill="1" applyBorder="1" applyAlignment="1">
      <alignment wrapText="1"/>
    </xf>
    <xf numFmtId="0" fontId="8" fillId="8" borderId="5" xfId="0" applyFont="1" applyFill="1" applyBorder="1" applyAlignment="1">
      <alignment wrapText="1"/>
    </xf>
    <xf numFmtId="0" fontId="8" fillId="8" borderId="2" xfId="0" applyFont="1" applyFill="1" applyBorder="1" applyAlignment="1">
      <alignment wrapText="1"/>
    </xf>
    <xf numFmtId="0" fontId="11" fillId="3" borderId="11" xfId="6" applyFill="1" applyBorder="1" applyAlignment="1">
      <alignment wrapText="1"/>
    </xf>
    <xf numFmtId="0" fontId="13" fillId="3" borderId="11" xfId="4" applyFont="1" applyFill="1" applyBorder="1" applyAlignment="1">
      <alignment horizontal="center" wrapText="1"/>
    </xf>
    <xf numFmtId="0" fontId="11" fillId="3" borderId="0" xfId="6" applyFill="1" applyAlignment="1">
      <alignment wrapText="1"/>
    </xf>
    <xf numFmtId="0" fontId="7" fillId="3" borderId="0" xfId="4" applyFont="1" applyFill="1" applyBorder="1" applyAlignment="1">
      <alignment horizontal="left"/>
    </xf>
    <xf numFmtId="167" fontId="7" fillId="0" borderId="0" xfId="10" applyNumberFormat="1" applyFont="1"/>
    <xf numFmtId="0" fontId="6" fillId="0" borderId="1" xfId="0" applyFont="1" applyFill="1" applyBorder="1" applyAlignment="1">
      <alignment horizontal="center"/>
    </xf>
    <xf numFmtId="0" fontId="6" fillId="0" borderId="16" xfId="0" applyFont="1" applyFill="1" applyBorder="1" applyAlignment="1">
      <alignment horizontal="center" wrapText="1"/>
    </xf>
    <xf numFmtId="0" fontId="24" fillId="7" borderId="6" xfId="0" applyFont="1" applyFill="1" applyBorder="1" applyAlignment="1">
      <alignment horizontal="center"/>
    </xf>
    <xf numFmtId="9" fontId="24" fillId="7" borderId="1" xfId="16" applyFont="1" applyFill="1" applyBorder="1"/>
    <xf numFmtId="0" fontId="24" fillId="7" borderId="3" xfId="0" applyFont="1" applyFill="1" applyBorder="1" applyAlignment="1">
      <alignment vertical="center" wrapText="1"/>
    </xf>
    <xf numFmtId="0" fontId="16" fillId="7" borderId="1" xfId="0" applyFont="1" applyFill="1" applyBorder="1" applyAlignment="1">
      <alignment horizontal="center" vertical="center" wrapText="1"/>
    </xf>
    <xf numFmtId="0" fontId="37" fillId="14" borderId="1" xfId="0" applyFont="1" applyFill="1" applyBorder="1" applyAlignment="1">
      <alignment horizontal="center"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3" fontId="17" fillId="0" borderId="1" xfId="0" applyNumberFormat="1" applyFont="1" applyBorder="1" applyAlignment="1">
      <alignment horizontal="right" vertical="center" wrapText="1"/>
    </xf>
    <xf numFmtId="167" fontId="17" fillId="0" borderId="1" xfId="5" applyNumberFormat="1" applyFont="1" applyBorder="1" applyAlignment="1">
      <alignment horizontal="right" vertical="center" wrapText="1"/>
    </xf>
    <xf numFmtId="168" fontId="17" fillId="0" borderId="1" xfId="10" applyNumberFormat="1" applyFont="1" applyBorder="1" applyAlignment="1">
      <alignment horizontal="right" vertical="center" wrapText="1"/>
    </xf>
    <xf numFmtId="0" fontId="17" fillId="0" borderId="13" xfId="0" applyFont="1" applyBorder="1" applyAlignment="1">
      <alignment vertical="center" wrapText="1"/>
    </xf>
    <xf numFmtId="0" fontId="17" fillId="0" borderId="13" xfId="0" applyFont="1" applyBorder="1" applyAlignment="1">
      <alignment horizontal="center" vertical="center" wrapText="1"/>
    </xf>
    <xf numFmtId="3" fontId="17" fillId="0" borderId="13" xfId="0" applyNumberFormat="1" applyFont="1" applyBorder="1" applyAlignment="1">
      <alignment horizontal="right" vertical="center" wrapText="1"/>
    </xf>
    <xf numFmtId="0" fontId="17" fillId="0" borderId="13" xfId="0" applyFont="1" applyBorder="1" applyAlignment="1">
      <alignment horizontal="right" vertical="center" wrapText="1"/>
    </xf>
    <xf numFmtId="167" fontId="17" fillId="0" borderId="13" xfId="5" applyNumberFormat="1" applyFont="1" applyBorder="1" applyAlignment="1">
      <alignment horizontal="right" vertical="center" wrapText="1"/>
    </xf>
    <xf numFmtId="3" fontId="17" fillId="0" borderId="0" xfId="0" applyNumberFormat="1" applyFont="1" applyBorder="1" applyAlignment="1">
      <alignment horizontal="right" vertical="center" wrapText="1"/>
    </xf>
    <xf numFmtId="3" fontId="38" fillId="0" borderId="0" xfId="0" applyNumberFormat="1" applyFont="1" applyBorder="1" applyAlignment="1">
      <alignment horizontal="right" vertical="center" wrapText="1"/>
    </xf>
    <xf numFmtId="0" fontId="17" fillId="0" borderId="0" xfId="0" applyFont="1" applyBorder="1" applyAlignment="1">
      <alignment horizontal="right" vertical="center" wrapText="1"/>
    </xf>
    <xf numFmtId="0" fontId="17" fillId="0" borderId="1" xfId="0" applyFont="1" applyBorder="1" applyAlignment="1">
      <alignment horizontal="right" vertical="center" wrapText="1"/>
    </xf>
    <xf numFmtId="0" fontId="17" fillId="0" borderId="0" xfId="0" applyFont="1"/>
    <xf numFmtId="3" fontId="17" fillId="0" borderId="14" xfId="0" applyNumberFormat="1" applyFont="1" applyBorder="1" applyAlignment="1">
      <alignment horizontal="right" vertical="center" wrapText="1"/>
    </xf>
    <xf numFmtId="1" fontId="39" fillId="7" borderId="8" xfId="0" applyNumberFormat="1" applyFont="1" applyFill="1" applyBorder="1" applyAlignment="1">
      <alignment horizontal="right" vertical="center" wrapText="1"/>
    </xf>
    <xf numFmtId="3" fontId="39" fillId="7" borderId="8" xfId="0" applyNumberFormat="1" applyFont="1" applyFill="1" applyBorder="1" applyAlignment="1">
      <alignment horizontal="right" vertical="center" wrapText="1"/>
    </xf>
    <xf numFmtId="167" fontId="39" fillId="7" borderId="8" xfId="5" applyNumberFormat="1" applyFont="1" applyFill="1" applyBorder="1" applyAlignment="1">
      <alignment horizontal="right" vertical="center" wrapText="1"/>
    </xf>
    <xf numFmtId="167" fontId="39" fillId="7" borderId="9" xfId="5" applyNumberFormat="1" applyFont="1" applyFill="1" applyBorder="1" applyAlignment="1">
      <alignment horizontal="right" vertical="center" wrapText="1" indent="1"/>
    </xf>
    <xf numFmtId="0" fontId="17" fillId="0" borderId="1" xfId="0" applyFont="1" applyBorder="1" applyAlignment="1">
      <alignment horizontal="right" wrapText="1"/>
    </xf>
    <xf numFmtId="0" fontId="17" fillId="0" borderId="1" xfId="0" applyFont="1" applyFill="1" applyBorder="1" applyAlignment="1">
      <alignment horizontal="right" wrapText="1"/>
    </xf>
    <xf numFmtId="167" fontId="17" fillId="0" borderId="1" xfId="5" applyNumberFormat="1" applyFont="1" applyBorder="1" applyAlignment="1">
      <alignment horizontal="right" wrapText="1"/>
    </xf>
    <xf numFmtId="0" fontId="17" fillId="0" borderId="1" xfId="0" applyFont="1" applyBorder="1" applyAlignment="1">
      <alignment wrapText="1"/>
    </xf>
    <xf numFmtId="0" fontId="17" fillId="0" borderId="1" xfId="0" applyFont="1" applyBorder="1" applyAlignment="1">
      <alignment horizontal="center" wrapText="1"/>
    </xf>
    <xf numFmtId="3" fontId="17" fillId="0" borderId="1" xfId="0" applyNumberFormat="1" applyFont="1" applyBorder="1" applyAlignment="1">
      <alignment horizontal="right" wrapText="1"/>
    </xf>
    <xf numFmtId="0" fontId="16" fillId="7" borderId="1" xfId="0" applyFont="1" applyFill="1" applyBorder="1" applyAlignment="1">
      <alignment horizontal="center" wrapText="1"/>
    </xf>
    <xf numFmtId="0" fontId="37" fillId="14" borderId="1" xfId="0" applyFont="1" applyFill="1" applyBorder="1" applyAlignment="1">
      <alignment horizontal="center" wrapText="1"/>
    </xf>
    <xf numFmtId="0" fontId="17" fillId="0" borderId="15" xfId="0" applyFont="1" applyBorder="1" applyAlignment="1">
      <alignment wrapText="1"/>
    </xf>
    <xf numFmtId="0" fontId="17" fillId="0" borderId="0" xfId="0" applyFont="1" applyBorder="1" applyAlignment="1">
      <alignment horizontal="center" wrapText="1"/>
    </xf>
    <xf numFmtId="1" fontId="17" fillId="0" borderId="0" xfId="0" applyNumberFormat="1" applyFont="1" applyBorder="1" applyAlignment="1">
      <alignment horizontal="center" wrapText="1"/>
    </xf>
    <xf numFmtId="167" fontId="17" fillId="0" borderId="0" xfId="5" applyNumberFormat="1" applyFont="1" applyBorder="1" applyAlignment="1">
      <alignment horizontal="center" wrapText="1"/>
    </xf>
    <xf numFmtId="167" fontId="17" fillId="0" borderId="14" xfId="5" applyNumberFormat="1" applyFont="1" applyBorder="1" applyAlignment="1">
      <alignment horizontal="center" wrapText="1"/>
    </xf>
    <xf numFmtId="1" fontId="17" fillId="0" borderId="1" xfId="0" applyNumberFormat="1" applyFont="1" applyFill="1" applyBorder="1" applyAlignment="1">
      <alignment horizontal="right" wrapText="1"/>
    </xf>
    <xf numFmtId="3" fontId="6" fillId="2" borderId="5" xfId="0" applyNumberFormat="1" applyFont="1" applyFill="1" applyBorder="1" applyAlignment="1">
      <alignment horizontal="center" vertical="center" wrapText="1"/>
    </xf>
    <xf numFmtId="170" fontId="6" fillId="2" borderId="2" xfId="0" applyNumberFormat="1" applyFont="1" applyFill="1" applyBorder="1" applyAlignment="1">
      <alignment horizontal="center" vertical="center" wrapText="1"/>
    </xf>
    <xf numFmtId="0" fontId="6" fillId="2" borderId="4" xfId="0" applyFont="1" applyFill="1" applyBorder="1" applyAlignment="1">
      <alignment vertical="center" wrapText="1"/>
    </xf>
    <xf numFmtId="3" fontId="17" fillId="0" borderId="1" xfId="0" applyNumberFormat="1" applyFont="1" applyFill="1" applyBorder="1" applyAlignment="1">
      <alignment horizontal="center" wrapText="1"/>
    </xf>
    <xf numFmtId="164" fontId="6" fillId="0" borderId="1" xfId="1" applyNumberFormat="1" applyFont="1" applyBorder="1" applyAlignment="1">
      <alignment horizontal="right"/>
    </xf>
    <xf numFmtId="3" fontId="6" fillId="0" borderId="1" xfId="1" applyNumberFormat="1" applyFont="1" applyFill="1" applyBorder="1" applyAlignment="1">
      <alignment horizontal="right"/>
    </xf>
    <xf numFmtId="0" fontId="16" fillId="6" borderId="1" xfId="0" applyFont="1" applyFill="1" applyBorder="1" applyAlignment="1">
      <alignment horizontal="center" wrapText="1"/>
    </xf>
    <xf numFmtId="0" fontId="17" fillId="0" borderId="3" xfId="0" applyFont="1" applyBorder="1" applyAlignment="1">
      <alignment wrapText="1"/>
    </xf>
    <xf numFmtId="3" fontId="17" fillId="0" borderId="3" xfId="0" applyNumberFormat="1" applyFont="1" applyFill="1" applyBorder="1" applyAlignment="1">
      <alignment horizontal="center" wrapText="1"/>
    </xf>
    <xf numFmtId="170" fontId="17" fillId="0" borderId="3" xfId="0" applyNumberFormat="1" applyFont="1" applyFill="1" applyBorder="1" applyAlignment="1">
      <alignment horizontal="center" wrapText="1"/>
    </xf>
    <xf numFmtId="0" fontId="17" fillId="0" borderId="1" xfId="0" applyFont="1" applyFill="1" applyBorder="1" applyAlignment="1">
      <alignment horizontal="center" wrapText="1"/>
    </xf>
    <xf numFmtId="170" fontId="17" fillId="0" borderId="1" xfId="0" applyNumberFormat="1" applyFont="1" applyFill="1" applyBorder="1" applyAlignment="1">
      <alignment horizontal="center" wrapText="1"/>
    </xf>
    <xf numFmtId="0" fontId="17" fillId="10" borderId="4" xfId="0" applyFont="1" applyFill="1" applyBorder="1" applyAlignment="1">
      <alignment horizontal="right" wrapText="1"/>
    </xf>
    <xf numFmtId="3" fontId="17" fillId="10" borderId="5" xfId="0" applyNumberFormat="1" applyFont="1" applyFill="1" applyBorder="1" applyAlignment="1">
      <alignment horizontal="center" wrapText="1"/>
    </xf>
    <xf numFmtId="3" fontId="6" fillId="2" borderId="5" xfId="0" applyNumberFormat="1" applyFont="1" applyFill="1" applyBorder="1" applyAlignment="1">
      <alignment horizontal="center" wrapText="1"/>
    </xf>
    <xf numFmtId="170" fontId="6" fillId="2" borderId="2" xfId="0" applyNumberFormat="1" applyFont="1" applyFill="1" applyBorder="1" applyAlignment="1">
      <alignment horizontal="center" wrapText="1"/>
    </xf>
    <xf numFmtId="1" fontId="17" fillId="0" borderId="1" xfId="0" applyNumberFormat="1" applyFont="1" applyFill="1" applyBorder="1" applyAlignment="1">
      <alignment horizontal="center" wrapText="1"/>
    </xf>
    <xf numFmtId="3" fontId="24" fillId="7" borderId="1" xfId="0" applyNumberFormat="1" applyFont="1" applyFill="1" applyBorder="1" applyAlignment="1">
      <alignment horizontal="center" wrapText="1"/>
    </xf>
    <xf numFmtId="0" fontId="25" fillId="7" borderId="6" xfId="0" applyFont="1" applyFill="1" applyBorder="1" applyAlignment="1">
      <alignment horizontal="center" wrapText="1"/>
    </xf>
    <xf numFmtId="0" fontId="6" fillId="2" borderId="4" xfId="0" applyFont="1" applyFill="1" applyBorder="1" applyAlignment="1"/>
    <xf numFmtId="0" fontId="6" fillId="3" borderId="0" xfId="0" applyFont="1" applyFill="1" applyBorder="1"/>
    <xf numFmtId="0" fontId="24" fillId="3" borderId="0" xfId="0" applyFont="1" applyFill="1" applyBorder="1" applyAlignment="1">
      <alignment wrapText="1"/>
    </xf>
    <xf numFmtId="0" fontId="39" fillId="17" borderId="0" xfId="0" applyFont="1" applyFill="1"/>
    <xf numFmtId="0" fontId="39" fillId="17" borderId="0" xfId="0" applyFont="1" applyFill="1" applyAlignment="1">
      <alignment horizontal="right"/>
    </xf>
    <xf numFmtId="3" fontId="39" fillId="17" borderId="8" xfId="0" applyNumberFormat="1" applyFont="1" applyFill="1" applyBorder="1" applyAlignment="1">
      <alignment horizontal="right" vertical="center" wrapText="1"/>
    </xf>
    <xf numFmtId="4" fontId="38" fillId="0" borderId="0" xfId="0" applyNumberFormat="1" applyFont="1" applyBorder="1" applyAlignment="1">
      <alignment horizontal="right" vertical="center" wrapText="1"/>
    </xf>
    <xf numFmtId="0" fontId="7" fillId="0" borderId="1" xfId="0" applyFont="1" applyBorder="1" applyAlignment="1">
      <alignment wrapText="1"/>
    </xf>
    <xf numFmtId="3" fontId="7" fillId="0" borderId="1" xfId="0" applyNumberFormat="1" applyFont="1" applyBorder="1" applyAlignment="1">
      <alignment horizontal="center" wrapText="1"/>
    </xf>
    <xf numFmtId="3" fontId="7" fillId="0" borderId="1" xfId="0" applyNumberFormat="1" applyFont="1" applyFill="1" applyBorder="1" applyAlignment="1">
      <alignment horizontal="center" wrapText="1"/>
    </xf>
    <xf numFmtId="3" fontId="7" fillId="16" borderId="1" xfId="0" applyNumberFormat="1" applyFont="1" applyFill="1" applyBorder="1" applyAlignment="1">
      <alignment horizontal="center" wrapText="1"/>
    </xf>
    <xf numFmtId="0" fontId="7" fillId="0" borderId="1" xfId="0" applyFont="1" applyBorder="1" applyAlignment="1">
      <alignment horizontal="center" wrapText="1"/>
    </xf>
    <xf numFmtId="0" fontId="29" fillId="7" borderId="1" xfId="0" applyFont="1" applyFill="1" applyBorder="1" applyAlignment="1">
      <alignment horizontal="center" wrapText="1"/>
    </xf>
    <xf numFmtId="0" fontId="7" fillId="0" borderId="0" xfId="1" applyFont="1"/>
    <xf numFmtId="166" fontId="11" fillId="0" borderId="0" xfId="1" applyNumberFormat="1" applyFont="1"/>
    <xf numFmtId="0" fontId="11" fillId="0" borderId="0" xfId="1" applyFont="1"/>
    <xf numFmtId="0" fontId="7" fillId="0" borderId="0" xfId="1" applyFont="1" applyBorder="1"/>
    <xf numFmtId="165" fontId="7" fillId="0" borderId="0" xfId="1" applyNumberFormat="1" applyFont="1" applyBorder="1" applyAlignment="1">
      <alignment horizontal="right"/>
    </xf>
    <xf numFmtId="3" fontId="7" fillId="0" borderId="0" xfId="1" applyNumberFormat="1" applyFont="1" applyBorder="1" applyAlignment="1">
      <alignment horizontal="right"/>
    </xf>
    <xf numFmtId="0" fontId="7" fillId="0" borderId="0" xfId="1" applyNumberFormat="1" applyFont="1" applyAlignment="1"/>
    <xf numFmtId="3" fontId="24" fillId="7" borderId="1" xfId="1" applyNumberFormat="1" applyFont="1" applyFill="1" applyBorder="1" applyAlignment="1">
      <alignment horizontal="right"/>
    </xf>
    <xf numFmtId="0" fontId="24" fillId="7" borderId="1" xfId="1" applyNumberFormat="1" applyFont="1" applyFill="1" applyBorder="1" applyAlignment="1">
      <alignment horizontal="left" wrapText="1"/>
    </xf>
    <xf numFmtId="165" fontId="6" fillId="0" borderId="1" xfId="1" applyNumberFormat="1" applyFont="1" applyBorder="1" applyAlignment="1">
      <alignment horizontal="right"/>
    </xf>
    <xf numFmtId="3" fontId="6" fillId="0" borderId="1" xfId="1" applyNumberFormat="1" applyFont="1" applyBorder="1" applyAlignment="1">
      <alignment horizontal="right"/>
    </xf>
    <xf numFmtId="0" fontId="6" fillId="0" borderId="1" xfId="1" applyNumberFormat="1" applyFont="1" applyFill="1" applyBorder="1" applyAlignment="1">
      <alignment horizontal="left" wrapText="1"/>
    </xf>
    <xf numFmtId="165" fontId="6" fillId="0" borderId="1" xfId="1" applyNumberFormat="1" applyFont="1" applyFill="1" applyBorder="1" applyAlignment="1">
      <alignment horizontal="right"/>
    </xf>
    <xf numFmtId="0" fontId="6" fillId="0" borderId="1" xfId="1" applyNumberFormat="1" applyFont="1" applyFill="1" applyBorder="1" applyAlignment="1">
      <alignment wrapText="1"/>
    </xf>
    <xf numFmtId="0" fontId="6" fillId="0" borderId="1" xfId="1" applyNumberFormat="1" applyFont="1" applyFill="1" applyBorder="1" applyAlignment="1">
      <alignment horizontal="left" vertical="top" wrapText="1"/>
    </xf>
    <xf numFmtId="0" fontId="6" fillId="0" borderId="1" xfId="1" applyNumberFormat="1" applyFont="1" applyBorder="1" applyAlignment="1">
      <alignment wrapText="1"/>
    </xf>
    <xf numFmtId="8" fontId="18" fillId="7" borderId="1" xfId="1" applyNumberFormat="1" applyFont="1" applyFill="1" applyBorder="1" applyAlignment="1">
      <alignment horizontal="center" wrapText="1"/>
    </xf>
    <xf numFmtId="0" fontId="7" fillId="0" borderId="0" xfId="1" applyFont="1" applyAlignment="1">
      <alignment horizontal="center"/>
    </xf>
    <xf numFmtId="0" fontId="16" fillId="6" borderId="6" xfId="1" applyFont="1" applyFill="1" applyBorder="1" applyAlignment="1">
      <alignment horizontal="center" wrapText="1"/>
    </xf>
    <xf numFmtId="0" fontId="7" fillId="0" borderId="0" xfId="1" applyFont="1" applyAlignment="1"/>
    <xf numFmtId="0" fontId="7" fillId="0" borderId="0" xfId="1" applyFont="1" applyFill="1" applyAlignment="1"/>
    <xf numFmtId="3" fontId="9" fillId="0" borderId="4" xfId="0" applyNumberFormat="1" applyFont="1" applyFill="1" applyBorder="1" applyAlignment="1">
      <alignment horizontal="center"/>
    </xf>
    <xf numFmtId="3" fontId="9" fillId="0" borderId="5" xfId="0" applyNumberFormat="1" applyFont="1" applyFill="1" applyBorder="1" applyAlignment="1">
      <alignment horizontal="center"/>
    </xf>
    <xf numFmtId="3" fontId="9" fillId="0" borderId="2" xfId="0" applyNumberFormat="1" applyFont="1" applyFill="1" applyBorder="1" applyAlignment="1">
      <alignment horizontal="center"/>
    </xf>
    <xf numFmtId="0" fontId="7" fillId="0" borderId="0" xfId="1" applyFont="1" applyBorder="1" applyAlignment="1"/>
    <xf numFmtId="0" fontId="7" fillId="0" borderId="0" xfId="1" applyFont="1" applyFill="1" applyBorder="1" applyAlignment="1"/>
    <xf numFmtId="0" fontId="7" fillId="0" borderId="0" xfId="1" applyFont="1" applyBorder="1" applyAlignment="1">
      <alignment horizontal="center"/>
    </xf>
    <xf numFmtId="164" fontId="6" fillId="0" borderId="0" xfId="1" applyNumberFormat="1" applyFont="1" applyBorder="1" applyAlignment="1">
      <alignment horizontal="right"/>
    </xf>
    <xf numFmtId="3" fontId="6" fillId="0" borderId="0" xfId="1" applyNumberFormat="1" applyFont="1" applyFill="1" applyBorder="1" applyAlignment="1">
      <alignment horizontal="right"/>
    </xf>
    <xf numFmtId="3" fontId="17" fillId="0" borderId="1" xfId="0" applyNumberFormat="1" applyFont="1" applyFill="1" applyBorder="1" applyAlignment="1">
      <alignment horizontal="right" wrapText="1"/>
    </xf>
    <xf numFmtId="167" fontId="7" fillId="2" borderId="1" xfId="5" applyNumberFormat="1" applyFont="1" applyFill="1" applyBorder="1" applyAlignment="1">
      <alignment horizontal="center" wrapText="1"/>
    </xf>
    <xf numFmtId="0" fontId="29" fillId="7" borderId="1" xfId="0" applyFont="1" applyFill="1" applyBorder="1" applyAlignment="1">
      <alignment horizontal="right" wrapText="1"/>
    </xf>
    <xf numFmtId="3" fontId="29" fillId="7" borderId="1" xfId="0" applyNumberFormat="1" applyFont="1" applyFill="1" applyBorder="1" applyAlignment="1">
      <alignment horizontal="center" wrapText="1"/>
    </xf>
    <xf numFmtId="167" fontId="29" fillId="7" borderId="1" xfId="5" applyNumberFormat="1" applyFont="1" applyFill="1" applyBorder="1" applyAlignment="1">
      <alignment horizontal="center" wrapText="1"/>
    </xf>
    <xf numFmtId="0" fontId="6" fillId="9" borderId="4" xfId="0" applyNumberFormat="1" applyFont="1" applyFill="1" applyBorder="1" applyAlignment="1">
      <alignment horizontal="left" vertical="top" wrapText="1"/>
    </xf>
    <xf numFmtId="0" fontId="6" fillId="9" borderId="5" xfId="0" applyNumberFormat="1" applyFont="1" applyFill="1" applyBorder="1" applyAlignment="1">
      <alignment horizontal="left" vertical="top" wrapText="1"/>
    </xf>
    <xf numFmtId="0" fontId="6" fillId="9" borderId="2" xfId="0" applyNumberFormat="1" applyFont="1" applyFill="1" applyBorder="1" applyAlignment="1">
      <alignment horizontal="left" vertical="top" wrapText="1"/>
    </xf>
    <xf numFmtId="0" fontId="16" fillId="6" borderId="6" xfId="0" applyFont="1" applyFill="1" applyBorder="1" applyAlignment="1">
      <alignment horizontal="center" wrapText="1"/>
    </xf>
    <xf numFmtId="0" fontId="16" fillId="6" borderId="16" xfId="0" applyFont="1" applyFill="1" applyBorder="1" applyAlignment="1">
      <alignment horizontal="center" wrapText="1"/>
    </xf>
    <xf numFmtId="0" fontId="16" fillId="6" borderId="3" xfId="0" applyFont="1" applyFill="1" applyBorder="1" applyAlignment="1">
      <alignment horizontal="center" wrapText="1"/>
    </xf>
    <xf numFmtId="3" fontId="9" fillId="0" borderId="4" xfId="0" applyNumberFormat="1" applyFont="1" applyFill="1" applyBorder="1" applyAlignment="1">
      <alignment horizontal="center"/>
    </xf>
    <xf numFmtId="3" fontId="9" fillId="0" borderId="5" xfId="0" applyNumberFormat="1" applyFont="1" applyFill="1" applyBorder="1" applyAlignment="1">
      <alignment horizontal="center"/>
    </xf>
    <xf numFmtId="3" fontId="9" fillId="0" borderId="2" xfId="0" applyNumberFormat="1" applyFont="1" applyFill="1" applyBorder="1" applyAlignment="1">
      <alignment horizontal="center"/>
    </xf>
    <xf numFmtId="164" fontId="16" fillId="6" borderId="6" xfId="0" applyNumberFormat="1" applyFont="1" applyFill="1" applyBorder="1" applyAlignment="1">
      <alignment horizontal="center" wrapText="1"/>
    </xf>
    <xf numFmtId="164" fontId="16" fillId="6" borderId="16" xfId="0" applyNumberFormat="1" applyFont="1" applyFill="1" applyBorder="1" applyAlignment="1">
      <alignment horizontal="center" wrapText="1"/>
    </xf>
    <xf numFmtId="164" fontId="16" fillId="6" borderId="3" xfId="0" applyNumberFormat="1" applyFont="1" applyFill="1" applyBorder="1" applyAlignment="1">
      <alignment horizontal="center" wrapText="1"/>
    </xf>
    <xf numFmtId="165" fontId="16" fillId="6" borderId="6" xfId="0" applyNumberFormat="1" applyFont="1" applyFill="1" applyBorder="1" applyAlignment="1">
      <alignment horizontal="center" wrapText="1"/>
    </xf>
    <xf numFmtId="165" fontId="16" fillId="6" borderId="16" xfId="0" applyNumberFormat="1" applyFont="1" applyFill="1" applyBorder="1" applyAlignment="1">
      <alignment horizontal="center" wrapText="1"/>
    </xf>
    <xf numFmtId="165" fontId="16" fillId="6" borderId="3" xfId="0" applyNumberFormat="1" applyFont="1" applyFill="1" applyBorder="1" applyAlignment="1">
      <alignment horizontal="center" wrapText="1"/>
    </xf>
    <xf numFmtId="0" fontId="16" fillId="6" borderId="4" xfId="0" applyFont="1" applyFill="1" applyBorder="1" applyAlignment="1">
      <alignment horizontal="center" wrapText="1"/>
    </xf>
    <xf numFmtId="0" fontId="16" fillId="6" borderId="5" xfId="0" applyFont="1" applyFill="1" applyBorder="1" applyAlignment="1">
      <alignment horizontal="center" wrapText="1"/>
    </xf>
    <xf numFmtId="0" fontId="15" fillId="0" borderId="17" xfId="15" applyNumberFormat="1" applyFill="1" applyAlignment="1">
      <alignment horizontal="center" vertical="top"/>
    </xf>
    <xf numFmtId="0" fontId="16" fillId="6" borderId="15" xfId="0" applyFont="1" applyFill="1" applyBorder="1" applyAlignment="1">
      <alignment horizontal="center" wrapText="1"/>
    </xf>
    <xf numFmtId="0" fontId="16" fillId="6" borderId="18" xfId="0" applyFont="1" applyFill="1" applyBorder="1" applyAlignment="1">
      <alignment horizontal="center" wrapText="1"/>
    </xf>
    <xf numFmtId="0" fontId="16" fillId="6" borderId="19" xfId="0" applyFont="1" applyFill="1" applyBorder="1" applyAlignment="1">
      <alignment horizontal="center" wrapText="1"/>
    </xf>
    <xf numFmtId="0" fontId="16" fillId="6" borderId="20" xfId="0" applyFont="1" applyFill="1" applyBorder="1" applyAlignment="1">
      <alignment horizontal="center" wrapText="1"/>
    </xf>
    <xf numFmtId="0" fontId="15" fillId="0" borderId="17" xfId="15" applyFill="1" applyAlignment="1">
      <alignment horizontal="center"/>
    </xf>
    <xf numFmtId="0" fontId="15" fillId="0" borderId="21" xfId="15" applyFill="1" applyBorder="1" applyAlignment="1">
      <alignment horizontal="center"/>
    </xf>
    <xf numFmtId="0" fontId="25" fillId="6" borderId="18" xfId="0" applyFont="1" applyFill="1" applyBorder="1" applyAlignment="1">
      <alignment horizontal="center" wrapText="1"/>
    </xf>
    <xf numFmtId="0" fontId="25" fillId="6" borderId="19" xfId="0" applyFont="1" applyFill="1" applyBorder="1" applyAlignment="1">
      <alignment horizontal="center" wrapText="1"/>
    </xf>
    <xf numFmtId="0" fontId="25" fillId="6" borderId="6" xfId="0" applyFont="1" applyFill="1" applyBorder="1" applyAlignment="1">
      <alignment horizontal="center" wrapText="1"/>
    </xf>
    <xf numFmtId="0" fontId="25" fillId="6" borderId="16" xfId="0" applyFont="1" applyFill="1" applyBorder="1" applyAlignment="1">
      <alignment horizontal="center" wrapText="1"/>
    </xf>
    <xf numFmtId="0" fontId="25" fillId="6" borderId="15" xfId="0" applyFont="1" applyFill="1" applyBorder="1" applyAlignment="1">
      <alignment horizontal="center" wrapText="1"/>
    </xf>
    <xf numFmtId="0" fontId="25" fillId="6" borderId="3" xfId="0" applyFont="1" applyFill="1" applyBorder="1" applyAlignment="1">
      <alignment horizontal="center" wrapText="1"/>
    </xf>
    <xf numFmtId="165" fontId="25" fillId="6" borderId="6" xfId="0" applyNumberFormat="1" applyFont="1" applyFill="1" applyBorder="1" applyAlignment="1">
      <alignment horizontal="center" wrapText="1"/>
    </xf>
    <xf numFmtId="165" fontId="25" fillId="6" borderId="16" xfId="0" applyNumberFormat="1" applyFont="1" applyFill="1" applyBorder="1" applyAlignment="1">
      <alignment horizontal="center" wrapText="1"/>
    </xf>
    <xf numFmtId="165" fontId="25" fillId="6" borderId="3" xfId="0" applyNumberFormat="1" applyFont="1" applyFill="1" applyBorder="1" applyAlignment="1">
      <alignment horizontal="center" wrapText="1"/>
    </xf>
    <xf numFmtId="164" fontId="25" fillId="6" borderId="6" xfId="0" applyNumberFormat="1" applyFont="1" applyFill="1" applyBorder="1" applyAlignment="1">
      <alignment horizontal="center" wrapText="1"/>
    </xf>
    <xf numFmtId="164" fontId="25" fillId="6" borderId="16" xfId="0" applyNumberFormat="1" applyFont="1" applyFill="1" applyBorder="1" applyAlignment="1">
      <alignment horizontal="center" wrapText="1"/>
    </xf>
    <xf numFmtId="164" fontId="25" fillId="6" borderId="3" xfId="0" applyNumberFormat="1" applyFont="1" applyFill="1" applyBorder="1" applyAlignment="1">
      <alignment horizontal="center" wrapText="1"/>
    </xf>
    <xf numFmtId="170" fontId="6" fillId="0" borderId="4" xfId="18" applyNumberFormat="1" applyFont="1" applyBorder="1" applyAlignment="1">
      <alignment horizontal="center" wrapText="1"/>
    </xf>
    <xf numFmtId="170" fontId="6" fillId="0" borderId="5" xfId="18" applyNumberFormat="1" applyFont="1" applyBorder="1" applyAlignment="1">
      <alignment horizontal="center" wrapText="1"/>
    </xf>
    <xf numFmtId="170" fontId="6" fillId="0" borderId="2" xfId="18" applyNumberFormat="1" applyFont="1" applyBorder="1" applyAlignment="1">
      <alignment horizontal="center" wrapText="1"/>
    </xf>
    <xf numFmtId="0" fontId="6" fillId="8" borderId="4" xfId="0" applyFont="1" applyFill="1" applyBorder="1" applyAlignment="1">
      <alignment horizontal="left" wrapText="1"/>
    </xf>
    <xf numFmtId="0" fontId="6" fillId="8" borderId="5" xfId="0" applyFont="1" applyFill="1" applyBorder="1" applyAlignment="1">
      <alignment horizontal="left" wrapText="1"/>
    </xf>
    <xf numFmtId="0" fontId="6" fillId="8" borderId="2" xfId="0" applyFont="1" applyFill="1" applyBorder="1" applyAlignment="1">
      <alignment horizontal="left" wrapText="1"/>
    </xf>
    <xf numFmtId="0" fontId="25" fillId="6" borderId="20" xfId="0" applyFont="1" applyFill="1" applyBorder="1" applyAlignment="1">
      <alignment horizontal="center" wrapText="1"/>
    </xf>
    <xf numFmtId="0" fontId="25" fillId="6" borderId="23" xfId="0" applyFont="1" applyFill="1" applyBorder="1" applyAlignment="1">
      <alignment horizontal="center" wrapText="1"/>
    </xf>
    <xf numFmtId="0" fontId="25" fillId="6" borderId="24" xfId="0" applyFont="1" applyFill="1" applyBorder="1" applyAlignment="1">
      <alignment horizontal="center" wrapText="1"/>
    </xf>
    <xf numFmtId="0" fontId="24" fillId="7" borderId="10" xfId="0" applyFont="1" applyFill="1" applyBorder="1" applyAlignment="1">
      <alignment horizontal="center" wrapText="1"/>
    </xf>
    <xf numFmtId="0" fontId="24" fillId="7" borderId="12" xfId="0" applyFont="1" applyFill="1" applyBorder="1" applyAlignment="1">
      <alignment horizontal="center" wrapText="1"/>
    </xf>
    <xf numFmtId="0" fontId="24" fillId="7" borderId="1" xfId="0" applyFont="1" applyFill="1" applyBorder="1" applyAlignment="1">
      <alignment horizontal="center"/>
    </xf>
    <xf numFmtId="0" fontId="23" fillId="7" borderId="1" xfId="11" applyFont="1" applyFill="1" applyBorder="1" applyAlignment="1">
      <alignment horizontal="center"/>
    </xf>
    <xf numFmtId="165" fontId="16" fillId="6" borderId="6" xfId="1" applyNumberFormat="1" applyFont="1" applyFill="1" applyBorder="1" applyAlignment="1">
      <alignment horizontal="center" wrapText="1"/>
    </xf>
    <xf numFmtId="165" fontId="16" fillId="6" borderId="16" xfId="1" applyNumberFormat="1" applyFont="1" applyFill="1" applyBorder="1" applyAlignment="1">
      <alignment horizontal="center" wrapText="1"/>
    </xf>
    <xf numFmtId="165" fontId="16" fillId="6" borderId="3" xfId="1" applyNumberFormat="1" applyFont="1" applyFill="1" applyBorder="1" applyAlignment="1">
      <alignment horizontal="center" wrapText="1"/>
    </xf>
    <xf numFmtId="0" fontId="6" fillId="5" borderId="4" xfId="1" applyNumberFormat="1" applyFont="1" applyFill="1" applyBorder="1" applyAlignment="1">
      <alignment horizontal="left" wrapText="1"/>
    </xf>
    <xf numFmtId="0" fontId="6" fillId="5" borderId="5" xfId="1" applyNumberFormat="1" applyFont="1" applyFill="1" applyBorder="1" applyAlignment="1">
      <alignment horizontal="left" wrapText="1"/>
    </xf>
    <xf numFmtId="0" fontId="6" fillId="5" borderId="2" xfId="1" applyNumberFormat="1" applyFont="1" applyFill="1" applyBorder="1" applyAlignment="1">
      <alignment horizontal="left" wrapText="1"/>
    </xf>
    <xf numFmtId="0" fontId="15" fillId="0" borderId="17" xfId="15" applyNumberFormat="1" applyFill="1" applyAlignment="1">
      <alignment horizontal="center"/>
    </xf>
    <xf numFmtId="0" fontId="16" fillId="6" borderId="6" xfId="1" applyFont="1" applyFill="1" applyBorder="1" applyAlignment="1">
      <alignment horizontal="center" wrapText="1"/>
    </xf>
    <xf numFmtId="0" fontId="16" fillId="6" borderId="16" xfId="1" applyFont="1" applyFill="1" applyBorder="1" applyAlignment="1">
      <alignment horizontal="center" wrapText="1"/>
    </xf>
    <xf numFmtId="0" fontId="16" fillId="6" borderId="3" xfId="1" applyFont="1" applyFill="1" applyBorder="1" applyAlignment="1">
      <alignment horizontal="center" wrapText="1"/>
    </xf>
    <xf numFmtId="164" fontId="16" fillId="6" borderId="6" xfId="1" applyNumberFormat="1" applyFont="1" applyFill="1" applyBorder="1" applyAlignment="1">
      <alignment horizontal="center" wrapText="1"/>
    </xf>
    <xf numFmtId="164" fontId="16" fillId="6" borderId="16" xfId="1" applyNumberFormat="1" applyFont="1" applyFill="1" applyBorder="1" applyAlignment="1">
      <alignment horizontal="center" wrapText="1"/>
    </xf>
    <xf numFmtId="164" fontId="16" fillId="6" borderId="3" xfId="1" applyNumberFormat="1" applyFont="1" applyFill="1" applyBorder="1" applyAlignment="1">
      <alignment horizontal="center" wrapText="1"/>
    </xf>
    <xf numFmtId="0" fontId="16" fillId="6" borderId="15" xfId="1" applyFont="1" applyFill="1" applyBorder="1" applyAlignment="1">
      <alignment horizontal="center" wrapText="1"/>
    </xf>
    <xf numFmtId="0" fontId="16" fillId="6" borderId="18" xfId="1" applyFont="1" applyFill="1" applyBorder="1" applyAlignment="1">
      <alignment horizontal="center" wrapText="1"/>
    </xf>
    <xf numFmtId="0" fontId="16" fillId="6" borderId="19" xfId="1" applyFont="1" applyFill="1" applyBorder="1" applyAlignment="1">
      <alignment horizontal="center" wrapText="1"/>
    </xf>
    <xf numFmtId="0" fontId="16" fillId="6" borderId="7" xfId="1" applyFont="1" applyFill="1" applyBorder="1" applyAlignment="1">
      <alignment horizontal="center" wrapText="1"/>
    </xf>
    <xf numFmtId="0" fontId="16" fillId="6" borderId="8" xfId="1" applyFont="1" applyFill="1" applyBorder="1" applyAlignment="1">
      <alignment horizontal="center" wrapText="1"/>
    </xf>
    <xf numFmtId="0" fontId="8" fillId="8" borderId="4" xfId="0" applyFont="1" applyFill="1" applyBorder="1" applyAlignment="1">
      <alignment horizontal="left" wrapText="1"/>
    </xf>
    <xf numFmtId="0" fontId="8" fillId="8" borderId="5" xfId="0" applyFont="1" applyFill="1" applyBorder="1" applyAlignment="1">
      <alignment horizontal="left" wrapText="1"/>
    </xf>
    <xf numFmtId="0" fontId="8" fillId="8" borderId="2" xfId="0" applyFont="1" applyFill="1" applyBorder="1" applyAlignment="1">
      <alignment horizontal="left" wrapText="1"/>
    </xf>
    <xf numFmtId="0" fontId="15" fillId="3" borderId="17" xfId="15" applyNumberFormat="1" applyFill="1" applyAlignment="1">
      <alignment horizontal="center"/>
    </xf>
    <xf numFmtId="0" fontId="16" fillId="6" borderId="7" xfId="0" applyFont="1" applyFill="1" applyBorder="1" applyAlignment="1">
      <alignment horizontal="center" wrapText="1"/>
    </xf>
    <xf numFmtId="0" fontId="16" fillId="6" borderId="8" xfId="0" applyFont="1" applyFill="1" applyBorder="1" applyAlignment="1">
      <alignment horizontal="center" wrapText="1"/>
    </xf>
    <xf numFmtId="0" fontId="6" fillId="5" borderId="4" xfId="1" applyFill="1" applyBorder="1" applyAlignment="1">
      <alignment horizontal="left" wrapText="1"/>
    </xf>
    <xf numFmtId="0" fontId="6" fillId="5" borderId="5" xfId="1" applyFill="1" applyBorder="1" applyAlignment="1">
      <alignment horizontal="left" wrapText="1"/>
    </xf>
    <xf numFmtId="0" fontId="6" fillId="5" borderId="2" xfId="1" applyFill="1" applyBorder="1" applyAlignment="1">
      <alignment horizontal="left" wrapText="1"/>
    </xf>
    <xf numFmtId="0" fontId="6" fillId="5" borderId="4" xfId="1" applyFont="1" applyFill="1" applyBorder="1" applyAlignment="1">
      <alignment horizontal="left" wrapText="1"/>
    </xf>
    <xf numFmtId="0" fontId="6" fillId="5" borderId="5" xfId="1" applyFont="1" applyFill="1" applyBorder="1" applyAlignment="1">
      <alignment horizontal="left" wrapText="1"/>
    </xf>
    <xf numFmtId="0" fontId="6" fillId="5" borderId="2" xfId="1" applyFont="1" applyFill="1" applyBorder="1" applyAlignment="1">
      <alignment horizontal="left" wrapText="1"/>
    </xf>
    <xf numFmtId="0" fontId="15" fillId="0" borderId="17" xfId="15" applyAlignment="1">
      <alignment horizontal="center"/>
    </xf>
    <xf numFmtId="0" fontId="16" fillId="6" borderId="1" xfId="0" applyFont="1" applyFill="1" applyBorder="1" applyAlignment="1">
      <alignment horizontal="center" wrapText="1"/>
    </xf>
    <xf numFmtId="165" fontId="16" fillId="6" borderId="1" xfId="0" applyNumberFormat="1" applyFont="1" applyFill="1" applyBorder="1" applyAlignment="1">
      <alignment horizontal="center" wrapText="1"/>
    </xf>
    <xf numFmtId="164" fontId="16" fillId="6" borderId="1" xfId="0" applyNumberFormat="1" applyFont="1" applyFill="1" applyBorder="1" applyAlignment="1">
      <alignment horizontal="center" wrapText="1"/>
    </xf>
    <xf numFmtId="0" fontId="15" fillId="0" borderId="0" xfId="15" applyBorder="1" applyAlignment="1">
      <alignment horizontal="center"/>
    </xf>
    <xf numFmtId="0" fontId="35" fillId="6" borderId="6" xfId="61" applyFont="1" applyFill="1" applyBorder="1" applyAlignment="1">
      <alignment horizontal="center"/>
    </xf>
    <xf numFmtId="0" fontId="35" fillId="6" borderId="3" xfId="61" applyFont="1" applyFill="1" applyBorder="1" applyAlignment="1">
      <alignment horizontal="center"/>
    </xf>
    <xf numFmtId="0" fontId="36" fillId="12" borderId="1" xfId="61" applyFont="1" applyFill="1" applyBorder="1" applyAlignment="1">
      <alignment horizontal="center" wrapText="1"/>
    </xf>
    <xf numFmtId="0" fontId="36" fillId="11" borderId="4" xfId="61" applyFont="1" applyFill="1" applyBorder="1" applyAlignment="1">
      <alignment horizontal="center" wrapText="1"/>
    </xf>
    <xf numFmtId="0" fontId="36" fillId="11" borderId="5" xfId="61" applyFont="1" applyFill="1" applyBorder="1" applyAlignment="1">
      <alignment horizontal="center" wrapText="1"/>
    </xf>
    <xf numFmtId="0" fontId="36" fillId="11" borderId="2" xfId="61" applyFont="1" applyFill="1" applyBorder="1" applyAlignment="1">
      <alignment horizontal="center" wrapText="1"/>
    </xf>
    <xf numFmtId="0" fontId="35" fillId="6" borderId="4" xfId="61" applyFont="1" applyFill="1" applyBorder="1" applyAlignment="1">
      <alignment horizontal="left" wrapText="1"/>
    </xf>
    <xf numFmtId="0" fontId="35" fillId="6" borderId="5" xfId="61" applyFont="1" applyFill="1" applyBorder="1" applyAlignment="1">
      <alignment horizontal="left" wrapText="1"/>
    </xf>
    <xf numFmtId="0" fontId="35" fillId="6" borderId="2" xfId="61" applyFont="1" applyFill="1" applyBorder="1" applyAlignment="1">
      <alignment horizontal="left" wrapText="1"/>
    </xf>
    <xf numFmtId="0" fontId="13" fillId="4" borderId="4" xfId="4" applyFont="1" applyFill="1" applyBorder="1" applyAlignment="1">
      <alignment horizontal="right" wrapText="1"/>
    </xf>
    <xf numFmtId="0" fontId="13" fillId="4" borderId="5" xfId="4" applyFont="1" applyFill="1" applyBorder="1" applyAlignment="1">
      <alignment horizontal="right" wrapText="1"/>
    </xf>
    <xf numFmtId="0" fontId="15" fillId="0" borderId="17" xfId="15" applyFill="1" applyAlignment="1">
      <alignment horizontal="center" wrapText="1"/>
    </xf>
    <xf numFmtId="0" fontId="29" fillId="6" borderId="16" xfId="4" applyFont="1" applyFill="1" applyBorder="1" applyAlignment="1">
      <alignment horizontal="center" wrapText="1"/>
    </xf>
    <xf numFmtId="0" fontId="29" fillId="6" borderId="3" xfId="4" applyFont="1" applyFill="1" applyBorder="1" applyAlignment="1">
      <alignment horizontal="center" wrapText="1"/>
    </xf>
    <xf numFmtId="0" fontId="8" fillId="13" borderId="3" xfId="4" applyFont="1" applyFill="1" applyBorder="1" applyAlignment="1">
      <alignment horizontal="center" wrapText="1"/>
    </xf>
    <xf numFmtId="0" fontId="13" fillId="4" borderId="2" xfId="4" applyFont="1" applyFill="1" applyBorder="1" applyAlignment="1">
      <alignment horizontal="right" wrapText="1"/>
    </xf>
    <xf numFmtId="0" fontId="29" fillId="15" borderId="4" xfId="4" applyFont="1" applyFill="1" applyBorder="1" applyAlignment="1">
      <alignment horizontal="left" wrapText="1"/>
    </xf>
    <xf numFmtId="0" fontId="29" fillId="15" borderId="5" xfId="4" applyFont="1" applyFill="1" applyBorder="1" applyAlignment="1">
      <alignment horizontal="left" wrapText="1"/>
    </xf>
    <xf numFmtId="0" fontId="29" fillId="15" borderId="2" xfId="4" applyFont="1" applyFill="1" applyBorder="1" applyAlignment="1">
      <alignment horizontal="left" wrapText="1"/>
    </xf>
    <xf numFmtId="0" fontId="6" fillId="0" borderId="6"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3" xfId="0" applyFont="1" applyBorder="1" applyAlignment="1">
      <alignment horizontal="center" vertical="center" wrapText="1"/>
    </xf>
    <xf numFmtId="0" fontId="7" fillId="0" borderId="10" xfId="0" applyFont="1" applyFill="1" applyBorder="1" applyAlignment="1">
      <alignment horizontal="left" wrapText="1"/>
    </xf>
    <xf numFmtId="0" fontId="7" fillId="0" borderId="11" xfId="0" applyFont="1" applyFill="1" applyBorder="1" applyAlignment="1">
      <alignment horizontal="left" wrapText="1"/>
    </xf>
    <xf numFmtId="0" fontId="7" fillId="0" borderId="15" xfId="0" applyFont="1" applyFill="1" applyBorder="1" applyAlignment="1">
      <alignment horizontal="left" wrapText="1"/>
    </xf>
    <xf numFmtId="0" fontId="7" fillId="0" borderId="0" xfId="0" applyFont="1" applyFill="1" applyBorder="1" applyAlignment="1">
      <alignment horizontal="left" wrapText="1"/>
    </xf>
    <xf numFmtId="0" fontId="24" fillId="7" borderId="11" xfId="0" applyFont="1" applyFill="1" applyBorder="1" applyAlignment="1">
      <alignment horizontal="right" wrapText="1"/>
    </xf>
    <xf numFmtId="0" fontId="24" fillId="7" borderId="12" xfId="0" applyFont="1" applyFill="1" applyBorder="1" applyAlignment="1">
      <alignment horizontal="right" wrapText="1"/>
    </xf>
    <xf numFmtId="0" fontId="17" fillId="0" borderId="27" xfId="0" applyFont="1" applyBorder="1" applyAlignment="1">
      <alignment horizontal="right" vertical="center" wrapText="1"/>
    </xf>
    <xf numFmtId="0" fontId="17" fillId="0" borderId="25" xfId="0" applyFont="1" applyBorder="1" applyAlignment="1">
      <alignment horizontal="right" vertical="center" wrapText="1"/>
    </xf>
    <xf numFmtId="3" fontId="17" fillId="0" borderId="6" xfId="0" applyNumberFormat="1" applyFont="1" applyBorder="1" applyAlignment="1">
      <alignment horizontal="center" vertical="center" wrapText="1"/>
    </xf>
    <xf numFmtId="3" fontId="17" fillId="0" borderId="16" xfId="0" applyNumberFormat="1" applyFont="1" applyBorder="1" applyAlignment="1">
      <alignment horizontal="center" vertical="center" wrapText="1"/>
    </xf>
    <xf numFmtId="3" fontId="17" fillId="0" borderId="26" xfId="0" applyNumberFormat="1" applyFont="1" applyBorder="1" applyAlignment="1">
      <alignment horizontal="center" vertical="center" wrapText="1"/>
    </xf>
    <xf numFmtId="0" fontId="39" fillId="7" borderId="7" xfId="0" applyFont="1" applyFill="1" applyBorder="1" applyAlignment="1">
      <alignment horizontal="right"/>
    </xf>
    <xf numFmtId="0" fontId="39" fillId="7" borderId="8" xfId="0" applyFont="1" applyFill="1" applyBorder="1" applyAlignment="1">
      <alignment horizontal="right"/>
    </xf>
    <xf numFmtId="0" fontId="37" fillId="9" borderId="4" xfId="0" applyFont="1" applyFill="1" applyBorder="1" applyAlignment="1">
      <alignment horizontal="center" vertical="center" wrapText="1"/>
    </xf>
    <xf numFmtId="0" fontId="16" fillId="9" borderId="5"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37" fillId="9" borderId="7" xfId="0" applyFont="1" applyFill="1" applyBorder="1" applyAlignment="1">
      <alignment horizontal="center" wrapText="1"/>
    </xf>
    <xf numFmtId="0" fontId="16" fillId="9" borderId="8" xfId="0" applyFont="1" applyFill="1" applyBorder="1" applyAlignment="1">
      <alignment horizontal="center" wrapText="1"/>
    </xf>
    <xf numFmtId="0" fontId="16" fillId="9" borderId="9" xfId="0" applyFont="1" applyFill="1" applyBorder="1" applyAlignment="1">
      <alignment horizontal="center" wrapText="1"/>
    </xf>
    <xf numFmtId="0" fontId="37" fillId="9" borderId="4" xfId="0" applyFont="1" applyFill="1" applyBorder="1" applyAlignment="1">
      <alignment horizontal="center" wrapText="1"/>
    </xf>
    <xf numFmtId="0" fontId="16" fillId="9" borderId="5" xfId="0" applyFont="1" applyFill="1" applyBorder="1" applyAlignment="1">
      <alignment horizontal="center" wrapText="1"/>
    </xf>
    <xf numFmtId="0" fontId="16" fillId="9" borderId="2" xfId="0" applyFont="1" applyFill="1" applyBorder="1" applyAlignment="1">
      <alignment horizontal="center" wrapText="1"/>
    </xf>
    <xf numFmtId="0" fontId="15" fillId="0" borderId="8" xfId="15" applyBorder="1" applyAlignment="1">
      <alignment horizontal="center"/>
    </xf>
    <xf numFmtId="0" fontId="29" fillId="7" borderId="1" xfId="0" applyFont="1" applyFill="1" applyBorder="1" applyAlignment="1">
      <alignment horizontal="center" wrapText="1"/>
    </xf>
    <xf numFmtId="0" fontId="6" fillId="0" borderId="1" xfId="0" applyNumberFormat="1" applyFont="1" applyFill="1" applyBorder="1" applyAlignment="1">
      <alignment horizontal="right" vertical="top" wrapText="1"/>
    </xf>
    <xf numFmtId="0" fontId="7" fillId="0" borderId="1" xfId="0" applyFont="1" applyBorder="1"/>
    <xf numFmtId="0" fontId="9" fillId="0" borderId="1" xfId="0" applyFont="1" applyFill="1" applyBorder="1"/>
    <xf numFmtId="0" fontId="17" fillId="3" borderId="0" xfId="0" applyFont="1" applyFill="1"/>
    <xf numFmtId="6" fontId="7" fillId="3" borderId="1" xfId="4" applyNumberFormat="1" applyFont="1" applyFill="1" applyBorder="1" applyAlignment="1">
      <alignment horizontal="right" wrapText="1"/>
    </xf>
    <xf numFmtId="42" fontId="13" fillId="4" borderId="7" xfId="73" applyFont="1" applyFill="1" applyBorder="1" applyAlignment="1">
      <alignment horizontal="center" wrapText="1"/>
    </xf>
    <xf numFmtId="168" fontId="11" fillId="0" borderId="0" xfId="6" applyNumberFormat="1" applyAlignment="1">
      <alignment wrapText="1"/>
    </xf>
    <xf numFmtId="0" fontId="7" fillId="0" borderId="0" xfId="0" applyNumberFormat="1" applyFont="1" applyFill="1" applyAlignment="1"/>
    <xf numFmtId="0" fontId="6" fillId="0" borderId="1" xfId="1" applyBorder="1" applyAlignment="1">
      <alignment horizontal="left" wrapText="1"/>
    </xf>
    <xf numFmtId="0" fontId="6" fillId="0" borderId="6" xfId="1" applyBorder="1" applyAlignment="1">
      <alignment horizontal="left" wrapText="1"/>
    </xf>
    <xf numFmtId="0" fontId="6" fillId="0" borderId="13" xfId="1" applyBorder="1" applyAlignment="1">
      <alignment horizontal="left" wrapText="1"/>
    </xf>
    <xf numFmtId="0" fontId="6" fillId="3" borderId="5" xfId="0" applyNumberFormat="1" applyFont="1" applyFill="1" applyBorder="1" applyAlignment="1">
      <alignment vertical="top" wrapText="1"/>
    </xf>
    <xf numFmtId="0" fontId="6" fillId="3" borderId="2" xfId="0" applyNumberFormat="1" applyFont="1" applyFill="1" applyBorder="1" applyAlignment="1">
      <alignment vertical="top" wrapText="1"/>
    </xf>
    <xf numFmtId="0" fontId="6" fillId="3" borderId="4" xfId="0" applyNumberFormat="1" applyFont="1" applyFill="1" applyBorder="1" applyAlignment="1">
      <alignment horizontal="left" vertical="top" wrapText="1"/>
    </xf>
    <xf numFmtId="0" fontId="6" fillId="3" borderId="5" xfId="0" applyNumberFormat="1" applyFont="1" applyFill="1" applyBorder="1" applyAlignment="1">
      <alignment horizontal="left" vertical="top" wrapText="1"/>
    </xf>
    <xf numFmtId="0" fontId="6" fillId="3" borderId="4" xfId="0" applyNumberFormat="1" applyFont="1" applyFill="1" applyBorder="1" applyAlignment="1">
      <alignment vertical="top" wrapText="1"/>
    </xf>
    <xf numFmtId="0" fontId="17" fillId="0" borderId="1" xfId="0" applyNumberFormat="1" applyFont="1" applyBorder="1" applyAlignment="1">
      <alignment horizontal="right" vertical="top" wrapText="1"/>
    </xf>
    <xf numFmtId="0" fontId="17" fillId="0" borderId="1" xfId="0" applyNumberFormat="1" applyFont="1" applyBorder="1" applyAlignment="1">
      <alignment horizontal="right" wrapText="1"/>
    </xf>
    <xf numFmtId="0" fontId="6" fillId="0" borderId="6" xfId="0" applyNumberFormat="1" applyFont="1" applyBorder="1" applyAlignment="1">
      <alignment horizontal="left" wrapText="1"/>
    </xf>
    <xf numFmtId="0" fontId="6" fillId="2" borderId="4" xfId="18" applyFont="1" applyFill="1" applyBorder="1" applyAlignment="1">
      <alignment horizontal="left" vertical="center" wrapText="1"/>
    </xf>
    <xf numFmtId="0" fontId="6" fillId="2" borderId="5" xfId="18" applyFont="1" applyFill="1" applyBorder="1" applyAlignment="1">
      <alignment horizontal="left" vertical="center" wrapText="1"/>
    </xf>
    <xf numFmtId="0" fontId="6" fillId="2" borderId="2" xfId="18" applyFont="1" applyFill="1" applyBorder="1" applyAlignment="1">
      <alignment horizontal="left" vertical="center" wrapText="1"/>
    </xf>
    <xf numFmtId="0" fontId="6" fillId="2" borderId="4" xfId="18" applyFont="1" applyFill="1" applyBorder="1" applyAlignment="1">
      <alignment horizontal="left" wrapText="1"/>
    </xf>
    <xf numFmtId="0" fontId="6" fillId="2" borderId="5" xfId="18" applyFont="1" applyFill="1" applyBorder="1" applyAlignment="1">
      <alignment horizontal="left" wrapText="1"/>
    </xf>
    <xf numFmtId="0" fontId="6" fillId="2" borderId="2" xfId="18" applyFont="1" applyFill="1" applyBorder="1" applyAlignment="1">
      <alignment horizontal="left" wrapText="1"/>
    </xf>
    <xf numFmtId="0" fontId="7" fillId="0" borderId="0" xfId="0" applyFont="1" applyBorder="1"/>
    <xf numFmtId="0" fontId="6" fillId="0" borderId="0" xfId="0" applyFont="1" applyFill="1" applyBorder="1" applyAlignment="1">
      <alignment wrapText="1"/>
    </xf>
    <xf numFmtId="0" fontId="6" fillId="0" borderId="0" xfId="0" applyFont="1" applyFill="1" applyBorder="1" applyAlignment="1">
      <alignment horizontal="center" wrapText="1"/>
    </xf>
    <xf numFmtId="0" fontId="11" fillId="0" borderId="0" xfId="0" applyFont="1" applyBorder="1"/>
    <xf numFmtId="165" fontId="6" fillId="0" borderId="4" xfId="1" applyNumberFormat="1" applyFont="1" applyBorder="1" applyAlignment="1">
      <alignment horizontal="right"/>
    </xf>
    <xf numFmtId="167" fontId="6" fillId="0" borderId="4" xfId="2" applyNumberFormat="1" applyFont="1" applyBorder="1" applyAlignment="1">
      <alignment horizontal="right"/>
    </xf>
    <xf numFmtId="170" fontId="7" fillId="0" borderId="0" xfId="1" applyNumberFormat="1" applyFont="1" applyBorder="1"/>
    <xf numFmtId="169" fontId="7" fillId="0" borderId="0" xfId="1" applyNumberFormat="1" applyFont="1" applyBorder="1"/>
  </cellXfs>
  <cellStyles count="74">
    <cellStyle name="Comma" xfId="10" builtinId="3"/>
    <cellStyle name="Comma 2" xfId="3"/>
    <cellStyle name="Comma 2 2" xfId="36"/>
    <cellStyle name="Comma 2 3" xfId="41"/>
    <cellStyle name="Comma 2 3 2" xfId="67"/>
    <cellStyle name="Comma 2 4" xfId="33"/>
    <cellStyle name="Comma 2 5" xfId="21"/>
    <cellStyle name="Comma 2 6" xfId="53"/>
    <cellStyle name="Comma 3" xfId="8"/>
    <cellStyle name="Comma 3 2" xfId="49"/>
    <cellStyle name="Comma 3 3" xfId="45"/>
    <cellStyle name="Comma 4" xfId="13"/>
    <cellStyle name="Comma 5" xfId="71"/>
    <cellStyle name="Comma0" xfId="22"/>
    <cellStyle name="Comma0 2" xfId="54"/>
    <cellStyle name="Currency" xfId="5" builtinId="4"/>
    <cellStyle name="Currency [0]" xfId="73" builtinId="7"/>
    <cellStyle name="Currency 2" xfId="2"/>
    <cellStyle name="Currency 2 2" xfId="35"/>
    <cellStyle name="Currency 2 3" xfId="42"/>
    <cellStyle name="Currency 2 3 2" xfId="68"/>
    <cellStyle name="Currency 2 4" xfId="34"/>
    <cellStyle name="Currency 2 5" xfId="23"/>
    <cellStyle name="Currency 2 6" xfId="55"/>
    <cellStyle name="Currency 3" xfId="9"/>
    <cellStyle name="Currency 3 2" xfId="50"/>
    <cellStyle name="Currency 3 3" xfId="44"/>
    <cellStyle name="Currency 4" xfId="12"/>
    <cellStyle name="Currency 5" xfId="70"/>
    <cellStyle name="Currency0" xfId="24"/>
    <cellStyle name="Currency0 2" xfId="56"/>
    <cellStyle name="Date" xfId="25"/>
    <cellStyle name="Date 2" xfId="57"/>
    <cellStyle name="Fixed" xfId="26"/>
    <cellStyle name="Fixed 2" xfId="58"/>
    <cellStyle name="Heading 1" xfId="15" builtinId="16"/>
    <cellStyle name="Heading 1 2" xfId="27"/>
    <cellStyle name="Heading 1 2 2" xfId="59"/>
    <cellStyle name="Heading 2 2" xfId="28"/>
    <cellStyle name="Heading 2 2 2" xfId="60"/>
    <cellStyle name="Hyperlink 2" xfId="52"/>
    <cellStyle name="Normal" xfId="0" builtinId="0"/>
    <cellStyle name="Normal 2" xfId="1"/>
    <cellStyle name="Normal 2 2" xfId="48"/>
    <cellStyle name="Normal 2 3" xfId="46"/>
    <cellStyle name="Normal 2 4" xfId="47"/>
    <cellStyle name="Normal 3" xfId="6"/>
    <cellStyle name="Normal 4" xfId="11"/>
    <cellStyle name="Normal 4 2" xfId="14"/>
    <cellStyle name="Normal 4 3" xfId="38"/>
    <cellStyle name="Normal 4 4" xfId="72"/>
    <cellStyle name="Normal 5" xfId="17"/>
    <cellStyle name="Normal 5 2" xfId="31"/>
    <cellStyle name="Normal 5 3" xfId="64"/>
    <cellStyle name="Normal 6" xfId="18"/>
    <cellStyle name="Normal 6 2" xfId="39"/>
    <cellStyle name="Normal 6 3" xfId="65"/>
    <cellStyle name="Normal 7" xfId="43"/>
    <cellStyle name="Normal 7 2" xfId="69"/>
    <cellStyle name="Normal 8" xfId="19"/>
    <cellStyle name="Normal 9" xfId="51"/>
    <cellStyle name="Normal_1722 Marine SI tables" xfId="4"/>
    <cellStyle name="Normal_1722 Marine SI tables 2" xfId="61"/>
    <cellStyle name="Percent" xfId="16" builtinId="5"/>
    <cellStyle name="Percent 2" xfId="7"/>
    <cellStyle name="Percent 2 2" xfId="37"/>
    <cellStyle name="Percent 2 3" xfId="40"/>
    <cellStyle name="Percent 2 3 2" xfId="66"/>
    <cellStyle name="Percent 2 4" xfId="32"/>
    <cellStyle name="Percent 2 5" xfId="29"/>
    <cellStyle name="Percent 2 6" xfId="62"/>
    <cellStyle name="Percent 3" xfId="20"/>
    <cellStyle name="Total 2" xfId="30"/>
    <cellStyle name="Total 2 2" xfId="63"/>
  </cellStyles>
  <dxfs count="0"/>
  <tableStyles count="0" defaultTableStyle="TableStyleMedium9"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3"/>
  <sheetViews>
    <sheetView tabSelected="1" zoomScale="85" zoomScaleNormal="85" workbookViewId="0">
      <selection sqref="A1:P1"/>
    </sheetView>
  </sheetViews>
  <sheetFormatPr defaultColWidth="9.109375" defaultRowHeight="10.199999999999999" x14ac:dyDescent="0.2"/>
  <cols>
    <col min="1" max="1" width="23.5546875" style="3" customWidth="1"/>
    <col min="2" max="2" width="10" style="3" customWidth="1"/>
    <col min="3" max="3" width="11" style="3" bestFit="1" customWidth="1"/>
    <col min="4" max="4" width="10" style="3" customWidth="1"/>
    <col min="5" max="5" width="13.5546875" style="3" customWidth="1"/>
    <col min="6" max="6" width="14.6640625" style="3" customWidth="1"/>
    <col min="7" max="7" width="10.77734375" style="126" customWidth="1"/>
    <col min="8" max="8" width="10.77734375" style="3" customWidth="1"/>
    <col min="9" max="9" width="9.109375" style="3"/>
    <col min="10" max="10" width="10.44140625" style="92" customWidth="1"/>
    <col min="11" max="11" width="7.88671875" style="3" bestFit="1" customWidth="1"/>
    <col min="12" max="12" width="12.6640625" style="92" customWidth="1"/>
    <col min="13" max="13" width="14.109375" style="3" customWidth="1"/>
    <col min="14" max="14" width="12.21875" style="3" customWidth="1"/>
    <col min="15" max="15" width="9.109375" style="3"/>
    <col min="16" max="16" width="13.88671875" style="92" bestFit="1" customWidth="1"/>
    <col min="17" max="16384" width="9.109375" style="3"/>
  </cols>
  <sheetData>
    <row r="1" spans="1:16" ht="20.399999999999999" thickBot="1" x14ac:dyDescent="0.25">
      <c r="A1" s="444" t="s">
        <v>231</v>
      </c>
      <c r="B1" s="444"/>
      <c r="C1" s="444"/>
      <c r="D1" s="444"/>
      <c r="E1" s="444"/>
      <c r="F1" s="444"/>
      <c r="G1" s="444"/>
      <c r="H1" s="444"/>
      <c r="I1" s="444"/>
      <c r="J1" s="444"/>
      <c r="K1" s="444"/>
      <c r="L1" s="444"/>
      <c r="M1" s="444"/>
      <c r="N1" s="444"/>
      <c r="O1" s="444"/>
      <c r="P1" s="444"/>
    </row>
    <row r="2" spans="1:16" ht="21" thickTop="1" thickBot="1" x14ac:dyDescent="0.25">
      <c r="A2" s="444" t="s">
        <v>200</v>
      </c>
      <c r="B2" s="444"/>
      <c r="C2" s="444"/>
      <c r="D2" s="444"/>
      <c r="E2" s="444"/>
      <c r="F2" s="444"/>
      <c r="G2" s="444"/>
      <c r="H2" s="444"/>
      <c r="I2" s="444"/>
      <c r="J2" s="444"/>
      <c r="K2" s="444"/>
      <c r="L2" s="444"/>
      <c r="M2" s="444"/>
      <c r="N2" s="444"/>
      <c r="O2" s="444"/>
      <c r="P2" s="444"/>
    </row>
    <row r="3" spans="1:16" s="131" customFormat="1" ht="19.8" customHeight="1" thickTop="1" x14ac:dyDescent="0.25">
      <c r="A3" s="430" t="s">
        <v>0</v>
      </c>
      <c r="B3" s="446" t="s">
        <v>139</v>
      </c>
      <c r="C3" s="447"/>
      <c r="D3" s="447"/>
      <c r="E3" s="447"/>
      <c r="F3" s="447"/>
      <c r="G3" s="447"/>
      <c r="H3" s="447"/>
      <c r="I3" s="447"/>
      <c r="J3" s="447"/>
      <c r="K3" s="447"/>
      <c r="L3" s="448"/>
      <c r="M3" s="442" t="s">
        <v>140</v>
      </c>
      <c r="N3" s="443"/>
      <c r="O3" s="443"/>
      <c r="P3" s="443"/>
    </row>
    <row r="4" spans="1:16" s="131" customFormat="1" ht="53.4" customHeight="1" x14ac:dyDescent="0.25">
      <c r="A4" s="431"/>
      <c r="B4" s="132" t="s">
        <v>45</v>
      </c>
      <c r="C4" s="132" t="s">
        <v>46</v>
      </c>
      <c r="D4" s="132" t="s">
        <v>47</v>
      </c>
      <c r="E4" s="132" t="s">
        <v>161</v>
      </c>
      <c r="F4" s="132" t="s">
        <v>162</v>
      </c>
      <c r="G4" s="191" t="s">
        <v>196</v>
      </c>
      <c r="H4" s="132" t="s">
        <v>141</v>
      </c>
      <c r="I4" s="430" t="s">
        <v>142</v>
      </c>
      <c r="J4" s="439" t="s">
        <v>11</v>
      </c>
      <c r="K4" s="439" t="s">
        <v>143</v>
      </c>
      <c r="L4" s="457" t="s">
        <v>166</v>
      </c>
      <c r="M4" s="453" t="s">
        <v>167</v>
      </c>
      <c r="N4" s="430" t="s">
        <v>25</v>
      </c>
      <c r="O4" s="436" t="s">
        <v>12</v>
      </c>
      <c r="P4" s="439" t="s">
        <v>144</v>
      </c>
    </row>
    <row r="5" spans="1:16" s="131" customFormat="1" ht="15.75" customHeight="1" x14ac:dyDescent="0.25">
      <c r="A5" s="445"/>
      <c r="B5" s="132" t="s">
        <v>145</v>
      </c>
      <c r="C5" s="132" t="s">
        <v>145</v>
      </c>
      <c r="D5" s="132" t="s">
        <v>145</v>
      </c>
      <c r="E5" s="132" t="s">
        <v>145</v>
      </c>
      <c r="F5" s="132" t="s">
        <v>145</v>
      </c>
      <c r="G5" s="191" t="s">
        <v>145</v>
      </c>
      <c r="H5" s="132" t="s">
        <v>145</v>
      </c>
      <c r="I5" s="431"/>
      <c r="J5" s="440"/>
      <c r="K5" s="440"/>
      <c r="L5" s="458"/>
      <c r="M5" s="454"/>
      <c r="N5" s="431"/>
      <c r="O5" s="437"/>
      <c r="P5" s="440"/>
    </row>
    <row r="6" spans="1:16" s="131" customFormat="1" ht="13.8" x14ac:dyDescent="0.3">
      <c r="A6" s="432"/>
      <c r="B6" s="133">
        <v>88.01</v>
      </c>
      <c r="C6" s="133">
        <v>132.91</v>
      </c>
      <c r="D6" s="133">
        <v>168.46</v>
      </c>
      <c r="E6" s="133">
        <v>60.1</v>
      </c>
      <c r="F6" s="133">
        <v>40.67</v>
      </c>
      <c r="G6" s="192">
        <v>39.35</v>
      </c>
      <c r="H6" s="133">
        <v>40.380000000000003</v>
      </c>
      <c r="I6" s="432"/>
      <c r="J6" s="441"/>
      <c r="K6" s="441"/>
      <c r="L6" s="459"/>
      <c r="M6" s="456"/>
      <c r="N6" s="432"/>
      <c r="O6" s="438"/>
      <c r="P6" s="441"/>
    </row>
    <row r="7" spans="1:16" s="38" customFormat="1" ht="13.2" x14ac:dyDescent="0.25">
      <c r="A7" s="427" t="s">
        <v>123</v>
      </c>
      <c r="B7" s="428"/>
      <c r="C7" s="428"/>
      <c r="D7" s="428"/>
      <c r="E7" s="428"/>
      <c r="F7" s="428"/>
      <c r="G7" s="428"/>
      <c r="H7" s="428"/>
      <c r="I7" s="428"/>
      <c r="J7" s="428"/>
      <c r="K7" s="428"/>
      <c r="L7" s="428"/>
      <c r="M7" s="428"/>
      <c r="N7" s="428"/>
      <c r="O7" s="428"/>
      <c r="P7" s="429"/>
    </row>
    <row r="8" spans="1:16" ht="26.4" x14ac:dyDescent="0.25">
      <c r="A8" s="13" t="s">
        <v>30</v>
      </c>
      <c r="B8" s="8">
        <v>16</v>
      </c>
      <c r="C8" s="8">
        <v>9</v>
      </c>
      <c r="D8" s="8">
        <v>10</v>
      </c>
      <c r="E8" s="8">
        <v>4</v>
      </c>
      <c r="F8" s="8">
        <v>0</v>
      </c>
      <c r="G8" s="39">
        <v>0</v>
      </c>
      <c r="H8" s="8">
        <v>1</v>
      </c>
      <c r="I8" s="8">
        <f>B8+C8+D8+E8+F8+H8</f>
        <v>40</v>
      </c>
      <c r="J8" s="90">
        <f>(B8*$B$6)+(C8*$C$6)+(D8*$D$6)+(E8*$E$6)+(F8*$F$6)+(H8*$H$6)</f>
        <v>4569.7300000000005</v>
      </c>
      <c r="K8" s="90">
        <v>0</v>
      </c>
      <c r="L8" s="90">
        <v>5</v>
      </c>
      <c r="M8" s="10">
        <v>2</v>
      </c>
      <c r="N8" s="9">
        <v>103</v>
      </c>
      <c r="O8" s="8">
        <f>I8*M8*N8</f>
        <v>8240</v>
      </c>
      <c r="P8" s="90">
        <f>(J8+K8+L8)*M8*N8</f>
        <v>942394.38000000012</v>
      </c>
    </row>
    <row r="9" spans="1:16" ht="26.4" x14ac:dyDescent="0.25">
      <c r="A9" s="12" t="s">
        <v>28</v>
      </c>
      <c r="B9" s="8">
        <v>5</v>
      </c>
      <c r="C9" s="8">
        <v>1</v>
      </c>
      <c r="D9" s="8">
        <v>0</v>
      </c>
      <c r="E9" s="8">
        <v>0</v>
      </c>
      <c r="F9" s="8">
        <v>0</v>
      </c>
      <c r="G9" s="39">
        <v>0</v>
      </c>
      <c r="H9" s="8">
        <v>1</v>
      </c>
      <c r="I9" s="8">
        <f t="shared" ref="I9:I20" si="0">B9+C9+D9+E9+F9+H9</f>
        <v>7</v>
      </c>
      <c r="J9" s="90">
        <f t="shared" ref="J9:J12" si="1">(B9*$B$6)+(C9*$C$6)+(D9*$D$6)+(E9*$E$6)+(F9*$F$6)+(H9*$H$6)</f>
        <v>613.34</v>
      </c>
      <c r="K9" s="90">
        <v>0</v>
      </c>
      <c r="L9" s="90">
        <v>0</v>
      </c>
      <c r="M9" s="10">
        <v>1</v>
      </c>
      <c r="N9" s="9">
        <v>103</v>
      </c>
      <c r="O9" s="8">
        <f t="shared" ref="O9:O28" si="2">I9*M9*N9</f>
        <v>721</v>
      </c>
      <c r="P9" s="90">
        <f t="shared" ref="P9:P35" si="3">(J9+K9+L9)*M9*N9</f>
        <v>63174.020000000004</v>
      </c>
    </row>
    <row r="10" spans="1:16" s="126" customFormat="1" ht="26.4" x14ac:dyDescent="0.25">
      <c r="A10" s="12" t="s">
        <v>7</v>
      </c>
      <c r="B10" s="8">
        <v>30</v>
      </c>
      <c r="C10" s="8">
        <v>5</v>
      </c>
      <c r="D10" s="8">
        <v>0</v>
      </c>
      <c r="E10" s="8">
        <v>38</v>
      </c>
      <c r="F10" s="8">
        <v>2</v>
      </c>
      <c r="G10" s="39">
        <v>0</v>
      </c>
      <c r="H10" s="8">
        <v>3</v>
      </c>
      <c r="I10" s="8">
        <f t="shared" ref="I10" si="4">B10+C10+D10+E10+F10+H10</f>
        <v>78</v>
      </c>
      <c r="J10" s="90">
        <f t="shared" ref="J10" si="5">(B10*$B$6)+(C10*$C$6)+(D10*$D$6)+(E10*$E$6)+(F10*$F$6)+(H10*$H$6)</f>
        <v>5791.130000000001</v>
      </c>
      <c r="K10" s="90">
        <v>0</v>
      </c>
      <c r="L10" s="90">
        <v>5</v>
      </c>
      <c r="M10" s="10">
        <f>197/93</f>
        <v>2.118279569892473</v>
      </c>
      <c r="N10" s="9">
        <v>103</v>
      </c>
      <c r="O10" s="8">
        <f t="shared" ref="O10" si="6">I10*M10*N10</f>
        <v>17018.258064516129</v>
      </c>
      <c r="P10" s="90">
        <f t="shared" si="3"/>
        <v>1264615.8476344086</v>
      </c>
    </row>
    <row r="11" spans="1:16" s="126" customFormat="1" ht="15.6" x14ac:dyDescent="0.2">
      <c r="A11" s="572" t="s">
        <v>301</v>
      </c>
      <c r="B11" s="568"/>
      <c r="C11" s="568"/>
      <c r="D11" s="568"/>
      <c r="E11" s="568"/>
      <c r="F11" s="568"/>
      <c r="G11" s="568"/>
      <c r="H11" s="568"/>
      <c r="I11" s="568"/>
      <c r="J11" s="568"/>
      <c r="K11" s="568"/>
      <c r="L11" s="568"/>
      <c r="M11" s="568"/>
      <c r="N11" s="568"/>
      <c r="O11" s="568"/>
      <c r="P11" s="569"/>
    </row>
    <row r="12" spans="1:16" ht="22.8" x14ac:dyDescent="0.25">
      <c r="A12" s="573" t="s">
        <v>299</v>
      </c>
      <c r="B12" s="8">
        <v>10</v>
      </c>
      <c r="C12" s="8">
        <v>7</v>
      </c>
      <c r="D12" s="8">
        <v>0</v>
      </c>
      <c r="E12" s="8">
        <v>60</v>
      </c>
      <c r="F12" s="8">
        <v>4</v>
      </c>
      <c r="G12" s="39">
        <v>1</v>
      </c>
      <c r="H12" s="8">
        <v>14</v>
      </c>
      <c r="I12" s="8">
        <f t="shared" si="0"/>
        <v>95</v>
      </c>
      <c r="J12" s="90">
        <f t="shared" si="1"/>
        <v>6144.47</v>
      </c>
      <c r="K12" s="90">
        <v>0</v>
      </c>
      <c r="L12" s="90">
        <v>5</v>
      </c>
      <c r="M12" s="10">
        <f>141/55.8</f>
        <v>2.5268817204301075</v>
      </c>
      <c r="N12" s="9">
        <v>55.8</v>
      </c>
      <c r="O12" s="8">
        <f t="shared" si="2"/>
        <v>13395</v>
      </c>
      <c r="P12" s="90">
        <f t="shared" si="3"/>
        <v>867075.27</v>
      </c>
    </row>
    <row r="13" spans="1:16" ht="22.8" x14ac:dyDescent="0.25">
      <c r="A13" s="573" t="s">
        <v>302</v>
      </c>
      <c r="B13" s="433"/>
      <c r="C13" s="434"/>
      <c r="D13" s="434"/>
      <c r="E13" s="434"/>
      <c r="F13" s="434"/>
      <c r="G13" s="434"/>
      <c r="H13" s="434"/>
      <c r="I13" s="434"/>
      <c r="J13" s="434"/>
      <c r="K13" s="435"/>
      <c r="L13" s="91">
        <v>81236.789999999994</v>
      </c>
      <c r="M13" s="10">
        <v>1</v>
      </c>
      <c r="N13" s="9">
        <v>55.8</v>
      </c>
      <c r="O13" s="8">
        <f t="shared" si="2"/>
        <v>0</v>
      </c>
      <c r="P13" s="90">
        <f t="shared" si="3"/>
        <v>4533012.8819999993</v>
      </c>
    </row>
    <row r="14" spans="1:16" ht="13.2" customHeight="1" x14ac:dyDescent="0.2">
      <c r="A14" s="570" t="s">
        <v>303</v>
      </c>
      <c r="B14" s="571"/>
      <c r="C14" s="568"/>
      <c r="D14" s="568"/>
      <c r="E14" s="568"/>
      <c r="F14" s="568"/>
      <c r="G14" s="568"/>
      <c r="H14" s="568"/>
      <c r="I14" s="568"/>
      <c r="J14" s="568"/>
      <c r="K14" s="568"/>
      <c r="L14" s="568"/>
      <c r="M14" s="568"/>
      <c r="N14" s="568"/>
      <c r="O14" s="568"/>
      <c r="P14" s="569"/>
    </row>
    <row r="15" spans="1:16" ht="13.2" x14ac:dyDescent="0.25">
      <c r="A15" s="574" t="s">
        <v>33</v>
      </c>
      <c r="B15" s="433"/>
      <c r="C15" s="434"/>
      <c r="D15" s="434"/>
      <c r="E15" s="434"/>
      <c r="F15" s="434"/>
      <c r="G15" s="434"/>
      <c r="H15" s="434"/>
      <c r="I15" s="434"/>
      <c r="J15" s="434"/>
      <c r="K15" s="435"/>
      <c r="L15" s="91">
        <f>47945/3</f>
        <v>15981.666666666666</v>
      </c>
      <c r="M15" s="10">
        <f>28/N15</f>
        <v>3.5</v>
      </c>
      <c r="N15" s="9">
        <v>8</v>
      </c>
      <c r="O15" s="8">
        <f t="shared" si="2"/>
        <v>0</v>
      </c>
      <c r="P15" s="90">
        <f t="shared" si="3"/>
        <v>447486.66666666663</v>
      </c>
    </row>
    <row r="16" spans="1:16" ht="13.2" x14ac:dyDescent="0.25">
      <c r="A16" s="574" t="s">
        <v>199</v>
      </c>
      <c r="B16" s="433"/>
      <c r="C16" s="434"/>
      <c r="D16" s="434"/>
      <c r="E16" s="434"/>
      <c r="F16" s="434"/>
      <c r="G16" s="434"/>
      <c r="H16" s="434"/>
      <c r="I16" s="434"/>
      <c r="J16" s="434"/>
      <c r="K16" s="435"/>
      <c r="L16" s="91">
        <f>53911/3</f>
        <v>17970.333333333332</v>
      </c>
      <c r="M16" s="10">
        <f>30/10</f>
        <v>3</v>
      </c>
      <c r="N16" s="9">
        <v>10</v>
      </c>
      <c r="O16" s="8">
        <f t="shared" ref="O16" si="7">I16*M16*N16</f>
        <v>0</v>
      </c>
      <c r="P16" s="90">
        <f t="shared" si="3"/>
        <v>539110</v>
      </c>
    </row>
    <row r="17" spans="1:16" s="126" customFormat="1" ht="13.2" x14ac:dyDescent="0.25">
      <c r="A17" s="574" t="s">
        <v>247</v>
      </c>
      <c r="B17" s="414"/>
      <c r="C17" s="415"/>
      <c r="D17" s="415"/>
      <c r="E17" s="415"/>
      <c r="F17" s="415"/>
      <c r="G17" s="415"/>
      <c r="H17" s="415"/>
      <c r="I17" s="415"/>
      <c r="J17" s="415"/>
      <c r="K17" s="416"/>
      <c r="L17" s="91">
        <f>8066.53/3</f>
        <v>2688.8433333333332</v>
      </c>
      <c r="M17" s="10">
        <f>9/15</f>
        <v>0.6</v>
      </c>
      <c r="N17" s="9">
        <v>9</v>
      </c>
      <c r="O17" s="8">
        <f t="shared" ref="O17" si="8">I17*M17*N17</f>
        <v>0</v>
      </c>
      <c r="P17" s="90">
        <f t="shared" ref="P17" si="9">(J17+K17+L17)*M17*N17</f>
        <v>14519.753999999999</v>
      </c>
    </row>
    <row r="18" spans="1:16" ht="26.4" x14ac:dyDescent="0.25">
      <c r="A18" s="12" t="s">
        <v>9</v>
      </c>
      <c r="B18" s="8">
        <v>5</v>
      </c>
      <c r="C18" s="8">
        <v>6</v>
      </c>
      <c r="D18" s="8">
        <v>1</v>
      </c>
      <c r="E18" s="8">
        <v>0</v>
      </c>
      <c r="F18" s="8">
        <v>0</v>
      </c>
      <c r="G18" s="39">
        <v>0</v>
      </c>
      <c r="H18" s="8">
        <v>1</v>
      </c>
      <c r="I18" s="8">
        <f t="shared" si="0"/>
        <v>13</v>
      </c>
      <c r="J18" s="90">
        <f t="shared" ref="J18:J20" si="10">(B18*$B$6)+(C18*$C$6)+(D18*$D$6)+(E18*$E$6)+(F18*$F$6)+(H18*$H$6)</f>
        <v>1446.3500000000001</v>
      </c>
      <c r="K18" s="90">
        <v>0</v>
      </c>
      <c r="L18" s="90">
        <v>0</v>
      </c>
      <c r="M18" s="10">
        <f>197/93</f>
        <v>2.118279569892473</v>
      </c>
      <c r="N18" s="9">
        <v>93</v>
      </c>
      <c r="O18" s="8">
        <f t="shared" si="2"/>
        <v>2561</v>
      </c>
      <c r="P18" s="90">
        <f t="shared" si="3"/>
        <v>284930.95</v>
      </c>
    </row>
    <row r="19" spans="1:16" ht="39.6" x14ac:dyDescent="0.25">
      <c r="A19" s="12" t="s">
        <v>10</v>
      </c>
      <c r="B19" s="8">
        <v>5</v>
      </c>
      <c r="C19" s="8">
        <v>0.5</v>
      </c>
      <c r="D19" s="8">
        <v>0</v>
      </c>
      <c r="E19" s="8">
        <v>0</v>
      </c>
      <c r="F19" s="8">
        <v>0</v>
      </c>
      <c r="G19" s="39">
        <v>0</v>
      </c>
      <c r="H19" s="8">
        <v>4</v>
      </c>
      <c r="I19" s="8">
        <f t="shared" si="0"/>
        <v>9.5</v>
      </c>
      <c r="J19" s="90">
        <f t="shared" si="10"/>
        <v>668.02499999999998</v>
      </c>
      <c r="K19" s="90">
        <v>0</v>
      </c>
      <c r="L19" s="90">
        <v>4</v>
      </c>
      <c r="M19" s="42">
        <f>969/93</f>
        <v>10.419354838709678</v>
      </c>
      <c r="N19" s="9">
        <v>93</v>
      </c>
      <c r="O19" s="8">
        <f t="shared" si="2"/>
        <v>9205.5</v>
      </c>
      <c r="P19" s="90">
        <f t="shared" si="3"/>
        <v>651192.22499999998</v>
      </c>
    </row>
    <row r="20" spans="1:16" ht="28.8" x14ac:dyDescent="0.25">
      <c r="A20" s="49" t="s">
        <v>304</v>
      </c>
      <c r="B20" s="8">
        <v>1</v>
      </c>
      <c r="C20" s="8">
        <v>0</v>
      </c>
      <c r="D20" s="8">
        <v>0</v>
      </c>
      <c r="E20" s="8">
        <v>0</v>
      </c>
      <c r="F20" s="8">
        <v>0</v>
      </c>
      <c r="G20" s="39">
        <v>0</v>
      </c>
      <c r="H20" s="8">
        <v>2</v>
      </c>
      <c r="I20" s="8">
        <f t="shared" si="0"/>
        <v>3</v>
      </c>
      <c r="J20" s="90">
        <f t="shared" si="10"/>
        <v>168.77</v>
      </c>
      <c r="K20" s="90">
        <v>0</v>
      </c>
      <c r="L20" s="90">
        <v>5</v>
      </c>
      <c r="M20" s="10">
        <f>772/93</f>
        <v>8.301075268817204</v>
      </c>
      <c r="N20" s="9">
        <v>93</v>
      </c>
      <c r="O20" s="8">
        <f t="shared" si="2"/>
        <v>2316</v>
      </c>
      <c r="P20" s="90">
        <f t="shared" si="3"/>
        <v>134150.44</v>
      </c>
    </row>
    <row r="21" spans="1:16" s="126" customFormat="1" ht="15.6" x14ac:dyDescent="0.2">
      <c r="A21" s="572" t="s">
        <v>305</v>
      </c>
      <c r="B21" s="568"/>
      <c r="C21" s="568"/>
      <c r="D21" s="568"/>
      <c r="E21" s="568"/>
      <c r="F21" s="568"/>
      <c r="G21" s="568"/>
      <c r="H21" s="568"/>
      <c r="I21" s="568"/>
      <c r="J21" s="568"/>
      <c r="K21" s="568"/>
      <c r="L21" s="568"/>
      <c r="M21" s="568"/>
      <c r="N21" s="568"/>
      <c r="O21" s="568"/>
      <c r="P21" s="569"/>
    </row>
    <row r="22" spans="1:16" ht="13.2" x14ac:dyDescent="0.25">
      <c r="A22" s="43" t="s">
        <v>44</v>
      </c>
      <c r="B22" s="433"/>
      <c r="C22" s="434"/>
      <c r="D22" s="434"/>
      <c r="E22" s="434"/>
      <c r="F22" s="434"/>
      <c r="G22" s="434"/>
      <c r="H22" s="434"/>
      <c r="I22" s="434"/>
      <c r="J22" s="434"/>
      <c r="K22" s="435"/>
      <c r="L22" s="90">
        <v>55892</v>
      </c>
      <c r="M22" s="10">
        <f>25/N22</f>
        <v>3.125</v>
      </c>
      <c r="N22" s="9">
        <v>8</v>
      </c>
      <c r="O22" s="8">
        <f t="shared" si="2"/>
        <v>0</v>
      </c>
      <c r="P22" s="90">
        <f t="shared" si="3"/>
        <v>1397300</v>
      </c>
    </row>
    <row r="23" spans="1:16" ht="13.2" x14ac:dyDescent="0.25">
      <c r="A23" s="44" t="s">
        <v>32</v>
      </c>
      <c r="B23" s="433"/>
      <c r="C23" s="434"/>
      <c r="D23" s="434"/>
      <c r="E23" s="434"/>
      <c r="F23" s="434"/>
      <c r="G23" s="434"/>
      <c r="H23" s="434"/>
      <c r="I23" s="434"/>
      <c r="J23" s="434"/>
      <c r="K23" s="435"/>
      <c r="L23" s="91">
        <v>563</v>
      </c>
      <c r="M23" s="10">
        <f>6/N23</f>
        <v>0.75</v>
      </c>
      <c r="N23" s="9">
        <v>8</v>
      </c>
      <c r="O23" s="8">
        <f t="shared" si="2"/>
        <v>0</v>
      </c>
      <c r="P23" s="90">
        <f t="shared" si="3"/>
        <v>3378</v>
      </c>
    </row>
    <row r="24" spans="1:16" ht="13.2" x14ac:dyDescent="0.25">
      <c r="A24" s="557" t="s">
        <v>247</v>
      </c>
      <c r="B24" s="433"/>
      <c r="C24" s="434"/>
      <c r="D24" s="434"/>
      <c r="E24" s="434"/>
      <c r="F24" s="434"/>
      <c r="G24" s="434"/>
      <c r="H24" s="434"/>
      <c r="I24" s="434"/>
      <c r="J24" s="434"/>
      <c r="K24" s="435"/>
      <c r="L24" s="91">
        <v>563</v>
      </c>
      <c r="M24" s="10">
        <f>5/6</f>
        <v>0.83333333333333337</v>
      </c>
      <c r="N24" s="9">
        <v>6</v>
      </c>
      <c r="O24" s="8">
        <f t="shared" ref="O24" si="11">I24*M24*N24</f>
        <v>0</v>
      </c>
      <c r="P24" s="90">
        <f t="shared" ref="P24" si="12">(J24+K24+L24)*M24*N24</f>
        <v>2815</v>
      </c>
    </row>
    <row r="25" spans="1:16" ht="13.2" x14ac:dyDescent="0.25">
      <c r="A25" s="17" t="s">
        <v>31</v>
      </c>
      <c r="B25" s="433"/>
      <c r="C25" s="434"/>
      <c r="D25" s="434"/>
      <c r="E25" s="434"/>
      <c r="F25" s="434"/>
      <c r="G25" s="434"/>
      <c r="H25" s="434"/>
      <c r="I25" s="434"/>
      <c r="J25" s="434"/>
      <c r="K25" s="435"/>
      <c r="L25" s="90">
        <v>2940</v>
      </c>
      <c r="M25" s="10">
        <f>370/N25</f>
        <v>9.25</v>
      </c>
      <c r="N25" s="9">
        <v>40</v>
      </c>
      <c r="O25" s="8">
        <f t="shared" si="2"/>
        <v>0</v>
      </c>
      <c r="P25" s="90">
        <f t="shared" si="3"/>
        <v>1087800</v>
      </c>
    </row>
    <row r="26" spans="1:16" s="126" customFormat="1" ht="13.2" x14ac:dyDescent="0.25">
      <c r="A26" s="43" t="s">
        <v>149</v>
      </c>
      <c r="B26" s="433"/>
      <c r="C26" s="434"/>
      <c r="D26" s="434"/>
      <c r="E26" s="434"/>
      <c r="F26" s="434"/>
      <c r="G26" s="434"/>
      <c r="H26" s="434"/>
      <c r="I26" s="434"/>
      <c r="J26" s="434"/>
      <c r="K26" s="435"/>
      <c r="L26" s="90">
        <v>563</v>
      </c>
      <c r="M26" s="10">
        <f>310/N26</f>
        <v>10.689655172413794</v>
      </c>
      <c r="N26" s="9">
        <v>29</v>
      </c>
      <c r="O26" s="8">
        <f t="shared" ref="O26" si="13">I26*M26*N26</f>
        <v>0</v>
      </c>
      <c r="P26" s="90">
        <f t="shared" si="3"/>
        <v>174530</v>
      </c>
    </row>
    <row r="27" spans="1:16" ht="13.2" x14ac:dyDescent="0.25">
      <c r="A27" s="43" t="s">
        <v>146</v>
      </c>
      <c r="B27" s="433"/>
      <c r="C27" s="434"/>
      <c r="D27" s="434"/>
      <c r="E27" s="434"/>
      <c r="F27" s="434"/>
      <c r="G27" s="434"/>
      <c r="H27" s="434"/>
      <c r="I27" s="434"/>
      <c r="J27" s="434"/>
      <c r="K27" s="435"/>
      <c r="L27" s="90">
        <v>563</v>
      </c>
      <c r="M27" s="10">
        <f>61/15</f>
        <v>4.0666666666666664</v>
      </c>
      <c r="N27" s="9">
        <v>15</v>
      </c>
      <c r="O27" s="8"/>
      <c r="P27" s="90">
        <f t="shared" si="3"/>
        <v>34343</v>
      </c>
    </row>
    <row r="28" spans="1:16" ht="26.4" x14ac:dyDescent="0.25">
      <c r="A28" s="12" t="s">
        <v>1</v>
      </c>
      <c r="B28" s="8">
        <v>4</v>
      </c>
      <c r="C28" s="8">
        <v>1</v>
      </c>
      <c r="D28" s="8">
        <v>1</v>
      </c>
      <c r="E28" s="8">
        <v>1.5</v>
      </c>
      <c r="F28" s="8">
        <v>0</v>
      </c>
      <c r="G28" s="558">
        <v>0</v>
      </c>
      <c r="H28" s="8">
        <v>1</v>
      </c>
      <c r="I28" s="8">
        <f>B28+C28+D28+E28+F28+H28</f>
        <v>8.5</v>
      </c>
      <c r="J28" s="90">
        <f t="shared" ref="J28:J35" si="14">(B28*$B$6)+(C28*$C$6)+(D28*$D$6)+(E28*$E$6)+(F28*$F$6)+(H28*$H$6)</f>
        <v>783.94</v>
      </c>
      <c r="K28" s="90">
        <v>0</v>
      </c>
      <c r="L28" s="90">
        <v>6</v>
      </c>
      <c r="M28" s="10">
        <f>1080/93</f>
        <v>11.612903225806452</v>
      </c>
      <c r="N28" s="9">
        <v>103</v>
      </c>
      <c r="O28" s="8">
        <f t="shared" si="2"/>
        <v>10167.096774193549</v>
      </c>
      <c r="P28" s="90">
        <f t="shared" si="3"/>
        <v>944870.16774193558</v>
      </c>
    </row>
    <row r="29" spans="1:16" s="126" customFormat="1" ht="26.4" x14ac:dyDescent="0.25">
      <c r="A29" s="575" t="s">
        <v>55</v>
      </c>
      <c r="B29" s="16">
        <v>5</v>
      </c>
      <c r="C29" s="16">
        <v>3</v>
      </c>
      <c r="D29" s="16">
        <v>2</v>
      </c>
      <c r="E29" s="16">
        <v>0</v>
      </c>
      <c r="F29" s="16">
        <v>0</v>
      </c>
      <c r="G29" s="126">
        <v>0</v>
      </c>
      <c r="H29" s="16">
        <v>0</v>
      </c>
      <c r="I29" s="8">
        <f>B29+C29+D29+E29+F29+H29</f>
        <v>10</v>
      </c>
      <c r="J29" s="90">
        <f t="shared" si="14"/>
        <v>1175.7</v>
      </c>
      <c r="K29" s="90">
        <v>0</v>
      </c>
      <c r="L29" s="90">
        <v>10</v>
      </c>
      <c r="M29" s="45">
        <v>2</v>
      </c>
      <c r="N29" s="46">
        <v>10</v>
      </c>
      <c r="O29" s="8">
        <f t="shared" ref="O29:O31" si="15">I29*M29*N29</f>
        <v>200</v>
      </c>
      <c r="P29" s="90">
        <f t="shared" si="3"/>
        <v>23714</v>
      </c>
    </row>
    <row r="30" spans="1:16" s="38" customFormat="1" ht="13.2" x14ac:dyDescent="0.25">
      <c r="A30" s="427" t="s">
        <v>201</v>
      </c>
      <c r="B30" s="428"/>
      <c r="C30" s="428"/>
      <c r="D30" s="428"/>
      <c r="E30" s="428"/>
      <c r="F30" s="428"/>
      <c r="G30" s="428"/>
      <c r="H30" s="428"/>
      <c r="I30" s="428"/>
      <c r="J30" s="428"/>
      <c r="K30" s="428"/>
      <c r="L30" s="428"/>
      <c r="M30" s="428"/>
      <c r="N30" s="428"/>
      <c r="O30" s="428"/>
      <c r="P30" s="429"/>
    </row>
    <row r="31" spans="1:16" s="38" customFormat="1" ht="26.4" x14ac:dyDescent="0.25">
      <c r="A31" s="51" t="s">
        <v>56</v>
      </c>
      <c r="B31" s="242">
        <v>12</v>
      </c>
      <c r="C31" s="52">
        <v>2</v>
      </c>
      <c r="D31" s="52">
        <v>1</v>
      </c>
      <c r="E31" s="52">
        <v>0</v>
      </c>
      <c r="F31" s="52">
        <v>0</v>
      </c>
      <c r="G31" s="52">
        <v>0</v>
      </c>
      <c r="H31" s="52">
        <v>2</v>
      </c>
      <c r="I31" s="8">
        <f>B31+C31+D31+E31+F31+H31</f>
        <v>17</v>
      </c>
      <c r="J31" s="90">
        <f t="shared" si="14"/>
        <v>1571.16</v>
      </c>
      <c r="K31" s="90">
        <v>0</v>
      </c>
      <c r="L31" s="53">
        <v>3</v>
      </c>
      <c r="M31" s="42">
        <v>1</v>
      </c>
      <c r="N31" s="48">
        <v>103</v>
      </c>
      <c r="O31" s="54">
        <f t="shared" si="15"/>
        <v>1751</v>
      </c>
      <c r="P31" s="90">
        <f t="shared" si="3"/>
        <v>162138.48000000001</v>
      </c>
    </row>
    <row r="32" spans="1:16" s="38" customFormat="1" ht="26.4" x14ac:dyDescent="0.25">
      <c r="A32" s="51" t="s">
        <v>198</v>
      </c>
      <c r="B32" s="242">
        <v>90</v>
      </c>
      <c r="C32" s="52">
        <v>8</v>
      </c>
      <c r="D32" s="52">
        <v>6</v>
      </c>
      <c r="E32" s="52">
        <v>0</v>
      </c>
      <c r="F32" s="52">
        <v>0</v>
      </c>
      <c r="G32" s="52">
        <v>0</v>
      </c>
      <c r="H32" s="52">
        <v>50</v>
      </c>
      <c r="I32" s="8">
        <f t="shared" ref="I32:I33" si="16">B32+C32+D32+E32+F32+H32</f>
        <v>154</v>
      </c>
      <c r="J32" s="90">
        <f t="shared" ref="J32:J33" si="17">(B32*$B$6)+(C32*$C$6)+(D32*$D$6)+(E32*$E$6)+(F32*$F$6)+(H32*$H$6)</f>
        <v>12013.94</v>
      </c>
      <c r="K32" s="90">
        <v>0</v>
      </c>
      <c r="L32" s="53">
        <v>50</v>
      </c>
      <c r="M32" s="42">
        <v>1</v>
      </c>
      <c r="N32" s="48">
        <v>33</v>
      </c>
      <c r="O32" s="54">
        <f t="shared" ref="O32:O33" si="18">I32*M32*N32</f>
        <v>5082</v>
      </c>
      <c r="P32" s="90">
        <f t="shared" si="3"/>
        <v>398110.02</v>
      </c>
    </row>
    <row r="33" spans="1:16" ht="13.2" x14ac:dyDescent="0.25">
      <c r="A33" s="51" t="s">
        <v>122</v>
      </c>
      <c r="B33" s="9">
        <v>95</v>
      </c>
      <c r="C33" s="9">
        <v>5</v>
      </c>
      <c r="D33" s="9">
        <v>2</v>
      </c>
      <c r="E33" s="52">
        <v>79</v>
      </c>
      <c r="F33" s="52">
        <v>2</v>
      </c>
      <c r="G33" s="52">
        <v>2</v>
      </c>
      <c r="H33" s="52">
        <v>8</v>
      </c>
      <c r="I33" s="8">
        <f t="shared" si="16"/>
        <v>191</v>
      </c>
      <c r="J33" s="90">
        <f t="shared" si="17"/>
        <v>14514.7</v>
      </c>
      <c r="K33" s="90">
        <v>0</v>
      </c>
      <c r="L33" s="53">
        <v>16970</v>
      </c>
      <c r="M33" s="42">
        <v>1</v>
      </c>
      <c r="N33" s="48">
        <v>2</v>
      </c>
      <c r="O33" s="54">
        <f t="shared" si="18"/>
        <v>382</v>
      </c>
      <c r="P33" s="90">
        <f t="shared" si="3"/>
        <v>62969.4</v>
      </c>
    </row>
    <row r="34" spans="1:16" ht="13.2" x14ac:dyDescent="0.2">
      <c r="A34" s="427" t="s">
        <v>23</v>
      </c>
      <c r="B34" s="428"/>
      <c r="C34" s="428"/>
      <c r="D34" s="428"/>
      <c r="E34" s="428"/>
      <c r="F34" s="428"/>
      <c r="G34" s="428"/>
      <c r="H34" s="428"/>
      <c r="I34" s="428"/>
      <c r="J34" s="428"/>
      <c r="K34" s="428"/>
      <c r="L34" s="428"/>
      <c r="M34" s="428"/>
      <c r="N34" s="428"/>
      <c r="O34" s="428"/>
      <c r="P34" s="429"/>
    </row>
    <row r="35" spans="1:16" ht="26.4" x14ac:dyDescent="0.25">
      <c r="A35" s="15" t="s">
        <v>2</v>
      </c>
      <c r="B35" s="16">
        <v>15</v>
      </c>
      <c r="C35" s="16">
        <v>10</v>
      </c>
      <c r="D35" s="16">
        <v>4</v>
      </c>
      <c r="E35" s="16">
        <v>2</v>
      </c>
      <c r="F35" s="52">
        <v>2</v>
      </c>
      <c r="G35" s="52">
        <v>2</v>
      </c>
      <c r="H35" s="52">
        <v>51</v>
      </c>
      <c r="I35" s="16">
        <f>B35+C35+D35+E35+F35+H35</f>
        <v>84</v>
      </c>
      <c r="J35" s="90">
        <f t="shared" si="14"/>
        <v>5584.01</v>
      </c>
      <c r="K35" s="90">
        <v>0</v>
      </c>
      <c r="L35" s="53">
        <v>1000</v>
      </c>
      <c r="M35" s="42">
        <v>1</v>
      </c>
      <c r="N35" s="48">
        <v>103</v>
      </c>
      <c r="O35" s="54">
        <f>I35*M35*N35</f>
        <v>8652</v>
      </c>
      <c r="P35" s="90">
        <f t="shared" si="3"/>
        <v>678153.03</v>
      </c>
    </row>
    <row r="36" spans="1:16" s="126" customFormat="1" ht="13.2" x14ac:dyDescent="0.25">
      <c r="A36" s="238" t="s">
        <v>3</v>
      </c>
      <c r="B36" s="239">
        <f>SUM(B8:B35)</f>
        <v>293</v>
      </c>
      <c r="C36" s="239">
        <f>SUM(C8:C35)</f>
        <v>57.5</v>
      </c>
      <c r="D36" s="239">
        <f>SUM(D8:D35)</f>
        <v>27</v>
      </c>
      <c r="E36" s="239">
        <f>SUM(E8:E35)</f>
        <v>184.5</v>
      </c>
      <c r="F36" s="239">
        <f>SUM(F8:F35)</f>
        <v>10</v>
      </c>
      <c r="G36" s="239">
        <f>SUM(G8:G35)</f>
        <v>5</v>
      </c>
      <c r="H36" s="239">
        <f>SUM(H8:H35)</f>
        <v>138</v>
      </c>
      <c r="I36" s="239">
        <f>SUM(I8:I35)</f>
        <v>710</v>
      </c>
      <c r="J36" s="240">
        <f>SUM(J8:J35)</f>
        <v>55045.265000000007</v>
      </c>
      <c r="K36" s="240">
        <f>SUM(K8:K35)</f>
        <v>0</v>
      </c>
      <c r="L36" s="240" t="s">
        <v>4</v>
      </c>
      <c r="M36" s="239" t="s">
        <v>4</v>
      </c>
      <c r="N36" s="239" t="s">
        <v>6</v>
      </c>
      <c r="O36" s="239" t="s">
        <v>6</v>
      </c>
      <c r="P36" s="240" t="s">
        <v>6</v>
      </c>
    </row>
    <row r="37" spans="1:16" ht="13.2" x14ac:dyDescent="0.25">
      <c r="A37" s="241" t="s">
        <v>5</v>
      </c>
      <c r="B37" s="230" t="s">
        <v>6</v>
      </c>
      <c r="C37" s="230" t="s">
        <v>6</v>
      </c>
      <c r="D37" s="230" t="s">
        <v>6</v>
      </c>
      <c r="E37" s="230" t="s">
        <v>6</v>
      </c>
      <c r="F37" s="230" t="s">
        <v>6</v>
      </c>
      <c r="G37" s="230" t="s">
        <v>6</v>
      </c>
      <c r="H37" s="230" t="s">
        <v>6</v>
      </c>
      <c r="I37" s="230" t="s">
        <v>6</v>
      </c>
      <c r="J37" s="234">
        <f>SUMPRODUCT(J8:J35,M8:M35,N8:N35)</f>
        <v>6320650.5422043027</v>
      </c>
      <c r="K37" s="234">
        <v>0</v>
      </c>
      <c r="L37" s="234">
        <f>SUMPRODUCT(L8:L35,M8:M35,N8:N35)</f>
        <v>8391132.9908387102</v>
      </c>
      <c r="M37" s="230" t="s">
        <v>4</v>
      </c>
      <c r="N37" s="239">
        <v>103</v>
      </c>
      <c r="O37" s="230">
        <f>SUM(O8:O35)</f>
        <v>79690.854838709682</v>
      </c>
      <c r="P37" s="234">
        <f>+SUM(P8:P35)</f>
        <v>14711783.533043008</v>
      </c>
    </row>
    <row r="38" spans="1:16" ht="11.4" x14ac:dyDescent="0.2">
      <c r="A38" s="200" t="s">
        <v>278</v>
      </c>
      <c r="B38" s="2"/>
      <c r="C38" s="126"/>
      <c r="D38" s="6"/>
      <c r="E38" s="6"/>
      <c r="F38" s="6"/>
      <c r="H38" s="6"/>
      <c r="I38" s="6"/>
      <c r="J38" s="7"/>
      <c r="K38" s="6"/>
      <c r="L38" s="7"/>
      <c r="M38" s="6"/>
      <c r="N38" s="6"/>
      <c r="O38" s="6"/>
      <c r="P38" s="7"/>
    </row>
    <row r="39" spans="1:16" ht="11.4" x14ac:dyDescent="0.2">
      <c r="A39" s="200" t="s">
        <v>279</v>
      </c>
      <c r="B39" s="2"/>
      <c r="D39" s="6"/>
      <c r="E39" s="6"/>
      <c r="F39" s="6"/>
      <c r="H39" s="6"/>
      <c r="I39" s="6"/>
      <c r="J39" s="7"/>
      <c r="K39" s="6"/>
      <c r="L39" s="7"/>
      <c r="M39" s="6"/>
      <c r="N39" s="6"/>
      <c r="O39" s="6"/>
      <c r="P39" s="7"/>
    </row>
    <row r="40" spans="1:16" ht="13.2" x14ac:dyDescent="0.25">
      <c r="A40" s="3" t="s">
        <v>300</v>
      </c>
      <c r="B40" s="564"/>
      <c r="C40" s="1"/>
      <c r="D40" s="6"/>
      <c r="E40" s="6"/>
      <c r="F40" s="6"/>
      <c r="H40" s="6"/>
      <c r="I40" s="6"/>
      <c r="J40" s="7"/>
      <c r="K40" s="6"/>
      <c r="L40" s="7"/>
      <c r="M40" s="6"/>
      <c r="N40" s="6"/>
      <c r="O40" s="6"/>
      <c r="P40" s="7"/>
    </row>
    <row r="41" spans="1:16" ht="11.4" x14ac:dyDescent="0.2">
      <c r="A41" s="3" t="s">
        <v>314</v>
      </c>
      <c r="C41" s="126"/>
      <c r="D41" s="126"/>
      <c r="E41" s="126"/>
      <c r="F41" s="126"/>
      <c r="H41" s="126"/>
    </row>
    <row r="42" spans="1:16" ht="11.4" x14ac:dyDescent="0.2">
      <c r="A42" s="200" t="s">
        <v>306</v>
      </c>
      <c r="C42" s="126"/>
      <c r="D42" s="126"/>
      <c r="E42" s="126"/>
      <c r="F42" s="126"/>
      <c r="H42" s="126"/>
    </row>
    <row r="43" spans="1:16" x14ac:dyDescent="0.2">
      <c r="C43" s="126"/>
      <c r="D43" s="126"/>
      <c r="E43" s="126"/>
      <c r="F43" s="126"/>
      <c r="H43" s="126"/>
    </row>
  </sheetData>
  <mergeCells count="26">
    <mergeCell ref="M3:P3"/>
    <mergeCell ref="B27:K27"/>
    <mergeCell ref="A1:P1"/>
    <mergeCell ref="B15:K15"/>
    <mergeCell ref="B16:K16"/>
    <mergeCell ref="B13:K13"/>
    <mergeCell ref="A2:P2"/>
    <mergeCell ref="A3:A6"/>
    <mergeCell ref="B3:L3"/>
    <mergeCell ref="I4:I6"/>
    <mergeCell ref="J4:J6"/>
    <mergeCell ref="K4:K6"/>
    <mergeCell ref="L4:L6"/>
    <mergeCell ref="M4:M6"/>
    <mergeCell ref="B24:K24"/>
    <mergeCell ref="A14:B14"/>
    <mergeCell ref="A30:P30"/>
    <mergeCell ref="A34:P34"/>
    <mergeCell ref="N4:N6"/>
    <mergeCell ref="B22:K22"/>
    <mergeCell ref="B23:K23"/>
    <mergeCell ref="B25:K25"/>
    <mergeCell ref="B26:K26"/>
    <mergeCell ref="O4:O6"/>
    <mergeCell ref="P4:P6"/>
    <mergeCell ref="A7:P7"/>
  </mergeCells>
  <phoneticPr fontId="0" type="noConversion"/>
  <printOptions horizontalCentered="1" verticalCentered="1"/>
  <pageMargins left="0.75" right="0.75" top="1" bottom="1" header="0.5" footer="0.5"/>
  <pageSetup scale="68" orientation="landscape" verticalDpi="300" r:id="rId1"/>
  <headerFooter alignWithMargins="0"/>
  <ignoredErrors>
    <ignoredError sqref="B36:H36"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topLeftCell="A4" workbookViewId="0">
      <selection activeCell="N18" sqref="N18"/>
    </sheetView>
  </sheetViews>
  <sheetFormatPr defaultColWidth="9.109375" defaultRowHeight="15" x14ac:dyDescent="0.25"/>
  <cols>
    <col min="1" max="1" width="20.44140625" style="55" customWidth="1"/>
    <col min="2" max="2" width="12.6640625" style="55" customWidth="1"/>
    <col min="3" max="4" width="11.33203125" style="55" bestFit="1" customWidth="1"/>
    <col min="5" max="5" width="9.88671875" style="55" customWidth="1"/>
    <col min="6" max="8" width="9.109375" style="55"/>
    <col min="9" max="9" width="11.5546875" style="55" customWidth="1"/>
    <col min="10" max="10" width="12.109375" style="55" bestFit="1" customWidth="1"/>
    <col min="11" max="11" width="18" style="55" bestFit="1" customWidth="1"/>
    <col min="12" max="12" width="11.5546875" style="55" bestFit="1" customWidth="1"/>
    <col min="13" max="13" width="15.33203125" style="55" bestFit="1" customWidth="1"/>
    <col min="14" max="18" width="9.109375" style="55"/>
    <col min="19" max="19" width="13.88671875" style="55" customWidth="1"/>
    <col min="20" max="16384" width="9.109375" style="55"/>
  </cols>
  <sheetData>
    <row r="1" spans="1:19" x14ac:dyDescent="0.25">
      <c r="J1" s="55" t="s">
        <v>221</v>
      </c>
      <c r="K1" s="261">
        <v>109900</v>
      </c>
      <c r="L1" s="70">
        <f>K1*4</f>
        <v>439600</v>
      </c>
    </row>
    <row r="2" spans="1:19" s="83" customFormat="1" x14ac:dyDescent="0.25">
      <c r="J2" s="83" t="s">
        <v>222</v>
      </c>
      <c r="K2" s="262">
        <v>126060</v>
      </c>
      <c r="L2" s="260">
        <f>K2*6</f>
        <v>756360</v>
      </c>
    </row>
    <row r="3" spans="1:19" s="83" customFormat="1" ht="20.399999999999999" thickBot="1" x14ac:dyDescent="0.45">
      <c r="A3" s="522" t="s">
        <v>232</v>
      </c>
      <c r="B3" s="522"/>
      <c r="C3" s="522"/>
      <c r="D3" s="522"/>
      <c r="E3" s="522"/>
      <c r="F3" s="522"/>
      <c r="G3" s="522"/>
      <c r="H3" s="522"/>
      <c r="I3" s="522"/>
      <c r="J3" s="83" t="s">
        <v>223</v>
      </c>
      <c r="K3">
        <v>129869</v>
      </c>
      <c r="L3" s="83">
        <f>K3*4</f>
        <v>519476</v>
      </c>
    </row>
    <row r="4" spans="1:19" ht="15.6" thickTop="1" x14ac:dyDescent="0.25">
      <c r="A4" s="523" t="s">
        <v>57</v>
      </c>
      <c r="B4" s="292"/>
      <c r="C4" s="525" t="s">
        <v>58</v>
      </c>
      <c r="D4" s="525"/>
      <c r="E4" s="525"/>
      <c r="F4" s="525"/>
      <c r="G4" s="525"/>
      <c r="H4" s="525"/>
      <c r="I4" s="525"/>
      <c r="K4" s="511" t="s">
        <v>57</v>
      </c>
      <c r="L4" s="513" t="s">
        <v>58</v>
      </c>
      <c r="M4" s="513"/>
      <c r="N4" s="513"/>
      <c r="O4" s="513"/>
      <c r="P4" s="513"/>
      <c r="Q4" s="513"/>
      <c r="R4" s="513"/>
      <c r="S4" s="513"/>
    </row>
    <row r="5" spans="1:19" ht="55.2" x14ac:dyDescent="0.25">
      <c r="A5" s="524"/>
      <c r="B5" s="293" t="s">
        <v>59</v>
      </c>
      <c r="C5" s="294" t="s">
        <v>70</v>
      </c>
      <c r="D5" s="294" t="s">
        <v>60</v>
      </c>
      <c r="E5" s="294" t="s">
        <v>61</v>
      </c>
      <c r="F5" s="294" t="s">
        <v>71</v>
      </c>
      <c r="G5" s="294" t="s">
        <v>62</v>
      </c>
      <c r="H5" s="294" t="s">
        <v>63</v>
      </c>
      <c r="I5" s="294" t="s">
        <v>64</v>
      </c>
      <c r="K5" s="512"/>
      <c r="L5" s="263" t="s">
        <v>59</v>
      </c>
      <c r="M5" s="263" t="s">
        <v>206</v>
      </c>
      <c r="N5" s="263" t="s">
        <v>60</v>
      </c>
      <c r="O5" s="263" t="s">
        <v>61</v>
      </c>
      <c r="P5" s="263" t="s">
        <v>207</v>
      </c>
      <c r="Q5" s="263" t="s">
        <v>62</v>
      </c>
      <c r="R5" s="263" t="s">
        <v>63</v>
      </c>
      <c r="S5" s="263" t="s">
        <v>64</v>
      </c>
    </row>
    <row r="6" spans="1:19" ht="21" x14ac:dyDescent="0.25">
      <c r="A6" s="59" t="s">
        <v>293</v>
      </c>
      <c r="B6" s="59" t="s">
        <v>224</v>
      </c>
      <c r="C6" s="71">
        <v>1746822</v>
      </c>
      <c r="D6" s="71">
        <f>C6*1.6</f>
        <v>2794915.2</v>
      </c>
      <c r="E6" s="57">
        <v>20</v>
      </c>
      <c r="F6" s="57">
        <f t="shared" ref="F6" si="0">80*26</f>
        <v>2080</v>
      </c>
      <c r="G6" s="60">
        <v>0.8</v>
      </c>
      <c r="H6" s="73">
        <f>E6*(F6*G6)</f>
        <v>33280</v>
      </c>
      <c r="I6" s="58">
        <f>D6*G6</f>
        <v>2235932.16</v>
      </c>
      <c r="K6" s="273" t="s">
        <v>45</v>
      </c>
      <c r="L6" s="274" t="s">
        <v>208</v>
      </c>
      <c r="M6" s="274">
        <v>53.08</v>
      </c>
      <c r="N6" s="274">
        <v>53.08</v>
      </c>
      <c r="O6" s="275">
        <v>2</v>
      </c>
      <c r="P6" s="275">
        <v>2080</v>
      </c>
      <c r="Q6" s="276">
        <v>0.9</v>
      </c>
      <c r="R6" s="73">
        <f>O6*(P6*Q6)</f>
        <v>3744</v>
      </c>
      <c r="S6" s="58">
        <f>N6*O6*(P6*Q6)</f>
        <v>198731.51999999999</v>
      </c>
    </row>
    <row r="7" spans="1:19" x14ac:dyDescent="0.25">
      <c r="A7" s="59" t="s">
        <v>65</v>
      </c>
      <c r="B7" s="72" t="s">
        <v>6</v>
      </c>
      <c r="C7" s="71">
        <v>55000</v>
      </c>
      <c r="D7" s="72" t="s">
        <v>6</v>
      </c>
      <c r="E7" s="57">
        <v>3</v>
      </c>
      <c r="F7" s="57">
        <f>80*26</f>
        <v>2080</v>
      </c>
      <c r="G7" s="61">
        <v>0.9</v>
      </c>
      <c r="H7" s="73">
        <f>E7*(F7*G7)</f>
        <v>5616</v>
      </c>
      <c r="I7" s="58">
        <f>C7*G7</f>
        <v>49500</v>
      </c>
      <c r="K7" s="273" t="s">
        <v>45</v>
      </c>
      <c r="L7" s="277" t="s">
        <v>209</v>
      </c>
      <c r="M7" s="274">
        <v>44.91</v>
      </c>
      <c r="N7" s="274">
        <v>44.91</v>
      </c>
      <c r="O7" s="275">
        <v>13</v>
      </c>
      <c r="P7" s="275">
        <v>2080</v>
      </c>
      <c r="Q7" s="276">
        <v>0.9</v>
      </c>
      <c r="R7" s="73">
        <f t="shared" ref="R7:R12" si="1">O7*(P7*Q7)</f>
        <v>24336</v>
      </c>
      <c r="S7" s="58">
        <f t="shared" ref="S7:S12" si="2">N7*O7*(P7*Q7)</f>
        <v>1092929.7599999998</v>
      </c>
    </row>
    <row r="8" spans="1:19" x14ac:dyDescent="0.25">
      <c r="A8" s="59" t="s">
        <v>78</v>
      </c>
      <c r="B8" s="59" t="s">
        <v>225</v>
      </c>
      <c r="C8" s="71">
        <v>109900</v>
      </c>
      <c r="D8" s="71">
        <f t="shared" ref="D8:D12" si="3">C8*1.6</f>
        <v>175840</v>
      </c>
      <c r="E8" s="56">
        <v>5</v>
      </c>
      <c r="F8" s="57">
        <f t="shared" ref="F8:F13" si="4">80*26</f>
        <v>2080</v>
      </c>
      <c r="G8" s="61">
        <v>0.3</v>
      </c>
      <c r="H8" s="73">
        <f t="shared" ref="H8:H12" si="5">E8*(F8*G8)</f>
        <v>3120</v>
      </c>
      <c r="I8" s="58">
        <f>D8*G8</f>
        <v>52752</v>
      </c>
      <c r="K8" s="273" t="s">
        <v>210</v>
      </c>
      <c r="L8" s="277" t="s">
        <v>209</v>
      </c>
      <c r="M8" s="274">
        <v>44.91</v>
      </c>
      <c r="N8" s="274">
        <v>44.91</v>
      </c>
      <c r="O8" s="278">
        <v>1</v>
      </c>
      <c r="P8" s="278">
        <v>2080</v>
      </c>
      <c r="Q8" s="279">
        <v>0.25</v>
      </c>
      <c r="R8" s="73">
        <f t="shared" si="1"/>
        <v>520</v>
      </c>
      <c r="S8" s="58">
        <f t="shared" si="2"/>
        <v>23353.199999999997</v>
      </c>
    </row>
    <row r="9" spans="1:19" x14ac:dyDescent="0.25">
      <c r="A9" s="59" t="s">
        <v>80</v>
      </c>
      <c r="B9" s="59" t="s">
        <v>73</v>
      </c>
      <c r="C9" s="71">
        <v>126062</v>
      </c>
      <c r="D9" s="71">
        <f t="shared" si="3"/>
        <v>201699.20000000001</v>
      </c>
      <c r="E9" s="57">
        <v>4</v>
      </c>
      <c r="F9" s="57">
        <f t="shared" si="4"/>
        <v>2080</v>
      </c>
      <c r="G9" s="61">
        <v>0.2</v>
      </c>
      <c r="H9" s="73">
        <f t="shared" si="5"/>
        <v>1664</v>
      </c>
      <c r="I9" s="58">
        <f t="shared" ref="I9:I12" si="6">D9*G9</f>
        <v>40339.840000000004</v>
      </c>
      <c r="K9" s="273" t="s">
        <v>211</v>
      </c>
      <c r="L9" s="277" t="s">
        <v>209</v>
      </c>
      <c r="M9" s="274">
        <v>44.91</v>
      </c>
      <c r="N9" s="274">
        <v>44.91</v>
      </c>
      <c r="O9" s="278">
        <v>1</v>
      </c>
      <c r="P9" s="278">
        <v>2080</v>
      </c>
      <c r="Q9" s="279">
        <v>0.25</v>
      </c>
      <c r="R9" s="73">
        <f t="shared" si="1"/>
        <v>520</v>
      </c>
      <c r="S9" s="58">
        <f t="shared" si="2"/>
        <v>23353.199999999997</v>
      </c>
    </row>
    <row r="10" spans="1:19" x14ac:dyDescent="0.25">
      <c r="A10" s="59" t="s">
        <v>75</v>
      </c>
      <c r="B10" s="59" t="s">
        <v>24</v>
      </c>
      <c r="C10" s="71">
        <v>201700</v>
      </c>
      <c r="D10" s="71">
        <f t="shared" si="3"/>
        <v>322720</v>
      </c>
      <c r="E10" s="57">
        <v>1</v>
      </c>
      <c r="F10" s="57">
        <f t="shared" si="4"/>
        <v>2080</v>
      </c>
      <c r="G10" s="61">
        <v>0.25</v>
      </c>
      <c r="H10" s="73">
        <f t="shared" si="5"/>
        <v>520</v>
      </c>
      <c r="I10" s="58">
        <f t="shared" si="6"/>
        <v>80680</v>
      </c>
      <c r="K10" s="273" t="s">
        <v>212</v>
      </c>
      <c r="L10" s="277" t="s">
        <v>213</v>
      </c>
      <c r="M10" s="274">
        <v>62.43</v>
      </c>
      <c r="N10" s="274">
        <v>62.43</v>
      </c>
      <c r="O10" s="278">
        <v>2</v>
      </c>
      <c r="P10" s="278">
        <v>2080</v>
      </c>
      <c r="Q10" s="279">
        <v>0.5</v>
      </c>
      <c r="R10" s="73">
        <f t="shared" si="1"/>
        <v>2080</v>
      </c>
      <c r="S10" s="58">
        <f t="shared" si="2"/>
        <v>129854.39999999999</v>
      </c>
    </row>
    <row r="11" spans="1:19" x14ac:dyDescent="0.25">
      <c r="A11" s="59" t="s">
        <v>76</v>
      </c>
      <c r="B11" s="59" t="s">
        <v>74</v>
      </c>
      <c r="C11" s="71">
        <v>181500</v>
      </c>
      <c r="D11" s="71">
        <f t="shared" si="3"/>
        <v>290400</v>
      </c>
      <c r="E11" s="57">
        <v>1</v>
      </c>
      <c r="F11" s="57">
        <f t="shared" si="4"/>
        <v>2080</v>
      </c>
      <c r="G11" s="61">
        <v>0.15</v>
      </c>
      <c r="H11" s="73">
        <f t="shared" si="5"/>
        <v>312</v>
      </c>
      <c r="I11" s="58">
        <f t="shared" si="6"/>
        <v>43560</v>
      </c>
      <c r="K11" s="273" t="s">
        <v>214</v>
      </c>
      <c r="L11" s="277" t="s">
        <v>215</v>
      </c>
      <c r="M11" s="274"/>
      <c r="N11" s="274"/>
      <c r="O11" s="278">
        <v>2</v>
      </c>
      <c r="P11" s="278"/>
      <c r="Q11" s="279">
        <v>0.15</v>
      </c>
      <c r="R11" s="73">
        <f t="shared" si="1"/>
        <v>0</v>
      </c>
      <c r="S11" s="58">
        <f t="shared" si="2"/>
        <v>0</v>
      </c>
    </row>
    <row r="12" spans="1:19" x14ac:dyDescent="0.25">
      <c r="A12" s="59" t="s">
        <v>77</v>
      </c>
      <c r="B12" s="59" t="s">
        <v>79</v>
      </c>
      <c r="C12" s="71">
        <v>71504</v>
      </c>
      <c r="D12" s="71">
        <f t="shared" si="3"/>
        <v>114406.40000000001</v>
      </c>
      <c r="E12" s="57">
        <v>4</v>
      </c>
      <c r="F12" s="57">
        <f t="shared" si="4"/>
        <v>2080</v>
      </c>
      <c r="G12" s="61">
        <v>0.1</v>
      </c>
      <c r="H12" s="73">
        <f t="shared" si="5"/>
        <v>832</v>
      </c>
      <c r="I12" s="58">
        <f t="shared" si="6"/>
        <v>11440.640000000001</v>
      </c>
      <c r="J12" s="82">
        <f>SUM(I6:I12)</f>
        <v>2514204.64</v>
      </c>
      <c r="K12" s="273" t="s">
        <v>216</v>
      </c>
      <c r="L12" s="277" t="s">
        <v>217</v>
      </c>
      <c r="M12" s="274">
        <v>37.770000000000003</v>
      </c>
      <c r="N12" s="274">
        <v>37.770000000000003</v>
      </c>
      <c r="O12" s="278">
        <v>4</v>
      </c>
      <c r="P12" s="278"/>
      <c r="Q12" s="279">
        <v>0.25</v>
      </c>
      <c r="R12" s="73">
        <f t="shared" si="1"/>
        <v>0</v>
      </c>
      <c r="S12" s="58">
        <f t="shared" si="2"/>
        <v>0</v>
      </c>
    </row>
    <row r="13" spans="1:19" ht="23.4" customHeight="1" x14ac:dyDescent="0.25">
      <c r="A13" s="84" t="s">
        <v>294</v>
      </c>
      <c r="B13" s="59" t="s">
        <v>224</v>
      </c>
      <c r="C13" s="561">
        <f>C6/2</f>
        <v>873411</v>
      </c>
      <c r="D13" s="71">
        <f>C13*1.6</f>
        <v>1397457.6</v>
      </c>
      <c r="E13" s="57">
        <v>10</v>
      </c>
      <c r="F13" s="57">
        <f t="shared" si="4"/>
        <v>2080</v>
      </c>
      <c r="G13" s="60">
        <v>0.7</v>
      </c>
      <c r="H13" s="73">
        <f>E13*(F13*G13)</f>
        <v>14560</v>
      </c>
      <c r="I13" s="58">
        <f>D13*G13</f>
        <v>978220.32</v>
      </c>
      <c r="K13" s="273" t="s">
        <v>218</v>
      </c>
      <c r="L13" s="287"/>
      <c r="M13" s="288"/>
      <c r="N13" s="288"/>
      <c r="O13" s="289"/>
      <c r="P13" s="289"/>
      <c r="Q13" s="290"/>
      <c r="R13" s="291"/>
      <c r="S13" s="286"/>
    </row>
    <row r="14" spans="1:19" ht="15.6" customHeight="1" x14ac:dyDescent="0.25">
      <c r="A14" s="520" t="s">
        <v>126</v>
      </c>
      <c r="B14" s="526"/>
      <c r="C14" s="562">
        <f t="shared" ref="C14:D14" si="7">SUM(C6:C13)</f>
        <v>3365899</v>
      </c>
      <c r="D14" s="562">
        <f t="shared" si="7"/>
        <v>5297438.4000000004</v>
      </c>
      <c r="E14" s="77">
        <f>SUM(E6:E13)</f>
        <v>48</v>
      </c>
      <c r="F14" s="77" t="s">
        <v>6</v>
      </c>
      <c r="G14" s="77" t="s">
        <v>6</v>
      </c>
      <c r="H14" s="78">
        <f>SUM(H6:H13)</f>
        <v>59904</v>
      </c>
      <c r="I14" s="79">
        <f>SUM(I6:I13)</f>
        <v>3492424.96</v>
      </c>
      <c r="J14" s="563">
        <f>I14/H14</f>
        <v>58.300363247863245</v>
      </c>
      <c r="K14" s="271" t="s">
        <v>219</v>
      </c>
      <c r="L14" s="514"/>
      <c r="M14" s="515"/>
      <c r="N14" s="516"/>
      <c r="O14" s="264">
        <v>15</v>
      </c>
      <c r="P14" s="264" t="s">
        <v>6</v>
      </c>
      <c r="Q14" s="264" t="s">
        <v>6</v>
      </c>
      <c r="R14" s="265">
        <v>1726.4</v>
      </c>
      <c r="S14" s="266">
        <f>SUM(S6:S12)</f>
        <v>1468222.0799999996</v>
      </c>
    </row>
    <row r="15" spans="1:19" x14ac:dyDescent="0.25">
      <c r="A15" s="527" t="s">
        <v>66</v>
      </c>
      <c r="B15" s="528"/>
      <c r="C15" s="528"/>
      <c r="D15" s="528"/>
      <c r="E15" s="528"/>
      <c r="F15" s="528"/>
      <c r="G15" s="528"/>
      <c r="H15" s="528"/>
      <c r="I15" s="529"/>
      <c r="K15" s="272"/>
      <c r="L15" s="267"/>
      <c r="M15" s="267"/>
      <c r="N15" s="267"/>
      <c r="O15" s="267"/>
      <c r="P15" s="267"/>
      <c r="Q15" s="267"/>
      <c r="R15" s="267"/>
      <c r="S15" s="267"/>
    </row>
    <row r="16" spans="1:19" x14ac:dyDescent="0.25">
      <c r="A16" s="69" t="s">
        <v>72</v>
      </c>
      <c r="B16" s="75"/>
      <c r="C16" s="62"/>
      <c r="D16" s="63"/>
      <c r="E16" s="63"/>
      <c r="F16" s="63"/>
      <c r="G16" s="63"/>
      <c r="H16" s="64"/>
      <c r="I16" s="65">
        <v>150000</v>
      </c>
      <c r="K16" s="517" t="s">
        <v>66</v>
      </c>
      <c r="L16" s="518"/>
      <c r="M16" s="518"/>
      <c r="N16" s="518"/>
      <c r="O16" s="518"/>
      <c r="P16" s="518"/>
      <c r="Q16" s="518"/>
      <c r="R16" s="518"/>
      <c r="S16" s="519"/>
    </row>
    <row r="17" spans="1:19" ht="15.75" customHeight="1" x14ac:dyDescent="0.25">
      <c r="A17" s="69" t="s">
        <v>127</v>
      </c>
      <c r="B17" s="75"/>
      <c r="C17" s="62"/>
      <c r="D17" s="63"/>
      <c r="E17" s="63"/>
      <c r="F17" s="63"/>
      <c r="G17" s="63"/>
      <c r="H17" s="64"/>
      <c r="I17" s="65">
        <v>12000</v>
      </c>
      <c r="K17" s="273" t="s">
        <v>220</v>
      </c>
      <c r="L17" s="283"/>
      <c r="M17" s="284"/>
      <c r="N17" s="284"/>
      <c r="O17" s="284"/>
      <c r="P17" s="284"/>
      <c r="Q17" s="284"/>
      <c r="R17" s="285"/>
      <c r="S17" s="286">
        <v>4000</v>
      </c>
    </row>
    <row r="18" spans="1:19" ht="15.75" customHeight="1" x14ac:dyDescent="0.25">
      <c r="A18" s="59" t="s">
        <v>226</v>
      </c>
      <c r="B18" s="76"/>
      <c r="C18" s="62"/>
      <c r="D18" s="63"/>
      <c r="E18" s="63"/>
      <c r="F18" s="63"/>
      <c r="G18" s="63"/>
      <c r="H18" s="64"/>
      <c r="I18" s="65">
        <v>230000</v>
      </c>
      <c r="K18" s="273" t="s">
        <v>67</v>
      </c>
      <c r="L18" s="280"/>
      <c r="M18" s="281"/>
      <c r="N18" s="281"/>
      <c r="O18" s="281"/>
      <c r="P18" s="281"/>
      <c r="Q18" s="281"/>
      <c r="R18" s="282"/>
      <c r="S18" s="286">
        <v>100</v>
      </c>
    </row>
    <row r="19" spans="1:19" x14ac:dyDescent="0.25">
      <c r="A19" s="59" t="s">
        <v>122</v>
      </c>
      <c r="B19" s="76"/>
      <c r="C19" s="62"/>
      <c r="D19" s="63"/>
      <c r="E19" s="63"/>
      <c r="F19" s="63"/>
      <c r="G19" s="63"/>
      <c r="H19" s="64"/>
      <c r="I19" s="65">
        <v>12000</v>
      </c>
      <c r="K19" s="273" t="s">
        <v>68</v>
      </c>
      <c r="L19" s="280"/>
      <c r="M19" s="281"/>
      <c r="N19" s="281"/>
      <c r="O19" s="281"/>
      <c r="P19" s="281"/>
      <c r="Q19" s="281"/>
      <c r="R19" s="282"/>
      <c r="S19" s="286">
        <v>2000</v>
      </c>
    </row>
    <row r="20" spans="1:19" ht="21" x14ac:dyDescent="0.25">
      <c r="A20" s="59" t="s">
        <v>67</v>
      </c>
      <c r="B20" s="74"/>
      <c r="C20" s="66"/>
      <c r="D20" s="67"/>
      <c r="E20" s="67"/>
      <c r="F20" s="67"/>
      <c r="G20" s="67"/>
      <c r="H20" s="68"/>
      <c r="I20" s="81">
        <v>30000</v>
      </c>
      <c r="K20" s="296"/>
      <c r="L20" s="297"/>
      <c r="M20" s="297"/>
      <c r="N20" s="297"/>
      <c r="O20" s="297"/>
      <c r="P20" s="297"/>
      <c r="Q20" s="297"/>
      <c r="R20" s="282"/>
      <c r="S20" s="286"/>
    </row>
    <row r="21" spans="1:19" x14ac:dyDescent="0.25">
      <c r="A21" s="59" t="s">
        <v>68</v>
      </c>
      <c r="B21" s="74"/>
      <c r="C21" s="66"/>
      <c r="D21" s="67"/>
      <c r="E21" s="85"/>
      <c r="F21" s="85"/>
      <c r="G21" s="85"/>
      <c r="H21" s="86"/>
      <c r="I21" s="65">
        <v>500000</v>
      </c>
      <c r="K21" s="272"/>
      <c r="L21" s="267"/>
      <c r="M21" s="267"/>
      <c r="N21" s="267"/>
      <c r="O21" s="267"/>
      <c r="P21" s="267"/>
      <c r="Q21" s="267"/>
      <c r="R21" s="267"/>
      <c r="S21" s="268"/>
    </row>
    <row r="22" spans="1:19" x14ac:dyDescent="0.25">
      <c r="A22" s="315"/>
      <c r="B22" s="316"/>
      <c r="C22" s="520" t="s">
        <v>81</v>
      </c>
      <c r="D22" s="521"/>
      <c r="E22" s="87"/>
      <c r="F22" s="88"/>
      <c r="G22" s="88"/>
      <c r="H22" s="89"/>
      <c r="I22" s="80">
        <f>SUM(I16:I21)</f>
        <v>934000</v>
      </c>
      <c r="K22" s="272"/>
      <c r="L22" s="267"/>
      <c r="M22" s="267"/>
      <c r="N22" s="267"/>
      <c r="O22" s="267"/>
      <c r="P22" s="269"/>
      <c r="Q22" s="267"/>
      <c r="R22" s="263" t="s">
        <v>69</v>
      </c>
      <c r="S22" s="270">
        <v>183394.66880000001</v>
      </c>
    </row>
    <row r="23" spans="1:19" x14ac:dyDescent="0.25">
      <c r="A23" s="317"/>
      <c r="B23" s="317"/>
      <c r="C23" s="317"/>
      <c r="D23" s="317"/>
      <c r="E23" s="317"/>
      <c r="F23" s="318"/>
      <c r="G23" s="317"/>
      <c r="H23" s="294" t="s">
        <v>69</v>
      </c>
      <c r="I23" s="295">
        <f>I14+I22</f>
        <v>4426424.96</v>
      </c>
    </row>
    <row r="24" spans="1:19" x14ac:dyDescent="0.25">
      <c r="A24" s="317"/>
      <c r="B24" s="317"/>
      <c r="C24" s="317"/>
      <c r="D24" s="317"/>
      <c r="E24" s="317"/>
      <c r="F24" s="317"/>
      <c r="G24" s="317"/>
      <c r="H24" s="317"/>
      <c r="I24" s="317"/>
    </row>
    <row r="25" spans="1:19" x14ac:dyDescent="0.25">
      <c r="C25" s="317"/>
      <c r="D25" s="317"/>
      <c r="E25" s="317"/>
      <c r="F25" s="317"/>
      <c r="G25" s="317"/>
      <c r="H25" s="317"/>
      <c r="I25" s="317"/>
    </row>
  </sheetData>
  <mergeCells count="10">
    <mergeCell ref="A3:I3"/>
    <mergeCell ref="A4:A5"/>
    <mergeCell ref="C4:I4"/>
    <mergeCell ref="A14:B14"/>
    <mergeCell ref="A15:I15"/>
    <mergeCell ref="K4:K5"/>
    <mergeCell ref="L4:S4"/>
    <mergeCell ref="L14:N14"/>
    <mergeCell ref="K16:S16"/>
    <mergeCell ref="C22:D2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H13"/>
  <sheetViews>
    <sheetView workbookViewId="0">
      <selection activeCell="G17" sqref="G17:G32"/>
    </sheetView>
  </sheetViews>
  <sheetFormatPr defaultRowHeight="13.2" x14ac:dyDescent="0.25"/>
  <cols>
    <col min="1" max="1" width="16.44140625" customWidth="1"/>
    <col min="2" max="2" width="13.33203125" customWidth="1"/>
    <col min="4" max="4" width="8.88671875" style="125"/>
    <col min="5" max="5" width="12.21875" customWidth="1"/>
    <col min="8" max="8" width="18.6640625" customWidth="1"/>
    <col min="9" max="9" width="12.109375" customWidth="1"/>
  </cols>
  <sheetData>
    <row r="1" spans="1:8" ht="19.8" x14ac:dyDescent="0.4">
      <c r="A1" s="510" t="s">
        <v>251</v>
      </c>
      <c r="B1" s="510"/>
      <c r="C1" s="510"/>
      <c r="D1" s="510"/>
      <c r="E1" s="510"/>
      <c r="F1" s="510"/>
      <c r="G1" s="510"/>
      <c r="H1" s="510"/>
    </row>
    <row r="2" spans="1:8" ht="39.6" x14ac:dyDescent="0.25">
      <c r="A2" s="322" t="s">
        <v>241</v>
      </c>
      <c r="B2" s="247" t="s">
        <v>286</v>
      </c>
      <c r="C2" s="247" t="s">
        <v>242</v>
      </c>
      <c r="D2" s="247" t="s">
        <v>243</v>
      </c>
      <c r="E2" s="247" t="s">
        <v>245</v>
      </c>
      <c r="F2" s="247" t="s">
        <v>244</v>
      </c>
      <c r="G2" s="322" t="s">
        <v>42</v>
      </c>
      <c r="H2" s="247" t="s">
        <v>43</v>
      </c>
    </row>
    <row r="3" spans="1:8" x14ac:dyDescent="0.25">
      <c r="A3" s="39" t="s">
        <v>31</v>
      </c>
      <c r="B3" s="18">
        <v>40</v>
      </c>
      <c r="C3" s="18">
        <v>370</v>
      </c>
      <c r="D3" s="18">
        <f t="shared" ref="D3:D11" si="0">C3-E3</f>
        <v>53</v>
      </c>
      <c r="E3" s="18">
        <v>317</v>
      </c>
      <c r="F3" s="154">
        <f>E3/C3</f>
        <v>0.85675675675675678</v>
      </c>
      <c r="G3" s="530" t="s">
        <v>240</v>
      </c>
      <c r="H3" s="320" t="s">
        <v>6</v>
      </c>
    </row>
    <row r="4" spans="1:8" ht="39.6" x14ac:dyDescent="0.25">
      <c r="A4" s="5" t="s">
        <v>246</v>
      </c>
      <c r="B4" s="559">
        <v>12</v>
      </c>
      <c r="C4" s="18">
        <v>70</v>
      </c>
      <c r="D4" s="18">
        <f t="shared" si="0"/>
        <v>28</v>
      </c>
      <c r="E4" s="41">
        <v>42</v>
      </c>
      <c r="F4" s="154">
        <f>E4/C4</f>
        <v>0.6</v>
      </c>
      <c r="G4" s="531"/>
      <c r="H4" s="320" t="s">
        <v>6</v>
      </c>
    </row>
    <row r="5" spans="1:8" x14ac:dyDescent="0.25">
      <c r="A5" s="40" t="s">
        <v>247</v>
      </c>
      <c r="B5" s="40">
        <v>9</v>
      </c>
      <c r="C5" s="40">
        <v>15</v>
      </c>
      <c r="D5" s="18">
        <f t="shared" si="0"/>
        <v>4</v>
      </c>
      <c r="E5" s="18">
        <v>11</v>
      </c>
      <c r="F5" s="154">
        <f t="shared" ref="F5:F12" si="1">E5/C5</f>
        <v>0.73333333333333328</v>
      </c>
      <c r="G5" s="531"/>
      <c r="H5" s="320" t="s">
        <v>6</v>
      </c>
    </row>
    <row r="6" spans="1:8" x14ac:dyDescent="0.25">
      <c r="A6" s="39" t="s">
        <v>147</v>
      </c>
      <c r="B6" s="18">
        <v>7</v>
      </c>
      <c r="C6" s="18">
        <v>37</v>
      </c>
      <c r="D6" s="18">
        <f t="shared" si="0"/>
        <v>2</v>
      </c>
      <c r="E6" s="18">
        <v>35</v>
      </c>
      <c r="F6" s="154">
        <f t="shared" si="1"/>
        <v>0.94594594594594594</v>
      </c>
      <c r="G6" s="531"/>
      <c r="H6" s="320" t="s">
        <v>6</v>
      </c>
    </row>
    <row r="7" spans="1:8" x14ac:dyDescent="0.25">
      <c r="A7" s="39" t="s">
        <v>148</v>
      </c>
      <c r="B7" s="18">
        <v>42</v>
      </c>
      <c r="C7" s="18">
        <v>139</v>
      </c>
      <c r="D7" s="18">
        <f t="shared" si="0"/>
        <v>6</v>
      </c>
      <c r="E7" s="18">
        <v>133</v>
      </c>
      <c r="F7" s="154">
        <f t="shared" si="1"/>
        <v>0.95683453237410077</v>
      </c>
      <c r="G7" s="531"/>
      <c r="H7" s="320" t="s">
        <v>6</v>
      </c>
    </row>
    <row r="8" spans="1:8" x14ac:dyDescent="0.25">
      <c r="A8" s="39" t="s">
        <v>164</v>
      </c>
      <c r="B8" s="18">
        <v>8</v>
      </c>
      <c r="C8" s="18">
        <v>16</v>
      </c>
      <c r="D8" s="18">
        <f t="shared" si="0"/>
        <v>10</v>
      </c>
      <c r="E8" s="18">
        <v>6</v>
      </c>
      <c r="F8" s="154">
        <f t="shared" si="1"/>
        <v>0.375</v>
      </c>
      <c r="G8" s="531"/>
      <c r="H8" s="320" t="s">
        <v>6</v>
      </c>
    </row>
    <row r="9" spans="1:8" ht="26.4" x14ac:dyDescent="0.25">
      <c r="A9" s="5" t="s">
        <v>248</v>
      </c>
      <c r="B9" s="18">
        <v>29</v>
      </c>
      <c r="C9" s="18">
        <v>310</v>
      </c>
      <c r="D9" s="18">
        <f t="shared" si="0"/>
        <v>100</v>
      </c>
      <c r="E9" s="18">
        <v>210</v>
      </c>
      <c r="F9" s="154">
        <f t="shared" si="1"/>
        <v>0.67741935483870963</v>
      </c>
      <c r="G9" s="531"/>
      <c r="H9" s="321" t="s">
        <v>249</v>
      </c>
    </row>
    <row r="10" spans="1:8" x14ac:dyDescent="0.25">
      <c r="A10" s="39" t="s">
        <v>163</v>
      </c>
      <c r="B10" s="18">
        <v>2</v>
      </c>
      <c r="C10" s="18">
        <v>2</v>
      </c>
      <c r="D10" s="18">
        <f t="shared" si="0"/>
        <v>0</v>
      </c>
      <c r="E10" s="18">
        <v>2</v>
      </c>
      <c r="F10" s="154">
        <f t="shared" si="1"/>
        <v>1</v>
      </c>
      <c r="G10" s="531"/>
      <c r="H10" s="320" t="s">
        <v>6</v>
      </c>
    </row>
    <row r="11" spans="1:8" ht="26.4" x14ac:dyDescent="0.25">
      <c r="A11" s="40" t="s">
        <v>146</v>
      </c>
      <c r="B11" s="18">
        <v>15</v>
      </c>
      <c r="C11" s="18">
        <v>61</v>
      </c>
      <c r="D11" s="18">
        <f t="shared" si="0"/>
        <v>18</v>
      </c>
      <c r="E11" s="18">
        <v>43</v>
      </c>
      <c r="F11" s="154">
        <f t="shared" si="1"/>
        <v>0.70491803278688525</v>
      </c>
      <c r="G11" s="532"/>
      <c r="H11" s="155" t="s">
        <v>250</v>
      </c>
    </row>
    <row r="12" spans="1:8" ht="15.6" x14ac:dyDescent="0.25">
      <c r="A12" s="233" t="s">
        <v>288</v>
      </c>
      <c r="B12" s="233">
        <f>99+4</f>
        <v>103</v>
      </c>
      <c r="C12" s="236">
        <f>SUM(C3:C11)</f>
        <v>1020</v>
      </c>
      <c r="D12" s="236">
        <f t="shared" ref="D12:E12" si="2">SUM(D3:D11)</f>
        <v>221</v>
      </c>
      <c r="E12" s="236">
        <f t="shared" si="2"/>
        <v>799</v>
      </c>
      <c r="F12" s="323">
        <f t="shared" si="1"/>
        <v>0.78333333333333333</v>
      </c>
      <c r="G12" s="324"/>
      <c r="H12" s="236"/>
    </row>
    <row r="13" spans="1:8" ht="24.6" customHeight="1" x14ac:dyDescent="0.25">
      <c r="A13" s="533" t="s">
        <v>289</v>
      </c>
      <c r="B13" s="534"/>
      <c r="C13" s="534"/>
      <c r="D13" s="534"/>
      <c r="E13" s="534"/>
      <c r="F13" s="534"/>
      <c r="G13" s="534"/>
      <c r="H13" s="534"/>
    </row>
  </sheetData>
  <mergeCells count="3">
    <mergeCell ref="G3:G11"/>
    <mergeCell ref="A13:H13"/>
    <mergeCell ref="A1:H1"/>
  </mergeCell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F18"/>
  <sheetViews>
    <sheetView workbookViewId="0">
      <selection activeCell="K21" sqref="K21"/>
    </sheetView>
  </sheetViews>
  <sheetFormatPr defaultRowHeight="13.2" x14ac:dyDescent="0.25"/>
  <cols>
    <col min="1" max="1" width="17.33203125" style="4" customWidth="1"/>
    <col min="2" max="2" width="14" style="4" customWidth="1"/>
    <col min="3" max="3" width="14.88671875" style="4" customWidth="1"/>
    <col min="4" max="4" width="20.44140625" style="4" customWidth="1"/>
    <col min="5" max="5" width="12.5546875" style="4" bestFit="1" customWidth="1"/>
    <col min="6" max="6" width="11.88671875" style="4" customWidth="1"/>
    <col min="7" max="16384" width="8.88671875" style="4"/>
  </cols>
  <sheetData>
    <row r="1" spans="1:6" ht="20.399999999999999" thickBot="1" x14ac:dyDescent="0.45">
      <c r="A1" s="506" t="s">
        <v>239</v>
      </c>
      <c r="B1" s="506"/>
      <c r="C1" s="506"/>
      <c r="D1" s="506"/>
      <c r="E1" s="506"/>
      <c r="F1" s="506"/>
    </row>
    <row r="2" spans="1:6" ht="56.4" customHeight="1" thickTop="1" x14ac:dyDescent="0.25">
      <c r="A2" s="379" t="s">
        <v>97</v>
      </c>
      <c r="B2" s="379" t="s">
        <v>264</v>
      </c>
      <c r="C2" s="379" t="s">
        <v>265</v>
      </c>
      <c r="D2" s="379" t="s">
        <v>237</v>
      </c>
      <c r="E2" s="379" t="s">
        <v>133</v>
      </c>
      <c r="F2" s="379" t="s">
        <v>134</v>
      </c>
    </row>
    <row r="3" spans="1:6" ht="16.2" customHeight="1" x14ac:dyDescent="0.25">
      <c r="A3" s="363" t="s">
        <v>290</v>
      </c>
      <c r="B3" s="361"/>
      <c r="C3" s="361"/>
      <c r="D3" s="361"/>
      <c r="E3" s="361"/>
      <c r="F3" s="362"/>
    </row>
    <row r="4" spans="1:6" ht="23.4" x14ac:dyDescent="0.25">
      <c r="A4" s="368" t="s">
        <v>234</v>
      </c>
      <c r="B4" s="369">
        <f>99+4</f>
        <v>103</v>
      </c>
      <c r="C4" s="369">
        <v>1008</v>
      </c>
      <c r="D4" s="369">
        <f>1008+50</f>
        <v>1058</v>
      </c>
      <c r="E4" s="369">
        <f>C4+D4</f>
        <v>2066</v>
      </c>
      <c r="F4" s="370">
        <f>E4/B4</f>
        <v>20.058252427184467</v>
      </c>
    </row>
    <row r="5" spans="1:6" x14ac:dyDescent="0.25">
      <c r="A5" s="347" t="s">
        <v>120</v>
      </c>
      <c r="B5" s="364">
        <v>9</v>
      </c>
      <c r="C5" s="371">
        <v>15</v>
      </c>
      <c r="D5" s="364">
        <v>29</v>
      </c>
      <c r="E5" s="371">
        <f t="shared" ref="E5:E9" si="0">C5+D5</f>
        <v>44</v>
      </c>
      <c r="F5" s="372">
        <f t="shared" ref="F5:F15" si="1">E5/B5</f>
        <v>4.8888888888888893</v>
      </c>
    </row>
    <row r="6" spans="1:6" ht="23.4" x14ac:dyDescent="0.25">
      <c r="A6" s="347" t="s">
        <v>238</v>
      </c>
      <c r="B6" s="364">
        <f>'Table 5 Cert'!N32</f>
        <v>33</v>
      </c>
      <c r="C6" s="371">
        <v>25</v>
      </c>
      <c r="D6" s="364">
        <v>33</v>
      </c>
      <c r="E6" s="371">
        <f t="shared" si="0"/>
        <v>58</v>
      </c>
      <c r="F6" s="372">
        <f t="shared" si="1"/>
        <v>1.7575757575757576</v>
      </c>
    </row>
    <row r="7" spans="1:6" x14ac:dyDescent="0.25">
      <c r="A7" s="347" t="s">
        <v>43</v>
      </c>
      <c r="B7" s="371">
        <f>'Table 8 PLT'!N21</f>
        <v>25</v>
      </c>
      <c r="C7" s="371">
        <v>88</v>
      </c>
      <c r="D7" s="371">
        <v>0</v>
      </c>
      <c r="E7" s="371">
        <f t="shared" si="0"/>
        <v>88</v>
      </c>
      <c r="F7" s="372">
        <f t="shared" si="1"/>
        <v>3.52</v>
      </c>
    </row>
    <row r="8" spans="1:6" x14ac:dyDescent="0.25">
      <c r="A8" s="347" t="s">
        <v>157</v>
      </c>
      <c r="B8" s="364">
        <v>35</v>
      </c>
      <c r="C8" s="371">
        <v>67</v>
      </c>
      <c r="D8" s="364">
        <v>61</v>
      </c>
      <c r="E8" s="371">
        <f>C8+D8</f>
        <v>128</v>
      </c>
      <c r="F8" s="372">
        <f>E8/B8</f>
        <v>3.657142857142857</v>
      </c>
    </row>
    <row r="9" spans="1:6" x14ac:dyDescent="0.25">
      <c r="A9" s="347" t="s">
        <v>121</v>
      </c>
      <c r="B9" s="371">
        <f>'Table 9 In-use'!F12</f>
        <v>6</v>
      </c>
      <c r="C9" s="371">
        <f>1*B9</f>
        <v>6</v>
      </c>
      <c r="D9" s="364">
        <v>0</v>
      </c>
      <c r="E9" s="371">
        <f t="shared" si="0"/>
        <v>6</v>
      </c>
      <c r="F9" s="372">
        <f t="shared" si="1"/>
        <v>1</v>
      </c>
    </row>
    <row r="10" spans="1:6" x14ac:dyDescent="0.25">
      <c r="A10" s="347" t="s">
        <v>122</v>
      </c>
      <c r="B10" s="371">
        <v>2</v>
      </c>
      <c r="C10" s="371">
        <f>1*B10</f>
        <v>2</v>
      </c>
      <c r="D10" s="364">
        <v>0</v>
      </c>
      <c r="E10" s="371">
        <f>C10+D10</f>
        <v>2</v>
      </c>
      <c r="F10" s="372">
        <f>E10/B10</f>
        <v>1</v>
      </c>
    </row>
    <row r="11" spans="1:6" x14ac:dyDescent="0.25">
      <c r="A11" s="373" t="s">
        <v>263</v>
      </c>
      <c r="B11" s="374">
        <v>103</v>
      </c>
      <c r="C11" s="374">
        <f t="shared" ref="C11:F11" si="2">SUM(C4:C10)</f>
        <v>1211</v>
      </c>
      <c r="D11" s="374">
        <f t="shared" si="2"/>
        <v>1181</v>
      </c>
      <c r="E11" s="374">
        <f t="shared" si="2"/>
        <v>2392</v>
      </c>
      <c r="F11" s="374">
        <f t="shared" si="2"/>
        <v>35.881859930791968</v>
      </c>
    </row>
    <row r="12" spans="1:6" ht="16.2" customHeight="1" x14ac:dyDescent="0.25">
      <c r="A12" s="380" t="s">
        <v>291</v>
      </c>
      <c r="B12" s="375"/>
      <c r="C12" s="375"/>
      <c r="D12" s="375"/>
      <c r="E12" s="375"/>
      <c r="F12" s="376"/>
    </row>
    <row r="13" spans="1:6" ht="23.4" x14ac:dyDescent="0.25">
      <c r="A13" s="350" t="s">
        <v>255</v>
      </c>
      <c r="B13" s="364">
        <f>'Table 11-Alt Fuel'!K26</f>
        <v>8</v>
      </c>
      <c r="C13" s="371">
        <v>17</v>
      </c>
      <c r="D13" s="364">
        <v>17</v>
      </c>
      <c r="E13" s="371">
        <f>C13+D13</f>
        <v>34</v>
      </c>
      <c r="F13" s="372">
        <f>E13/B13</f>
        <v>4.25</v>
      </c>
    </row>
    <row r="14" spans="1:6" ht="16.8" customHeight="1" x14ac:dyDescent="0.25">
      <c r="A14" s="350" t="s">
        <v>236</v>
      </c>
      <c r="B14" s="371">
        <f>'Table 12 TPEM'!J26+'Table 12 TPEM'!J20</f>
        <v>132</v>
      </c>
      <c r="C14" s="371">
        <v>10</v>
      </c>
      <c r="D14" s="371">
        <f>107+25</f>
        <v>132</v>
      </c>
      <c r="E14" s="371">
        <f>C14+D14</f>
        <v>142</v>
      </c>
      <c r="F14" s="372">
        <f t="shared" si="1"/>
        <v>1.0757575757575757</v>
      </c>
    </row>
    <row r="15" spans="1:6" ht="27" customHeight="1" x14ac:dyDescent="0.25">
      <c r="A15" s="350" t="s">
        <v>82</v>
      </c>
      <c r="B15" s="377">
        <v>225</v>
      </c>
      <c r="C15" s="377">
        <f>B15</f>
        <v>225</v>
      </c>
      <c r="D15" s="371">
        <v>120</v>
      </c>
      <c r="E15" s="371">
        <f>C15+D15</f>
        <v>345</v>
      </c>
      <c r="F15" s="372">
        <f t="shared" si="1"/>
        <v>1.5333333333333334</v>
      </c>
    </row>
    <row r="16" spans="1:6" x14ac:dyDescent="0.25">
      <c r="A16" s="311" t="s">
        <v>135</v>
      </c>
      <c r="B16" s="378">
        <f>SUM(B11:B15)</f>
        <v>468</v>
      </c>
      <c r="C16" s="378">
        <f t="shared" ref="C16:D16" si="3">SUM(C11:C15)</f>
        <v>1463</v>
      </c>
      <c r="D16" s="378">
        <f t="shared" si="3"/>
        <v>1450</v>
      </c>
      <c r="E16" s="378">
        <f>SUM(E11:E15)</f>
        <v>2913</v>
      </c>
      <c r="F16" s="378" t="s">
        <v>6</v>
      </c>
    </row>
    <row r="17" spans="1:6" ht="13.2" customHeight="1" x14ac:dyDescent="0.25">
      <c r="A17" s="381"/>
      <c r="B17" s="382"/>
      <c r="C17" s="537" t="s">
        <v>136</v>
      </c>
      <c r="D17" s="537"/>
      <c r="E17" s="538"/>
      <c r="F17" s="243">
        <f>E16/B16</f>
        <v>6.2243589743589745</v>
      </c>
    </row>
    <row r="18" spans="1:6" ht="21.6" customHeight="1" x14ac:dyDescent="0.25">
      <c r="A18" s="535" t="s">
        <v>287</v>
      </c>
      <c r="B18" s="536"/>
      <c r="C18" s="536"/>
      <c r="D18" s="536"/>
      <c r="E18" s="534"/>
      <c r="F18" s="534"/>
    </row>
  </sheetData>
  <mergeCells count="3">
    <mergeCell ref="A1:F1"/>
    <mergeCell ref="A18:F18"/>
    <mergeCell ref="C17:E17"/>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L24"/>
  <sheetViews>
    <sheetView workbookViewId="0">
      <selection activeCell="U21" sqref="U21"/>
    </sheetView>
  </sheetViews>
  <sheetFormatPr defaultRowHeight="13.2" x14ac:dyDescent="0.25"/>
  <cols>
    <col min="1" max="1" width="12.109375" customWidth="1"/>
    <col min="2" max="2" width="8.88671875" style="125"/>
    <col min="3" max="3" width="11.6640625" customWidth="1"/>
    <col min="4" max="4" width="8.88671875" customWidth="1"/>
    <col min="5" max="5" width="7.6640625" hidden="1" customWidth="1"/>
    <col min="6" max="6" width="10.21875" hidden="1" customWidth="1"/>
    <col min="7" max="7" width="12.5546875" customWidth="1"/>
    <col min="8" max="8" width="8.88671875" customWidth="1"/>
    <col min="9" max="9" width="12" customWidth="1"/>
    <col min="10" max="11" width="12" hidden="1" customWidth="1"/>
    <col min="12" max="12" width="14.88671875" customWidth="1"/>
  </cols>
  <sheetData>
    <row r="1" spans="1:12" ht="20.399999999999999" thickBot="1" x14ac:dyDescent="0.45">
      <c r="A1" s="506" t="s">
        <v>256</v>
      </c>
      <c r="B1" s="506"/>
      <c r="C1" s="506"/>
      <c r="D1" s="506"/>
      <c r="E1" s="506"/>
      <c r="F1" s="506"/>
      <c r="G1" s="506"/>
      <c r="H1" s="506"/>
      <c r="I1" s="506"/>
      <c r="J1" s="506"/>
      <c r="K1" s="506"/>
      <c r="L1" s="506"/>
    </row>
    <row r="2" spans="1:12" ht="48.6" thickTop="1" x14ac:dyDescent="0.25">
      <c r="A2" s="325" t="s">
        <v>97</v>
      </c>
      <c r="B2" s="325" t="s">
        <v>292</v>
      </c>
      <c r="C2" s="325" t="s">
        <v>25</v>
      </c>
      <c r="D2" s="325" t="s">
        <v>98</v>
      </c>
      <c r="E2" s="326" t="s">
        <v>23</v>
      </c>
      <c r="F2" s="326" t="s">
        <v>128</v>
      </c>
      <c r="G2" s="325" t="s">
        <v>99</v>
      </c>
      <c r="H2" s="325" t="s">
        <v>100</v>
      </c>
      <c r="I2" s="325" t="s">
        <v>101</v>
      </c>
      <c r="J2" s="326" t="s">
        <v>129</v>
      </c>
      <c r="K2" s="326" t="s">
        <v>130</v>
      </c>
      <c r="L2" s="325" t="s">
        <v>102</v>
      </c>
    </row>
    <row r="3" spans="1:12" s="125" customFormat="1" x14ac:dyDescent="0.25">
      <c r="A3" s="546" t="s">
        <v>137</v>
      </c>
      <c r="B3" s="547"/>
      <c r="C3" s="547"/>
      <c r="D3" s="547"/>
      <c r="E3" s="547"/>
      <c r="F3" s="547"/>
      <c r="G3" s="547"/>
      <c r="H3" s="547"/>
      <c r="I3" s="547"/>
      <c r="J3" s="547"/>
      <c r="K3" s="547"/>
      <c r="L3" s="548"/>
    </row>
    <row r="4" spans="1:12" x14ac:dyDescent="0.25">
      <c r="A4" s="327" t="s">
        <v>123</v>
      </c>
      <c r="B4" s="328">
        <v>5</v>
      </c>
      <c r="C4" s="541">
        <v>103</v>
      </c>
      <c r="D4" s="329">
        <f>'Table 5 Cert'!O37</f>
        <v>79690.854838709682</v>
      </c>
      <c r="E4" s="329">
        <f>'Table 5 Cert'!I35*'Table 5 Cert'!M35*'Table 5 Cert'!N35</f>
        <v>8652</v>
      </c>
      <c r="F4" s="329">
        <f>D4-E4</f>
        <v>71038.854838709682</v>
      </c>
      <c r="G4" s="330">
        <f>'Table 5 Cert'!J37</f>
        <v>6320650.5422043027</v>
      </c>
      <c r="H4" s="340">
        <v>0</v>
      </c>
      <c r="I4" s="330">
        <f>'Table 5 Cert'!L37</f>
        <v>8391132.9908387102</v>
      </c>
      <c r="J4" s="330">
        <f>'Table 5 Cert'!L35*'Table 5 Cert'!M35*'Table 5 Cert'!N35</f>
        <v>103000</v>
      </c>
      <c r="K4" s="330">
        <f>I4-J4</f>
        <v>8288132.9908387102</v>
      </c>
      <c r="L4" s="330">
        <f>'Table 5 Cert'!P37</f>
        <v>14711783.533043008</v>
      </c>
    </row>
    <row r="5" spans="1:12" s="125" customFormat="1" ht="22.8" x14ac:dyDescent="0.25">
      <c r="A5" s="327" t="s">
        <v>147</v>
      </c>
      <c r="B5" s="328">
        <v>6</v>
      </c>
      <c r="C5" s="542"/>
      <c r="D5" s="329">
        <f>'Table 6 GHG Engines'!M17</f>
        <v>311</v>
      </c>
      <c r="E5" s="329">
        <f>'Table 6 GHG Engines'!G15*'Table 6 GHG Engines'!K15*'Table 6 GHG Engines'!L15</f>
        <v>14</v>
      </c>
      <c r="F5" s="329">
        <f>D5-E5</f>
        <v>297</v>
      </c>
      <c r="G5" s="330">
        <f>'Table 6 GHG Engines'!H17</f>
        <v>27467.883999999998</v>
      </c>
      <c r="H5" s="340">
        <v>0</v>
      </c>
      <c r="I5" s="330">
        <f>'Table 6 GHG Engines'!J17</f>
        <v>2143.6999999999998</v>
      </c>
      <c r="J5" s="330">
        <f>'Table 6 GHG Engines'!J15*'Table 6 GHG Engines'!K15*'Table 6 GHG Engines'!L15</f>
        <v>70</v>
      </c>
      <c r="K5" s="330">
        <f>I5-J5</f>
        <v>2073.6999999999998</v>
      </c>
      <c r="L5" s="330">
        <f>'Table 6 GHG Engines'!N17</f>
        <v>29611.583999999999</v>
      </c>
    </row>
    <row r="6" spans="1:12" s="125" customFormat="1" ht="22.8" x14ac:dyDescent="0.25">
      <c r="A6" s="327" t="s">
        <v>148</v>
      </c>
      <c r="B6" s="328">
        <v>7</v>
      </c>
      <c r="C6" s="542"/>
      <c r="D6" s="329">
        <f>'Table 7 GHG Vehicles'!M32</f>
        <v>4570.72</v>
      </c>
      <c r="E6" s="329">
        <f>'Table 7 GHG Vehicles'!G30*'Table 7 GHG Vehicles'!K30*'Table 7 GHG Vehicles'!L30</f>
        <v>483</v>
      </c>
      <c r="F6" s="329">
        <f>D6-E6</f>
        <v>4087.7200000000003</v>
      </c>
      <c r="G6" s="330">
        <f>'Table 7 GHG Vehicles'!H32</f>
        <v>400358.60320000001</v>
      </c>
      <c r="H6" s="340">
        <v>0</v>
      </c>
      <c r="I6" s="330">
        <f>'Table 7 GHG Vehicles'!J32</f>
        <v>66877.43280000001</v>
      </c>
      <c r="J6" s="330">
        <f>'Table 7 GHG Vehicles'!J30*'Table 7 GHG Vehicles'!K30*'Table 7 GHG Vehicles'!L30</f>
        <v>420</v>
      </c>
      <c r="K6" s="330">
        <f>I6-J6</f>
        <v>66457.43280000001</v>
      </c>
      <c r="L6" s="330">
        <f>'Table 7 GHG Vehicles'!N32</f>
        <v>467236.03599999996</v>
      </c>
    </row>
    <row r="7" spans="1:12" x14ac:dyDescent="0.25">
      <c r="A7" s="327" t="s">
        <v>43</v>
      </c>
      <c r="B7" s="328">
        <v>8</v>
      </c>
      <c r="C7" s="542"/>
      <c r="D7" s="331">
        <f>'Table 8 PLT'!O21</f>
        <v>8899.5</v>
      </c>
      <c r="E7" s="340">
        <f>'Table 8 PLT'!H19*'Table 8 PLT'!M19*'Table 8 PLT'!N19</f>
        <v>250</v>
      </c>
      <c r="F7" s="329">
        <f t="shared" ref="F7:F9" si="0">D7-E7</f>
        <v>8649.5</v>
      </c>
      <c r="G7" s="330">
        <f>'Table 8 PLT'!J21</f>
        <v>661223.02</v>
      </c>
      <c r="H7" s="340">
        <v>0</v>
      </c>
      <c r="I7" s="330">
        <f>'Table 8 PLT'!L21</f>
        <v>511306.83333333326</v>
      </c>
      <c r="J7" s="330">
        <f>'Table 8 PLT'!L19*'Table 8 PLT'!M19*'Table 8 PLT'!N19</f>
        <v>50</v>
      </c>
      <c r="K7" s="330">
        <f t="shared" ref="K7:K9" si="1">I7-J7</f>
        <v>511256.83333333326</v>
      </c>
      <c r="L7" s="330">
        <f>'Table 8 PLT'!P21</f>
        <v>1172529.8533333333</v>
      </c>
    </row>
    <row r="8" spans="1:12" x14ac:dyDescent="0.25">
      <c r="A8" s="327" t="s">
        <v>121</v>
      </c>
      <c r="B8" s="328">
        <v>9</v>
      </c>
      <c r="C8" s="542"/>
      <c r="D8" s="329">
        <v>360</v>
      </c>
      <c r="E8" s="329">
        <f>'Table 9 In-use'!G10</f>
        <v>12</v>
      </c>
      <c r="F8" s="329">
        <f t="shared" si="0"/>
        <v>348</v>
      </c>
      <c r="G8" s="330">
        <f>'Table 9 In-use'!C14</f>
        <v>65172.413793103449</v>
      </c>
      <c r="H8" s="340">
        <v>0</v>
      </c>
      <c r="I8" s="330">
        <f>'Table 9 In-use'!C15</f>
        <v>1772689.6551724137</v>
      </c>
      <c r="J8" s="330">
        <f>'Table 9 In-use'!H10</f>
        <v>10862.068965517243</v>
      </c>
      <c r="K8" s="330">
        <f t="shared" si="1"/>
        <v>1761827.5862068965</v>
      </c>
      <c r="L8" s="330">
        <f>'Table 9 In-use'!H12</f>
        <v>1837862.0689655172</v>
      </c>
    </row>
    <row r="9" spans="1:12" s="125" customFormat="1" ht="13.8" thickBot="1" x14ac:dyDescent="0.3">
      <c r="A9" s="332" t="s">
        <v>157</v>
      </c>
      <c r="B9" s="333">
        <v>10</v>
      </c>
      <c r="C9" s="543"/>
      <c r="D9" s="334">
        <f>'Table 10 Defects'!L23</f>
        <v>9863.65</v>
      </c>
      <c r="E9" s="334">
        <f>'Table 7 GHG Vehicles'!G30*'Table 7 GHG Vehicles'!K30*'Table 7 GHG Vehicles'!L30</f>
        <v>483</v>
      </c>
      <c r="F9" s="334">
        <f t="shared" si="0"/>
        <v>9380.65</v>
      </c>
      <c r="G9" s="336">
        <f>'Table 7 GHG Vehicles'!H32</f>
        <v>400358.60320000001</v>
      </c>
      <c r="H9" s="335">
        <v>0</v>
      </c>
      <c r="I9" s="336">
        <f>'Table 7 GHG Vehicles'!J32</f>
        <v>66877.43280000001</v>
      </c>
      <c r="J9" s="336">
        <f>'Table 7 GHG Vehicles'!J30*'Table 7 GHG Vehicles'!K30*'Table 7 GHG Vehicles'!L30</f>
        <v>420</v>
      </c>
      <c r="K9" s="336">
        <f t="shared" si="1"/>
        <v>66457.43280000001</v>
      </c>
      <c r="L9" s="336">
        <f>'Table 7 GHG Vehicles'!N32</f>
        <v>467236.03599999996</v>
      </c>
    </row>
    <row r="10" spans="1:12" ht="13.8" thickTop="1" x14ac:dyDescent="0.25">
      <c r="A10" s="539" t="s">
        <v>230</v>
      </c>
      <c r="B10" s="540"/>
      <c r="C10" s="339">
        <v>103</v>
      </c>
      <c r="D10" s="337">
        <f t="shared" ref="D10:L10" si="2">SUM(D4:D9)</f>
        <v>103695.72483870968</v>
      </c>
      <c r="E10" s="386">
        <f t="shared" si="2"/>
        <v>9894</v>
      </c>
      <c r="F10" s="386">
        <f t="shared" si="2"/>
        <v>93801.724838709677</v>
      </c>
      <c r="G10" s="337">
        <f t="shared" si="2"/>
        <v>7875231.0663974062</v>
      </c>
      <c r="H10" s="337">
        <f t="shared" si="2"/>
        <v>0</v>
      </c>
      <c r="I10" s="337">
        <f t="shared" si="2"/>
        <v>10811028.044944458</v>
      </c>
      <c r="J10" s="338">
        <f t="shared" si="2"/>
        <v>114822.06896551725</v>
      </c>
      <c r="K10" s="338">
        <f t="shared" si="2"/>
        <v>10696205.975978941</v>
      </c>
      <c r="L10" s="342">
        <f t="shared" si="2"/>
        <v>18686259.11134186</v>
      </c>
    </row>
    <row r="11" spans="1:12" x14ac:dyDescent="0.25">
      <c r="A11" s="546" t="s">
        <v>229</v>
      </c>
      <c r="B11" s="547"/>
      <c r="C11" s="547"/>
      <c r="D11" s="547"/>
      <c r="E11" s="547"/>
      <c r="F11" s="547"/>
      <c r="G11" s="547"/>
      <c r="H11" s="547"/>
      <c r="I11" s="547"/>
      <c r="J11" s="547"/>
      <c r="K11" s="547"/>
      <c r="L11" s="548"/>
    </row>
    <row r="12" spans="1:12" ht="48" hidden="1" x14ac:dyDescent="0.25">
      <c r="A12" s="325" t="s">
        <v>97</v>
      </c>
      <c r="B12" s="325" t="s">
        <v>227</v>
      </c>
      <c r="C12" s="325" t="s">
        <v>25</v>
      </c>
      <c r="D12" s="325" t="s">
        <v>98</v>
      </c>
      <c r="E12" s="326" t="s">
        <v>131</v>
      </c>
      <c r="F12" s="326" t="s">
        <v>128</v>
      </c>
      <c r="G12" s="325" t="s">
        <v>99</v>
      </c>
      <c r="H12" s="325" t="s">
        <v>100</v>
      </c>
      <c r="I12" s="325" t="s">
        <v>101</v>
      </c>
      <c r="J12" s="326" t="s">
        <v>129</v>
      </c>
      <c r="K12" s="326" t="s">
        <v>130</v>
      </c>
      <c r="L12" s="325" t="s">
        <v>102</v>
      </c>
    </row>
    <row r="13" spans="1:12" ht="36.6" customHeight="1" x14ac:dyDescent="0.25">
      <c r="A13" s="350" t="s">
        <v>255</v>
      </c>
      <c r="B13" s="351">
        <v>11</v>
      </c>
      <c r="C13" s="422">
        <f>'Table 11-Alt Fuel'!K26</f>
        <v>8</v>
      </c>
      <c r="D13" s="352">
        <f>'Table 11-Alt Fuel'!L26</f>
        <v>650.79999999999995</v>
      </c>
      <c r="E13" s="352">
        <f>'Table 11-Alt Fuel'!F24*'Table 11-Alt Fuel'!J24*'Table 11-Alt Fuel'!K24</f>
        <v>152</v>
      </c>
      <c r="F13" s="352">
        <f>D13-E13</f>
        <v>498.79999999999995</v>
      </c>
      <c r="G13" s="349">
        <f>'Table 11-Alt Fuel'!G26</f>
        <v>64720.157999999996</v>
      </c>
      <c r="H13" s="347">
        <v>0</v>
      </c>
      <c r="I13" s="349">
        <f>'Table 11-Alt Fuel'!I26</f>
        <v>597111.2666666666</v>
      </c>
      <c r="J13" s="349">
        <f>'Table 11-Alt Fuel'!I24*'Table 11-Alt Fuel'!J24*'Table 11-Alt Fuel'!K24</f>
        <v>40</v>
      </c>
      <c r="K13" s="349">
        <f>I13-J13</f>
        <v>597071.2666666666</v>
      </c>
      <c r="L13" s="349">
        <f>'Table 11-Alt Fuel'!M26</f>
        <v>661831.42466666678</v>
      </c>
    </row>
    <row r="14" spans="1:12" x14ac:dyDescent="0.25">
      <c r="A14" s="549" t="s">
        <v>132</v>
      </c>
      <c r="B14" s="550"/>
      <c r="C14" s="550"/>
      <c r="D14" s="550"/>
      <c r="E14" s="550"/>
      <c r="F14" s="550"/>
      <c r="G14" s="550"/>
      <c r="H14" s="550"/>
      <c r="I14" s="550"/>
      <c r="J14" s="550"/>
      <c r="K14" s="550"/>
      <c r="L14" s="551"/>
    </row>
    <row r="15" spans="1:12" ht="48" hidden="1" x14ac:dyDescent="0.25">
      <c r="A15" s="353" t="s">
        <v>97</v>
      </c>
      <c r="B15" s="353" t="s">
        <v>227</v>
      </c>
      <c r="C15" s="353" t="s">
        <v>25</v>
      </c>
      <c r="D15" s="353" t="s">
        <v>98</v>
      </c>
      <c r="E15" s="354" t="s">
        <v>131</v>
      </c>
      <c r="F15" s="354" t="s">
        <v>128</v>
      </c>
      <c r="G15" s="353" t="s">
        <v>99</v>
      </c>
      <c r="H15" s="353" t="s">
        <v>100</v>
      </c>
      <c r="I15" s="353" t="s">
        <v>101</v>
      </c>
      <c r="J15" s="354" t="s">
        <v>129</v>
      </c>
      <c r="K15" s="354" t="s">
        <v>130</v>
      </c>
      <c r="L15" s="353" t="s">
        <v>102</v>
      </c>
    </row>
    <row r="16" spans="1:12" ht="20.399999999999999" customHeight="1" x14ac:dyDescent="0.25">
      <c r="A16" s="350" t="s">
        <v>236</v>
      </c>
      <c r="B16" s="351">
        <v>12</v>
      </c>
      <c r="C16" s="348">
        <v>132</v>
      </c>
      <c r="D16" s="352">
        <f>'Table 12 TPEM'!K26</f>
        <v>14647</v>
      </c>
      <c r="E16" s="352">
        <f>'Table 12 TPEM'!F24*'Table 12 TPEM'!J24</f>
        <v>3531</v>
      </c>
      <c r="F16" s="352">
        <f>D16-E16</f>
        <v>11116</v>
      </c>
      <c r="G16" s="349">
        <f>'Table 12 TPEM'!G26</f>
        <v>1351809.5</v>
      </c>
      <c r="H16" s="347">
        <v>0</v>
      </c>
      <c r="I16" s="349">
        <f>'Table 12 TPEM'!I26</f>
        <v>261524</v>
      </c>
      <c r="J16" s="349">
        <f>'Table 12 TPEM'!F24*'Table 12 TPEM'!J24</f>
        <v>3531</v>
      </c>
      <c r="K16" s="349">
        <f t="shared" ref="K16" si="3">I16-J16</f>
        <v>257993</v>
      </c>
      <c r="L16" s="349">
        <f>'Table 12 TPEM'!L26</f>
        <v>1613333.5</v>
      </c>
    </row>
    <row r="17" spans="1:12" s="1" customFormat="1" hidden="1" x14ac:dyDescent="0.25">
      <c r="A17" s="355"/>
      <c r="B17" s="356"/>
      <c r="C17" s="357" t="e">
        <f>#REF!/2</f>
        <v>#REF!</v>
      </c>
      <c r="D17" s="356"/>
      <c r="E17" s="356"/>
      <c r="F17" s="356"/>
      <c r="G17" s="358"/>
      <c r="H17" s="356"/>
      <c r="I17" s="358"/>
      <c r="J17" s="358"/>
      <c r="K17" s="358"/>
      <c r="L17" s="359"/>
    </row>
    <row r="18" spans="1:12" s="1" customFormat="1" hidden="1" x14ac:dyDescent="0.25">
      <c r="A18" s="355"/>
      <c r="B18" s="356"/>
      <c r="C18" s="357"/>
      <c r="D18" s="356"/>
      <c r="E18" s="356"/>
      <c r="F18" s="356"/>
      <c r="G18" s="358"/>
      <c r="H18" s="356"/>
      <c r="I18" s="358"/>
      <c r="J18" s="358"/>
      <c r="K18" s="358"/>
      <c r="L18" s="359"/>
    </row>
    <row r="19" spans="1:12" s="1" customFormat="1" x14ac:dyDescent="0.25">
      <c r="A19" s="552" t="s">
        <v>138</v>
      </c>
      <c r="B19" s="553"/>
      <c r="C19" s="553"/>
      <c r="D19" s="553"/>
      <c r="E19" s="553"/>
      <c r="F19" s="553"/>
      <c r="G19" s="553"/>
      <c r="H19" s="553"/>
      <c r="I19" s="553"/>
      <c r="J19" s="553"/>
      <c r="K19" s="553"/>
      <c r="L19" s="554"/>
    </row>
    <row r="20" spans="1:12" s="1" customFormat="1" ht="48" hidden="1" x14ac:dyDescent="0.25">
      <c r="A20" s="353" t="s">
        <v>97</v>
      </c>
      <c r="B20" s="353" t="s">
        <v>227</v>
      </c>
      <c r="C20" s="353" t="s">
        <v>25</v>
      </c>
      <c r="D20" s="353" t="s">
        <v>98</v>
      </c>
      <c r="E20" s="354" t="s">
        <v>131</v>
      </c>
      <c r="F20" s="354" t="s">
        <v>128</v>
      </c>
      <c r="G20" s="353" t="s">
        <v>99</v>
      </c>
      <c r="H20" s="353" t="s">
        <v>100</v>
      </c>
      <c r="I20" s="353" t="s">
        <v>101</v>
      </c>
      <c r="J20" s="354" t="s">
        <v>129</v>
      </c>
      <c r="K20" s="354" t="s">
        <v>130</v>
      </c>
      <c r="L20" s="353" t="s">
        <v>102</v>
      </c>
    </row>
    <row r="21" spans="1:12" ht="34.799999999999997" x14ac:dyDescent="0.25">
      <c r="A21" s="350" t="s">
        <v>82</v>
      </c>
      <c r="B21" s="351">
        <v>13</v>
      </c>
      <c r="C21" s="360">
        <f>'Table 13 Special Compliance'!J17</f>
        <v>225</v>
      </c>
      <c r="D21" s="352">
        <f>'Table 13 Special Compliance'!K17</f>
        <v>8906</v>
      </c>
      <c r="E21" s="352">
        <f>'Table 13 Special Compliance'!F15*'Table 13 Special Compliance'!J15</f>
        <v>990</v>
      </c>
      <c r="F21" s="352">
        <f>D21-E21</f>
        <v>7916</v>
      </c>
      <c r="G21" s="349">
        <f>'Table 13 Special Compliance'!G17</f>
        <v>665281.13</v>
      </c>
      <c r="H21" s="347">
        <v>0</v>
      </c>
      <c r="I21" s="349">
        <f>'Table 13 Special Compliance'!I17</f>
        <v>12885</v>
      </c>
      <c r="J21" s="349">
        <f>'Table 13 Special Compliance'!I15*'Table 13 Special Compliance'!J15</f>
        <v>2860</v>
      </c>
      <c r="K21" s="349">
        <f>I21-J21</f>
        <v>10025</v>
      </c>
      <c r="L21" s="349">
        <f>'Table 13 Special Compliance'!L17</f>
        <v>678166.13</v>
      </c>
    </row>
    <row r="22" spans="1:12" x14ac:dyDescent="0.25">
      <c r="A22" s="544" t="s">
        <v>228</v>
      </c>
      <c r="B22" s="545"/>
      <c r="C22" s="343">
        <f t="shared" ref="C22:L22" si="4">C10+C13+C16+C21</f>
        <v>468</v>
      </c>
      <c r="D22" s="344">
        <f t="shared" si="4"/>
        <v>127899.52483870968</v>
      </c>
      <c r="E22" s="344">
        <f t="shared" si="4"/>
        <v>14567</v>
      </c>
      <c r="F22" s="344">
        <f t="shared" si="4"/>
        <v>113332.52483870968</v>
      </c>
      <c r="G22" s="344">
        <f t="shared" si="4"/>
        <v>9957041.8543974068</v>
      </c>
      <c r="H22" s="344">
        <f t="shared" si="4"/>
        <v>0</v>
      </c>
      <c r="I22" s="345">
        <f t="shared" si="4"/>
        <v>11682548.311611123</v>
      </c>
      <c r="J22" s="345">
        <f t="shared" si="4"/>
        <v>121253.06896551725</v>
      </c>
      <c r="K22" s="345">
        <f t="shared" si="4"/>
        <v>11561295.242645606</v>
      </c>
      <c r="L22" s="346">
        <f t="shared" si="4"/>
        <v>21639590.166008525</v>
      </c>
    </row>
    <row r="23" spans="1:12" x14ac:dyDescent="0.25">
      <c r="A23" s="383"/>
      <c r="B23" s="383"/>
      <c r="C23" s="384" t="s">
        <v>270</v>
      </c>
      <c r="D23" s="385">
        <f>D22/C22</f>
        <v>273.28958298869588</v>
      </c>
      <c r="E23" s="341"/>
      <c r="F23" s="341"/>
      <c r="G23" s="560"/>
      <c r="H23" s="560"/>
      <c r="I23" s="560"/>
      <c r="J23" s="560"/>
      <c r="K23" s="560"/>
      <c r="L23" s="560"/>
    </row>
    <row r="24" spans="1:12" x14ac:dyDescent="0.25">
      <c r="A24" s="341"/>
      <c r="B24" s="341"/>
      <c r="C24" s="341"/>
      <c r="D24" s="341"/>
      <c r="E24" s="341"/>
      <c r="F24" s="341"/>
      <c r="G24" s="341"/>
      <c r="H24" s="341"/>
      <c r="I24" s="341"/>
      <c r="J24" s="341"/>
      <c r="K24" s="341"/>
      <c r="L24" s="341"/>
    </row>
  </sheetData>
  <mergeCells count="8">
    <mergeCell ref="A1:L1"/>
    <mergeCell ref="A10:B10"/>
    <mergeCell ref="C4:C9"/>
    <mergeCell ref="A22:B22"/>
    <mergeCell ref="A3:L3"/>
    <mergeCell ref="A11:L11"/>
    <mergeCell ref="A14:L14"/>
    <mergeCell ref="A19:L19"/>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8"/>
  <sheetViews>
    <sheetView workbookViewId="0">
      <selection activeCell="Q14" sqref="P14:Q14"/>
    </sheetView>
  </sheetViews>
  <sheetFormatPr defaultRowHeight="13.2" x14ac:dyDescent="0.25"/>
  <cols>
    <col min="1" max="1" width="13.33203125" customWidth="1"/>
    <col min="2" max="2" width="8.77734375" customWidth="1"/>
    <col min="3" max="3" width="7.109375" customWidth="1"/>
    <col min="4" max="4" width="8.6640625" customWidth="1"/>
    <col min="5" max="5" width="9.33203125" customWidth="1"/>
    <col min="6" max="6" width="7.6640625" customWidth="1"/>
    <col min="7" max="7" width="9" customWidth="1"/>
    <col min="8" max="9" width="10.33203125" style="125" customWidth="1"/>
    <col min="10" max="10" width="10.5546875" style="125" customWidth="1"/>
    <col min="11" max="11" width="20.6640625" customWidth="1"/>
  </cols>
  <sheetData>
    <row r="1" spans="1:11" ht="19.8" x14ac:dyDescent="0.4">
      <c r="A1" s="555" t="s">
        <v>268</v>
      </c>
      <c r="B1" s="555"/>
      <c r="C1" s="555"/>
      <c r="D1" s="555"/>
      <c r="E1" s="555"/>
      <c r="F1" s="555"/>
      <c r="G1" s="555"/>
      <c r="H1" s="555"/>
      <c r="I1" s="555"/>
      <c r="J1" s="555"/>
      <c r="K1" s="555"/>
    </row>
    <row r="2" spans="1:11" ht="15" customHeight="1" x14ac:dyDescent="0.25">
      <c r="A2" s="556" t="s">
        <v>266</v>
      </c>
      <c r="B2" s="556" t="s">
        <v>257</v>
      </c>
      <c r="C2" s="556"/>
      <c r="D2" s="556"/>
      <c r="E2" s="556" t="s">
        <v>258</v>
      </c>
      <c r="F2" s="556"/>
      <c r="G2" s="556"/>
      <c r="H2" s="556" t="s">
        <v>271</v>
      </c>
      <c r="I2" s="556"/>
      <c r="J2" s="556"/>
      <c r="K2" s="556" t="s">
        <v>262</v>
      </c>
    </row>
    <row r="3" spans="1:11" ht="37.200000000000003" customHeight="1" x14ac:dyDescent="0.25">
      <c r="A3" s="556"/>
      <c r="B3" s="392" t="s">
        <v>259</v>
      </c>
      <c r="C3" s="392" t="s">
        <v>272</v>
      </c>
      <c r="D3" s="392" t="s">
        <v>260</v>
      </c>
      <c r="E3" s="392" t="s">
        <v>267</v>
      </c>
      <c r="F3" s="392" t="s">
        <v>272</v>
      </c>
      <c r="G3" s="392" t="s">
        <v>260</v>
      </c>
      <c r="H3" s="392" t="s">
        <v>267</v>
      </c>
      <c r="I3" s="392" t="s">
        <v>272</v>
      </c>
      <c r="J3" s="392" t="s">
        <v>260</v>
      </c>
      <c r="K3" s="556"/>
    </row>
    <row r="4" spans="1:11" ht="75" customHeight="1" x14ac:dyDescent="0.25">
      <c r="A4" s="387" t="s">
        <v>261</v>
      </c>
      <c r="B4" s="388">
        <v>1144</v>
      </c>
      <c r="C4" s="389">
        <f t="shared" ref="C4:C7" si="0">D4-B4</f>
        <v>1248</v>
      </c>
      <c r="D4" s="388">
        <f>'Table 19 Reports'!E11</f>
        <v>2392</v>
      </c>
      <c r="E4" s="390">
        <v>89209</v>
      </c>
      <c r="F4" s="390">
        <f>G4-E4</f>
        <v>14486.724838709677</v>
      </c>
      <c r="G4" s="390">
        <f>'Table 20 ICs'!D10</f>
        <v>103695.72483870968</v>
      </c>
      <c r="H4" s="423">
        <v>16423301</v>
      </c>
      <c r="I4" s="423">
        <f>J4-H4</f>
        <v>-5612272.9550555423</v>
      </c>
      <c r="J4" s="423">
        <f>'Table 20 ICs'!I10</f>
        <v>10811028.044944458</v>
      </c>
      <c r="K4" s="388" t="s">
        <v>284</v>
      </c>
    </row>
    <row r="5" spans="1:11" ht="36" customHeight="1" x14ac:dyDescent="0.25">
      <c r="A5" s="387" t="s">
        <v>282</v>
      </c>
      <c r="B5" s="391">
        <v>4</v>
      </c>
      <c r="C5" s="389">
        <f t="shared" si="0"/>
        <v>30</v>
      </c>
      <c r="D5" s="391">
        <f>'Table 19 Reports'!E13</f>
        <v>34</v>
      </c>
      <c r="E5" s="390">
        <v>293</v>
      </c>
      <c r="F5" s="390">
        <f>G5-E5</f>
        <v>357.79999999999995</v>
      </c>
      <c r="G5" s="390">
        <f>'Table 20 ICs'!D13</f>
        <v>650.79999999999995</v>
      </c>
      <c r="H5" s="423">
        <v>132820</v>
      </c>
      <c r="I5" s="423">
        <f>J5-H5</f>
        <v>464291.2666666666</v>
      </c>
      <c r="J5" s="423">
        <f>'Table 20 ICs'!I13</f>
        <v>597111.2666666666</v>
      </c>
      <c r="K5" s="391" t="s">
        <v>283</v>
      </c>
    </row>
    <row r="6" spans="1:11" ht="43.8" customHeight="1" x14ac:dyDescent="0.25">
      <c r="A6" s="387" t="s">
        <v>280</v>
      </c>
      <c r="B6" s="391">
        <v>2329</v>
      </c>
      <c r="C6" s="389">
        <f t="shared" si="0"/>
        <v>-2187</v>
      </c>
      <c r="D6" s="388">
        <f>'Table 19 Reports'!E14</f>
        <v>142</v>
      </c>
      <c r="E6" s="390">
        <v>101066</v>
      </c>
      <c r="F6" s="390">
        <f t="shared" ref="F6:F7" si="1">G6-E6</f>
        <v>-86419</v>
      </c>
      <c r="G6" s="390">
        <f>'Table 12 TPEM'!K26</f>
        <v>14647</v>
      </c>
      <c r="H6" s="423">
        <v>792543</v>
      </c>
      <c r="I6" s="423">
        <f>J6-H6</f>
        <v>-531019</v>
      </c>
      <c r="J6" s="423">
        <f>'Table 20 ICs'!I16</f>
        <v>261524</v>
      </c>
      <c r="K6" s="388" t="s">
        <v>269</v>
      </c>
    </row>
    <row r="7" spans="1:11" ht="46.2" customHeight="1" x14ac:dyDescent="0.25">
      <c r="A7" s="387" t="s">
        <v>281</v>
      </c>
      <c r="B7" s="391">
        <v>403</v>
      </c>
      <c r="C7" s="389">
        <f t="shared" si="0"/>
        <v>-58</v>
      </c>
      <c r="D7" s="391">
        <f>'Table 19 Reports'!E15</f>
        <v>345</v>
      </c>
      <c r="E7" s="390">
        <v>10469</v>
      </c>
      <c r="F7" s="390">
        <f t="shared" si="1"/>
        <v>-1563</v>
      </c>
      <c r="G7" s="390">
        <f>'Table 13 Special Compliance'!K17</f>
        <v>8906</v>
      </c>
      <c r="H7" s="423">
        <v>23329</v>
      </c>
      <c r="I7" s="423">
        <f>J7-H7</f>
        <v>-10444</v>
      </c>
      <c r="J7" s="423">
        <f>'Table 20 ICs'!I21</f>
        <v>12885</v>
      </c>
      <c r="K7" s="391" t="s">
        <v>285</v>
      </c>
    </row>
    <row r="8" spans="1:11" x14ac:dyDescent="0.25">
      <c r="A8" s="424" t="s">
        <v>135</v>
      </c>
      <c r="B8" s="425">
        <f>SUM(B4:B7)</f>
        <v>3880</v>
      </c>
      <c r="C8" s="425">
        <f t="shared" ref="C8:D8" si="2">SUM(C4:C7)</f>
        <v>-967</v>
      </c>
      <c r="D8" s="425">
        <f t="shared" si="2"/>
        <v>2913</v>
      </c>
      <c r="E8" s="425">
        <f>SUM(E4:E7)</f>
        <v>201037</v>
      </c>
      <c r="F8" s="425">
        <f t="shared" ref="F8:G8" si="3">SUM(F4:F7)</f>
        <v>-73137.47516129032</v>
      </c>
      <c r="G8" s="425">
        <f t="shared" si="3"/>
        <v>127899.52483870968</v>
      </c>
      <c r="H8" s="426">
        <f>SUM(H4:H7)</f>
        <v>17371993</v>
      </c>
      <c r="I8" s="426">
        <f>SUM(I4:I7)</f>
        <v>-5689444.6883888757</v>
      </c>
      <c r="J8" s="426">
        <f t="shared" ref="J8" si="4">SUM(J4:J7)</f>
        <v>11682548.311611123</v>
      </c>
      <c r="K8" s="425"/>
    </row>
  </sheetData>
  <mergeCells count="6">
    <mergeCell ref="A1:K1"/>
    <mergeCell ref="K2:K3"/>
    <mergeCell ref="B2:D2"/>
    <mergeCell ref="E2:G2"/>
    <mergeCell ref="A2:A3"/>
    <mergeCell ref="H2:J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topLeftCell="A6" workbookViewId="0">
      <selection activeCell="A19" sqref="A19"/>
    </sheetView>
  </sheetViews>
  <sheetFormatPr defaultRowHeight="13.2" x14ac:dyDescent="0.25"/>
  <cols>
    <col min="1" max="1" width="23.5546875" customWidth="1"/>
    <col min="2" max="2" width="10" customWidth="1"/>
    <col min="3" max="3" width="11" bestFit="1" customWidth="1"/>
    <col min="4" max="4" width="10" customWidth="1"/>
    <col min="5" max="5" width="11.77734375" customWidth="1"/>
    <col min="6" max="6" width="14.6640625" customWidth="1"/>
    <col min="7" max="7" width="10.77734375" customWidth="1"/>
    <col min="9" max="9" width="10.44140625" customWidth="1"/>
    <col min="10" max="10" width="7.88671875" bestFit="1" customWidth="1"/>
    <col min="11" max="11" width="12.6640625" customWidth="1"/>
    <col min="12" max="12" width="12.77734375" customWidth="1"/>
    <col min="13" max="13" width="12.21875" customWidth="1"/>
  </cols>
  <sheetData>
    <row r="1" spans="1:17" ht="20.399999999999999" thickBot="1" x14ac:dyDescent="0.45">
      <c r="A1" s="449" t="s">
        <v>84</v>
      </c>
      <c r="B1" s="449"/>
      <c r="C1" s="449"/>
      <c r="D1" s="449"/>
      <c r="E1" s="449"/>
      <c r="F1" s="449"/>
      <c r="G1" s="449"/>
      <c r="H1" s="449"/>
      <c r="I1" s="449"/>
      <c r="J1" s="449"/>
      <c r="K1" s="449"/>
      <c r="L1" s="449"/>
      <c r="M1" s="449"/>
      <c r="N1" s="449"/>
      <c r="O1" s="193"/>
      <c r="P1" s="193"/>
      <c r="Q1" s="193"/>
    </row>
    <row r="2" spans="1:17" ht="21" thickTop="1" thickBot="1" x14ac:dyDescent="0.45">
      <c r="A2" s="450" t="s">
        <v>189</v>
      </c>
      <c r="B2" s="450"/>
      <c r="C2" s="450"/>
      <c r="D2" s="450"/>
      <c r="E2" s="450"/>
      <c r="F2" s="450"/>
      <c r="G2" s="450"/>
      <c r="H2" s="450"/>
      <c r="I2" s="450"/>
      <c r="J2" s="450"/>
      <c r="K2" s="450"/>
      <c r="L2" s="450"/>
      <c r="M2" s="450"/>
      <c r="N2" s="450"/>
      <c r="O2" s="194"/>
      <c r="P2" s="194"/>
      <c r="Q2" s="194"/>
    </row>
    <row r="3" spans="1:17" ht="16.2" customHeight="1" thickTop="1" x14ac:dyDescent="0.25">
      <c r="A3" s="453" t="s">
        <v>307</v>
      </c>
      <c r="B3" s="451" t="s">
        <v>139</v>
      </c>
      <c r="C3" s="452"/>
      <c r="D3" s="452"/>
      <c r="E3" s="452"/>
      <c r="F3" s="452"/>
      <c r="G3" s="452"/>
      <c r="H3" s="452"/>
      <c r="I3" s="452"/>
      <c r="J3" s="452"/>
      <c r="K3" s="451" t="s">
        <v>140</v>
      </c>
      <c r="L3" s="452"/>
      <c r="M3" s="452"/>
      <c r="N3" s="452"/>
      <c r="O3" s="193"/>
      <c r="P3" s="193"/>
      <c r="Q3" s="193"/>
    </row>
    <row r="4" spans="1:17" ht="39.6" x14ac:dyDescent="0.25">
      <c r="A4" s="454"/>
      <c r="B4" s="191" t="s">
        <v>45</v>
      </c>
      <c r="C4" s="191" t="s">
        <v>46</v>
      </c>
      <c r="D4" s="191" t="s">
        <v>47</v>
      </c>
      <c r="E4" s="191" t="s">
        <v>161</v>
      </c>
      <c r="F4" s="191" t="s">
        <v>141</v>
      </c>
      <c r="G4" s="453" t="s">
        <v>142</v>
      </c>
      <c r="H4" s="457" t="s">
        <v>11</v>
      </c>
      <c r="I4" s="457" t="s">
        <v>143</v>
      </c>
      <c r="J4" s="457" t="s">
        <v>308</v>
      </c>
      <c r="K4" s="453" t="s">
        <v>309</v>
      </c>
      <c r="L4" s="453" t="s">
        <v>25</v>
      </c>
      <c r="M4" s="460" t="s">
        <v>12</v>
      </c>
      <c r="N4" s="457" t="s">
        <v>144</v>
      </c>
      <c r="O4" s="193"/>
      <c r="P4" s="193"/>
      <c r="Q4" s="193"/>
    </row>
    <row r="5" spans="1:17" x14ac:dyDescent="0.25">
      <c r="A5" s="455"/>
      <c r="B5" s="191" t="s">
        <v>145</v>
      </c>
      <c r="C5" s="191" t="s">
        <v>145</v>
      </c>
      <c r="D5" s="191" t="s">
        <v>145</v>
      </c>
      <c r="E5" s="191" t="s">
        <v>145</v>
      </c>
      <c r="F5" s="191" t="s">
        <v>145</v>
      </c>
      <c r="G5" s="454"/>
      <c r="H5" s="458"/>
      <c r="I5" s="458"/>
      <c r="J5" s="458"/>
      <c r="K5" s="454"/>
      <c r="L5" s="454"/>
      <c r="M5" s="461"/>
      <c r="N5" s="458"/>
      <c r="O5" s="193"/>
      <c r="P5" s="193"/>
      <c r="Q5" s="193"/>
    </row>
    <row r="6" spans="1:17" ht="13.8" x14ac:dyDescent="0.3">
      <c r="A6" s="456"/>
      <c r="B6" s="192">
        <v>88.01</v>
      </c>
      <c r="C6" s="192">
        <v>132.91</v>
      </c>
      <c r="D6" s="192">
        <v>168.46</v>
      </c>
      <c r="E6" s="192">
        <v>60.1</v>
      </c>
      <c r="F6" s="192">
        <v>40.380000000000003</v>
      </c>
      <c r="G6" s="456"/>
      <c r="H6" s="459"/>
      <c r="I6" s="459"/>
      <c r="J6" s="459"/>
      <c r="K6" s="456"/>
      <c r="L6" s="456"/>
      <c r="M6" s="462"/>
      <c r="N6" s="459"/>
      <c r="O6" s="193"/>
      <c r="P6" s="193"/>
      <c r="Q6" s="193"/>
    </row>
    <row r="7" spans="1:17" ht="26.4" x14ac:dyDescent="0.25">
      <c r="A7" s="190" t="s">
        <v>190</v>
      </c>
      <c r="B7" s="189">
        <v>8</v>
      </c>
      <c r="C7" s="189">
        <v>3</v>
      </c>
      <c r="D7" s="189">
        <v>1</v>
      </c>
      <c r="E7" s="189">
        <v>1</v>
      </c>
      <c r="F7" s="189">
        <v>0</v>
      </c>
      <c r="G7" s="189">
        <v>13</v>
      </c>
      <c r="H7" s="203">
        <v>1331.37</v>
      </c>
      <c r="I7" s="203">
        <v>0</v>
      </c>
      <c r="J7" s="203">
        <v>20</v>
      </c>
      <c r="K7" s="199">
        <v>1</v>
      </c>
      <c r="L7" s="195">
        <v>7</v>
      </c>
      <c r="M7" s="196">
        <v>91</v>
      </c>
      <c r="N7" s="203">
        <v>9459.59</v>
      </c>
      <c r="O7" s="193"/>
      <c r="P7" s="193"/>
      <c r="Q7" s="193"/>
    </row>
    <row r="8" spans="1:17" ht="26.4" x14ac:dyDescent="0.25">
      <c r="A8" s="190" t="s">
        <v>29</v>
      </c>
      <c r="B8" s="189">
        <v>8</v>
      </c>
      <c r="C8" s="189">
        <v>1</v>
      </c>
      <c r="D8" s="189">
        <v>0</v>
      </c>
      <c r="E8" s="189">
        <v>8</v>
      </c>
      <c r="F8" s="189">
        <v>1</v>
      </c>
      <c r="G8" s="189">
        <v>18</v>
      </c>
      <c r="H8" s="203">
        <v>1358.17</v>
      </c>
      <c r="I8" s="203">
        <v>0</v>
      </c>
      <c r="J8" s="203">
        <v>1000</v>
      </c>
      <c r="K8" s="199">
        <v>0.26428571428571429</v>
      </c>
      <c r="L8" s="195">
        <v>7</v>
      </c>
      <c r="M8" s="196">
        <v>33.299999999999997</v>
      </c>
      <c r="N8" s="203">
        <v>4362.6145000000006</v>
      </c>
      <c r="O8" s="193"/>
      <c r="P8" s="193"/>
      <c r="Q8" s="193"/>
    </row>
    <row r="9" spans="1:17" ht="26.4" x14ac:dyDescent="0.25">
      <c r="A9" s="190" t="s">
        <v>9</v>
      </c>
      <c r="B9" s="189">
        <v>1</v>
      </c>
      <c r="C9" s="189">
        <v>0.5</v>
      </c>
      <c r="D9" s="189">
        <v>0</v>
      </c>
      <c r="E9" s="189">
        <v>0</v>
      </c>
      <c r="F9" s="189">
        <v>0</v>
      </c>
      <c r="G9" s="189">
        <v>1.5</v>
      </c>
      <c r="H9" s="203">
        <v>154.465</v>
      </c>
      <c r="I9" s="203">
        <v>0</v>
      </c>
      <c r="J9" s="203">
        <v>0</v>
      </c>
      <c r="K9" s="199">
        <v>0.26428571428571429</v>
      </c>
      <c r="L9" s="195">
        <v>7</v>
      </c>
      <c r="M9" s="196">
        <v>2.7750000000000004</v>
      </c>
      <c r="N9" s="203">
        <v>285.76025000000004</v>
      </c>
      <c r="O9" s="193"/>
      <c r="P9" s="197"/>
      <c r="Q9" s="198"/>
    </row>
    <row r="10" spans="1:17" ht="39.6" x14ac:dyDescent="0.25">
      <c r="A10" s="190" t="s">
        <v>191</v>
      </c>
      <c r="B10" s="189">
        <v>0.5</v>
      </c>
      <c r="C10" s="189">
        <v>0</v>
      </c>
      <c r="D10" s="189">
        <v>0</v>
      </c>
      <c r="E10" s="189">
        <v>0</v>
      </c>
      <c r="F10" s="189">
        <v>0</v>
      </c>
      <c r="G10" s="189">
        <v>0.5</v>
      </c>
      <c r="H10" s="203">
        <v>44.005000000000003</v>
      </c>
      <c r="I10" s="203">
        <v>0</v>
      </c>
      <c r="J10" s="203">
        <v>2</v>
      </c>
      <c r="K10" s="199">
        <v>0.26428571428571429</v>
      </c>
      <c r="L10" s="195">
        <v>7</v>
      </c>
      <c r="M10" s="196">
        <v>0.92500000000000004</v>
      </c>
      <c r="N10" s="203">
        <v>85.109250000000003</v>
      </c>
      <c r="O10" s="193"/>
      <c r="P10" s="197"/>
      <c r="Q10" s="198"/>
    </row>
    <row r="11" spans="1:17" ht="15.6" x14ac:dyDescent="0.25">
      <c r="A11" s="190" t="s">
        <v>310</v>
      </c>
      <c r="B11" s="189">
        <v>0</v>
      </c>
      <c r="C11" s="189">
        <v>0</v>
      </c>
      <c r="D11" s="189">
        <v>0</v>
      </c>
      <c r="E11" s="189">
        <v>0</v>
      </c>
      <c r="F11" s="189">
        <v>0</v>
      </c>
      <c r="G11" s="189">
        <v>0</v>
      </c>
      <c r="H11" s="203">
        <v>0</v>
      </c>
      <c r="I11" s="203">
        <v>0</v>
      </c>
      <c r="J11" s="203">
        <v>0</v>
      </c>
      <c r="K11" s="199">
        <v>5.2857142857142856</v>
      </c>
      <c r="L11" s="195">
        <v>7</v>
      </c>
      <c r="M11" s="196">
        <v>0</v>
      </c>
      <c r="N11" s="203">
        <v>0</v>
      </c>
      <c r="O11" s="193"/>
      <c r="P11" s="197"/>
      <c r="Q11" s="198"/>
    </row>
    <row r="12" spans="1:17" ht="26.4" x14ac:dyDescent="0.25">
      <c r="A12" s="190" t="s">
        <v>192</v>
      </c>
      <c r="B12" s="189">
        <v>1</v>
      </c>
      <c r="C12" s="189">
        <v>1</v>
      </c>
      <c r="D12" s="189">
        <v>0</v>
      </c>
      <c r="E12" s="189">
        <v>0</v>
      </c>
      <c r="F12" s="189">
        <v>0</v>
      </c>
      <c r="G12" s="189">
        <v>2</v>
      </c>
      <c r="H12" s="203">
        <v>220.92000000000002</v>
      </c>
      <c r="I12" s="203">
        <v>0</v>
      </c>
      <c r="J12" s="203">
        <v>5</v>
      </c>
      <c r="K12" s="199">
        <v>1</v>
      </c>
      <c r="L12" s="195">
        <v>7</v>
      </c>
      <c r="M12" s="196">
        <v>14</v>
      </c>
      <c r="N12" s="203">
        <v>1581.44</v>
      </c>
      <c r="O12" s="193"/>
      <c r="P12" s="197"/>
      <c r="Q12" s="198"/>
    </row>
    <row r="13" spans="1:17" ht="39.6" x14ac:dyDescent="0.25">
      <c r="A13" s="190" t="s">
        <v>188</v>
      </c>
      <c r="B13" s="189">
        <v>7</v>
      </c>
      <c r="C13" s="189">
        <v>5</v>
      </c>
      <c r="D13" s="189">
        <v>1</v>
      </c>
      <c r="E13" s="189">
        <v>3</v>
      </c>
      <c r="F13" s="189">
        <v>8</v>
      </c>
      <c r="G13" s="189">
        <v>24</v>
      </c>
      <c r="H13" s="203">
        <v>1952.4199999999998</v>
      </c>
      <c r="I13" s="203">
        <v>0</v>
      </c>
      <c r="J13" s="203">
        <v>2</v>
      </c>
      <c r="K13" s="199">
        <v>1</v>
      </c>
      <c r="L13" s="195">
        <v>5</v>
      </c>
      <c r="M13" s="196">
        <v>120</v>
      </c>
      <c r="N13" s="203">
        <v>9772.0999999999985</v>
      </c>
      <c r="O13" s="193"/>
      <c r="P13" s="197"/>
      <c r="Q13" s="198"/>
    </row>
    <row r="14" spans="1:17" ht="26.4" x14ac:dyDescent="0.25">
      <c r="A14" s="190" t="s">
        <v>193</v>
      </c>
      <c r="B14" s="189">
        <v>4</v>
      </c>
      <c r="C14" s="189">
        <v>1</v>
      </c>
      <c r="D14" s="189">
        <v>0</v>
      </c>
      <c r="E14" s="189">
        <v>0</v>
      </c>
      <c r="F14" s="189">
        <v>0</v>
      </c>
      <c r="G14" s="189">
        <v>5</v>
      </c>
      <c r="H14" s="203">
        <v>484.95000000000005</v>
      </c>
      <c r="I14" s="203">
        <v>0</v>
      </c>
      <c r="J14" s="203">
        <v>5</v>
      </c>
      <c r="K14" s="199">
        <v>1</v>
      </c>
      <c r="L14" s="195">
        <v>7</v>
      </c>
      <c r="M14" s="196">
        <v>35</v>
      </c>
      <c r="N14" s="203">
        <v>3429.6500000000005</v>
      </c>
      <c r="O14" s="193"/>
      <c r="P14" s="193"/>
      <c r="Q14" s="193"/>
    </row>
    <row r="15" spans="1:17" ht="26.4" x14ac:dyDescent="0.25">
      <c r="A15" s="190" t="s">
        <v>2</v>
      </c>
      <c r="B15" s="189">
        <v>0</v>
      </c>
      <c r="C15" s="189">
        <v>0</v>
      </c>
      <c r="D15" s="189">
        <v>0</v>
      </c>
      <c r="E15" s="189">
        <v>0</v>
      </c>
      <c r="F15" s="189">
        <v>2</v>
      </c>
      <c r="G15" s="189">
        <v>2</v>
      </c>
      <c r="H15" s="203">
        <v>80.760000000000005</v>
      </c>
      <c r="I15" s="203">
        <v>0</v>
      </c>
      <c r="J15" s="203">
        <v>10</v>
      </c>
      <c r="K15" s="199">
        <v>1</v>
      </c>
      <c r="L15" s="195">
        <v>7</v>
      </c>
      <c r="M15" s="196">
        <v>14</v>
      </c>
      <c r="N15" s="203">
        <v>635.32000000000005</v>
      </c>
      <c r="O15" s="193"/>
      <c r="P15" s="193"/>
      <c r="Q15" s="193"/>
    </row>
    <row r="16" spans="1:17" x14ac:dyDescent="0.25">
      <c r="A16" s="185" t="s">
        <v>20</v>
      </c>
      <c r="B16" s="210">
        <v>29.5</v>
      </c>
      <c r="C16" s="210">
        <v>11.5</v>
      </c>
      <c r="D16" s="210">
        <v>2</v>
      </c>
      <c r="E16" s="210">
        <v>12</v>
      </c>
      <c r="F16" s="210">
        <v>11</v>
      </c>
      <c r="G16" s="210">
        <v>66</v>
      </c>
      <c r="H16" s="210">
        <v>5627.06</v>
      </c>
      <c r="I16" s="210">
        <v>0</v>
      </c>
      <c r="J16" s="216">
        <v>306.81428571428569</v>
      </c>
      <c r="K16" s="211" t="s">
        <v>4</v>
      </c>
      <c r="L16" s="212" t="s">
        <v>6</v>
      </c>
      <c r="M16" s="210" t="s">
        <v>6</v>
      </c>
      <c r="N16" s="216" t="s">
        <v>6</v>
      </c>
      <c r="O16" s="125"/>
      <c r="P16" s="125"/>
      <c r="Q16" s="125"/>
    </row>
    <row r="17" spans="1:17" x14ac:dyDescent="0.25">
      <c r="A17" s="188" t="s">
        <v>5</v>
      </c>
      <c r="B17" s="213" t="s">
        <v>6</v>
      </c>
      <c r="C17" s="213" t="s">
        <v>6</v>
      </c>
      <c r="D17" s="213" t="s">
        <v>6</v>
      </c>
      <c r="E17" s="213" t="s">
        <v>6</v>
      </c>
      <c r="F17" s="213" t="s">
        <v>6</v>
      </c>
      <c r="G17" s="213" t="s">
        <v>6</v>
      </c>
      <c r="H17" s="217">
        <v>27467.883999999998</v>
      </c>
      <c r="I17" s="217">
        <v>0</v>
      </c>
      <c r="J17" s="217">
        <v>2143.6999999999998</v>
      </c>
      <c r="K17" s="214">
        <v>1.9</v>
      </c>
      <c r="L17" s="215">
        <v>7</v>
      </c>
      <c r="M17" s="213">
        <f>SUM(M7:M15)</f>
        <v>311</v>
      </c>
      <c r="N17" s="213">
        <f>SUM(N7:N15)</f>
        <v>29611.583999999999</v>
      </c>
      <c r="O17" s="125"/>
      <c r="P17" s="125"/>
      <c r="Q17" s="125"/>
    </row>
    <row r="18" spans="1:17" x14ac:dyDescent="0.25">
      <c r="A18" s="200" t="s">
        <v>315</v>
      </c>
      <c r="B18" s="193"/>
      <c r="C18" s="193"/>
      <c r="D18" s="193"/>
      <c r="E18" s="193"/>
      <c r="F18" s="193"/>
      <c r="G18" s="193"/>
      <c r="H18" s="193"/>
      <c r="I18" s="193"/>
      <c r="J18" s="193"/>
      <c r="K18" s="193"/>
      <c r="L18" s="193"/>
      <c r="M18" s="193"/>
      <c r="N18" s="193"/>
      <c r="O18" s="125"/>
      <c r="P18" s="125"/>
      <c r="Q18" s="125"/>
    </row>
    <row r="19" spans="1:17" x14ac:dyDescent="0.25">
      <c r="A19" s="200" t="s">
        <v>311</v>
      </c>
      <c r="B19" s="193"/>
      <c r="C19" s="193"/>
      <c r="D19" s="193"/>
      <c r="E19" s="193"/>
      <c r="F19" s="193"/>
      <c r="G19" s="201"/>
      <c r="H19" s="208"/>
      <c r="I19" s="208"/>
      <c r="J19" s="209"/>
      <c r="K19" s="193"/>
      <c r="L19" s="193"/>
      <c r="M19" s="193"/>
      <c r="N19" s="193"/>
      <c r="O19" s="125"/>
      <c r="P19" s="125"/>
      <c r="Q19" s="125"/>
    </row>
    <row r="20" spans="1:17" x14ac:dyDescent="0.25">
      <c r="A20" s="200" t="s">
        <v>312</v>
      </c>
      <c r="B20" s="198"/>
      <c r="C20" s="198"/>
      <c r="D20" s="198"/>
      <c r="E20" s="198"/>
      <c r="F20" s="198"/>
      <c r="G20" s="201"/>
      <c r="H20" s="208"/>
      <c r="I20" s="208"/>
      <c r="J20" s="209"/>
      <c r="K20" s="201"/>
      <c r="L20" s="201"/>
      <c r="M20" s="202"/>
      <c r="N20" s="209"/>
      <c r="O20" s="125"/>
      <c r="P20" s="125"/>
      <c r="Q20" s="125"/>
    </row>
    <row r="21" spans="1:17" x14ac:dyDescent="0.25">
      <c r="A21" s="200" t="s">
        <v>313</v>
      </c>
      <c r="B21" s="125"/>
      <c r="C21" s="125"/>
      <c r="D21" s="125"/>
      <c r="E21" s="125"/>
      <c r="F21" s="125"/>
      <c r="G21" s="125"/>
      <c r="H21" s="125"/>
      <c r="I21" s="125"/>
      <c r="J21" s="125"/>
      <c r="K21" s="125"/>
      <c r="L21" s="125"/>
      <c r="M21" s="125"/>
      <c r="N21" s="125"/>
      <c r="O21" s="125"/>
      <c r="P21" s="125"/>
      <c r="Q21" s="125"/>
    </row>
    <row r="22" spans="1:17" x14ac:dyDescent="0.25">
      <c r="A22" s="193"/>
      <c r="B22" s="193"/>
      <c r="C22" s="204"/>
      <c r="D22" s="204"/>
      <c r="E22" s="204"/>
      <c r="F22" s="218"/>
      <c r="G22" s="219"/>
      <c r="H22" s="220"/>
      <c r="I22" s="209"/>
      <c r="J22" s="221"/>
      <c r="K22" s="222"/>
      <c r="L22" s="193"/>
      <c r="M22" s="193"/>
      <c r="N22" s="193"/>
      <c r="O22" s="125"/>
      <c r="P22" s="125"/>
      <c r="Q22" s="125"/>
    </row>
    <row r="23" spans="1:17" x14ac:dyDescent="0.25">
      <c r="A23" s="193"/>
      <c r="B23" s="193"/>
      <c r="C23" s="205"/>
      <c r="D23" s="205"/>
      <c r="E23" s="205"/>
      <c r="F23" s="198"/>
      <c r="G23" s="219"/>
      <c r="H23" s="220"/>
      <c r="I23" s="209"/>
      <c r="J23" s="209"/>
      <c r="K23" s="197"/>
      <c r="L23" s="193"/>
      <c r="M23" s="193"/>
      <c r="N23" s="193"/>
      <c r="O23" s="125"/>
      <c r="P23" s="125"/>
      <c r="Q23" s="125"/>
    </row>
    <row r="24" spans="1:17" x14ac:dyDescent="0.25">
      <c r="A24" s="193"/>
      <c r="B24" s="193"/>
      <c r="C24" s="205"/>
      <c r="D24" s="206"/>
      <c r="E24" s="207"/>
      <c r="F24" s="198"/>
      <c r="G24" s="219"/>
      <c r="H24" s="220"/>
      <c r="I24" s="209"/>
      <c r="J24" s="209"/>
      <c r="K24" s="197"/>
      <c r="L24" s="193"/>
      <c r="M24" s="193"/>
      <c r="N24" s="193"/>
      <c r="O24" s="125"/>
      <c r="P24" s="125"/>
      <c r="Q24" s="125"/>
    </row>
    <row r="25" spans="1:17" x14ac:dyDescent="0.25">
      <c r="A25" s="193"/>
      <c r="B25" s="193"/>
      <c r="C25" s="193"/>
      <c r="D25" s="193"/>
      <c r="E25" s="193"/>
      <c r="F25" s="198"/>
      <c r="G25" s="219"/>
      <c r="H25" s="220"/>
      <c r="I25" s="209"/>
      <c r="J25" s="209"/>
      <c r="K25" s="197"/>
      <c r="L25" s="193"/>
      <c r="M25" s="193"/>
      <c r="N25" s="193"/>
      <c r="O25" s="125"/>
      <c r="P25" s="125"/>
      <c r="Q25" s="125"/>
    </row>
    <row r="26" spans="1:17" x14ac:dyDescent="0.25">
      <c r="A26" s="193"/>
      <c r="B26" s="193"/>
      <c r="C26" s="193"/>
      <c r="D26" s="193"/>
      <c r="E26" s="193"/>
      <c r="F26" s="221"/>
      <c r="G26" s="221"/>
      <c r="H26" s="223"/>
      <c r="I26" s="209"/>
      <c r="J26" s="209"/>
      <c r="K26" s="197"/>
      <c r="L26" s="193"/>
      <c r="M26" s="193"/>
      <c r="N26" s="193"/>
      <c r="O26" s="125"/>
      <c r="P26" s="125"/>
      <c r="Q26" s="125"/>
    </row>
    <row r="27" spans="1:17" x14ac:dyDescent="0.25">
      <c r="A27" s="193"/>
      <c r="B27" s="193"/>
      <c r="C27" s="193"/>
      <c r="D27" s="193"/>
      <c r="E27" s="193"/>
      <c r="F27" s="218"/>
      <c r="G27" s="218"/>
      <c r="H27" s="224"/>
      <c r="I27" s="209"/>
      <c r="J27" s="209"/>
      <c r="K27" s="197"/>
      <c r="L27" s="193"/>
      <c r="M27" s="193"/>
      <c r="N27" s="193"/>
      <c r="O27" s="125"/>
      <c r="P27" s="125"/>
      <c r="Q27" s="125"/>
    </row>
    <row r="28" spans="1:17" x14ac:dyDescent="0.25">
      <c r="A28" s="193"/>
      <c r="B28" s="193"/>
      <c r="C28" s="193"/>
      <c r="D28" s="193"/>
      <c r="E28" s="193"/>
      <c r="F28" s="198"/>
      <c r="G28" s="219"/>
      <c r="H28" s="220"/>
      <c r="I28" s="209"/>
      <c r="J28" s="209"/>
      <c r="K28" s="197"/>
      <c r="L28" s="193"/>
      <c r="M28" s="193"/>
      <c r="N28" s="193"/>
      <c r="O28" s="125"/>
      <c r="P28" s="125"/>
      <c r="Q28" s="125"/>
    </row>
    <row r="29" spans="1:17" x14ac:dyDescent="0.25">
      <c r="A29" s="193"/>
      <c r="B29" s="193"/>
      <c r="C29" s="193"/>
      <c r="D29" s="193"/>
      <c r="E29" s="193"/>
      <c r="F29" s="225"/>
      <c r="G29" s="218"/>
      <c r="H29" s="224"/>
      <c r="I29" s="209"/>
      <c r="J29" s="209"/>
      <c r="K29" s="197"/>
      <c r="L29" s="193"/>
      <c r="M29" s="193"/>
      <c r="N29" s="193"/>
      <c r="O29" s="125"/>
      <c r="P29" s="125"/>
      <c r="Q29" s="125"/>
    </row>
    <row r="30" spans="1:17" x14ac:dyDescent="0.25">
      <c r="A30" s="193"/>
      <c r="B30" s="193"/>
      <c r="C30" s="193"/>
      <c r="D30" s="193"/>
      <c r="E30" s="193"/>
      <c r="F30" s="225"/>
      <c r="G30" s="218"/>
      <c r="H30" s="224"/>
      <c r="I30" s="209"/>
      <c r="J30" s="209"/>
      <c r="K30" s="197"/>
      <c r="L30" s="193"/>
      <c r="M30" s="193"/>
      <c r="N30" s="193"/>
      <c r="O30" s="125"/>
      <c r="P30" s="125"/>
      <c r="Q30" s="125"/>
    </row>
  </sheetData>
  <mergeCells count="13">
    <mergeCell ref="A1:N1"/>
    <mergeCell ref="A2:N2"/>
    <mergeCell ref="B3:J3"/>
    <mergeCell ref="K3:N3"/>
    <mergeCell ref="A3:A6"/>
    <mergeCell ref="G4:G6"/>
    <mergeCell ref="H4:H6"/>
    <mergeCell ref="I4:I6"/>
    <mergeCell ref="J4:J6"/>
    <mergeCell ref="K4:K6"/>
    <mergeCell ref="L4:L6"/>
    <mergeCell ref="M4:M6"/>
    <mergeCell ref="N4:N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workbookViewId="0">
      <selection sqref="A1:N1"/>
    </sheetView>
  </sheetViews>
  <sheetFormatPr defaultRowHeight="13.2" x14ac:dyDescent="0.25"/>
  <cols>
    <col min="1" max="1" width="23.5546875" customWidth="1"/>
    <col min="2" max="2" width="10" customWidth="1"/>
    <col min="3" max="3" width="11" bestFit="1" customWidth="1"/>
    <col min="4" max="4" width="10" customWidth="1"/>
    <col min="5" max="5" width="11.77734375" customWidth="1"/>
    <col min="6" max="6" width="14.6640625" customWidth="1"/>
    <col min="7" max="7" width="10.77734375" customWidth="1"/>
    <col min="8" max="8" width="10.21875" bestFit="1" customWidth="1"/>
    <col min="9" max="9" width="10.44140625" customWidth="1"/>
    <col min="10" max="10" width="8.88671875" customWidth="1"/>
    <col min="11" max="11" width="12.6640625" customWidth="1"/>
    <col min="12" max="12" width="11.77734375" customWidth="1"/>
    <col min="13" max="13" width="12.21875" customWidth="1"/>
    <col min="14" max="14" width="9.109375"/>
    <col min="15" max="15" width="13.88671875" bestFit="1" customWidth="1"/>
  </cols>
  <sheetData>
    <row r="1" spans="1:15" ht="20.399999999999999" thickBot="1" x14ac:dyDescent="0.45">
      <c r="A1" s="449" t="s">
        <v>85</v>
      </c>
      <c r="B1" s="449"/>
      <c r="C1" s="449"/>
      <c r="D1" s="449"/>
      <c r="E1" s="449"/>
      <c r="F1" s="449"/>
      <c r="G1" s="449"/>
      <c r="H1" s="449"/>
      <c r="I1" s="449"/>
      <c r="J1" s="449"/>
      <c r="K1" s="449"/>
      <c r="L1" s="449"/>
      <c r="M1" s="449"/>
      <c r="N1" s="449"/>
    </row>
    <row r="2" spans="1:15" ht="21" thickTop="1" thickBot="1" x14ac:dyDescent="0.45">
      <c r="A2" s="449" t="s">
        <v>165</v>
      </c>
      <c r="B2" s="449"/>
      <c r="C2" s="449"/>
      <c r="D2" s="449"/>
      <c r="E2" s="449"/>
      <c r="F2" s="449"/>
      <c r="G2" s="449"/>
      <c r="H2" s="449"/>
      <c r="I2" s="449"/>
      <c r="J2" s="449"/>
      <c r="K2" s="449"/>
      <c r="L2" s="449"/>
      <c r="M2" s="449"/>
      <c r="N2" s="449"/>
    </row>
    <row r="3" spans="1:15" ht="13.8" thickTop="1" x14ac:dyDescent="0.25">
      <c r="A3" s="430" t="s">
        <v>0</v>
      </c>
      <c r="B3" s="446" t="s">
        <v>139</v>
      </c>
      <c r="C3" s="447"/>
      <c r="D3" s="447"/>
      <c r="E3" s="447"/>
      <c r="F3" s="447"/>
      <c r="G3" s="447"/>
      <c r="H3" s="447"/>
      <c r="I3" s="447"/>
      <c r="J3" s="447"/>
      <c r="K3" s="446" t="s">
        <v>140</v>
      </c>
      <c r="L3" s="447"/>
      <c r="M3" s="447"/>
      <c r="N3" s="447"/>
      <c r="O3" s="125"/>
    </row>
    <row r="4" spans="1:15" ht="36" x14ac:dyDescent="0.25">
      <c r="A4" s="431"/>
      <c r="B4" s="153" t="s">
        <v>45</v>
      </c>
      <c r="C4" s="153" t="s">
        <v>46</v>
      </c>
      <c r="D4" s="153" t="s">
        <v>47</v>
      </c>
      <c r="E4" s="153" t="s">
        <v>161</v>
      </c>
      <c r="F4" s="153" t="s">
        <v>141</v>
      </c>
      <c r="G4" s="430" t="s">
        <v>142</v>
      </c>
      <c r="H4" s="439" t="s">
        <v>11</v>
      </c>
      <c r="I4" s="439" t="s">
        <v>143</v>
      </c>
      <c r="J4" s="457" t="s">
        <v>166</v>
      </c>
      <c r="K4" s="453" t="s">
        <v>167</v>
      </c>
      <c r="L4" s="430" t="s">
        <v>25</v>
      </c>
      <c r="M4" s="436" t="s">
        <v>12</v>
      </c>
      <c r="N4" s="439" t="s">
        <v>144</v>
      </c>
    </row>
    <row r="5" spans="1:15" x14ac:dyDescent="0.25">
      <c r="A5" s="445"/>
      <c r="B5" s="153" t="s">
        <v>145</v>
      </c>
      <c r="C5" s="153" t="s">
        <v>145</v>
      </c>
      <c r="D5" s="153" t="s">
        <v>145</v>
      </c>
      <c r="E5" s="153" t="s">
        <v>145</v>
      </c>
      <c r="F5" s="153" t="s">
        <v>145</v>
      </c>
      <c r="G5" s="431"/>
      <c r="H5" s="440"/>
      <c r="I5" s="440"/>
      <c r="J5" s="458"/>
      <c r="K5" s="454"/>
      <c r="L5" s="431"/>
      <c r="M5" s="437"/>
      <c r="N5" s="440"/>
    </row>
    <row r="6" spans="1:15" x14ac:dyDescent="0.25">
      <c r="A6" s="432"/>
      <c r="B6" s="133">
        <v>88.01</v>
      </c>
      <c r="C6" s="133">
        <v>132.91</v>
      </c>
      <c r="D6" s="133">
        <v>168.46</v>
      </c>
      <c r="E6" s="133">
        <v>60.1</v>
      </c>
      <c r="F6" s="133">
        <v>40.380000000000003</v>
      </c>
      <c r="G6" s="432"/>
      <c r="H6" s="441"/>
      <c r="I6" s="441"/>
      <c r="J6" s="459"/>
      <c r="K6" s="456"/>
      <c r="L6" s="432"/>
      <c r="M6" s="438"/>
      <c r="N6" s="441"/>
    </row>
    <row r="7" spans="1:15" ht="26.4" x14ac:dyDescent="0.25">
      <c r="A7" s="157" t="s">
        <v>168</v>
      </c>
      <c r="B7" s="175">
        <v>8</v>
      </c>
      <c r="C7" s="175">
        <v>3</v>
      </c>
      <c r="D7" s="175">
        <v>1</v>
      </c>
      <c r="E7" s="175">
        <v>1</v>
      </c>
      <c r="F7" s="158">
        <v>0</v>
      </c>
      <c r="G7" s="159">
        <v>13</v>
      </c>
      <c r="H7" s="301">
        <v>1331.37</v>
      </c>
      <c r="I7" s="161">
        <v>0</v>
      </c>
      <c r="J7" s="162">
        <v>10</v>
      </c>
      <c r="K7" s="163">
        <v>2.6</v>
      </c>
      <c r="L7" s="164">
        <v>42</v>
      </c>
      <c r="M7" s="160">
        <v>1419.6000000000001</v>
      </c>
      <c r="N7" s="162">
        <v>146477.60399999999</v>
      </c>
    </row>
    <row r="8" spans="1:15" x14ac:dyDescent="0.25">
      <c r="A8" s="579" t="s">
        <v>169</v>
      </c>
      <c r="B8" s="580"/>
      <c r="C8" s="580"/>
      <c r="D8" s="580"/>
      <c r="E8" s="580"/>
      <c r="F8" s="580"/>
      <c r="G8" s="580"/>
      <c r="H8" s="580"/>
      <c r="I8" s="580"/>
      <c r="J8" s="580"/>
      <c r="K8" s="580"/>
      <c r="L8" s="580"/>
      <c r="M8" s="580"/>
      <c r="N8" s="581"/>
    </row>
    <row r="9" spans="1:15" x14ac:dyDescent="0.25">
      <c r="A9" s="165" t="s">
        <v>170</v>
      </c>
      <c r="B9" s="463"/>
      <c r="C9" s="464"/>
      <c r="D9" s="464"/>
      <c r="E9" s="464"/>
      <c r="F9" s="464"/>
      <c r="G9" s="464"/>
      <c r="H9" s="464"/>
      <c r="I9" s="464"/>
      <c r="J9" s="464"/>
      <c r="K9" s="464"/>
      <c r="L9" s="464"/>
      <c r="M9" s="464"/>
      <c r="N9" s="465"/>
    </row>
    <row r="10" spans="1:15" x14ac:dyDescent="0.25">
      <c r="A10" s="166" t="s">
        <v>171</v>
      </c>
      <c r="B10" s="158">
        <v>12</v>
      </c>
      <c r="C10" s="158">
        <v>4</v>
      </c>
      <c r="D10" s="158">
        <v>0</v>
      </c>
      <c r="E10" s="158">
        <v>8</v>
      </c>
      <c r="F10" s="158">
        <v>0</v>
      </c>
      <c r="G10" s="159">
        <v>24</v>
      </c>
      <c r="H10" s="301">
        <v>2068.5600000000004</v>
      </c>
      <c r="I10" s="161">
        <v>0</v>
      </c>
      <c r="J10" s="162">
        <v>100</v>
      </c>
      <c r="K10" s="163">
        <v>2.5714285714285716</v>
      </c>
      <c r="L10" s="164">
        <v>7</v>
      </c>
      <c r="M10" s="160">
        <v>432.00000000000006</v>
      </c>
      <c r="N10" s="162">
        <v>39034.080000000009</v>
      </c>
    </row>
    <row r="11" spans="1:15" x14ac:dyDescent="0.25">
      <c r="A11" s="166" t="s">
        <v>172</v>
      </c>
      <c r="B11" s="158">
        <v>2</v>
      </c>
      <c r="C11" s="158">
        <v>2</v>
      </c>
      <c r="D11" s="158">
        <v>0</v>
      </c>
      <c r="E11" s="158">
        <v>10</v>
      </c>
      <c r="F11" s="158">
        <v>0</v>
      </c>
      <c r="G11" s="159">
        <v>14</v>
      </c>
      <c r="H11" s="301">
        <v>1042.8400000000001</v>
      </c>
      <c r="I11" s="161">
        <v>0</v>
      </c>
      <c r="J11" s="162">
        <v>500</v>
      </c>
      <c r="K11" s="163">
        <v>2.6</v>
      </c>
      <c r="L11" s="164">
        <v>7</v>
      </c>
      <c r="M11" s="160">
        <v>254.79999999999998</v>
      </c>
      <c r="N11" s="162">
        <v>28079.688000000002</v>
      </c>
    </row>
    <row r="12" spans="1:15" x14ac:dyDescent="0.25">
      <c r="A12" s="167" t="s">
        <v>173</v>
      </c>
      <c r="B12" s="463"/>
      <c r="C12" s="464"/>
      <c r="D12" s="464"/>
      <c r="E12" s="464"/>
      <c r="F12" s="464"/>
      <c r="G12" s="464"/>
      <c r="H12" s="464"/>
      <c r="I12" s="464"/>
      <c r="J12" s="464"/>
      <c r="K12" s="464"/>
      <c r="L12" s="464"/>
      <c r="M12" s="464"/>
      <c r="N12" s="465"/>
    </row>
    <row r="13" spans="1:15" x14ac:dyDescent="0.25">
      <c r="A13" s="166" t="s">
        <v>174</v>
      </c>
      <c r="B13" s="158">
        <v>2</v>
      </c>
      <c r="C13" s="158">
        <v>1</v>
      </c>
      <c r="D13" s="158">
        <v>0</v>
      </c>
      <c r="E13" s="158">
        <v>8</v>
      </c>
      <c r="F13" s="158"/>
      <c r="G13" s="159">
        <v>11</v>
      </c>
      <c r="H13" s="301">
        <v>308.93</v>
      </c>
      <c r="I13" s="161">
        <v>0</v>
      </c>
      <c r="J13" s="162">
        <v>321.16000000000003</v>
      </c>
      <c r="K13" s="163">
        <v>0.13870967741935483</v>
      </c>
      <c r="L13" s="164">
        <v>31</v>
      </c>
      <c r="M13" s="160">
        <v>47.3</v>
      </c>
      <c r="N13" s="162">
        <v>2709.3870000000002</v>
      </c>
    </row>
    <row r="14" spans="1:15" ht="26.4" x14ac:dyDescent="0.25">
      <c r="A14" s="166" t="s">
        <v>175</v>
      </c>
      <c r="B14" s="158">
        <v>20</v>
      </c>
      <c r="C14" s="158">
        <v>4</v>
      </c>
      <c r="D14" s="158">
        <v>0</v>
      </c>
      <c r="E14" s="158">
        <v>0</v>
      </c>
      <c r="F14" s="158">
        <v>0</v>
      </c>
      <c r="G14" s="159">
        <v>24</v>
      </c>
      <c r="H14" s="301">
        <v>2291.84</v>
      </c>
      <c r="I14" s="161">
        <v>0</v>
      </c>
      <c r="J14" s="162">
        <v>0</v>
      </c>
      <c r="K14" s="163">
        <v>0.13870967741935483</v>
      </c>
      <c r="L14" s="164">
        <v>31</v>
      </c>
      <c r="M14" s="160">
        <v>103.2</v>
      </c>
      <c r="N14" s="162">
        <v>9854.9120000000003</v>
      </c>
    </row>
    <row r="15" spans="1:15" x14ac:dyDescent="0.25">
      <c r="A15" s="168" t="s">
        <v>176</v>
      </c>
      <c r="B15" s="463"/>
      <c r="C15" s="464"/>
      <c r="D15" s="464"/>
      <c r="E15" s="464"/>
      <c r="F15" s="464"/>
      <c r="G15" s="464"/>
      <c r="H15" s="464"/>
      <c r="I15" s="464"/>
      <c r="J15" s="464"/>
      <c r="K15" s="464"/>
      <c r="L15" s="464"/>
      <c r="M15" s="464"/>
      <c r="N15" s="465"/>
    </row>
    <row r="16" spans="1:15" x14ac:dyDescent="0.25">
      <c r="A16" s="166" t="s">
        <v>177</v>
      </c>
      <c r="B16" s="463"/>
      <c r="C16" s="464"/>
      <c r="D16" s="464"/>
      <c r="E16" s="464"/>
      <c r="F16" s="464"/>
      <c r="G16" s="464"/>
      <c r="H16" s="464"/>
      <c r="I16" s="464"/>
      <c r="J16" s="464"/>
      <c r="K16" s="464"/>
      <c r="L16" s="464"/>
      <c r="M16" s="464"/>
      <c r="N16" s="465"/>
    </row>
    <row r="17" spans="1:14" x14ac:dyDescent="0.25">
      <c r="A17" s="166" t="s">
        <v>178</v>
      </c>
      <c r="B17" s="158">
        <v>0</v>
      </c>
      <c r="C17" s="158">
        <v>0</v>
      </c>
      <c r="D17" s="158">
        <v>0</v>
      </c>
      <c r="E17" s="158">
        <v>0</v>
      </c>
      <c r="F17" s="158">
        <v>0</v>
      </c>
      <c r="G17" s="159">
        <v>0</v>
      </c>
      <c r="H17" s="300">
        <v>0</v>
      </c>
      <c r="I17" s="161">
        <v>0</v>
      </c>
      <c r="J17" s="162">
        <v>1658</v>
      </c>
      <c r="K17" s="163">
        <v>0.44</v>
      </c>
      <c r="L17" s="164">
        <v>4</v>
      </c>
      <c r="M17" s="160">
        <v>0</v>
      </c>
      <c r="N17" s="162">
        <v>2918.08</v>
      </c>
    </row>
    <row r="18" spans="1:14" x14ac:dyDescent="0.25">
      <c r="A18" s="166" t="s">
        <v>179</v>
      </c>
      <c r="B18" s="158">
        <v>8</v>
      </c>
      <c r="C18" s="158">
        <v>2</v>
      </c>
      <c r="D18" s="158">
        <v>0</v>
      </c>
      <c r="E18" s="158">
        <v>0</v>
      </c>
      <c r="F18" s="158">
        <v>0</v>
      </c>
      <c r="G18" s="159">
        <v>10</v>
      </c>
      <c r="H18" s="301">
        <v>969.90000000000009</v>
      </c>
      <c r="I18" s="161">
        <v>0</v>
      </c>
      <c r="J18" s="162">
        <v>21410.799999999999</v>
      </c>
      <c r="K18" s="163">
        <v>0.44</v>
      </c>
      <c r="L18" s="164">
        <v>4</v>
      </c>
      <c r="M18" s="160">
        <v>17.600000000000001</v>
      </c>
      <c r="N18" s="162">
        <v>39390.031999999999</v>
      </c>
    </row>
    <row r="19" spans="1:14" x14ac:dyDescent="0.25">
      <c r="A19" s="166" t="s">
        <v>180</v>
      </c>
      <c r="B19" s="158">
        <v>8</v>
      </c>
      <c r="C19" s="158">
        <v>4</v>
      </c>
      <c r="D19" s="158">
        <v>0</v>
      </c>
      <c r="E19" s="158">
        <v>0</v>
      </c>
      <c r="F19" s="158">
        <v>0</v>
      </c>
      <c r="G19" s="159">
        <v>12</v>
      </c>
      <c r="H19" s="301">
        <v>1235.72</v>
      </c>
      <c r="I19" s="161">
        <v>0</v>
      </c>
      <c r="J19" s="162">
        <v>5352</v>
      </c>
      <c r="K19" s="163">
        <v>0.44</v>
      </c>
      <c r="L19" s="164">
        <v>4</v>
      </c>
      <c r="M19" s="160">
        <v>21.12</v>
      </c>
      <c r="N19" s="162">
        <v>11594.387200000001</v>
      </c>
    </row>
    <row r="20" spans="1:14" x14ac:dyDescent="0.25">
      <c r="A20" s="166" t="s">
        <v>181</v>
      </c>
      <c r="B20" s="158">
        <v>2</v>
      </c>
      <c r="C20" s="158">
        <v>1</v>
      </c>
      <c r="D20" s="158">
        <v>0</v>
      </c>
      <c r="E20" s="158">
        <v>0</v>
      </c>
      <c r="F20" s="158">
        <v>0</v>
      </c>
      <c r="G20" s="159">
        <v>3</v>
      </c>
      <c r="H20" s="301">
        <v>308.93</v>
      </c>
      <c r="I20" s="161">
        <v>0</v>
      </c>
      <c r="J20" s="162">
        <v>535.27</v>
      </c>
      <c r="K20" s="163">
        <v>0.44</v>
      </c>
      <c r="L20" s="164">
        <v>4</v>
      </c>
      <c r="M20" s="160">
        <v>5.28</v>
      </c>
      <c r="N20" s="162">
        <v>1485.7920000000001</v>
      </c>
    </row>
    <row r="21" spans="1:14" x14ac:dyDescent="0.25">
      <c r="A21" s="166" t="s">
        <v>182</v>
      </c>
      <c r="B21" s="158">
        <v>6</v>
      </c>
      <c r="C21" s="158">
        <v>2</v>
      </c>
      <c r="D21" s="158">
        <v>0</v>
      </c>
      <c r="E21" s="158">
        <v>0</v>
      </c>
      <c r="F21" s="158">
        <v>0</v>
      </c>
      <c r="G21" s="159">
        <v>8</v>
      </c>
      <c r="H21" s="301">
        <v>793.88000000000011</v>
      </c>
      <c r="I21" s="161">
        <v>0</v>
      </c>
      <c r="J21" s="162">
        <v>321.16000000000003</v>
      </c>
      <c r="K21" s="163">
        <v>0.44</v>
      </c>
      <c r="L21" s="164">
        <v>4</v>
      </c>
      <c r="M21" s="160">
        <v>14.08</v>
      </c>
      <c r="N21" s="162">
        <v>1962.4704000000004</v>
      </c>
    </row>
    <row r="22" spans="1:14" x14ac:dyDescent="0.25">
      <c r="A22" s="166" t="s">
        <v>183</v>
      </c>
      <c r="B22" s="158">
        <v>20</v>
      </c>
      <c r="C22" s="158">
        <v>4</v>
      </c>
      <c r="D22" s="158">
        <v>0</v>
      </c>
      <c r="E22" s="158">
        <v>0</v>
      </c>
      <c r="F22" s="158">
        <v>0</v>
      </c>
      <c r="G22" s="159">
        <v>24</v>
      </c>
      <c r="H22" s="301">
        <v>2291.84</v>
      </c>
      <c r="I22" s="161">
        <v>0</v>
      </c>
      <c r="J22" s="162">
        <v>2</v>
      </c>
      <c r="K22" s="163">
        <v>0.44</v>
      </c>
      <c r="L22" s="164">
        <v>4</v>
      </c>
      <c r="M22" s="160">
        <v>42.24</v>
      </c>
      <c r="N22" s="162">
        <v>4037.1584000000003</v>
      </c>
    </row>
    <row r="23" spans="1:14" x14ac:dyDescent="0.25">
      <c r="A23" s="576" t="s">
        <v>319</v>
      </c>
      <c r="B23" s="577"/>
      <c r="C23" s="577"/>
      <c r="D23" s="577"/>
      <c r="E23" s="577"/>
      <c r="F23" s="577"/>
      <c r="G23" s="577"/>
      <c r="H23" s="577"/>
      <c r="I23" s="577"/>
      <c r="J23" s="577"/>
      <c r="K23" s="577"/>
      <c r="L23" s="577"/>
      <c r="M23" s="577"/>
      <c r="N23" s="578"/>
    </row>
    <row r="24" spans="1:14" ht="26.4" x14ac:dyDescent="0.25">
      <c r="A24" s="169" t="s">
        <v>9</v>
      </c>
      <c r="B24" s="158">
        <v>16</v>
      </c>
      <c r="C24" s="158">
        <v>4</v>
      </c>
      <c r="D24" s="158">
        <v>2</v>
      </c>
      <c r="E24" s="158">
        <v>2</v>
      </c>
      <c r="F24" s="158">
        <v>0</v>
      </c>
      <c r="G24" s="159">
        <v>24</v>
      </c>
      <c r="H24" s="301">
        <v>2396.92</v>
      </c>
      <c r="I24" s="161">
        <v>0</v>
      </c>
      <c r="J24" s="162">
        <v>0</v>
      </c>
      <c r="K24" s="163">
        <v>1</v>
      </c>
      <c r="L24" s="164">
        <v>6</v>
      </c>
      <c r="M24" s="160">
        <v>144</v>
      </c>
      <c r="N24" s="162">
        <v>14381.52</v>
      </c>
    </row>
    <row r="25" spans="1:14" ht="39.6" x14ac:dyDescent="0.25">
      <c r="A25" s="169" t="s">
        <v>184</v>
      </c>
      <c r="B25" s="158">
        <v>1</v>
      </c>
      <c r="C25" s="158">
        <v>0.25</v>
      </c>
      <c r="D25" s="158">
        <v>0.25</v>
      </c>
      <c r="E25" s="158">
        <v>0.25</v>
      </c>
      <c r="F25" s="158">
        <v>0.5</v>
      </c>
      <c r="G25" s="159">
        <v>2.25</v>
      </c>
      <c r="H25" s="301">
        <v>198.56750000000002</v>
      </c>
      <c r="I25" s="161">
        <v>0</v>
      </c>
      <c r="J25" s="162">
        <v>2</v>
      </c>
      <c r="K25" s="163">
        <v>1</v>
      </c>
      <c r="L25" s="164">
        <v>6</v>
      </c>
      <c r="M25" s="160">
        <v>13.5</v>
      </c>
      <c r="N25" s="162">
        <v>1203.4050000000002</v>
      </c>
    </row>
    <row r="26" spans="1:14" ht="28.8" x14ac:dyDescent="0.25">
      <c r="A26" s="169" t="s">
        <v>185</v>
      </c>
      <c r="B26" s="158">
        <v>0</v>
      </c>
      <c r="C26" s="158">
        <v>0</v>
      </c>
      <c r="D26" s="158">
        <v>0</v>
      </c>
      <c r="E26" s="158">
        <v>0</v>
      </c>
      <c r="F26" s="158">
        <v>0</v>
      </c>
      <c r="G26" s="159">
        <v>0</v>
      </c>
      <c r="H26" s="301">
        <v>0</v>
      </c>
      <c r="I26" s="161">
        <v>0</v>
      </c>
      <c r="J26" s="162">
        <v>0</v>
      </c>
      <c r="K26" s="163">
        <v>3.2</v>
      </c>
      <c r="L26" s="164">
        <v>42</v>
      </c>
      <c r="M26" s="160">
        <v>0</v>
      </c>
      <c r="N26" s="162">
        <v>0</v>
      </c>
    </row>
    <row r="27" spans="1:14" x14ac:dyDescent="0.25">
      <c r="A27" s="169" t="s">
        <v>186</v>
      </c>
      <c r="B27" s="158">
        <v>0</v>
      </c>
      <c r="C27" s="158">
        <v>0</v>
      </c>
      <c r="D27" s="158">
        <v>0</v>
      </c>
      <c r="E27" s="158">
        <v>0</v>
      </c>
      <c r="F27" s="158">
        <v>0</v>
      </c>
      <c r="G27" s="159">
        <v>0</v>
      </c>
      <c r="H27" s="301">
        <v>0</v>
      </c>
      <c r="I27" s="161">
        <v>0</v>
      </c>
      <c r="J27" s="162">
        <v>10</v>
      </c>
      <c r="K27" s="173">
        <v>3.3</v>
      </c>
      <c r="L27" s="174">
        <v>42</v>
      </c>
      <c r="M27" s="160">
        <v>0</v>
      </c>
      <c r="N27" s="162">
        <v>1386</v>
      </c>
    </row>
    <row r="28" spans="1:14" ht="39.6" x14ac:dyDescent="0.25">
      <c r="A28" s="169" t="s">
        <v>187</v>
      </c>
      <c r="B28" s="158">
        <v>9</v>
      </c>
      <c r="C28" s="158">
        <v>8</v>
      </c>
      <c r="D28" s="158">
        <v>1</v>
      </c>
      <c r="E28" s="158">
        <v>0</v>
      </c>
      <c r="F28" s="158">
        <v>1</v>
      </c>
      <c r="G28" s="159">
        <v>19</v>
      </c>
      <c r="H28" s="301">
        <v>2064.21</v>
      </c>
      <c r="I28" s="161">
        <v>0</v>
      </c>
      <c r="J28" s="162">
        <v>5</v>
      </c>
      <c r="K28" s="163">
        <v>1</v>
      </c>
      <c r="L28" s="164">
        <v>7</v>
      </c>
      <c r="M28" s="160">
        <v>133</v>
      </c>
      <c r="N28" s="162">
        <v>14484.470000000001</v>
      </c>
    </row>
    <row r="29" spans="1:14" ht="39.6" x14ac:dyDescent="0.25">
      <c r="A29" s="157" t="s">
        <v>188</v>
      </c>
      <c r="B29" s="158">
        <v>7</v>
      </c>
      <c r="C29" s="158">
        <v>5</v>
      </c>
      <c r="D29" s="158">
        <v>1</v>
      </c>
      <c r="E29" s="158">
        <v>3</v>
      </c>
      <c r="F29" s="158">
        <v>8</v>
      </c>
      <c r="G29" s="159">
        <v>24</v>
      </c>
      <c r="H29" s="301">
        <v>1952.4199999999998</v>
      </c>
      <c r="I29" s="161">
        <v>0</v>
      </c>
      <c r="J29" s="162">
        <v>2</v>
      </c>
      <c r="K29" s="163">
        <v>3</v>
      </c>
      <c r="L29" s="164">
        <v>20</v>
      </c>
      <c r="M29" s="160">
        <v>1440</v>
      </c>
      <c r="N29" s="162">
        <v>117265.19999999998</v>
      </c>
    </row>
    <row r="30" spans="1:14" ht="26.4" x14ac:dyDescent="0.25">
      <c r="A30" s="157" t="s">
        <v>2</v>
      </c>
      <c r="B30" s="176">
        <v>3</v>
      </c>
      <c r="C30" s="176">
        <v>0.5</v>
      </c>
      <c r="D30" s="176">
        <v>0.5</v>
      </c>
      <c r="E30" s="176">
        <v>0.5</v>
      </c>
      <c r="F30" s="176">
        <v>7</v>
      </c>
      <c r="G30" s="159">
        <v>11.5</v>
      </c>
      <c r="H30" s="301">
        <v>727.42500000000007</v>
      </c>
      <c r="I30" s="161">
        <v>0</v>
      </c>
      <c r="J30" s="162">
        <v>10</v>
      </c>
      <c r="K30" s="163">
        <v>1</v>
      </c>
      <c r="L30" s="164">
        <v>42</v>
      </c>
      <c r="M30" s="160">
        <v>483</v>
      </c>
      <c r="N30" s="162">
        <v>30971.850000000002</v>
      </c>
    </row>
    <row r="31" spans="1:14" x14ac:dyDescent="0.25">
      <c r="A31" s="226" t="s">
        <v>20</v>
      </c>
      <c r="B31" s="227">
        <v>124</v>
      </c>
      <c r="C31" s="227">
        <v>44.75</v>
      </c>
      <c r="D31" s="227">
        <v>5.75</v>
      </c>
      <c r="E31" s="227">
        <v>32.75</v>
      </c>
      <c r="F31" s="227">
        <v>16.5</v>
      </c>
      <c r="G31" s="227">
        <v>223.75</v>
      </c>
      <c r="H31" s="228">
        <v>19983.352499999997</v>
      </c>
      <c r="I31" s="228">
        <v>0</v>
      </c>
      <c r="J31" s="228">
        <v>14540.552057142859</v>
      </c>
      <c r="K31" s="229" t="s">
        <v>4</v>
      </c>
      <c r="L31" s="228" t="s">
        <v>6</v>
      </c>
      <c r="M31" s="228" t="s">
        <v>6</v>
      </c>
      <c r="N31" s="228" t="s">
        <v>6</v>
      </c>
    </row>
    <row r="32" spans="1:14" x14ac:dyDescent="0.25">
      <c r="A32" s="170" t="s">
        <v>5</v>
      </c>
      <c r="B32" s="171" t="s">
        <v>6</v>
      </c>
      <c r="C32" s="171" t="s">
        <v>6</v>
      </c>
      <c r="D32" s="171" t="s">
        <v>6</v>
      </c>
      <c r="E32" s="171"/>
      <c r="F32" s="171" t="s">
        <v>6</v>
      </c>
      <c r="G32" s="171" t="s">
        <v>6</v>
      </c>
      <c r="H32" s="172">
        <v>400358.60320000001</v>
      </c>
      <c r="I32" s="172">
        <v>0</v>
      </c>
      <c r="J32" s="172">
        <v>66877.43280000001</v>
      </c>
      <c r="K32" s="187">
        <v>3.3</v>
      </c>
      <c r="L32" s="186">
        <v>42</v>
      </c>
      <c r="M32" s="299">
        <v>4570.72</v>
      </c>
      <c r="N32" s="172">
        <v>467236.03599999996</v>
      </c>
    </row>
    <row r="33" spans="1:14" x14ac:dyDescent="0.25">
      <c r="A33" s="177" t="s">
        <v>316</v>
      </c>
      <c r="B33" s="178"/>
      <c r="C33" s="178"/>
      <c r="D33" s="178"/>
      <c r="E33" s="178"/>
      <c r="F33" s="178"/>
      <c r="G33" s="178"/>
      <c r="H33" s="178"/>
      <c r="I33" s="178"/>
      <c r="J33" s="178"/>
      <c r="K33" s="178"/>
      <c r="L33" s="178"/>
      <c r="M33" s="178"/>
      <c r="N33" s="178"/>
    </row>
    <row r="34" spans="1:14" ht="15.6" x14ac:dyDescent="0.25">
      <c r="A34" s="177" t="s">
        <v>317</v>
      </c>
      <c r="B34" s="178"/>
      <c r="C34" s="178"/>
      <c r="D34" s="178"/>
      <c r="E34" s="178"/>
      <c r="F34" s="178"/>
      <c r="G34" s="179"/>
      <c r="H34" s="180"/>
      <c r="I34" s="181"/>
      <c r="J34" s="182"/>
      <c r="K34" s="178"/>
      <c r="L34" s="178"/>
      <c r="M34" s="178"/>
      <c r="N34" s="178"/>
    </row>
    <row r="35" spans="1:14" ht="15.6" x14ac:dyDescent="0.25">
      <c r="A35" s="177" t="s">
        <v>318</v>
      </c>
      <c r="B35" s="178"/>
      <c r="C35" s="178"/>
      <c r="D35" s="178"/>
      <c r="E35" s="178"/>
      <c r="F35" s="178"/>
      <c r="G35" s="178"/>
      <c r="H35" s="178"/>
      <c r="I35" s="178"/>
      <c r="J35" s="178"/>
      <c r="K35" s="178"/>
      <c r="L35" s="178"/>
      <c r="M35" s="178"/>
      <c r="N35" s="178"/>
    </row>
    <row r="36" spans="1:14" x14ac:dyDescent="0.25">
      <c r="A36" s="4"/>
      <c r="B36" s="4"/>
      <c r="C36" s="4"/>
      <c r="D36" s="4"/>
      <c r="E36" s="4"/>
      <c r="F36" s="4"/>
      <c r="G36" s="4"/>
      <c r="H36" s="4"/>
      <c r="I36" s="4"/>
      <c r="J36" s="4"/>
      <c r="K36" s="4"/>
      <c r="L36" s="4"/>
      <c r="M36" s="4"/>
      <c r="N36" s="4"/>
    </row>
    <row r="37" spans="1:14" x14ac:dyDescent="0.25">
      <c r="A37" s="178"/>
      <c r="B37" s="178"/>
      <c r="C37" s="178"/>
      <c r="D37" s="178"/>
      <c r="E37" s="178"/>
      <c r="F37" s="178"/>
      <c r="G37" s="178"/>
      <c r="H37" s="178"/>
      <c r="I37" s="178"/>
      <c r="J37" s="156"/>
      <c r="K37" s="183"/>
      <c r="L37" s="178"/>
      <c r="M37" s="178"/>
      <c r="N37" s="178"/>
    </row>
    <row r="38" spans="1:14" x14ac:dyDescent="0.25">
      <c r="A38" s="178"/>
      <c r="B38" s="178"/>
      <c r="C38" s="178"/>
      <c r="D38" s="178"/>
      <c r="E38" s="178"/>
      <c r="F38" s="178"/>
      <c r="G38" s="178"/>
      <c r="H38" s="178"/>
      <c r="I38" s="178"/>
      <c r="J38" s="156"/>
      <c r="K38" s="183"/>
      <c r="L38" s="178"/>
      <c r="M38" s="178"/>
      <c r="N38" s="178"/>
    </row>
    <row r="39" spans="1:14" x14ac:dyDescent="0.25">
      <c r="A39" s="178"/>
      <c r="B39" s="178"/>
      <c r="C39" s="178"/>
      <c r="D39" s="178"/>
      <c r="E39" s="178"/>
      <c r="F39" s="178"/>
      <c r="G39" s="178"/>
      <c r="H39" s="178"/>
      <c r="I39" s="178"/>
      <c r="J39" s="182"/>
      <c r="K39" s="184"/>
      <c r="L39" s="178"/>
      <c r="M39" s="178"/>
      <c r="N39" s="178"/>
    </row>
  </sheetData>
  <mergeCells count="19">
    <mergeCell ref="B15:N15"/>
    <mergeCell ref="B16:N16"/>
    <mergeCell ref="A23:N23"/>
    <mergeCell ref="K4:K6"/>
    <mergeCell ref="L4:L6"/>
    <mergeCell ref="M4:M6"/>
    <mergeCell ref="A8:N8"/>
    <mergeCell ref="B9:N9"/>
    <mergeCell ref="B12:N12"/>
    <mergeCell ref="A1:N1"/>
    <mergeCell ref="A2:N2"/>
    <mergeCell ref="A3:A6"/>
    <mergeCell ref="G4:G6"/>
    <mergeCell ref="H4:H6"/>
    <mergeCell ref="I4:I6"/>
    <mergeCell ref="J4:J6"/>
    <mergeCell ref="N4:N6"/>
    <mergeCell ref="B3:J3"/>
    <mergeCell ref="K3:N3"/>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4"/>
  <sheetViews>
    <sheetView zoomScale="75" zoomScaleNormal="75" workbookViewId="0">
      <selection sqref="A1:P1"/>
    </sheetView>
  </sheetViews>
  <sheetFormatPr defaultColWidth="12.5546875" defaultRowHeight="10.199999999999999" x14ac:dyDescent="0.2"/>
  <cols>
    <col min="1" max="1" width="23.5546875" style="3" customWidth="1"/>
    <col min="2" max="2" width="10" style="3" customWidth="1"/>
    <col min="3" max="3" width="11" style="3" bestFit="1" customWidth="1"/>
    <col min="4" max="4" width="10" style="3" customWidth="1"/>
    <col min="5" max="5" width="15.44140625" style="3" customWidth="1"/>
    <col min="6" max="6" width="14.6640625" style="3" customWidth="1"/>
    <col min="7" max="7" width="10.77734375" style="3" customWidth="1"/>
    <col min="8" max="8" width="11.109375" style="3" customWidth="1"/>
    <col min="9" max="9" width="12.77734375" style="3" customWidth="1"/>
    <col min="10" max="10" width="11.77734375" style="3" customWidth="1"/>
    <col min="11" max="11" width="12.6640625" style="3" customWidth="1"/>
    <col min="12" max="12" width="14.109375" style="3" customWidth="1"/>
    <col min="13" max="13" width="13.5546875" style="3" customWidth="1"/>
    <col min="14" max="14" width="9.109375" style="3"/>
    <col min="15" max="15" width="13.88671875" style="3" bestFit="1" customWidth="1"/>
    <col min="16" max="16" width="12.33203125" style="3" customWidth="1"/>
    <col min="17" max="17" width="13.109375" style="3" customWidth="1"/>
    <col min="18" max="18" width="10.5546875" style="3" customWidth="1"/>
    <col min="19" max="20" width="15.88671875" style="3" customWidth="1"/>
    <col min="21" max="253" width="13.109375" style="3" customWidth="1"/>
    <col min="254" max="16384" width="12.5546875" style="3"/>
  </cols>
  <sheetData>
    <row r="1" spans="1:17" ht="20.399999999999999" thickBot="1" x14ac:dyDescent="0.45">
      <c r="A1" s="449" t="s">
        <v>86</v>
      </c>
      <c r="B1" s="449"/>
      <c r="C1" s="449"/>
      <c r="D1" s="449"/>
      <c r="E1" s="449"/>
      <c r="F1" s="449"/>
      <c r="G1" s="449"/>
      <c r="H1" s="449"/>
      <c r="I1" s="449"/>
      <c r="J1" s="449"/>
      <c r="K1" s="449"/>
      <c r="L1" s="449"/>
      <c r="M1" s="449"/>
      <c r="N1" s="449"/>
      <c r="O1" s="449"/>
      <c r="P1" s="449"/>
    </row>
    <row r="2" spans="1:17" s="50" customFormat="1" ht="21" thickTop="1" thickBot="1" x14ac:dyDescent="0.45">
      <c r="A2" s="449" t="s">
        <v>195</v>
      </c>
      <c r="B2" s="449"/>
      <c r="C2" s="449"/>
      <c r="D2" s="449"/>
      <c r="E2" s="449"/>
      <c r="F2" s="449"/>
      <c r="G2" s="449"/>
      <c r="H2" s="449"/>
      <c r="I2" s="449"/>
      <c r="J2" s="449"/>
      <c r="K2" s="449"/>
      <c r="L2" s="449"/>
      <c r="M2" s="449"/>
      <c r="N2" s="449"/>
      <c r="O2" s="449"/>
      <c r="P2" s="449"/>
    </row>
    <row r="3" spans="1:17" s="50" customFormat="1" ht="21" customHeight="1" thickTop="1" x14ac:dyDescent="0.25">
      <c r="A3" s="453" t="s">
        <v>0</v>
      </c>
      <c r="B3" s="451" t="s">
        <v>139</v>
      </c>
      <c r="C3" s="452"/>
      <c r="D3" s="452"/>
      <c r="E3" s="452"/>
      <c r="F3" s="452"/>
      <c r="G3" s="452"/>
      <c r="H3" s="452"/>
      <c r="I3" s="452"/>
      <c r="J3" s="452"/>
      <c r="K3" s="469"/>
      <c r="L3" s="470" t="s">
        <v>140</v>
      </c>
      <c r="M3" s="471"/>
      <c r="N3" s="471"/>
      <c r="O3" s="471"/>
      <c r="P3" s="471"/>
    </row>
    <row r="4" spans="1:17" s="126" customFormat="1" ht="45" customHeight="1" x14ac:dyDescent="0.25">
      <c r="A4" s="454"/>
      <c r="B4" s="191" t="s">
        <v>45</v>
      </c>
      <c r="C4" s="191" t="s">
        <v>46</v>
      </c>
      <c r="D4" s="191" t="s">
        <v>47</v>
      </c>
      <c r="E4" s="191" t="s">
        <v>161</v>
      </c>
      <c r="F4" s="191" t="s">
        <v>162</v>
      </c>
      <c r="G4" s="191" t="s">
        <v>196</v>
      </c>
      <c r="H4" s="191" t="s">
        <v>141</v>
      </c>
      <c r="I4" s="453" t="s">
        <v>142</v>
      </c>
      <c r="J4" s="457" t="s">
        <v>11</v>
      </c>
      <c r="K4" s="457" t="s">
        <v>143</v>
      </c>
      <c r="L4" s="457" t="s">
        <v>166</v>
      </c>
      <c r="M4" s="453" t="s">
        <v>167</v>
      </c>
      <c r="N4" s="453" t="s">
        <v>25</v>
      </c>
      <c r="O4" s="460" t="s">
        <v>12</v>
      </c>
      <c r="P4" s="457" t="s">
        <v>144</v>
      </c>
    </row>
    <row r="5" spans="1:17" s="126" customFormat="1" ht="13.8" customHeight="1" x14ac:dyDescent="0.25">
      <c r="A5" s="455"/>
      <c r="B5" s="191" t="s">
        <v>145</v>
      </c>
      <c r="C5" s="191" t="s">
        <v>145</v>
      </c>
      <c r="D5" s="191" t="s">
        <v>145</v>
      </c>
      <c r="E5" s="191" t="s">
        <v>145</v>
      </c>
      <c r="F5" s="191" t="s">
        <v>145</v>
      </c>
      <c r="G5" s="191" t="s">
        <v>145</v>
      </c>
      <c r="H5" s="191" t="s">
        <v>145</v>
      </c>
      <c r="I5" s="454"/>
      <c r="J5" s="458"/>
      <c r="K5" s="458"/>
      <c r="L5" s="458"/>
      <c r="M5" s="454"/>
      <c r="N5" s="454"/>
      <c r="O5" s="461"/>
      <c r="P5" s="458"/>
    </row>
    <row r="6" spans="1:17" s="126" customFormat="1" ht="13.8" customHeight="1" x14ac:dyDescent="0.3">
      <c r="A6" s="456"/>
      <c r="B6" s="192">
        <v>88.01</v>
      </c>
      <c r="C6" s="192">
        <v>132.91</v>
      </c>
      <c r="D6" s="192">
        <v>168.46</v>
      </c>
      <c r="E6" s="192">
        <v>60.1</v>
      </c>
      <c r="F6" s="192">
        <v>40.67</v>
      </c>
      <c r="G6" s="192">
        <v>39.35</v>
      </c>
      <c r="H6" s="192">
        <v>40.380000000000003</v>
      </c>
      <c r="I6" s="456"/>
      <c r="J6" s="459"/>
      <c r="K6" s="459"/>
      <c r="L6" s="459"/>
      <c r="M6" s="456"/>
      <c r="N6" s="456"/>
      <c r="O6" s="462"/>
      <c r="P6" s="459"/>
    </row>
    <row r="7" spans="1:17" ht="26.4" x14ac:dyDescent="0.25">
      <c r="A7" s="5" t="s">
        <v>14</v>
      </c>
      <c r="B7" s="39">
        <v>20</v>
      </c>
      <c r="C7" s="39">
        <v>4</v>
      </c>
      <c r="D7" s="39">
        <v>6</v>
      </c>
      <c r="E7" s="39">
        <v>0</v>
      </c>
      <c r="F7" s="39">
        <v>0</v>
      </c>
      <c r="G7" s="39">
        <v>0</v>
      </c>
      <c r="H7" s="39">
        <v>0</v>
      </c>
      <c r="I7" s="39">
        <f t="shared" ref="I7:I19" si="0">B7+C7+D7+E7+F7+G7+H7</f>
        <v>30</v>
      </c>
      <c r="J7" s="151">
        <f>(B7*$B$6)+(C7*$C$6)+(D7*$D$6)+(E7*$E$6)+(F7*$F$6)+(G7*$G$6)+(H7*$H$6)</f>
        <v>3302.6000000000004</v>
      </c>
      <c r="K7" s="237">
        <v>0</v>
      </c>
      <c r="L7" s="237">
        <v>0</v>
      </c>
      <c r="M7" s="39">
        <v>1</v>
      </c>
      <c r="N7" s="40">
        <v>25</v>
      </c>
      <c r="O7" s="39">
        <f t="shared" ref="O7:O19" si="1">I7*M7*N7</f>
        <v>750</v>
      </c>
      <c r="P7" s="237">
        <f t="shared" ref="P7:P19" si="2">(J7+K7+L7)*M7*N7</f>
        <v>82565.000000000015</v>
      </c>
    </row>
    <row r="8" spans="1:17" ht="13.2" x14ac:dyDescent="0.25">
      <c r="A8" s="5" t="s">
        <v>15</v>
      </c>
      <c r="B8" s="39">
        <v>8</v>
      </c>
      <c r="C8" s="39">
        <v>0</v>
      </c>
      <c r="D8" s="39">
        <v>0</v>
      </c>
      <c r="E8" s="39">
        <v>0</v>
      </c>
      <c r="F8" s="39">
        <v>1</v>
      </c>
      <c r="G8" s="39">
        <v>0</v>
      </c>
      <c r="H8" s="39">
        <v>0</v>
      </c>
      <c r="I8" s="39">
        <f t="shared" si="0"/>
        <v>9</v>
      </c>
      <c r="J8" s="151">
        <f t="shared" ref="J8:J19" si="3">(B8*$B$6)+(C8*$C$6)+(D8*$D$6)+(E8*$E$6)+(F8*$F$6)+(G8*$G$6)+(H8*$H$6)</f>
        <v>744.75</v>
      </c>
      <c r="K8" s="237">
        <v>0</v>
      </c>
      <c r="L8" s="237">
        <v>30</v>
      </c>
      <c r="M8" s="39">
        <v>1</v>
      </c>
      <c r="N8" s="39">
        <v>25</v>
      </c>
      <c r="O8" s="39">
        <f t="shared" si="1"/>
        <v>225</v>
      </c>
      <c r="P8" s="237">
        <f t="shared" si="2"/>
        <v>19368.75</v>
      </c>
    </row>
    <row r="9" spans="1:17" ht="39.6" x14ac:dyDescent="0.25">
      <c r="A9" s="5" t="s">
        <v>16</v>
      </c>
      <c r="B9" s="39">
        <v>11</v>
      </c>
      <c r="C9" s="39">
        <v>5</v>
      </c>
      <c r="D9" s="39">
        <v>0</v>
      </c>
      <c r="E9" s="39">
        <v>1</v>
      </c>
      <c r="F9" s="39">
        <v>0</v>
      </c>
      <c r="G9" s="39">
        <v>0</v>
      </c>
      <c r="H9" s="39">
        <v>0</v>
      </c>
      <c r="I9" s="39">
        <f t="shared" si="0"/>
        <v>17</v>
      </c>
      <c r="J9" s="151">
        <f t="shared" si="3"/>
        <v>1692.7599999999998</v>
      </c>
      <c r="K9" s="237">
        <v>0</v>
      </c>
      <c r="L9" s="237">
        <v>5</v>
      </c>
      <c r="M9" s="39">
        <v>3.5</v>
      </c>
      <c r="N9" s="39">
        <v>25</v>
      </c>
      <c r="O9" s="39">
        <f t="shared" si="1"/>
        <v>1487.5</v>
      </c>
      <c r="P9" s="237">
        <f t="shared" si="2"/>
        <v>148553.99999999997</v>
      </c>
    </row>
    <row r="10" spans="1:17" ht="26.4" x14ac:dyDescent="0.25">
      <c r="A10" s="5" t="s">
        <v>17</v>
      </c>
      <c r="B10" s="39">
        <v>4</v>
      </c>
      <c r="C10" s="39">
        <v>0</v>
      </c>
      <c r="D10" s="39">
        <v>0</v>
      </c>
      <c r="E10" s="39">
        <v>0</v>
      </c>
      <c r="F10" s="39">
        <v>1</v>
      </c>
      <c r="G10" s="39">
        <v>1</v>
      </c>
      <c r="H10" s="39">
        <v>1</v>
      </c>
      <c r="I10" s="39">
        <f t="shared" si="0"/>
        <v>7</v>
      </c>
      <c r="J10" s="151">
        <f>(B10*$B$6)+(C10*$C$6)+(D10*$D$6)+(E10*$E$6)+(F10*$F$6)+(G10*$G$6)+(H10*$H$6)</f>
        <v>472.44000000000005</v>
      </c>
      <c r="K10" s="237">
        <v>0</v>
      </c>
      <c r="L10" s="237">
        <v>1</v>
      </c>
      <c r="M10" s="39">
        <v>3.5</v>
      </c>
      <c r="N10" s="39">
        <v>25</v>
      </c>
      <c r="O10" s="39">
        <f t="shared" si="1"/>
        <v>612.5</v>
      </c>
      <c r="P10" s="237">
        <f t="shared" si="2"/>
        <v>41426.000000000007</v>
      </c>
    </row>
    <row r="11" spans="1:17" ht="13.2" x14ac:dyDescent="0.25">
      <c r="A11" s="5" t="s">
        <v>18</v>
      </c>
      <c r="B11" s="39">
        <v>1</v>
      </c>
      <c r="C11" s="39">
        <v>0</v>
      </c>
      <c r="D11" s="39">
        <v>0</v>
      </c>
      <c r="E11" s="39">
        <v>0</v>
      </c>
      <c r="F11" s="39">
        <v>6</v>
      </c>
      <c r="G11" s="39">
        <v>0</v>
      </c>
      <c r="H11" s="39">
        <v>0</v>
      </c>
      <c r="I11" s="39">
        <f t="shared" si="0"/>
        <v>7</v>
      </c>
      <c r="J11" s="151">
        <f t="shared" si="3"/>
        <v>332.03000000000003</v>
      </c>
      <c r="K11" s="237">
        <v>0</v>
      </c>
      <c r="L11" s="237">
        <v>0</v>
      </c>
      <c r="M11" s="40">
        <v>3.5</v>
      </c>
      <c r="N11" s="39">
        <v>25</v>
      </c>
      <c r="O11" s="39">
        <f t="shared" si="1"/>
        <v>612.5</v>
      </c>
      <c r="P11" s="237">
        <f t="shared" si="2"/>
        <v>29052.625</v>
      </c>
    </row>
    <row r="12" spans="1:17" s="126" customFormat="1" ht="13.2" x14ac:dyDescent="0.25">
      <c r="A12" s="466" t="s">
        <v>197</v>
      </c>
      <c r="B12" s="467"/>
      <c r="C12" s="467"/>
      <c r="D12" s="467"/>
      <c r="E12" s="467"/>
      <c r="F12" s="467"/>
      <c r="G12" s="467"/>
      <c r="H12" s="467"/>
      <c r="I12" s="467"/>
      <c r="J12" s="467"/>
      <c r="K12" s="467"/>
      <c r="L12" s="467"/>
      <c r="M12" s="467"/>
      <c r="N12" s="467"/>
      <c r="O12" s="467"/>
      <c r="P12" s="468"/>
    </row>
    <row r="13" spans="1:17" ht="15.6" x14ac:dyDescent="0.25">
      <c r="A13" s="142" t="s">
        <v>322</v>
      </c>
      <c r="B13" s="39">
        <v>8</v>
      </c>
      <c r="C13" s="39">
        <v>0</v>
      </c>
      <c r="D13" s="39">
        <v>0</v>
      </c>
      <c r="E13" s="39">
        <v>0</v>
      </c>
      <c r="F13" s="39">
        <v>12</v>
      </c>
      <c r="G13" s="39">
        <v>2</v>
      </c>
      <c r="H13" s="39">
        <v>0</v>
      </c>
      <c r="I13" s="39">
        <f t="shared" si="0"/>
        <v>22</v>
      </c>
      <c r="J13" s="151">
        <f t="shared" si="3"/>
        <v>1270.8200000000002</v>
      </c>
      <c r="K13" s="237">
        <v>0</v>
      </c>
      <c r="L13" s="237">
        <v>100</v>
      </c>
      <c r="M13" s="39">
        <v>4</v>
      </c>
      <c r="N13" s="39">
        <v>15</v>
      </c>
      <c r="O13" s="39">
        <f t="shared" si="1"/>
        <v>1320</v>
      </c>
      <c r="P13" s="237">
        <f t="shared" si="2"/>
        <v>82249.200000000012</v>
      </c>
    </row>
    <row r="14" spans="1:17" ht="13.2" x14ac:dyDescent="0.25">
      <c r="A14" s="142" t="s">
        <v>21</v>
      </c>
      <c r="B14" s="39">
        <v>8</v>
      </c>
      <c r="C14" s="39">
        <v>0</v>
      </c>
      <c r="D14" s="39">
        <v>0</v>
      </c>
      <c r="E14" s="39">
        <v>1</v>
      </c>
      <c r="F14" s="39">
        <v>0</v>
      </c>
      <c r="G14" s="39">
        <v>0</v>
      </c>
      <c r="H14" s="39">
        <v>0</v>
      </c>
      <c r="I14" s="39">
        <f t="shared" si="0"/>
        <v>9</v>
      </c>
      <c r="J14" s="151">
        <f t="shared" si="3"/>
        <v>764.18000000000006</v>
      </c>
      <c r="K14" s="237">
        <v>0</v>
      </c>
      <c r="L14" s="237">
        <v>5</v>
      </c>
      <c r="M14" s="39">
        <v>4</v>
      </c>
      <c r="N14" s="39">
        <v>15</v>
      </c>
      <c r="O14" s="39">
        <f t="shared" si="1"/>
        <v>540</v>
      </c>
      <c r="P14" s="237">
        <f t="shared" si="2"/>
        <v>46150.8</v>
      </c>
    </row>
    <row r="15" spans="1:17" ht="39.6" x14ac:dyDescent="0.25">
      <c r="A15" s="142" t="s">
        <v>22</v>
      </c>
      <c r="B15" s="39">
        <v>1</v>
      </c>
      <c r="C15" s="39">
        <v>0</v>
      </c>
      <c r="D15" s="39">
        <v>0</v>
      </c>
      <c r="E15" s="39">
        <v>0</v>
      </c>
      <c r="F15" s="39">
        <v>93</v>
      </c>
      <c r="G15" s="39">
        <v>0</v>
      </c>
      <c r="H15" s="39">
        <v>0</v>
      </c>
      <c r="I15" s="39">
        <f>B15+C15+D15+E15+F15+G15+H15</f>
        <v>94</v>
      </c>
      <c r="J15" s="151">
        <f t="shared" si="3"/>
        <v>3870.32</v>
      </c>
      <c r="K15" s="237">
        <v>0</v>
      </c>
      <c r="L15" s="237">
        <v>5</v>
      </c>
      <c r="M15" s="40">
        <v>1</v>
      </c>
      <c r="N15" s="39">
        <v>15</v>
      </c>
      <c r="O15" s="39">
        <f t="shared" si="1"/>
        <v>1410</v>
      </c>
      <c r="P15" s="237">
        <f t="shared" si="2"/>
        <v>58129.8</v>
      </c>
    </row>
    <row r="16" spans="1:17" ht="15.6" x14ac:dyDescent="0.25">
      <c r="A16" s="142" t="s">
        <v>323</v>
      </c>
      <c r="B16" s="39">
        <v>8</v>
      </c>
      <c r="C16" s="39">
        <v>1</v>
      </c>
      <c r="D16" s="39">
        <v>0</v>
      </c>
      <c r="E16" s="39">
        <v>5</v>
      </c>
      <c r="F16" s="39">
        <v>0</v>
      </c>
      <c r="G16" s="39">
        <v>0</v>
      </c>
      <c r="H16" s="39">
        <v>0</v>
      </c>
      <c r="I16" s="39">
        <f>B16+C16+D16+E16+F16+G16+H16</f>
        <v>14</v>
      </c>
      <c r="J16" s="151">
        <f t="shared" si="3"/>
        <v>1137.49</v>
      </c>
      <c r="K16" s="237">
        <v>0</v>
      </c>
      <c r="L16" s="237">
        <f>'Table 5 Cert'!L16</f>
        <v>17970.333333333332</v>
      </c>
      <c r="M16" s="39">
        <f>28/10</f>
        <v>2.8</v>
      </c>
      <c r="N16" s="39">
        <v>10</v>
      </c>
      <c r="O16" s="39">
        <f t="shared" ref="O16" si="4">I16*M16*N16</f>
        <v>391.99999999999994</v>
      </c>
      <c r="P16" s="237">
        <f t="shared" ref="P16" si="5">(J16+K16+L16)*M16*N16</f>
        <v>535019.05333333323</v>
      </c>
      <c r="Q16" s="126"/>
    </row>
    <row r="17" spans="1:17" ht="26.4" x14ac:dyDescent="0.25">
      <c r="A17" s="5" t="s">
        <v>19</v>
      </c>
      <c r="B17" s="39">
        <v>8</v>
      </c>
      <c r="C17" s="39">
        <v>1</v>
      </c>
      <c r="D17" s="39">
        <v>1</v>
      </c>
      <c r="E17" s="39">
        <v>2</v>
      </c>
      <c r="F17" s="39">
        <v>0</v>
      </c>
      <c r="G17" s="39">
        <v>0</v>
      </c>
      <c r="H17" s="39">
        <v>0</v>
      </c>
      <c r="I17" s="39">
        <f t="shared" si="0"/>
        <v>12</v>
      </c>
      <c r="J17" s="151">
        <f t="shared" si="3"/>
        <v>1125.6500000000001</v>
      </c>
      <c r="K17" s="237">
        <v>0</v>
      </c>
      <c r="L17" s="237">
        <v>5</v>
      </c>
      <c r="M17" s="39">
        <v>3.5</v>
      </c>
      <c r="N17" s="39">
        <v>25</v>
      </c>
      <c r="O17" s="39">
        <f t="shared" si="1"/>
        <v>1050</v>
      </c>
      <c r="P17" s="237">
        <f t="shared" si="2"/>
        <v>98931.875000000015</v>
      </c>
    </row>
    <row r="18" spans="1:17" s="126" customFormat="1" ht="13.2" x14ac:dyDescent="0.25">
      <c r="A18" s="466" t="s">
        <v>23</v>
      </c>
      <c r="B18" s="467"/>
      <c r="C18" s="467"/>
      <c r="D18" s="467"/>
      <c r="E18" s="467"/>
      <c r="F18" s="467"/>
      <c r="G18" s="467"/>
      <c r="H18" s="467"/>
      <c r="I18" s="467"/>
      <c r="J18" s="467"/>
      <c r="K18" s="467"/>
      <c r="L18" s="467"/>
      <c r="M18" s="467"/>
      <c r="N18" s="467"/>
      <c r="O18" s="467"/>
      <c r="P18" s="468"/>
    </row>
    <row r="19" spans="1:17" ht="26.4" x14ac:dyDescent="0.25">
      <c r="A19" s="5" t="s">
        <v>2</v>
      </c>
      <c r="B19" s="39">
        <v>4</v>
      </c>
      <c r="C19" s="39">
        <v>2</v>
      </c>
      <c r="D19" s="39">
        <v>0</v>
      </c>
      <c r="E19" s="39">
        <v>3</v>
      </c>
      <c r="F19" s="39">
        <v>0</v>
      </c>
      <c r="G19" s="39">
        <v>1</v>
      </c>
      <c r="H19" s="39">
        <v>10</v>
      </c>
      <c r="I19" s="39">
        <f t="shared" si="0"/>
        <v>20</v>
      </c>
      <c r="J19" s="151">
        <f t="shared" si="3"/>
        <v>1241.3100000000002</v>
      </c>
      <c r="K19" s="237">
        <v>0</v>
      </c>
      <c r="L19" s="237">
        <v>2</v>
      </c>
      <c r="M19" s="39">
        <v>1</v>
      </c>
      <c r="N19" s="39">
        <v>25</v>
      </c>
      <c r="O19" s="39">
        <f t="shared" si="1"/>
        <v>500</v>
      </c>
      <c r="P19" s="237">
        <f t="shared" si="2"/>
        <v>31082.750000000004</v>
      </c>
      <c r="Q19" s="124"/>
    </row>
    <row r="20" spans="1:17" ht="13.2" x14ac:dyDescent="0.25">
      <c r="A20" s="232" t="s">
        <v>20</v>
      </c>
      <c r="B20" s="233">
        <v>108</v>
      </c>
      <c r="C20" s="233">
        <v>7</v>
      </c>
      <c r="D20" s="233">
        <v>9</v>
      </c>
      <c r="E20" s="233">
        <v>7</v>
      </c>
      <c r="F20" s="233">
        <v>113</v>
      </c>
      <c r="G20" s="233">
        <v>4</v>
      </c>
      <c r="H20" s="233">
        <v>1</v>
      </c>
      <c r="I20" s="233">
        <v>249</v>
      </c>
      <c r="J20" s="234">
        <f>SUM(J7:J19)</f>
        <v>15954.35</v>
      </c>
      <c r="K20" s="234">
        <f>SUM(K7:K19)</f>
        <v>0</v>
      </c>
      <c r="L20" s="235" t="s">
        <v>4</v>
      </c>
      <c r="M20" s="233" t="s">
        <v>4</v>
      </c>
      <c r="N20" s="233" t="s">
        <v>6</v>
      </c>
      <c r="O20" s="233" t="s">
        <v>6</v>
      </c>
      <c r="P20" s="234" t="s">
        <v>6</v>
      </c>
    </row>
    <row r="21" spans="1:17" ht="13.2" x14ac:dyDescent="0.25">
      <c r="A21" s="232" t="s">
        <v>5</v>
      </c>
      <c r="B21" s="233" t="s">
        <v>6</v>
      </c>
      <c r="C21" s="233" t="s">
        <v>6</v>
      </c>
      <c r="D21" s="233" t="s">
        <v>6</v>
      </c>
      <c r="E21" s="233" t="s">
        <v>6</v>
      </c>
      <c r="F21" s="233" t="s">
        <v>6</v>
      </c>
      <c r="G21" s="233" t="s">
        <v>6</v>
      </c>
      <c r="H21" s="233" t="s">
        <v>6</v>
      </c>
      <c r="I21" s="233" t="s">
        <v>6</v>
      </c>
      <c r="J21" s="234">
        <f>SUMPRODUCT(J7:J19,M7:M19,N7:N19)</f>
        <v>661223.02</v>
      </c>
      <c r="K21" s="234">
        <v>0</v>
      </c>
      <c r="L21" s="234">
        <f>SUMPRODUCT(L7:L19,M7:M19,N7:N19)</f>
        <v>511306.83333333326</v>
      </c>
      <c r="M21" s="233" t="s">
        <v>6</v>
      </c>
      <c r="N21" s="236">
        <v>25</v>
      </c>
      <c r="O21" s="233">
        <f>SUM(O7:O19)</f>
        <v>8899.5</v>
      </c>
      <c r="P21" s="234">
        <f>SUM(P7:P19)</f>
        <v>1172529.8533333333</v>
      </c>
    </row>
    <row r="22" spans="1:17" ht="11.4" x14ac:dyDescent="0.2">
      <c r="A22" s="3" t="s">
        <v>321</v>
      </c>
    </row>
    <row r="23" spans="1:17" ht="11.4" x14ac:dyDescent="0.2">
      <c r="A23" s="3" t="s">
        <v>320</v>
      </c>
    </row>
    <row r="24" spans="1:17" ht="11.4" x14ac:dyDescent="0.2">
      <c r="A24" s="126" t="s">
        <v>300</v>
      </c>
    </row>
    <row r="25" spans="1:17" ht="11.4" x14ac:dyDescent="0.2">
      <c r="A25" s="126" t="s">
        <v>314</v>
      </c>
      <c r="G25" s="582"/>
      <c r="H25" s="582"/>
      <c r="I25" s="582"/>
      <c r="J25" s="582"/>
    </row>
    <row r="26" spans="1:17" ht="13.2" x14ac:dyDescent="0.25">
      <c r="G26" s="582"/>
      <c r="H26" s="583"/>
      <c r="I26" s="582"/>
      <c r="J26" s="582"/>
    </row>
    <row r="27" spans="1:17" ht="13.2" x14ac:dyDescent="0.25">
      <c r="G27" s="582"/>
      <c r="H27" s="143"/>
      <c r="I27" s="582"/>
      <c r="J27" s="582"/>
    </row>
    <row r="28" spans="1:17" ht="13.2" x14ac:dyDescent="0.25">
      <c r="G28" s="582"/>
      <c r="H28" s="584"/>
      <c r="I28" s="582"/>
      <c r="J28" s="582"/>
    </row>
    <row r="29" spans="1:17" x14ac:dyDescent="0.2">
      <c r="G29" s="582"/>
      <c r="H29" s="582"/>
      <c r="I29" s="582"/>
      <c r="J29" s="582"/>
    </row>
    <row r="30" spans="1:17" ht="15" x14ac:dyDescent="0.25">
      <c r="G30" s="582"/>
      <c r="H30" s="585"/>
      <c r="I30" s="582"/>
      <c r="J30" s="582"/>
    </row>
    <row r="31" spans="1:17" ht="15" x14ac:dyDescent="0.25">
      <c r="G31" s="582"/>
      <c r="H31" s="585"/>
      <c r="I31" s="582"/>
      <c r="J31" s="582"/>
    </row>
    <row r="32" spans="1:17" x14ac:dyDescent="0.2">
      <c r="G32" s="582"/>
      <c r="H32" s="582"/>
      <c r="I32" s="582"/>
      <c r="J32" s="582"/>
    </row>
    <row r="33" spans="7:10" x14ac:dyDescent="0.2">
      <c r="G33" s="582"/>
      <c r="H33" s="582"/>
      <c r="I33" s="582"/>
      <c r="J33" s="582"/>
    </row>
    <row r="34" spans="7:10" x14ac:dyDescent="0.2">
      <c r="G34" s="582"/>
      <c r="H34" s="582"/>
      <c r="I34" s="582"/>
      <c r="J34" s="582"/>
    </row>
  </sheetData>
  <mergeCells count="15">
    <mergeCell ref="A2:P2"/>
    <mergeCell ref="A1:P1"/>
    <mergeCell ref="A3:A6"/>
    <mergeCell ref="I4:I6"/>
    <mergeCell ref="J4:J6"/>
    <mergeCell ref="K4:K6"/>
    <mergeCell ref="L4:L6"/>
    <mergeCell ref="M4:M6"/>
    <mergeCell ref="N4:N6"/>
    <mergeCell ref="A18:P18"/>
    <mergeCell ref="A12:P12"/>
    <mergeCell ref="O4:O6"/>
    <mergeCell ref="B3:K3"/>
    <mergeCell ref="P4:P6"/>
    <mergeCell ref="L3:P3"/>
  </mergeCells>
  <phoneticPr fontId="7" type="noConversion"/>
  <printOptions horizontalCentered="1" verticalCentered="1"/>
  <pageMargins left="0.75" right="0.75" top="1" bottom="1" header="0.5" footer="0.5"/>
  <pageSetup scale="6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zoomScaleNormal="100" workbookViewId="0">
      <selection activeCell="A2" sqref="A2:H2"/>
    </sheetView>
  </sheetViews>
  <sheetFormatPr defaultColWidth="9.109375" defaultRowHeight="14.4" x14ac:dyDescent="0.3"/>
  <cols>
    <col min="1" max="1" width="24.88671875" style="93" customWidth="1"/>
    <col min="2" max="2" width="54.109375" style="93" customWidth="1"/>
    <col min="3" max="3" width="11.88671875" style="93" customWidth="1"/>
    <col min="4" max="4" width="12.88671875" style="93" customWidth="1"/>
    <col min="5" max="5" width="17.33203125" style="93" bestFit="1" customWidth="1"/>
    <col min="6" max="6" width="8.109375" style="93" customWidth="1"/>
    <col min="7" max="7" width="7.33203125" style="93" customWidth="1"/>
    <col min="8" max="8" width="11" style="93" customWidth="1"/>
    <col min="9" max="9" width="9.109375" style="93"/>
    <col min="10" max="10" width="12.6640625" style="93" bestFit="1" customWidth="1"/>
    <col min="11" max="16384" width="9.109375" style="93"/>
  </cols>
  <sheetData>
    <row r="1" spans="1:13" ht="20.399999999999999" thickBot="1" x14ac:dyDescent="0.45">
      <c r="A1" s="449" t="s">
        <v>87</v>
      </c>
      <c r="B1" s="449"/>
      <c r="C1" s="449"/>
      <c r="D1" s="449"/>
      <c r="E1" s="449"/>
      <c r="F1" s="449"/>
      <c r="G1" s="449"/>
      <c r="H1" s="449"/>
      <c r="I1" s="119"/>
      <c r="J1" s="119"/>
      <c r="K1" s="119"/>
      <c r="L1" s="119"/>
      <c r="M1" s="119"/>
    </row>
    <row r="2" spans="1:13" ht="21" thickTop="1" thickBot="1" x14ac:dyDescent="0.45">
      <c r="A2" s="449" t="s">
        <v>88</v>
      </c>
      <c r="B2" s="449"/>
      <c r="C2" s="449"/>
      <c r="D2" s="449"/>
      <c r="E2" s="449"/>
      <c r="F2" s="449"/>
      <c r="G2" s="449"/>
      <c r="H2" s="449"/>
      <c r="I2" s="119"/>
      <c r="J2" s="119"/>
      <c r="K2" s="119"/>
      <c r="L2" s="119"/>
      <c r="M2" s="119"/>
    </row>
    <row r="3" spans="1:13" ht="15" customHeight="1" thickTop="1" x14ac:dyDescent="0.3">
      <c r="A3" s="472" t="s">
        <v>116</v>
      </c>
      <c r="B3" s="473"/>
      <c r="C3" s="475" t="s">
        <v>110</v>
      </c>
      <c r="D3" s="475"/>
      <c r="E3" s="475"/>
      <c r="F3" s="474" t="s">
        <v>26</v>
      </c>
      <c r="G3" s="474"/>
      <c r="H3" s="474"/>
    </row>
    <row r="4" spans="1:13" ht="72" customHeight="1" x14ac:dyDescent="0.3">
      <c r="A4" s="244" t="s">
        <v>117</v>
      </c>
      <c r="B4" s="245" t="s">
        <v>118</v>
      </c>
      <c r="C4" s="246" t="s">
        <v>111</v>
      </c>
      <c r="D4" s="246" t="s">
        <v>89</v>
      </c>
      <c r="E4" s="246" t="s">
        <v>112</v>
      </c>
      <c r="F4" s="244" t="s">
        <v>27</v>
      </c>
      <c r="G4" s="247" t="s">
        <v>12</v>
      </c>
      <c r="H4" s="244" t="s">
        <v>13</v>
      </c>
    </row>
    <row r="5" spans="1:13" ht="72" x14ac:dyDescent="0.3">
      <c r="A5" s="120" t="s">
        <v>90</v>
      </c>
      <c r="B5" s="111" t="s">
        <v>114</v>
      </c>
      <c r="C5" s="118"/>
      <c r="D5" s="113">
        <v>48000</v>
      </c>
      <c r="E5" s="108">
        <f>D5*5</f>
        <v>240000</v>
      </c>
      <c r="F5" s="106">
        <v>6</v>
      </c>
      <c r="G5" s="116"/>
      <c r="H5" s="107">
        <f>E5*F5</f>
        <v>1440000</v>
      </c>
    </row>
    <row r="6" spans="1:13" ht="28.8" x14ac:dyDescent="0.3">
      <c r="A6" s="120" t="s">
        <v>93</v>
      </c>
      <c r="B6" s="109" t="s">
        <v>94</v>
      </c>
      <c r="C6" s="118"/>
      <c r="D6" s="113">
        <v>1150</v>
      </c>
      <c r="E6" s="108">
        <f t="shared" ref="E6:E9" si="0">D6*5</f>
        <v>5750</v>
      </c>
      <c r="F6" s="106">
        <v>6</v>
      </c>
      <c r="G6" s="115"/>
      <c r="H6" s="107">
        <f t="shared" ref="H6:H8" si="1">E6*F6</f>
        <v>34500</v>
      </c>
    </row>
    <row r="7" spans="1:13" ht="28.8" x14ac:dyDescent="0.3">
      <c r="A7" s="120" t="s">
        <v>95</v>
      </c>
      <c r="B7" s="111" t="s">
        <v>113</v>
      </c>
      <c r="C7" s="118"/>
      <c r="D7" s="113">
        <v>1000</v>
      </c>
      <c r="E7" s="108">
        <f t="shared" si="0"/>
        <v>5000</v>
      </c>
      <c r="F7" s="106">
        <v>6</v>
      </c>
      <c r="G7" s="115"/>
      <c r="H7" s="107">
        <f t="shared" si="1"/>
        <v>30000</v>
      </c>
    </row>
    <row r="8" spans="1:13" x14ac:dyDescent="0.3">
      <c r="A8" s="121" t="s">
        <v>115</v>
      </c>
      <c r="B8" s="109" t="s">
        <v>96</v>
      </c>
      <c r="C8" s="118"/>
      <c r="D8" s="113">
        <v>250</v>
      </c>
      <c r="E8" s="108">
        <f t="shared" si="0"/>
        <v>1250</v>
      </c>
      <c r="F8" s="106">
        <v>6</v>
      </c>
      <c r="G8" s="115"/>
      <c r="H8" s="107">
        <f t="shared" si="1"/>
        <v>7500</v>
      </c>
    </row>
    <row r="9" spans="1:13" ht="28.8" x14ac:dyDescent="0.3">
      <c r="A9" s="120" t="s">
        <v>91</v>
      </c>
      <c r="B9" s="109" t="s">
        <v>92</v>
      </c>
      <c r="C9" s="118">
        <v>58</v>
      </c>
      <c r="D9" s="113">
        <v>10500</v>
      </c>
      <c r="E9" s="108">
        <f t="shared" si="0"/>
        <v>52500</v>
      </c>
      <c r="F9" s="106">
        <v>6</v>
      </c>
      <c r="G9" s="117">
        <f>C9*F9</f>
        <v>348</v>
      </c>
      <c r="H9" s="107">
        <f>E9*F9</f>
        <v>315000</v>
      </c>
      <c r="I9" s="123"/>
    </row>
    <row r="10" spans="1:13" x14ac:dyDescent="0.3">
      <c r="A10" s="121" t="s">
        <v>23</v>
      </c>
      <c r="B10" s="110"/>
      <c r="C10" s="112">
        <v>2</v>
      </c>
      <c r="D10" s="113">
        <f>(D9/C9)*C10</f>
        <v>362.06896551724139</v>
      </c>
      <c r="E10" s="108">
        <f>D10*5</f>
        <v>1810.344827586207</v>
      </c>
      <c r="F10" s="11">
        <v>6</v>
      </c>
      <c r="G10" s="114">
        <f>C10*F10</f>
        <v>12</v>
      </c>
      <c r="H10" s="298">
        <f>E10*F10</f>
        <v>10862.068965517243</v>
      </c>
    </row>
    <row r="11" spans="1:13" ht="14.25" customHeight="1" x14ac:dyDescent="0.3">
      <c r="A11" s="248" t="s">
        <v>3</v>
      </c>
      <c r="B11" s="249" t="s">
        <v>6</v>
      </c>
      <c r="C11" s="250">
        <f>SUM(C5:C10)</f>
        <v>60</v>
      </c>
      <c r="D11" s="251">
        <f>SUM(D5:D10)</f>
        <v>61262.068965517239</v>
      </c>
      <c r="E11" s="252">
        <f>SUM(E5:E10)</f>
        <v>306310.3448275862</v>
      </c>
      <c r="F11" s="249" t="s">
        <v>6</v>
      </c>
      <c r="G11" s="249" t="s">
        <v>6</v>
      </c>
      <c r="H11" s="253" t="s">
        <v>6</v>
      </c>
      <c r="J11" s="94"/>
    </row>
    <row r="12" spans="1:13" x14ac:dyDescent="0.3">
      <c r="A12" s="248" t="s">
        <v>5</v>
      </c>
      <c r="B12" s="249" t="s">
        <v>6</v>
      </c>
      <c r="C12" s="249" t="s">
        <v>6</v>
      </c>
      <c r="D12" s="249" t="s">
        <v>6</v>
      </c>
      <c r="E12" s="249" t="s">
        <v>6</v>
      </c>
      <c r="F12" s="249">
        <v>6</v>
      </c>
      <c r="G12" s="254">
        <f>SUM(G6:G10)</f>
        <v>360</v>
      </c>
      <c r="H12" s="234">
        <f>SUM(H5:H10)</f>
        <v>1837862.0689655172</v>
      </c>
    </row>
    <row r="14" spans="1:13" x14ac:dyDescent="0.3">
      <c r="B14" s="255" t="s">
        <v>124</v>
      </c>
      <c r="C14" s="256">
        <f>(D9+D10)*F12</f>
        <v>65172.413793103449</v>
      </c>
    </row>
    <row r="15" spans="1:13" x14ac:dyDescent="0.3">
      <c r="B15" s="255" t="s">
        <v>125</v>
      </c>
      <c r="C15" s="257">
        <f>H12-C14</f>
        <v>1772689.6551724137</v>
      </c>
    </row>
  </sheetData>
  <mergeCells count="5">
    <mergeCell ref="A1:H1"/>
    <mergeCell ref="A2:H2"/>
    <mergeCell ref="A3:B3"/>
    <mergeCell ref="F3:H3"/>
    <mergeCell ref="C3:E3"/>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5"/>
  <sheetViews>
    <sheetView workbookViewId="0">
      <selection activeCell="J7" sqref="J7"/>
    </sheetView>
  </sheetViews>
  <sheetFormatPr defaultColWidth="9.109375" defaultRowHeight="13.2" x14ac:dyDescent="0.25"/>
  <cols>
    <col min="1" max="1" width="23.109375" style="38" customWidth="1"/>
    <col min="2" max="2" width="9.88671875" style="4" customWidth="1"/>
    <col min="3" max="3" width="11" style="4" bestFit="1" customWidth="1"/>
    <col min="4" max="4" width="10" style="4" customWidth="1"/>
    <col min="5" max="5" width="10.33203125" style="4" bestFit="1" customWidth="1"/>
    <col min="6" max="6" width="9.109375" style="4"/>
    <col min="7" max="7" width="12.88671875" style="4" bestFit="1" customWidth="1"/>
    <col min="8" max="8" width="7.88671875" style="4" bestFit="1" customWidth="1"/>
    <col min="9" max="9" width="10.109375" style="4" customWidth="1"/>
    <col min="10" max="10" width="12.88671875" style="4" customWidth="1"/>
    <col min="11" max="11" width="11.21875" style="4" customWidth="1"/>
    <col min="12" max="12" width="8.33203125" style="4" customWidth="1"/>
    <col min="13" max="13" width="12.88671875" style="4" customWidth="1"/>
    <col min="14" max="16384" width="9.109375" style="4"/>
  </cols>
  <sheetData>
    <row r="1" spans="1:32" s="134" customFormat="1" ht="20.399999999999999" thickBot="1" x14ac:dyDescent="0.45">
      <c r="A1" s="497" t="s">
        <v>252</v>
      </c>
      <c r="B1" s="497"/>
      <c r="C1" s="497"/>
      <c r="D1" s="497"/>
      <c r="E1" s="497"/>
      <c r="F1" s="497"/>
      <c r="G1" s="497"/>
      <c r="H1" s="497"/>
      <c r="I1" s="497"/>
      <c r="J1" s="497"/>
      <c r="K1" s="497"/>
      <c r="L1" s="497"/>
      <c r="M1" s="497"/>
    </row>
    <row r="2" spans="1:32" s="135" customFormat="1" ht="21" thickTop="1" thickBot="1" x14ac:dyDescent="0.45">
      <c r="A2" s="449" t="s">
        <v>202</v>
      </c>
      <c r="B2" s="449"/>
      <c r="C2" s="449"/>
      <c r="D2" s="449"/>
      <c r="E2" s="449"/>
      <c r="F2" s="449"/>
      <c r="G2" s="449"/>
      <c r="H2" s="449"/>
      <c r="I2" s="449"/>
      <c r="J2" s="449"/>
      <c r="K2" s="449"/>
      <c r="L2" s="449"/>
      <c r="M2" s="449"/>
    </row>
    <row r="3" spans="1:32" s="134" customFormat="1" ht="13.8" customHeight="1" thickTop="1" x14ac:dyDescent="0.25">
      <c r="A3" s="430" t="s">
        <v>0</v>
      </c>
      <c r="B3" s="446" t="s">
        <v>139</v>
      </c>
      <c r="C3" s="447"/>
      <c r="D3" s="447"/>
      <c r="E3" s="447"/>
      <c r="F3" s="447"/>
      <c r="G3" s="447"/>
      <c r="H3" s="447"/>
      <c r="I3" s="447"/>
      <c r="J3" s="498" t="s">
        <v>140</v>
      </c>
      <c r="K3" s="499"/>
      <c r="L3" s="499"/>
      <c r="M3" s="499"/>
      <c r="N3" s="4"/>
      <c r="O3" s="4"/>
    </row>
    <row r="4" spans="1:32" s="136" customFormat="1" ht="13.2" customHeight="1" x14ac:dyDescent="0.25">
      <c r="A4" s="431"/>
      <c r="B4" s="132" t="s">
        <v>45</v>
      </c>
      <c r="C4" s="132" t="s">
        <v>46</v>
      </c>
      <c r="D4" s="132" t="s">
        <v>47</v>
      </c>
      <c r="E4" s="132" t="s">
        <v>141</v>
      </c>
      <c r="F4" s="430" t="s">
        <v>142</v>
      </c>
      <c r="G4" s="439" t="s">
        <v>11</v>
      </c>
      <c r="H4" s="439" t="s">
        <v>143</v>
      </c>
      <c r="I4" s="457" t="s">
        <v>166</v>
      </c>
      <c r="J4" s="453" t="s">
        <v>295</v>
      </c>
      <c r="K4" s="430" t="s">
        <v>25</v>
      </c>
      <c r="L4" s="436" t="s">
        <v>12</v>
      </c>
      <c r="M4" s="439" t="s">
        <v>144</v>
      </c>
    </row>
    <row r="5" spans="1:32" x14ac:dyDescent="0.25">
      <c r="A5" s="445"/>
      <c r="B5" s="132" t="s">
        <v>145</v>
      </c>
      <c r="C5" s="132" t="s">
        <v>145</v>
      </c>
      <c r="D5" s="132" t="s">
        <v>145</v>
      </c>
      <c r="E5" s="132" t="s">
        <v>145</v>
      </c>
      <c r="F5" s="431"/>
      <c r="G5" s="440"/>
      <c r="H5" s="440"/>
      <c r="I5" s="458"/>
      <c r="J5" s="454"/>
      <c r="K5" s="431"/>
      <c r="L5" s="437"/>
      <c r="M5" s="440"/>
    </row>
    <row r="6" spans="1:32" s="14" customFormat="1" ht="33" customHeight="1" x14ac:dyDescent="0.25">
      <c r="A6" s="432"/>
      <c r="B6" s="133">
        <v>88.01</v>
      </c>
      <c r="C6" s="133">
        <v>132.91</v>
      </c>
      <c r="D6" s="133">
        <v>168.46</v>
      </c>
      <c r="E6" s="133">
        <v>40.380000000000003</v>
      </c>
      <c r="F6" s="432"/>
      <c r="G6" s="441"/>
      <c r="H6" s="441"/>
      <c r="I6" s="459"/>
      <c r="J6" s="456"/>
      <c r="K6" s="432"/>
      <c r="L6" s="438"/>
      <c r="M6" s="441"/>
    </row>
    <row r="7" spans="1:32" x14ac:dyDescent="0.25">
      <c r="A7" s="137"/>
      <c r="B7" s="138"/>
      <c r="C7" s="138"/>
      <c r="D7" s="138"/>
      <c r="E7" s="138"/>
      <c r="F7" s="139"/>
      <c r="G7" s="139"/>
      <c r="H7" s="139"/>
      <c r="I7" s="139"/>
      <c r="J7" s="139"/>
      <c r="K7" s="139"/>
      <c r="L7" s="139"/>
      <c r="M7" s="140"/>
      <c r="N7" s="14"/>
      <c r="O7" s="14"/>
      <c r="P7" s="125"/>
      <c r="Q7" s="125"/>
      <c r="R7" s="125"/>
      <c r="S7" s="125"/>
      <c r="T7" s="125"/>
      <c r="U7" s="125"/>
      <c r="V7" s="125"/>
      <c r="W7" s="125"/>
      <c r="X7" s="125"/>
      <c r="Y7" s="125"/>
      <c r="Z7" s="125"/>
      <c r="AA7" s="125"/>
      <c r="AB7" s="125"/>
      <c r="AC7" s="125"/>
      <c r="AD7" s="125"/>
      <c r="AE7" s="125"/>
      <c r="AF7" s="125"/>
    </row>
    <row r="8" spans="1:32" x14ac:dyDescent="0.25">
      <c r="A8" s="494" t="s">
        <v>158</v>
      </c>
      <c r="B8" s="495"/>
      <c r="C8" s="495"/>
      <c r="D8" s="495"/>
      <c r="E8" s="495"/>
      <c r="F8" s="495"/>
      <c r="G8" s="495"/>
      <c r="H8" s="495"/>
      <c r="I8" s="495"/>
      <c r="J8" s="495"/>
      <c r="K8" s="495"/>
      <c r="L8" s="495"/>
      <c r="M8" s="496"/>
      <c r="N8" s="14"/>
      <c r="O8" s="14"/>
      <c r="P8" s="125"/>
      <c r="Q8" s="125"/>
      <c r="R8" s="125"/>
      <c r="S8" s="125"/>
      <c r="T8" s="125"/>
      <c r="U8" s="125"/>
      <c r="V8" s="125"/>
      <c r="W8" s="125"/>
      <c r="X8" s="125"/>
      <c r="Y8" s="125"/>
      <c r="Z8" s="125"/>
      <c r="AA8" s="125"/>
      <c r="AB8" s="125"/>
      <c r="AC8" s="125"/>
      <c r="AD8" s="125"/>
      <c r="AE8" s="125"/>
      <c r="AF8" s="125"/>
    </row>
    <row r="9" spans="1:32" ht="26.4" x14ac:dyDescent="0.25">
      <c r="A9" s="141" t="s">
        <v>14</v>
      </c>
      <c r="B9" s="142">
        <v>10</v>
      </c>
      <c r="C9" s="142">
        <v>8</v>
      </c>
      <c r="D9" s="142">
        <v>3</v>
      </c>
      <c r="E9" s="142">
        <v>0</v>
      </c>
      <c r="F9" s="48">
        <f t="shared" ref="F9:F19" si="0">B9+C9+D9+E9</f>
        <v>21</v>
      </c>
      <c r="G9" s="90">
        <f>(B9*$B$6)+(C9*$C$6)+(D9*$D$6)+(E9*$E$6)</f>
        <v>2448.7600000000002</v>
      </c>
      <c r="H9" s="151">
        <v>0</v>
      </c>
      <c r="I9" s="150">
        <v>0</v>
      </c>
      <c r="J9" s="42">
        <v>1</v>
      </c>
      <c r="K9" s="48">
        <v>35</v>
      </c>
      <c r="L9" s="47">
        <f>F9*J9*K9</f>
        <v>735</v>
      </c>
      <c r="M9" s="151">
        <f>(G9+H9+I9)*J9*K9</f>
        <v>85706.6</v>
      </c>
      <c r="P9" s="125"/>
      <c r="Q9" s="125"/>
      <c r="R9" s="125"/>
      <c r="S9" s="125"/>
      <c r="T9" s="125"/>
      <c r="U9" s="125"/>
      <c r="V9" s="125"/>
      <c r="W9" s="125"/>
      <c r="X9" s="125"/>
      <c r="Y9" s="125"/>
      <c r="Z9" s="125"/>
      <c r="AA9" s="125"/>
      <c r="AB9" s="125"/>
      <c r="AC9" s="125"/>
      <c r="AD9" s="125"/>
      <c r="AE9" s="125"/>
      <c r="AF9" s="125"/>
    </row>
    <row r="10" spans="1:32" x14ac:dyDescent="0.25">
      <c r="A10" s="141" t="s">
        <v>150</v>
      </c>
      <c r="B10" s="142">
        <f>220/5</f>
        <v>44</v>
      </c>
      <c r="C10" s="142">
        <v>12</v>
      </c>
      <c r="D10" s="142">
        <v>0</v>
      </c>
      <c r="E10" s="142">
        <v>0</v>
      </c>
      <c r="F10" s="48">
        <f t="shared" si="0"/>
        <v>56</v>
      </c>
      <c r="G10" s="90">
        <f t="shared" ref="G10:G13" si="1">(B10*$B$6)+(C10*$C$6)+(D10*$D$6)+(E10*$E$6)</f>
        <v>5467.3600000000006</v>
      </c>
      <c r="H10" s="151">
        <v>0</v>
      </c>
      <c r="I10" s="150">
        <v>42.52</v>
      </c>
      <c r="J10" s="42">
        <v>1.9</v>
      </c>
      <c r="K10" s="48">
        <v>35</v>
      </c>
      <c r="L10" s="47">
        <f>F10*J10*K10</f>
        <v>3723.9999999999995</v>
      </c>
      <c r="M10" s="151">
        <f>(G10+H10+I10)*J10*K10</f>
        <v>366407.02</v>
      </c>
      <c r="P10" s="125"/>
      <c r="Q10" s="125"/>
      <c r="R10" s="125"/>
      <c r="S10" s="125"/>
      <c r="T10" s="125"/>
      <c r="U10" s="125"/>
      <c r="V10" s="125"/>
      <c r="W10" s="125"/>
      <c r="X10" s="125"/>
      <c r="Y10" s="125"/>
      <c r="Z10" s="125"/>
      <c r="AA10" s="125"/>
      <c r="AB10" s="125"/>
      <c r="AC10" s="125"/>
      <c r="AD10" s="125"/>
      <c r="AE10" s="125"/>
      <c r="AF10" s="125"/>
    </row>
    <row r="11" spans="1:32" ht="13.2" customHeight="1" x14ac:dyDescent="0.25">
      <c r="A11" s="141" t="s">
        <v>151</v>
      </c>
      <c r="B11" s="142">
        <f>60/5</f>
        <v>12</v>
      </c>
      <c r="C11" s="142">
        <v>4</v>
      </c>
      <c r="D11" s="142">
        <v>2</v>
      </c>
      <c r="E11" s="142">
        <v>5</v>
      </c>
      <c r="F11" s="48">
        <f t="shared" si="0"/>
        <v>23</v>
      </c>
      <c r="G11" s="90">
        <f t="shared" si="1"/>
        <v>2126.5800000000004</v>
      </c>
      <c r="H11" s="151">
        <v>0</v>
      </c>
      <c r="I11" s="150">
        <v>10.63</v>
      </c>
      <c r="J11" s="42">
        <v>1.9</v>
      </c>
      <c r="K11" s="48">
        <v>35</v>
      </c>
      <c r="L11" s="47">
        <f>F11*J11*K11</f>
        <v>1529.4999999999998</v>
      </c>
      <c r="M11" s="151">
        <f>(G11+H11+I11)*J11*K11</f>
        <v>142124.46500000003</v>
      </c>
      <c r="P11" s="125"/>
      <c r="Q11" s="125"/>
      <c r="R11" s="125"/>
      <c r="S11" s="125"/>
      <c r="T11" s="125"/>
      <c r="U11" s="125"/>
      <c r="V11" s="125"/>
      <c r="W11" s="125"/>
      <c r="X11" s="125"/>
      <c r="Y11" s="125"/>
      <c r="Z11" s="125"/>
      <c r="AA11" s="125"/>
      <c r="AB11" s="125"/>
      <c r="AC11" s="125"/>
      <c r="AD11" s="125"/>
      <c r="AE11" s="125"/>
      <c r="AF11" s="125"/>
    </row>
    <row r="12" spans="1:32" x14ac:dyDescent="0.25">
      <c r="A12" s="141" t="s">
        <v>152</v>
      </c>
      <c r="B12" s="142">
        <f>16/5</f>
        <v>3.2</v>
      </c>
      <c r="C12" s="142">
        <v>1.5</v>
      </c>
      <c r="D12" s="142">
        <v>1</v>
      </c>
      <c r="E12" s="142">
        <v>1</v>
      </c>
      <c r="F12" s="48">
        <f t="shared" si="0"/>
        <v>6.7</v>
      </c>
      <c r="G12" s="90">
        <f t="shared" si="1"/>
        <v>689.83699999999999</v>
      </c>
      <c r="H12" s="151">
        <v>0</v>
      </c>
      <c r="I12" s="150">
        <v>0</v>
      </c>
      <c r="J12" s="42">
        <v>1.9</v>
      </c>
      <c r="K12" s="48">
        <v>35</v>
      </c>
      <c r="L12" s="47">
        <f>F12*J12*K12</f>
        <v>445.55</v>
      </c>
      <c r="M12" s="151">
        <f>(G12+H12+I12)*J12*K12</f>
        <v>45874.160499999998</v>
      </c>
      <c r="Q12" s="143"/>
      <c r="R12" s="143"/>
      <c r="S12" s="143"/>
      <c r="T12" s="143"/>
      <c r="X12" s="125"/>
      <c r="Y12" s="125"/>
      <c r="Z12" s="125"/>
      <c r="AA12" s="125"/>
      <c r="AB12" s="125"/>
      <c r="AC12" s="125"/>
      <c r="AD12" s="125"/>
      <c r="AE12" s="125"/>
      <c r="AF12" s="125"/>
    </row>
    <row r="13" spans="1:32" x14ac:dyDescent="0.25">
      <c r="A13" s="141" t="s">
        <v>23</v>
      </c>
      <c r="B13" s="142">
        <v>1</v>
      </c>
      <c r="C13" s="142">
        <v>0</v>
      </c>
      <c r="D13" s="142">
        <v>0</v>
      </c>
      <c r="E13" s="142">
        <v>2</v>
      </c>
      <c r="F13" s="48">
        <f>B13+C13+D13+E13</f>
        <v>3</v>
      </c>
      <c r="G13" s="90">
        <f t="shared" si="1"/>
        <v>168.77</v>
      </c>
      <c r="H13" s="151">
        <v>0</v>
      </c>
      <c r="I13" s="151">
        <v>2.25</v>
      </c>
      <c r="J13" s="42">
        <v>1</v>
      </c>
      <c r="K13" s="48">
        <v>35</v>
      </c>
      <c r="L13" s="47">
        <f>F13*J13*K13</f>
        <v>105</v>
      </c>
      <c r="M13" s="151">
        <f>(G13+H13+I13)*J13*K13</f>
        <v>5985.7000000000007</v>
      </c>
      <c r="O13" s="125"/>
      <c r="Q13" s="143"/>
      <c r="R13" s="143"/>
      <c r="S13" s="143"/>
      <c r="T13" s="143"/>
      <c r="X13" s="125"/>
      <c r="Y13" s="125"/>
      <c r="Z13" s="125"/>
      <c r="AA13" s="125"/>
      <c r="AB13" s="125"/>
      <c r="AC13" s="125"/>
      <c r="AD13" s="125"/>
      <c r="AE13" s="125"/>
      <c r="AF13" s="125"/>
    </row>
    <row r="14" spans="1:32" ht="13.2" customHeight="1" x14ac:dyDescent="0.25">
      <c r="A14" s="494" t="s">
        <v>159</v>
      </c>
      <c r="B14" s="495"/>
      <c r="C14" s="495"/>
      <c r="D14" s="495"/>
      <c r="E14" s="495"/>
      <c r="F14" s="495"/>
      <c r="G14" s="495"/>
      <c r="H14" s="495"/>
      <c r="I14" s="495"/>
      <c r="J14" s="495"/>
      <c r="K14" s="495"/>
      <c r="L14" s="495"/>
      <c r="M14" s="496"/>
      <c r="O14" s="125"/>
      <c r="Q14" s="143"/>
      <c r="R14" s="143"/>
      <c r="S14" s="143"/>
      <c r="T14" s="143"/>
      <c r="X14" s="125"/>
      <c r="Y14" s="125"/>
      <c r="Z14" s="125"/>
      <c r="AA14" s="125"/>
      <c r="AB14" s="125"/>
      <c r="AC14" s="125"/>
      <c r="AD14" s="125"/>
      <c r="AE14" s="125"/>
      <c r="AF14" s="125"/>
    </row>
    <row r="15" spans="1:32" x14ac:dyDescent="0.25">
      <c r="A15" s="141" t="s">
        <v>153</v>
      </c>
      <c r="B15" s="142">
        <v>14</v>
      </c>
      <c r="C15" s="142">
        <v>6</v>
      </c>
      <c r="D15" s="142">
        <v>2</v>
      </c>
      <c r="E15" s="142">
        <v>0</v>
      </c>
      <c r="F15" s="48">
        <f t="shared" si="0"/>
        <v>22</v>
      </c>
      <c r="G15" s="90">
        <f t="shared" ref="G15:G21" si="2">(B15*$B$6)+(C15*$C$6)+(D15*$D$6)+(E15*$E$6)</f>
        <v>2366.52</v>
      </c>
      <c r="H15" s="151">
        <v>0</v>
      </c>
      <c r="I15" s="150">
        <v>0</v>
      </c>
      <c r="J15" s="42">
        <v>1</v>
      </c>
      <c r="K15" s="48">
        <v>6</v>
      </c>
      <c r="L15" s="47">
        <f t="shared" ref="L15:L21" si="3">F15*J15*K15</f>
        <v>132</v>
      </c>
      <c r="M15" s="151">
        <f t="shared" ref="M15:M21" si="4">(G15+H15+I15)*J15*K15</f>
        <v>14199.119999999999</v>
      </c>
      <c r="Q15" s="143"/>
      <c r="R15" s="143"/>
      <c r="S15" s="143"/>
      <c r="T15" s="143"/>
      <c r="V15" s="125"/>
      <c r="X15" s="125"/>
      <c r="Y15" s="125"/>
      <c r="Z15" s="125"/>
      <c r="AA15" s="125"/>
      <c r="AB15" s="125"/>
      <c r="AC15" s="125"/>
      <c r="AD15" s="125"/>
      <c r="AE15" s="125"/>
      <c r="AF15" s="125"/>
    </row>
    <row r="16" spans="1:32" x14ac:dyDescent="0.25">
      <c r="A16" s="141" t="s">
        <v>150</v>
      </c>
      <c r="B16" s="142">
        <f>120/5</f>
        <v>24</v>
      </c>
      <c r="C16" s="142">
        <v>5</v>
      </c>
      <c r="D16" s="142">
        <v>0</v>
      </c>
      <c r="E16" s="142">
        <v>0</v>
      </c>
      <c r="F16" s="48">
        <f t="shared" si="0"/>
        <v>29</v>
      </c>
      <c r="G16" s="90">
        <f t="shared" si="2"/>
        <v>2776.79</v>
      </c>
      <c r="H16" s="151">
        <v>0</v>
      </c>
      <c r="I16" s="150">
        <v>42.52</v>
      </c>
      <c r="J16" s="42">
        <v>4.0999999999999996</v>
      </c>
      <c r="K16" s="48">
        <v>6</v>
      </c>
      <c r="L16" s="47">
        <f t="shared" si="3"/>
        <v>713.4</v>
      </c>
      <c r="M16" s="151">
        <f t="shared" si="4"/>
        <v>69355.025999999983</v>
      </c>
      <c r="Q16" s="143"/>
      <c r="R16" s="143"/>
      <c r="S16" s="143"/>
      <c r="T16" s="143"/>
      <c r="V16" s="125"/>
      <c r="X16" s="125"/>
      <c r="Y16" s="125"/>
      <c r="Z16" s="125"/>
      <c r="AA16" s="125"/>
      <c r="AB16" s="125"/>
      <c r="AC16" s="125"/>
      <c r="AD16" s="125"/>
      <c r="AE16" s="125"/>
      <c r="AF16" s="125"/>
    </row>
    <row r="17" spans="1:32" ht="28.8" customHeight="1" x14ac:dyDescent="0.25">
      <c r="A17" s="141" t="s">
        <v>160</v>
      </c>
      <c r="B17" s="142">
        <f>40/5</f>
        <v>8</v>
      </c>
      <c r="C17" s="142">
        <v>5</v>
      </c>
      <c r="D17" s="142">
        <v>2</v>
      </c>
      <c r="E17" s="142">
        <v>3</v>
      </c>
      <c r="F17" s="48">
        <f t="shared" si="0"/>
        <v>18</v>
      </c>
      <c r="G17" s="90">
        <f t="shared" si="2"/>
        <v>1826.6900000000003</v>
      </c>
      <c r="H17" s="151">
        <v>0</v>
      </c>
      <c r="I17" s="150">
        <v>10.63</v>
      </c>
      <c r="J17" s="42">
        <v>4.0999999999999996</v>
      </c>
      <c r="K17" s="48">
        <v>6</v>
      </c>
      <c r="L17" s="47">
        <f t="shared" si="3"/>
        <v>442.79999999999995</v>
      </c>
      <c r="M17" s="151">
        <f t="shared" si="4"/>
        <v>45198.072</v>
      </c>
      <c r="P17" s="125"/>
      <c r="Q17" s="125"/>
      <c r="R17" s="125"/>
      <c r="S17" s="125"/>
      <c r="X17" s="125"/>
      <c r="Y17" s="125"/>
      <c r="Z17" s="125"/>
      <c r="AA17" s="125"/>
      <c r="AB17" s="125"/>
      <c r="AC17" s="125"/>
      <c r="AD17" s="125"/>
      <c r="AE17" s="125"/>
      <c r="AF17" s="125"/>
    </row>
    <row r="18" spans="1:32" ht="30" customHeight="1" x14ac:dyDescent="0.25">
      <c r="A18" s="141" t="s">
        <v>154</v>
      </c>
      <c r="B18" s="142">
        <f>15</f>
        <v>15</v>
      </c>
      <c r="C18" s="142">
        <v>7</v>
      </c>
      <c r="D18" s="142">
        <v>2</v>
      </c>
      <c r="E18" s="142">
        <v>2</v>
      </c>
      <c r="F18" s="48">
        <f t="shared" si="0"/>
        <v>26</v>
      </c>
      <c r="G18" s="90">
        <f t="shared" si="2"/>
        <v>2668.2000000000003</v>
      </c>
      <c r="H18" s="151">
        <v>0</v>
      </c>
      <c r="I18" s="150">
        <v>10.63</v>
      </c>
      <c r="J18" s="42">
        <v>6</v>
      </c>
      <c r="K18" s="48">
        <v>6</v>
      </c>
      <c r="L18" s="47">
        <f t="shared" si="3"/>
        <v>936</v>
      </c>
      <c r="M18" s="151">
        <f t="shared" si="4"/>
        <v>96437.880000000019</v>
      </c>
      <c r="P18" s="125"/>
      <c r="Q18" s="125"/>
      <c r="S18" s="125"/>
      <c r="T18" s="125"/>
      <c r="U18" s="125"/>
      <c r="V18" s="125"/>
      <c r="W18" s="125"/>
      <c r="X18" s="125"/>
      <c r="Y18" s="125"/>
      <c r="Z18" s="125"/>
      <c r="AA18" s="125"/>
      <c r="AB18" s="125"/>
      <c r="AC18" s="125"/>
      <c r="AD18" s="125"/>
      <c r="AE18" s="125"/>
      <c r="AF18" s="125"/>
    </row>
    <row r="19" spans="1:32" x14ac:dyDescent="0.25">
      <c r="A19" s="141" t="s">
        <v>155</v>
      </c>
      <c r="B19" s="142">
        <v>2</v>
      </c>
      <c r="C19" s="142">
        <v>2</v>
      </c>
      <c r="D19" s="142">
        <v>0</v>
      </c>
      <c r="E19" s="142">
        <v>40</v>
      </c>
      <c r="F19" s="48">
        <f t="shared" si="0"/>
        <v>44</v>
      </c>
      <c r="G19" s="90">
        <f t="shared" si="2"/>
        <v>2057.04</v>
      </c>
      <c r="H19" s="151">
        <v>0</v>
      </c>
      <c r="I19" s="150">
        <v>2.25</v>
      </c>
      <c r="J19" s="42">
        <v>4.0999999999999996</v>
      </c>
      <c r="K19" s="48">
        <v>6</v>
      </c>
      <c r="L19" s="47">
        <f t="shared" si="3"/>
        <v>1082.3999999999999</v>
      </c>
      <c r="M19" s="151">
        <f t="shared" si="4"/>
        <v>50658.534</v>
      </c>
      <c r="P19" s="125"/>
      <c r="Q19" s="125"/>
      <c r="R19" s="125"/>
      <c r="S19" s="125"/>
      <c r="T19" s="125"/>
      <c r="U19" s="125"/>
      <c r="V19" s="125"/>
      <c r="W19" s="125"/>
      <c r="X19" s="125"/>
      <c r="Y19" s="125"/>
      <c r="Z19" s="125"/>
      <c r="AA19" s="125"/>
      <c r="AB19" s="125"/>
      <c r="AC19" s="125"/>
      <c r="AD19" s="125"/>
      <c r="AE19" s="125"/>
      <c r="AF19" s="125"/>
    </row>
    <row r="20" spans="1:32" x14ac:dyDescent="0.25">
      <c r="A20" s="494" t="s">
        <v>23</v>
      </c>
      <c r="B20" s="495"/>
      <c r="C20" s="495"/>
      <c r="D20" s="495"/>
      <c r="E20" s="495"/>
      <c r="F20" s="495"/>
      <c r="G20" s="495"/>
      <c r="H20" s="495"/>
      <c r="I20" s="495"/>
      <c r="J20" s="495"/>
      <c r="K20" s="495"/>
      <c r="L20" s="495"/>
      <c r="M20" s="496"/>
      <c r="O20" s="125"/>
      <c r="P20" s="125"/>
      <c r="Q20" s="125"/>
      <c r="R20" s="125"/>
      <c r="S20" s="125"/>
      <c r="T20" s="125"/>
      <c r="U20" s="125"/>
      <c r="V20" s="125"/>
      <c r="W20" s="125"/>
      <c r="X20" s="125"/>
      <c r="Y20" s="125"/>
      <c r="Z20" s="125"/>
      <c r="AA20" s="125"/>
      <c r="AB20" s="125"/>
      <c r="AC20" s="125"/>
      <c r="AD20" s="125"/>
      <c r="AE20" s="125"/>
      <c r="AF20" s="125"/>
    </row>
    <row r="21" spans="1:32" x14ac:dyDescent="0.25">
      <c r="A21" s="141" t="s">
        <v>23</v>
      </c>
      <c r="B21" s="142">
        <v>1</v>
      </c>
      <c r="C21" s="142">
        <v>0</v>
      </c>
      <c r="D21" s="142">
        <v>0</v>
      </c>
      <c r="E21" s="142">
        <v>2</v>
      </c>
      <c r="F21" s="48">
        <f>B21+C21+D21+E21</f>
        <v>3</v>
      </c>
      <c r="G21" s="90">
        <f t="shared" si="2"/>
        <v>168.77</v>
      </c>
      <c r="H21" s="151">
        <v>0</v>
      </c>
      <c r="I21" s="150">
        <v>2.25</v>
      </c>
      <c r="J21" s="42">
        <v>1</v>
      </c>
      <c r="K21" s="48">
        <v>6</v>
      </c>
      <c r="L21" s="47">
        <f t="shared" si="3"/>
        <v>18</v>
      </c>
      <c r="M21" s="151">
        <f t="shared" si="4"/>
        <v>1026.1200000000001</v>
      </c>
      <c r="O21" s="125"/>
      <c r="Q21" s="125"/>
      <c r="R21" s="125"/>
      <c r="S21" s="125"/>
      <c r="T21" s="125"/>
      <c r="U21" s="125"/>
      <c r="V21" s="125"/>
      <c r="W21" s="125"/>
      <c r="X21" s="125"/>
      <c r="Y21" s="125"/>
      <c r="Z21" s="125"/>
      <c r="AA21" s="125"/>
      <c r="AB21" s="125"/>
      <c r="AC21" s="125"/>
      <c r="AD21" s="125"/>
      <c r="AE21" s="125"/>
      <c r="AF21" s="125"/>
    </row>
    <row r="22" spans="1:32" x14ac:dyDescent="0.25">
      <c r="A22" s="147" t="s">
        <v>20</v>
      </c>
      <c r="B22" s="148">
        <f t="shared" ref="B22:I22" si="5">SUM(B9:B21)</f>
        <v>134.19999999999999</v>
      </c>
      <c r="C22" s="148">
        <f t="shared" si="5"/>
        <v>50.5</v>
      </c>
      <c r="D22" s="148">
        <f t="shared" si="5"/>
        <v>12</v>
      </c>
      <c r="E22" s="148">
        <f t="shared" si="5"/>
        <v>55</v>
      </c>
      <c r="F22" s="148">
        <f t="shared" si="5"/>
        <v>251.7</v>
      </c>
      <c r="G22" s="149">
        <f t="shared" si="5"/>
        <v>22765.317000000003</v>
      </c>
      <c r="H22" s="148">
        <f t="shared" si="5"/>
        <v>0</v>
      </c>
      <c r="I22" s="149">
        <f t="shared" si="5"/>
        <v>123.68</v>
      </c>
      <c r="J22" s="148" t="s">
        <v>4</v>
      </c>
      <c r="K22" s="148" t="s">
        <v>6</v>
      </c>
      <c r="L22" s="148" t="s">
        <v>6</v>
      </c>
      <c r="M22" s="149" t="s">
        <v>6</v>
      </c>
      <c r="O22" s="125"/>
      <c r="Q22" s="125"/>
      <c r="R22" s="125"/>
      <c r="S22" s="125"/>
      <c r="T22" s="125"/>
      <c r="U22" s="125"/>
      <c r="V22" s="125"/>
      <c r="W22" s="125"/>
      <c r="X22" s="125"/>
      <c r="Y22" s="125"/>
      <c r="Z22" s="125"/>
      <c r="AA22" s="125"/>
      <c r="AB22" s="125"/>
      <c r="AC22" s="125"/>
      <c r="AD22" s="125"/>
      <c r="AE22" s="125"/>
      <c r="AF22" s="125"/>
    </row>
    <row r="23" spans="1:32" x14ac:dyDescent="0.25">
      <c r="A23" s="145" t="s">
        <v>156</v>
      </c>
      <c r="B23" s="146" t="s">
        <v>6</v>
      </c>
      <c r="C23" s="146" t="s">
        <v>6</v>
      </c>
      <c r="D23" s="146" t="s">
        <v>6</v>
      </c>
      <c r="E23" s="146" t="s">
        <v>6</v>
      </c>
      <c r="F23" s="146" t="s">
        <v>6</v>
      </c>
      <c r="G23" s="152">
        <f>SUMPRODUCT(G9:G21,J9:J21,K9:K21)</f>
        <v>917600.45250000013</v>
      </c>
      <c r="H23" s="152">
        <v>0</v>
      </c>
      <c r="I23" s="152">
        <f>SUMPRODUCT(I9:I21,J9:J21,K9:K21)</f>
        <v>5372.2449999999999</v>
      </c>
      <c r="J23" s="152" t="s">
        <v>4</v>
      </c>
      <c r="K23" s="152">
        <v>29</v>
      </c>
      <c r="L23" s="302">
        <f>SUM(L9:L21)</f>
        <v>9863.65</v>
      </c>
      <c r="M23" s="152">
        <f>SUM(M9:M21)</f>
        <v>922972.69749999989</v>
      </c>
      <c r="O23" s="125"/>
      <c r="P23" s="125"/>
      <c r="R23" s="125"/>
      <c r="S23" s="125"/>
      <c r="T23" s="125"/>
      <c r="U23" s="125"/>
      <c r="V23" s="125"/>
      <c r="W23" s="125"/>
      <c r="X23" s="125"/>
      <c r="Y23" s="125"/>
      <c r="Z23" s="125"/>
      <c r="AA23" s="125"/>
      <c r="AB23" s="125"/>
      <c r="AC23" s="125"/>
      <c r="AD23" s="125"/>
      <c r="AE23" s="125"/>
      <c r="AF23" s="125"/>
    </row>
    <row r="24" spans="1:32" s="14" customFormat="1" x14ac:dyDescent="0.25">
      <c r="A24" s="38"/>
      <c r="B24" s="4"/>
      <c r="C24" s="4"/>
      <c r="D24" s="4"/>
      <c r="E24" s="4"/>
      <c r="F24" s="4"/>
      <c r="G24" s="4"/>
      <c r="H24" s="4"/>
      <c r="I24" s="4"/>
      <c r="J24" s="4"/>
      <c r="K24" s="4"/>
      <c r="L24" s="4"/>
      <c r="M24" s="4"/>
      <c r="N24" s="4"/>
      <c r="O24" s="125"/>
      <c r="P24" s="125"/>
      <c r="Q24" s="125"/>
      <c r="R24" s="125"/>
      <c r="S24" s="125"/>
      <c r="T24" s="125"/>
      <c r="U24" s="125"/>
      <c r="V24" s="125"/>
      <c r="W24" s="125"/>
      <c r="X24" s="125"/>
      <c r="Y24" s="125"/>
      <c r="Z24" s="125"/>
      <c r="AA24" s="125"/>
      <c r="AB24" s="125"/>
      <c r="AC24" s="125"/>
      <c r="AD24" s="125"/>
      <c r="AE24" s="125"/>
      <c r="AF24" s="125"/>
    </row>
    <row r="25" spans="1:32" x14ac:dyDescent="0.25">
      <c r="L25" s="144"/>
      <c r="M25" s="144"/>
      <c r="O25" s="125"/>
      <c r="P25" s="125"/>
      <c r="Q25" s="125"/>
      <c r="R25" s="125"/>
      <c r="S25" s="125"/>
      <c r="T25" s="125"/>
      <c r="U25" s="125"/>
      <c r="V25" s="125"/>
      <c r="W25" s="125"/>
      <c r="X25" s="125"/>
      <c r="Y25" s="125"/>
      <c r="Z25" s="125"/>
      <c r="AA25" s="125"/>
      <c r="AB25" s="125"/>
      <c r="AC25" s="125"/>
      <c r="AD25" s="125"/>
      <c r="AE25" s="125"/>
      <c r="AF25" s="125"/>
    </row>
    <row r="26" spans="1:32" x14ac:dyDescent="0.25">
      <c r="L26" s="144"/>
      <c r="O26" s="125"/>
      <c r="P26" s="125"/>
      <c r="Q26" s="125"/>
      <c r="R26" s="125"/>
      <c r="S26" s="125"/>
      <c r="T26" s="125"/>
      <c r="U26" s="125"/>
      <c r="V26" s="125"/>
      <c r="W26" s="125"/>
      <c r="X26" s="125"/>
      <c r="Y26" s="125"/>
      <c r="Z26" s="125"/>
      <c r="AA26" s="125"/>
      <c r="AB26" s="125"/>
      <c r="AC26" s="125"/>
      <c r="AD26" s="125"/>
      <c r="AE26" s="125"/>
      <c r="AF26" s="125"/>
    </row>
    <row r="27" spans="1:32" x14ac:dyDescent="0.25">
      <c r="O27" s="125"/>
      <c r="P27" s="125"/>
      <c r="Q27" s="125"/>
      <c r="R27" s="125"/>
      <c r="S27" s="125"/>
      <c r="T27" s="125"/>
      <c r="U27" s="125"/>
      <c r="V27" s="125"/>
      <c r="W27" s="125"/>
      <c r="X27" s="125"/>
      <c r="Y27" s="125"/>
      <c r="Z27" s="125"/>
      <c r="AA27" s="125"/>
      <c r="AB27" s="125"/>
      <c r="AC27" s="125"/>
      <c r="AD27" s="125"/>
      <c r="AE27" s="125"/>
      <c r="AF27" s="125"/>
    </row>
    <row r="28" spans="1:32" x14ac:dyDescent="0.25">
      <c r="L28" s="144"/>
      <c r="N28" s="14"/>
      <c r="O28" s="125"/>
      <c r="P28" s="125"/>
      <c r="Q28" s="125"/>
      <c r="R28" s="125"/>
      <c r="S28" s="125"/>
      <c r="T28" s="125"/>
      <c r="U28" s="125"/>
      <c r="V28" s="125"/>
      <c r="W28" s="125"/>
      <c r="X28" s="125"/>
      <c r="Y28" s="125"/>
      <c r="Z28" s="125"/>
      <c r="AA28" s="125"/>
      <c r="AB28" s="125"/>
      <c r="AC28" s="125"/>
      <c r="AD28" s="125"/>
      <c r="AE28" s="125"/>
      <c r="AF28" s="125"/>
    </row>
    <row r="29" spans="1:32" x14ac:dyDescent="0.25">
      <c r="O29" s="125"/>
    </row>
    <row r="30" spans="1:32" x14ac:dyDescent="0.25">
      <c r="O30" s="125"/>
    </row>
    <row r="31" spans="1:32" x14ac:dyDescent="0.25">
      <c r="I31" s="134"/>
      <c r="J31" s="134"/>
      <c r="K31" s="134"/>
      <c r="L31" s="134"/>
      <c r="M31" s="134"/>
      <c r="O31" s="125"/>
    </row>
    <row r="32" spans="1:32" x14ac:dyDescent="0.25">
      <c r="I32" s="134"/>
      <c r="J32" s="134"/>
      <c r="K32" s="134"/>
      <c r="L32" s="134"/>
      <c r="M32" s="134"/>
      <c r="O32" s="125"/>
    </row>
    <row r="33" spans="9:13" x14ac:dyDescent="0.25">
      <c r="I33" s="134"/>
      <c r="J33" s="134"/>
      <c r="K33" s="134"/>
      <c r="L33" s="134"/>
      <c r="M33" s="134"/>
    </row>
    <row r="34" spans="9:13" x14ac:dyDescent="0.25">
      <c r="I34" s="134"/>
      <c r="J34" s="134"/>
      <c r="K34" s="134"/>
      <c r="L34" s="134"/>
      <c r="M34" s="134"/>
    </row>
    <row r="35" spans="9:13" x14ac:dyDescent="0.25">
      <c r="I35" s="134"/>
      <c r="J35" s="134"/>
      <c r="K35" s="134"/>
      <c r="L35" s="134"/>
      <c r="M35" s="134"/>
    </row>
    <row r="36" spans="9:13" x14ac:dyDescent="0.25">
      <c r="I36" s="134"/>
      <c r="J36" s="134"/>
      <c r="K36" s="134"/>
      <c r="L36" s="134"/>
      <c r="M36" s="134"/>
    </row>
    <row r="37" spans="9:13" x14ac:dyDescent="0.25">
      <c r="I37" s="134"/>
      <c r="J37" s="134"/>
      <c r="K37" s="134"/>
      <c r="L37" s="134"/>
      <c r="M37" s="134"/>
    </row>
    <row r="38" spans="9:13" x14ac:dyDescent="0.25">
      <c r="I38" s="134"/>
      <c r="J38" s="134"/>
      <c r="K38" s="134"/>
      <c r="L38" s="134"/>
      <c r="M38" s="134"/>
    </row>
    <row r="39" spans="9:13" x14ac:dyDescent="0.25">
      <c r="I39" s="134"/>
      <c r="J39" s="134"/>
      <c r="K39" s="134"/>
      <c r="L39" s="134"/>
      <c r="M39" s="134"/>
    </row>
    <row r="55" spans="11:11" x14ac:dyDescent="0.25">
      <c r="K55" s="4">
        <f>11/40</f>
        <v>0.27500000000000002</v>
      </c>
    </row>
  </sheetData>
  <mergeCells count="16">
    <mergeCell ref="A20:M20"/>
    <mergeCell ref="A14:M14"/>
    <mergeCell ref="A8:M8"/>
    <mergeCell ref="J4:J6"/>
    <mergeCell ref="A1:M1"/>
    <mergeCell ref="A3:A6"/>
    <mergeCell ref="F4:F6"/>
    <mergeCell ref="G4:G6"/>
    <mergeCell ref="H4:H6"/>
    <mergeCell ref="I4:I6"/>
    <mergeCell ref="B3:I3"/>
    <mergeCell ref="J3:M3"/>
    <mergeCell ref="K4:K6"/>
    <mergeCell ref="L4:L6"/>
    <mergeCell ref="M4:M6"/>
    <mergeCell ref="A2:M2"/>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
  <sheetViews>
    <sheetView zoomScaleNormal="100" workbookViewId="0">
      <selection sqref="A1:M1"/>
    </sheetView>
  </sheetViews>
  <sheetFormatPr defaultRowHeight="10.199999999999999" x14ac:dyDescent="0.2"/>
  <cols>
    <col min="1" max="1" width="22" style="393" customWidth="1"/>
    <col min="2" max="2" width="9.88671875" style="393" hidden="1" customWidth="1"/>
    <col min="3" max="3" width="11" style="393" hidden="1" customWidth="1"/>
    <col min="4" max="4" width="10" style="393" hidden="1" customWidth="1"/>
    <col min="5" max="6" width="0" style="393" hidden="1" customWidth="1"/>
    <col min="7" max="7" width="12.88671875" style="393" bestFit="1" customWidth="1"/>
    <col min="8" max="8" width="7.88671875" style="393" bestFit="1" customWidth="1"/>
    <col min="9" max="9" width="13.6640625" style="393" customWidth="1"/>
    <col min="10" max="10" width="14.109375" style="393" bestFit="1" customWidth="1"/>
    <col min="11" max="11" width="11.5546875" style="393" customWidth="1"/>
    <col min="12" max="12" width="8.88671875" style="393"/>
    <col min="13" max="13" width="13.88671875" style="393" bestFit="1" customWidth="1"/>
    <col min="14" max="14" width="8.88671875" style="393"/>
    <col min="15" max="16" width="8.88671875" style="396"/>
    <col min="17" max="253" width="8.88671875" style="393"/>
    <col min="254" max="254" width="22" style="393" customWidth="1"/>
    <col min="255" max="255" width="9.88671875" style="393" customWidth="1"/>
    <col min="256" max="256" width="11" style="393" bestFit="1" customWidth="1"/>
    <col min="257" max="257" width="10" style="393" customWidth="1"/>
    <col min="258" max="259" width="8.88671875" style="393"/>
    <col min="260" max="260" width="12.88671875" style="393" bestFit="1" customWidth="1"/>
    <col min="261" max="261" width="7.88671875" style="393" bestFit="1" customWidth="1"/>
    <col min="262" max="263" width="13.6640625" style="393" customWidth="1"/>
    <col min="264" max="264" width="14.109375" style="393" bestFit="1" customWidth="1"/>
    <col min="265" max="265" width="8.88671875" style="393" customWidth="1"/>
    <col min="266" max="266" width="12.88671875" style="393" customWidth="1"/>
    <col min="267" max="267" width="9.44140625" style="393" customWidth="1"/>
    <col min="268" max="268" width="8.88671875" style="393"/>
    <col min="269" max="269" width="13.88671875" style="393" bestFit="1" customWidth="1"/>
    <col min="270" max="509" width="8.88671875" style="393"/>
    <col min="510" max="510" width="22" style="393" customWidth="1"/>
    <col min="511" max="511" width="9.88671875" style="393" customWidth="1"/>
    <col min="512" max="512" width="11" style="393" bestFit="1" customWidth="1"/>
    <col min="513" max="513" width="10" style="393" customWidth="1"/>
    <col min="514" max="515" width="8.88671875" style="393"/>
    <col min="516" max="516" width="12.88671875" style="393" bestFit="1" customWidth="1"/>
    <col min="517" max="517" width="7.88671875" style="393" bestFit="1" customWidth="1"/>
    <col min="518" max="519" width="13.6640625" style="393" customWidth="1"/>
    <col min="520" max="520" width="14.109375" style="393" bestFit="1" customWidth="1"/>
    <col min="521" max="521" width="8.88671875" style="393" customWidth="1"/>
    <col min="522" max="522" width="12.88671875" style="393" customWidth="1"/>
    <col min="523" max="523" width="9.44140625" style="393" customWidth="1"/>
    <col min="524" max="524" width="8.88671875" style="393"/>
    <col min="525" max="525" width="13.88671875" style="393" bestFit="1" customWidth="1"/>
    <col min="526" max="765" width="8.88671875" style="393"/>
    <col min="766" max="766" width="22" style="393" customWidth="1"/>
    <col min="767" max="767" width="9.88671875" style="393" customWidth="1"/>
    <col min="768" max="768" width="11" style="393" bestFit="1" customWidth="1"/>
    <col min="769" max="769" width="10" style="393" customWidth="1"/>
    <col min="770" max="771" width="8.88671875" style="393"/>
    <col min="772" max="772" width="12.88671875" style="393" bestFit="1" customWidth="1"/>
    <col min="773" max="773" width="7.88671875" style="393" bestFit="1" customWidth="1"/>
    <col min="774" max="775" width="13.6640625" style="393" customWidth="1"/>
    <col min="776" max="776" width="14.109375" style="393" bestFit="1" customWidth="1"/>
    <col min="777" max="777" width="8.88671875" style="393" customWidth="1"/>
    <col min="778" max="778" width="12.88671875" style="393" customWidth="1"/>
    <col min="779" max="779" width="9.44140625" style="393" customWidth="1"/>
    <col min="780" max="780" width="8.88671875" style="393"/>
    <col min="781" max="781" width="13.88671875" style="393" bestFit="1" customWidth="1"/>
    <col min="782" max="1021" width="8.88671875" style="393"/>
    <col min="1022" max="1022" width="22" style="393" customWidth="1"/>
    <col min="1023" max="1023" width="9.88671875" style="393" customWidth="1"/>
    <col min="1024" max="1024" width="11" style="393" bestFit="1" customWidth="1"/>
    <col min="1025" max="1025" width="10" style="393" customWidth="1"/>
    <col min="1026" max="1027" width="8.88671875" style="393"/>
    <col min="1028" max="1028" width="12.88671875" style="393" bestFit="1" customWidth="1"/>
    <col min="1029" max="1029" width="7.88671875" style="393" bestFit="1" customWidth="1"/>
    <col min="1030" max="1031" width="13.6640625" style="393" customWidth="1"/>
    <col min="1032" max="1032" width="14.109375" style="393" bestFit="1" customWidth="1"/>
    <col min="1033" max="1033" width="8.88671875" style="393" customWidth="1"/>
    <col min="1034" max="1034" width="12.88671875" style="393" customWidth="1"/>
    <col min="1035" max="1035" width="9.44140625" style="393" customWidth="1"/>
    <col min="1036" max="1036" width="8.88671875" style="393"/>
    <col min="1037" max="1037" width="13.88671875" style="393" bestFit="1" customWidth="1"/>
    <col min="1038" max="1277" width="8.88671875" style="393"/>
    <col min="1278" max="1278" width="22" style="393" customWidth="1"/>
    <col min="1279" max="1279" width="9.88671875" style="393" customWidth="1"/>
    <col min="1280" max="1280" width="11" style="393" bestFit="1" customWidth="1"/>
    <col min="1281" max="1281" width="10" style="393" customWidth="1"/>
    <col min="1282" max="1283" width="8.88671875" style="393"/>
    <col min="1284" max="1284" width="12.88671875" style="393" bestFit="1" customWidth="1"/>
    <col min="1285" max="1285" width="7.88671875" style="393" bestFit="1" customWidth="1"/>
    <col min="1286" max="1287" width="13.6640625" style="393" customWidth="1"/>
    <col min="1288" max="1288" width="14.109375" style="393" bestFit="1" customWidth="1"/>
    <col min="1289" max="1289" width="8.88671875" style="393" customWidth="1"/>
    <col min="1290" max="1290" width="12.88671875" style="393" customWidth="1"/>
    <col min="1291" max="1291" width="9.44140625" style="393" customWidth="1"/>
    <col min="1292" max="1292" width="8.88671875" style="393"/>
    <col min="1293" max="1293" width="13.88671875" style="393" bestFit="1" customWidth="1"/>
    <col min="1294" max="1533" width="8.88671875" style="393"/>
    <col min="1534" max="1534" width="22" style="393" customWidth="1"/>
    <col min="1535" max="1535" width="9.88671875" style="393" customWidth="1"/>
    <col min="1536" max="1536" width="11" style="393" bestFit="1" customWidth="1"/>
    <col min="1537" max="1537" width="10" style="393" customWidth="1"/>
    <col min="1538" max="1539" width="8.88671875" style="393"/>
    <col min="1540" max="1540" width="12.88671875" style="393" bestFit="1" customWidth="1"/>
    <col min="1541" max="1541" width="7.88671875" style="393" bestFit="1" customWidth="1"/>
    <col min="1542" max="1543" width="13.6640625" style="393" customWidth="1"/>
    <col min="1544" max="1544" width="14.109375" style="393" bestFit="1" customWidth="1"/>
    <col min="1545" max="1545" width="8.88671875" style="393" customWidth="1"/>
    <col min="1546" max="1546" width="12.88671875" style="393" customWidth="1"/>
    <col min="1547" max="1547" width="9.44140625" style="393" customWidth="1"/>
    <col min="1548" max="1548" width="8.88671875" style="393"/>
    <col min="1549" max="1549" width="13.88671875" style="393" bestFit="1" customWidth="1"/>
    <col min="1550" max="1789" width="8.88671875" style="393"/>
    <col min="1790" max="1790" width="22" style="393" customWidth="1"/>
    <col min="1791" max="1791" width="9.88671875" style="393" customWidth="1"/>
    <col min="1792" max="1792" width="11" style="393" bestFit="1" customWidth="1"/>
    <col min="1793" max="1793" width="10" style="393" customWidth="1"/>
    <col min="1794" max="1795" width="8.88671875" style="393"/>
    <col min="1796" max="1796" width="12.88671875" style="393" bestFit="1" customWidth="1"/>
    <col min="1797" max="1797" width="7.88671875" style="393" bestFit="1" customWidth="1"/>
    <col min="1798" max="1799" width="13.6640625" style="393" customWidth="1"/>
    <col min="1800" max="1800" width="14.109375" style="393" bestFit="1" customWidth="1"/>
    <col min="1801" max="1801" width="8.88671875" style="393" customWidth="1"/>
    <col min="1802" max="1802" width="12.88671875" style="393" customWidth="1"/>
    <col min="1803" max="1803" width="9.44140625" style="393" customWidth="1"/>
    <col min="1804" max="1804" width="8.88671875" style="393"/>
    <col min="1805" max="1805" width="13.88671875" style="393" bestFit="1" customWidth="1"/>
    <col min="1806" max="2045" width="8.88671875" style="393"/>
    <col min="2046" max="2046" width="22" style="393" customWidth="1"/>
    <col min="2047" max="2047" width="9.88671875" style="393" customWidth="1"/>
    <col min="2048" max="2048" width="11" style="393" bestFit="1" customWidth="1"/>
    <col min="2049" max="2049" width="10" style="393" customWidth="1"/>
    <col min="2050" max="2051" width="8.88671875" style="393"/>
    <col min="2052" max="2052" width="12.88671875" style="393" bestFit="1" customWidth="1"/>
    <col min="2053" max="2053" width="7.88671875" style="393" bestFit="1" customWidth="1"/>
    <col min="2054" max="2055" width="13.6640625" style="393" customWidth="1"/>
    <col min="2056" max="2056" width="14.109375" style="393" bestFit="1" customWidth="1"/>
    <col min="2057" max="2057" width="8.88671875" style="393" customWidth="1"/>
    <col min="2058" max="2058" width="12.88671875" style="393" customWidth="1"/>
    <col min="2059" max="2059" width="9.44140625" style="393" customWidth="1"/>
    <col min="2060" max="2060" width="8.88671875" style="393"/>
    <col min="2061" max="2061" width="13.88671875" style="393" bestFit="1" customWidth="1"/>
    <col min="2062" max="2301" width="8.88671875" style="393"/>
    <col min="2302" max="2302" width="22" style="393" customWidth="1"/>
    <col min="2303" max="2303" width="9.88671875" style="393" customWidth="1"/>
    <col min="2304" max="2304" width="11" style="393" bestFit="1" customWidth="1"/>
    <col min="2305" max="2305" width="10" style="393" customWidth="1"/>
    <col min="2306" max="2307" width="8.88671875" style="393"/>
    <col min="2308" max="2308" width="12.88671875" style="393" bestFit="1" customWidth="1"/>
    <col min="2309" max="2309" width="7.88671875" style="393" bestFit="1" customWidth="1"/>
    <col min="2310" max="2311" width="13.6640625" style="393" customWidth="1"/>
    <col min="2312" max="2312" width="14.109375" style="393" bestFit="1" customWidth="1"/>
    <col min="2313" max="2313" width="8.88671875" style="393" customWidth="1"/>
    <col min="2314" max="2314" width="12.88671875" style="393" customWidth="1"/>
    <col min="2315" max="2315" width="9.44140625" style="393" customWidth="1"/>
    <col min="2316" max="2316" width="8.88671875" style="393"/>
    <col min="2317" max="2317" width="13.88671875" style="393" bestFit="1" customWidth="1"/>
    <col min="2318" max="2557" width="8.88671875" style="393"/>
    <col min="2558" max="2558" width="22" style="393" customWidth="1"/>
    <col min="2559" max="2559" width="9.88671875" style="393" customWidth="1"/>
    <col min="2560" max="2560" width="11" style="393" bestFit="1" customWidth="1"/>
    <col min="2561" max="2561" width="10" style="393" customWidth="1"/>
    <col min="2562" max="2563" width="8.88671875" style="393"/>
    <col min="2564" max="2564" width="12.88671875" style="393" bestFit="1" customWidth="1"/>
    <col min="2565" max="2565" width="7.88671875" style="393" bestFit="1" customWidth="1"/>
    <col min="2566" max="2567" width="13.6640625" style="393" customWidth="1"/>
    <col min="2568" max="2568" width="14.109375" style="393" bestFit="1" customWidth="1"/>
    <col min="2569" max="2569" width="8.88671875" style="393" customWidth="1"/>
    <col min="2570" max="2570" width="12.88671875" style="393" customWidth="1"/>
    <col min="2571" max="2571" width="9.44140625" style="393" customWidth="1"/>
    <col min="2572" max="2572" width="8.88671875" style="393"/>
    <col min="2573" max="2573" width="13.88671875" style="393" bestFit="1" customWidth="1"/>
    <col min="2574" max="2813" width="8.88671875" style="393"/>
    <col min="2814" max="2814" width="22" style="393" customWidth="1"/>
    <col min="2815" max="2815" width="9.88671875" style="393" customWidth="1"/>
    <col min="2816" max="2816" width="11" style="393" bestFit="1" customWidth="1"/>
    <col min="2817" max="2817" width="10" style="393" customWidth="1"/>
    <col min="2818" max="2819" width="8.88671875" style="393"/>
    <col min="2820" max="2820" width="12.88671875" style="393" bestFit="1" customWidth="1"/>
    <col min="2821" max="2821" width="7.88671875" style="393" bestFit="1" customWidth="1"/>
    <col min="2822" max="2823" width="13.6640625" style="393" customWidth="1"/>
    <col min="2824" max="2824" width="14.109375" style="393" bestFit="1" customWidth="1"/>
    <col min="2825" max="2825" width="8.88671875" style="393" customWidth="1"/>
    <col min="2826" max="2826" width="12.88671875" style="393" customWidth="1"/>
    <col min="2827" max="2827" width="9.44140625" style="393" customWidth="1"/>
    <col min="2828" max="2828" width="8.88671875" style="393"/>
    <col min="2829" max="2829" width="13.88671875" style="393" bestFit="1" customWidth="1"/>
    <col min="2830" max="3069" width="8.88671875" style="393"/>
    <col min="3070" max="3070" width="22" style="393" customWidth="1"/>
    <col min="3071" max="3071" width="9.88671875" style="393" customWidth="1"/>
    <col min="3072" max="3072" width="11" style="393" bestFit="1" customWidth="1"/>
    <col min="3073" max="3073" width="10" style="393" customWidth="1"/>
    <col min="3074" max="3075" width="8.88671875" style="393"/>
    <col min="3076" max="3076" width="12.88671875" style="393" bestFit="1" customWidth="1"/>
    <col min="3077" max="3077" width="7.88671875" style="393" bestFit="1" customWidth="1"/>
    <col min="3078" max="3079" width="13.6640625" style="393" customWidth="1"/>
    <col min="3080" max="3080" width="14.109375" style="393" bestFit="1" customWidth="1"/>
    <col min="3081" max="3081" width="8.88671875" style="393" customWidth="1"/>
    <col min="3082" max="3082" width="12.88671875" style="393" customWidth="1"/>
    <col min="3083" max="3083" width="9.44140625" style="393" customWidth="1"/>
    <col min="3084" max="3084" width="8.88671875" style="393"/>
    <col min="3085" max="3085" width="13.88671875" style="393" bestFit="1" customWidth="1"/>
    <col min="3086" max="3325" width="8.88671875" style="393"/>
    <col min="3326" max="3326" width="22" style="393" customWidth="1"/>
    <col min="3327" max="3327" width="9.88671875" style="393" customWidth="1"/>
    <col min="3328" max="3328" width="11" style="393" bestFit="1" customWidth="1"/>
    <col min="3329" max="3329" width="10" style="393" customWidth="1"/>
    <col min="3330" max="3331" width="8.88671875" style="393"/>
    <col min="3332" max="3332" width="12.88671875" style="393" bestFit="1" customWidth="1"/>
    <col min="3333" max="3333" width="7.88671875" style="393" bestFit="1" customWidth="1"/>
    <col min="3334" max="3335" width="13.6640625" style="393" customWidth="1"/>
    <col min="3336" max="3336" width="14.109375" style="393" bestFit="1" customWidth="1"/>
    <col min="3337" max="3337" width="8.88671875" style="393" customWidth="1"/>
    <col min="3338" max="3338" width="12.88671875" style="393" customWidth="1"/>
    <col min="3339" max="3339" width="9.44140625" style="393" customWidth="1"/>
    <col min="3340" max="3340" width="8.88671875" style="393"/>
    <col min="3341" max="3341" width="13.88671875" style="393" bestFit="1" customWidth="1"/>
    <col min="3342" max="3581" width="8.88671875" style="393"/>
    <col min="3582" max="3582" width="22" style="393" customWidth="1"/>
    <col min="3583" max="3583" width="9.88671875" style="393" customWidth="1"/>
    <col min="3584" max="3584" width="11" style="393" bestFit="1" customWidth="1"/>
    <col min="3585" max="3585" width="10" style="393" customWidth="1"/>
    <col min="3586" max="3587" width="8.88671875" style="393"/>
    <col min="3588" max="3588" width="12.88671875" style="393" bestFit="1" customWidth="1"/>
    <col min="3589" max="3589" width="7.88671875" style="393" bestFit="1" customWidth="1"/>
    <col min="3590" max="3591" width="13.6640625" style="393" customWidth="1"/>
    <col min="3592" max="3592" width="14.109375" style="393" bestFit="1" customWidth="1"/>
    <col min="3593" max="3593" width="8.88671875" style="393" customWidth="1"/>
    <col min="3594" max="3594" width="12.88671875" style="393" customWidth="1"/>
    <col min="3595" max="3595" width="9.44140625" style="393" customWidth="1"/>
    <col min="3596" max="3596" width="8.88671875" style="393"/>
    <col min="3597" max="3597" width="13.88671875" style="393" bestFit="1" customWidth="1"/>
    <col min="3598" max="3837" width="8.88671875" style="393"/>
    <col min="3838" max="3838" width="22" style="393" customWidth="1"/>
    <col min="3839" max="3839" width="9.88671875" style="393" customWidth="1"/>
    <col min="3840" max="3840" width="11" style="393" bestFit="1" customWidth="1"/>
    <col min="3841" max="3841" width="10" style="393" customWidth="1"/>
    <col min="3842" max="3843" width="8.88671875" style="393"/>
    <col min="3844" max="3844" width="12.88671875" style="393" bestFit="1" customWidth="1"/>
    <col min="3845" max="3845" width="7.88671875" style="393" bestFit="1" customWidth="1"/>
    <col min="3846" max="3847" width="13.6640625" style="393" customWidth="1"/>
    <col min="3848" max="3848" width="14.109375" style="393" bestFit="1" customWidth="1"/>
    <col min="3849" max="3849" width="8.88671875" style="393" customWidth="1"/>
    <col min="3850" max="3850" width="12.88671875" style="393" customWidth="1"/>
    <col min="3851" max="3851" width="9.44140625" style="393" customWidth="1"/>
    <col min="3852" max="3852" width="8.88671875" style="393"/>
    <col min="3853" max="3853" width="13.88671875" style="393" bestFit="1" customWidth="1"/>
    <col min="3854" max="4093" width="8.88671875" style="393"/>
    <col min="4094" max="4094" width="22" style="393" customWidth="1"/>
    <col min="4095" max="4095" width="9.88671875" style="393" customWidth="1"/>
    <col min="4096" max="4096" width="11" style="393" bestFit="1" customWidth="1"/>
    <col min="4097" max="4097" width="10" style="393" customWidth="1"/>
    <col min="4098" max="4099" width="8.88671875" style="393"/>
    <col min="4100" max="4100" width="12.88671875" style="393" bestFit="1" customWidth="1"/>
    <col min="4101" max="4101" width="7.88671875" style="393" bestFit="1" customWidth="1"/>
    <col min="4102" max="4103" width="13.6640625" style="393" customWidth="1"/>
    <col min="4104" max="4104" width="14.109375" style="393" bestFit="1" customWidth="1"/>
    <col min="4105" max="4105" width="8.88671875" style="393" customWidth="1"/>
    <col min="4106" max="4106" width="12.88671875" style="393" customWidth="1"/>
    <col min="4107" max="4107" width="9.44140625" style="393" customWidth="1"/>
    <col min="4108" max="4108" width="8.88671875" style="393"/>
    <col min="4109" max="4109" width="13.88671875" style="393" bestFit="1" customWidth="1"/>
    <col min="4110" max="4349" width="8.88671875" style="393"/>
    <col min="4350" max="4350" width="22" style="393" customWidth="1"/>
    <col min="4351" max="4351" width="9.88671875" style="393" customWidth="1"/>
    <col min="4352" max="4352" width="11" style="393" bestFit="1" customWidth="1"/>
    <col min="4353" max="4353" width="10" style="393" customWidth="1"/>
    <col min="4354" max="4355" width="8.88671875" style="393"/>
    <col min="4356" max="4356" width="12.88671875" style="393" bestFit="1" customWidth="1"/>
    <col min="4357" max="4357" width="7.88671875" style="393" bestFit="1" customWidth="1"/>
    <col min="4358" max="4359" width="13.6640625" style="393" customWidth="1"/>
    <col min="4360" max="4360" width="14.109375" style="393" bestFit="1" customWidth="1"/>
    <col min="4361" max="4361" width="8.88671875" style="393" customWidth="1"/>
    <col min="4362" max="4362" width="12.88671875" style="393" customWidth="1"/>
    <col min="4363" max="4363" width="9.44140625" style="393" customWidth="1"/>
    <col min="4364" max="4364" width="8.88671875" style="393"/>
    <col min="4365" max="4365" width="13.88671875" style="393" bestFit="1" customWidth="1"/>
    <col min="4366" max="4605" width="8.88671875" style="393"/>
    <col min="4606" max="4606" width="22" style="393" customWidth="1"/>
    <col min="4607" max="4607" width="9.88671875" style="393" customWidth="1"/>
    <col min="4608" max="4608" width="11" style="393" bestFit="1" customWidth="1"/>
    <col min="4609" max="4609" width="10" style="393" customWidth="1"/>
    <col min="4610" max="4611" width="8.88671875" style="393"/>
    <col min="4612" max="4612" width="12.88671875" style="393" bestFit="1" customWidth="1"/>
    <col min="4613" max="4613" width="7.88671875" style="393" bestFit="1" customWidth="1"/>
    <col min="4614" max="4615" width="13.6640625" style="393" customWidth="1"/>
    <col min="4616" max="4616" width="14.109375" style="393" bestFit="1" customWidth="1"/>
    <col min="4617" max="4617" width="8.88671875" style="393" customWidth="1"/>
    <col min="4618" max="4618" width="12.88671875" style="393" customWidth="1"/>
    <col min="4619" max="4619" width="9.44140625" style="393" customWidth="1"/>
    <col min="4620" max="4620" width="8.88671875" style="393"/>
    <col min="4621" max="4621" width="13.88671875" style="393" bestFit="1" customWidth="1"/>
    <col min="4622" max="4861" width="8.88671875" style="393"/>
    <col min="4862" max="4862" width="22" style="393" customWidth="1"/>
    <col min="4863" max="4863" width="9.88671875" style="393" customWidth="1"/>
    <col min="4864" max="4864" width="11" style="393" bestFit="1" customWidth="1"/>
    <col min="4865" max="4865" width="10" style="393" customWidth="1"/>
    <col min="4866" max="4867" width="8.88671875" style="393"/>
    <col min="4868" max="4868" width="12.88671875" style="393" bestFit="1" customWidth="1"/>
    <col min="4869" max="4869" width="7.88671875" style="393" bestFit="1" customWidth="1"/>
    <col min="4870" max="4871" width="13.6640625" style="393" customWidth="1"/>
    <col min="4872" max="4872" width="14.109375" style="393" bestFit="1" customWidth="1"/>
    <col min="4873" max="4873" width="8.88671875" style="393" customWidth="1"/>
    <col min="4874" max="4874" width="12.88671875" style="393" customWidth="1"/>
    <col min="4875" max="4875" width="9.44140625" style="393" customWidth="1"/>
    <col min="4876" max="4876" width="8.88671875" style="393"/>
    <col min="4877" max="4877" width="13.88671875" style="393" bestFit="1" customWidth="1"/>
    <col min="4878" max="5117" width="8.88671875" style="393"/>
    <col min="5118" max="5118" width="22" style="393" customWidth="1"/>
    <col min="5119" max="5119" width="9.88671875" style="393" customWidth="1"/>
    <col min="5120" max="5120" width="11" style="393" bestFit="1" customWidth="1"/>
    <col min="5121" max="5121" width="10" style="393" customWidth="1"/>
    <col min="5122" max="5123" width="8.88671875" style="393"/>
    <col min="5124" max="5124" width="12.88671875" style="393" bestFit="1" customWidth="1"/>
    <col min="5125" max="5125" width="7.88671875" style="393" bestFit="1" customWidth="1"/>
    <col min="5126" max="5127" width="13.6640625" style="393" customWidth="1"/>
    <col min="5128" max="5128" width="14.109375" style="393" bestFit="1" customWidth="1"/>
    <col min="5129" max="5129" width="8.88671875" style="393" customWidth="1"/>
    <col min="5130" max="5130" width="12.88671875" style="393" customWidth="1"/>
    <col min="5131" max="5131" width="9.44140625" style="393" customWidth="1"/>
    <col min="5132" max="5132" width="8.88671875" style="393"/>
    <col min="5133" max="5133" width="13.88671875" style="393" bestFit="1" customWidth="1"/>
    <col min="5134" max="5373" width="8.88671875" style="393"/>
    <col min="5374" max="5374" width="22" style="393" customWidth="1"/>
    <col min="5375" max="5375" width="9.88671875" style="393" customWidth="1"/>
    <col min="5376" max="5376" width="11" style="393" bestFit="1" customWidth="1"/>
    <col min="5377" max="5377" width="10" style="393" customWidth="1"/>
    <col min="5378" max="5379" width="8.88671875" style="393"/>
    <col min="5380" max="5380" width="12.88671875" style="393" bestFit="1" customWidth="1"/>
    <col min="5381" max="5381" width="7.88671875" style="393" bestFit="1" customWidth="1"/>
    <col min="5382" max="5383" width="13.6640625" style="393" customWidth="1"/>
    <col min="5384" max="5384" width="14.109375" style="393" bestFit="1" customWidth="1"/>
    <col min="5385" max="5385" width="8.88671875" style="393" customWidth="1"/>
    <col min="5386" max="5386" width="12.88671875" style="393" customWidth="1"/>
    <col min="5387" max="5387" width="9.44140625" style="393" customWidth="1"/>
    <col min="5388" max="5388" width="8.88671875" style="393"/>
    <col min="5389" max="5389" width="13.88671875" style="393" bestFit="1" customWidth="1"/>
    <col min="5390" max="5629" width="8.88671875" style="393"/>
    <col min="5630" max="5630" width="22" style="393" customWidth="1"/>
    <col min="5631" max="5631" width="9.88671875" style="393" customWidth="1"/>
    <col min="5632" max="5632" width="11" style="393" bestFit="1" customWidth="1"/>
    <col min="5633" max="5633" width="10" style="393" customWidth="1"/>
    <col min="5634" max="5635" width="8.88671875" style="393"/>
    <col min="5636" max="5636" width="12.88671875" style="393" bestFit="1" customWidth="1"/>
    <col min="5637" max="5637" width="7.88671875" style="393" bestFit="1" customWidth="1"/>
    <col min="5638" max="5639" width="13.6640625" style="393" customWidth="1"/>
    <col min="5640" max="5640" width="14.109375" style="393" bestFit="1" customWidth="1"/>
    <col min="5641" max="5641" width="8.88671875" style="393" customWidth="1"/>
    <col min="5642" max="5642" width="12.88671875" style="393" customWidth="1"/>
    <col min="5643" max="5643" width="9.44140625" style="393" customWidth="1"/>
    <col min="5644" max="5644" width="8.88671875" style="393"/>
    <col min="5645" max="5645" width="13.88671875" style="393" bestFit="1" customWidth="1"/>
    <col min="5646" max="5885" width="8.88671875" style="393"/>
    <col min="5886" max="5886" width="22" style="393" customWidth="1"/>
    <col min="5887" max="5887" width="9.88671875" style="393" customWidth="1"/>
    <col min="5888" max="5888" width="11" style="393" bestFit="1" customWidth="1"/>
    <col min="5889" max="5889" width="10" style="393" customWidth="1"/>
    <col min="5890" max="5891" width="8.88671875" style="393"/>
    <col min="5892" max="5892" width="12.88671875" style="393" bestFit="1" customWidth="1"/>
    <col min="5893" max="5893" width="7.88671875" style="393" bestFit="1" customWidth="1"/>
    <col min="5894" max="5895" width="13.6640625" style="393" customWidth="1"/>
    <col min="5896" max="5896" width="14.109375" style="393" bestFit="1" customWidth="1"/>
    <col min="5897" max="5897" width="8.88671875" style="393" customWidth="1"/>
    <col min="5898" max="5898" width="12.88671875" style="393" customWidth="1"/>
    <col min="5899" max="5899" width="9.44140625" style="393" customWidth="1"/>
    <col min="5900" max="5900" width="8.88671875" style="393"/>
    <col min="5901" max="5901" width="13.88671875" style="393" bestFit="1" customWidth="1"/>
    <col min="5902" max="6141" width="8.88671875" style="393"/>
    <col min="6142" max="6142" width="22" style="393" customWidth="1"/>
    <col min="6143" max="6143" width="9.88671875" style="393" customWidth="1"/>
    <col min="6144" max="6144" width="11" style="393" bestFit="1" customWidth="1"/>
    <col min="6145" max="6145" width="10" style="393" customWidth="1"/>
    <col min="6146" max="6147" width="8.88671875" style="393"/>
    <col min="6148" max="6148" width="12.88671875" style="393" bestFit="1" customWidth="1"/>
    <col min="6149" max="6149" width="7.88671875" style="393" bestFit="1" customWidth="1"/>
    <col min="6150" max="6151" width="13.6640625" style="393" customWidth="1"/>
    <col min="6152" max="6152" width="14.109375" style="393" bestFit="1" customWidth="1"/>
    <col min="6153" max="6153" width="8.88671875" style="393" customWidth="1"/>
    <col min="6154" max="6154" width="12.88671875" style="393" customWidth="1"/>
    <col min="6155" max="6155" width="9.44140625" style="393" customWidth="1"/>
    <col min="6156" max="6156" width="8.88671875" style="393"/>
    <col min="6157" max="6157" width="13.88671875" style="393" bestFit="1" customWidth="1"/>
    <col min="6158" max="6397" width="8.88671875" style="393"/>
    <col min="6398" max="6398" width="22" style="393" customWidth="1"/>
    <col min="6399" max="6399" width="9.88671875" style="393" customWidth="1"/>
    <col min="6400" max="6400" width="11" style="393" bestFit="1" customWidth="1"/>
    <col min="6401" max="6401" width="10" style="393" customWidth="1"/>
    <col min="6402" max="6403" width="8.88671875" style="393"/>
    <col min="6404" max="6404" width="12.88671875" style="393" bestFit="1" customWidth="1"/>
    <col min="6405" max="6405" width="7.88671875" style="393" bestFit="1" customWidth="1"/>
    <col min="6406" max="6407" width="13.6640625" style="393" customWidth="1"/>
    <col min="6408" max="6408" width="14.109375" style="393" bestFit="1" customWidth="1"/>
    <col min="6409" max="6409" width="8.88671875" style="393" customWidth="1"/>
    <col min="6410" max="6410" width="12.88671875" style="393" customWidth="1"/>
    <col min="6411" max="6411" width="9.44140625" style="393" customWidth="1"/>
    <col min="6412" max="6412" width="8.88671875" style="393"/>
    <col min="6413" max="6413" width="13.88671875" style="393" bestFit="1" customWidth="1"/>
    <col min="6414" max="6653" width="8.88671875" style="393"/>
    <col min="6654" max="6654" width="22" style="393" customWidth="1"/>
    <col min="6655" max="6655" width="9.88671875" style="393" customWidth="1"/>
    <col min="6656" max="6656" width="11" style="393" bestFit="1" customWidth="1"/>
    <col min="6657" max="6657" width="10" style="393" customWidth="1"/>
    <col min="6658" max="6659" width="8.88671875" style="393"/>
    <col min="6660" max="6660" width="12.88671875" style="393" bestFit="1" customWidth="1"/>
    <col min="6661" max="6661" width="7.88671875" style="393" bestFit="1" customWidth="1"/>
    <col min="6662" max="6663" width="13.6640625" style="393" customWidth="1"/>
    <col min="6664" max="6664" width="14.109375" style="393" bestFit="1" customWidth="1"/>
    <col min="6665" max="6665" width="8.88671875" style="393" customWidth="1"/>
    <col min="6666" max="6666" width="12.88671875" style="393" customWidth="1"/>
    <col min="6667" max="6667" width="9.44140625" style="393" customWidth="1"/>
    <col min="6668" max="6668" width="8.88671875" style="393"/>
    <col min="6669" max="6669" width="13.88671875" style="393" bestFit="1" customWidth="1"/>
    <col min="6670" max="6909" width="8.88671875" style="393"/>
    <col min="6910" max="6910" width="22" style="393" customWidth="1"/>
    <col min="6911" max="6911" width="9.88671875" style="393" customWidth="1"/>
    <col min="6912" max="6912" width="11" style="393" bestFit="1" customWidth="1"/>
    <col min="6913" max="6913" width="10" style="393" customWidth="1"/>
    <col min="6914" max="6915" width="8.88671875" style="393"/>
    <col min="6916" max="6916" width="12.88671875" style="393" bestFit="1" customWidth="1"/>
    <col min="6917" max="6917" width="7.88671875" style="393" bestFit="1" customWidth="1"/>
    <col min="6918" max="6919" width="13.6640625" style="393" customWidth="1"/>
    <col min="6920" max="6920" width="14.109375" style="393" bestFit="1" customWidth="1"/>
    <col min="6921" max="6921" width="8.88671875" style="393" customWidth="1"/>
    <col min="6922" max="6922" width="12.88671875" style="393" customWidth="1"/>
    <col min="6923" max="6923" width="9.44140625" style="393" customWidth="1"/>
    <col min="6924" max="6924" width="8.88671875" style="393"/>
    <col min="6925" max="6925" width="13.88671875" style="393" bestFit="1" customWidth="1"/>
    <col min="6926" max="7165" width="8.88671875" style="393"/>
    <col min="7166" max="7166" width="22" style="393" customWidth="1"/>
    <col min="7167" max="7167" width="9.88671875" style="393" customWidth="1"/>
    <col min="7168" max="7168" width="11" style="393" bestFit="1" customWidth="1"/>
    <col min="7169" max="7169" width="10" style="393" customWidth="1"/>
    <col min="7170" max="7171" width="8.88671875" style="393"/>
    <col min="7172" max="7172" width="12.88671875" style="393" bestFit="1" customWidth="1"/>
    <col min="7173" max="7173" width="7.88671875" style="393" bestFit="1" customWidth="1"/>
    <col min="7174" max="7175" width="13.6640625" style="393" customWidth="1"/>
    <col min="7176" max="7176" width="14.109375" style="393" bestFit="1" customWidth="1"/>
    <col min="7177" max="7177" width="8.88671875" style="393" customWidth="1"/>
    <col min="7178" max="7178" width="12.88671875" style="393" customWidth="1"/>
    <col min="7179" max="7179" width="9.44140625" style="393" customWidth="1"/>
    <col min="7180" max="7180" width="8.88671875" style="393"/>
    <col min="7181" max="7181" width="13.88671875" style="393" bestFit="1" customWidth="1"/>
    <col min="7182" max="7421" width="8.88671875" style="393"/>
    <col min="7422" max="7422" width="22" style="393" customWidth="1"/>
    <col min="7423" max="7423" width="9.88671875" style="393" customWidth="1"/>
    <col min="7424" max="7424" width="11" style="393" bestFit="1" customWidth="1"/>
    <col min="7425" max="7425" width="10" style="393" customWidth="1"/>
    <col min="7426" max="7427" width="8.88671875" style="393"/>
    <col min="7428" max="7428" width="12.88671875" style="393" bestFit="1" customWidth="1"/>
    <col min="7429" max="7429" width="7.88671875" style="393" bestFit="1" customWidth="1"/>
    <col min="7430" max="7431" width="13.6640625" style="393" customWidth="1"/>
    <col min="7432" max="7432" width="14.109375" style="393" bestFit="1" customWidth="1"/>
    <col min="7433" max="7433" width="8.88671875" style="393" customWidth="1"/>
    <col min="7434" max="7434" width="12.88671875" style="393" customWidth="1"/>
    <col min="7435" max="7435" width="9.44140625" style="393" customWidth="1"/>
    <col min="7436" max="7436" width="8.88671875" style="393"/>
    <col min="7437" max="7437" width="13.88671875" style="393" bestFit="1" customWidth="1"/>
    <col min="7438" max="7677" width="8.88671875" style="393"/>
    <col min="7678" max="7678" width="22" style="393" customWidth="1"/>
    <col min="7679" max="7679" width="9.88671875" style="393" customWidth="1"/>
    <col min="7680" max="7680" width="11" style="393" bestFit="1" customWidth="1"/>
    <col min="7681" max="7681" width="10" style="393" customWidth="1"/>
    <col min="7682" max="7683" width="8.88671875" style="393"/>
    <col min="7684" max="7684" width="12.88671875" style="393" bestFit="1" customWidth="1"/>
    <col min="7685" max="7685" width="7.88671875" style="393" bestFit="1" customWidth="1"/>
    <col min="7686" max="7687" width="13.6640625" style="393" customWidth="1"/>
    <col min="7688" max="7688" width="14.109375" style="393" bestFit="1" customWidth="1"/>
    <col min="7689" max="7689" width="8.88671875" style="393" customWidth="1"/>
    <col min="7690" max="7690" width="12.88671875" style="393" customWidth="1"/>
    <col min="7691" max="7691" width="9.44140625" style="393" customWidth="1"/>
    <col min="7692" max="7692" width="8.88671875" style="393"/>
    <col min="7693" max="7693" width="13.88671875" style="393" bestFit="1" customWidth="1"/>
    <col min="7694" max="7933" width="8.88671875" style="393"/>
    <col min="7934" max="7934" width="22" style="393" customWidth="1"/>
    <col min="7935" max="7935" width="9.88671875" style="393" customWidth="1"/>
    <col min="7936" max="7936" width="11" style="393" bestFit="1" customWidth="1"/>
    <col min="7937" max="7937" width="10" style="393" customWidth="1"/>
    <col min="7938" max="7939" width="8.88671875" style="393"/>
    <col min="7940" max="7940" width="12.88671875" style="393" bestFit="1" customWidth="1"/>
    <col min="7941" max="7941" width="7.88671875" style="393" bestFit="1" customWidth="1"/>
    <col min="7942" max="7943" width="13.6640625" style="393" customWidth="1"/>
    <col min="7944" max="7944" width="14.109375" style="393" bestFit="1" customWidth="1"/>
    <col min="7945" max="7945" width="8.88671875" style="393" customWidth="1"/>
    <col min="7946" max="7946" width="12.88671875" style="393" customWidth="1"/>
    <col min="7947" max="7947" width="9.44140625" style="393" customWidth="1"/>
    <col min="7948" max="7948" width="8.88671875" style="393"/>
    <col min="7949" max="7949" width="13.88671875" style="393" bestFit="1" customWidth="1"/>
    <col min="7950" max="8189" width="8.88671875" style="393"/>
    <col min="8190" max="8190" width="22" style="393" customWidth="1"/>
    <col min="8191" max="8191" width="9.88671875" style="393" customWidth="1"/>
    <col min="8192" max="8192" width="11" style="393" bestFit="1" customWidth="1"/>
    <col min="8193" max="8193" width="10" style="393" customWidth="1"/>
    <col min="8194" max="8195" width="8.88671875" style="393"/>
    <col min="8196" max="8196" width="12.88671875" style="393" bestFit="1" customWidth="1"/>
    <col min="8197" max="8197" width="7.88671875" style="393" bestFit="1" customWidth="1"/>
    <col min="8198" max="8199" width="13.6640625" style="393" customWidth="1"/>
    <col min="8200" max="8200" width="14.109375" style="393" bestFit="1" customWidth="1"/>
    <col min="8201" max="8201" width="8.88671875" style="393" customWidth="1"/>
    <col min="8202" max="8202" width="12.88671875" style="393" customWidth="1"/>
    <col min="8203" max="8203" width="9.44140625" style="393" customWidth="1"/>
    <col min="8204" max="8204" width="8.88671875" style="393"/>
    <col min="8205" max="8205" width="13.88671875" style="393" bestFit="1" customWidth="1"/>
    <col min="8206" max="8445" width="8.88671875" style="393"/>
    <col min="8446" max="8446" width="22" style="393" customWidth="1"/>
    <col min="8447" max="8447" width="9.88671875" style="393" customWidth="1"/>
    <col min="8448" max="8448" width="11" style="393" bestFit="1" customWidth="1"/>
    <col min="8449" max="8449" width="10" style="393" customWidth="1"/>
    <col min="8450" max="8451" width="8.88671875" style="393"/>
    <col min="8452" max="8452" width="12.88671875" style="393" bestFit="1" customWidth="1"/>
    <col min="8453" max="8453" width="7.88671875" style="393" bestFit="1" customWidth="1"/>
    <col min="8454" max="8455" width="13.6640625" style="393" customWidth="1"/>
    <col min="8456" max="8456" width="14.109375" style="393" bestFit="1" customWidth="1"/>
    <col min="8457" max="8457" width="8.88671875" style="393" customWidth="1"/>
    <col min="8458" max="8458" width="12.88671875" style="393" customWidth="1"/>
    <col min="8459" max="8459" width="9.44140625" style="393" customWidth="1"/>
    <col min="8460" max="8460" width="8.88671875" style="393"/>
    <col min="8461" max="8461" width="13.88671875" style="393" bestFit="1" customWidth="1"/>
    <col min="8462" max="8701" width="8.88671875" style="393"/>
    <col min="8702" max="8702" width="22" style="393" customWidth="1"/>
    <col min="8703" max="8703" width="9.88671875" style="393" customWidth="1"/>
    <col min="8704" max="8704" width="11" style="393" bestFit="1" customWidth="1"/>
    <col min="8705" max="8705" width="10" style="393" customWidth="1"/>
    <col min="8706" max="8707" width="8.88671875" style="393"/>
    <col min="8708" max="8708" width="12.88671875" style="393" bestFit="1" customWidth="1"/>
    <col min="8709" max="8709" width="7.88671875" style="393" bestFit="1" customWidth="1"/>
    <col min="8710" max="8711" width="13.6640625" style="393" customWidth="1"/>
    <col min="8712" max="8712" width="14.109375" style="393" bestFit="1" customWidth="1"/>
    <col min="8713" max="8713" width="8.88671875" style="393" customWidth="1"/>
    <col min="8714" max="8714" width="12.88671875" style="393" customWidth="1"/>
    <col min="8715" max="8715" width="9.44140625" style="393" customWidth="1"/>
    <col min="8716" max="8716" width="8.88671875" style="393"/>
    <col min="8717" max="8717" width="13.88671875" style="393" bestFit="1" customWidth="1"/>
    <col min="8718" max="8957" width="8.88671875" style="393"/>
    <col min="8958" max="8958" width="22" style="393" customWidth="1"/>
    <col min="8959" max="8959" width="9.88671875" style="393" customWidth="1"/>
    <col min="8960" max="8960" width="11" style="393" bestFit="1" customWidth="1"/>
    <col min="8961" max="8961" width="10" style="393" customWidth="1"/>
    <col min="8962" max="8963" width="8.88671875" style="393"/>
    <col min="8964" max="8964" width="12.88671875" style="393" bestFit="1" customWidth="1"/>
    <col min="8965" max="8965" width="7.88671875" style="393" bestFit="1" customWidth="1"/>
    <col min="8966" max="8967" width="13.6640625" style="393" customWidth="1"/>
    <col min="8968" max="8968" width="14.109375" style="393" bestFit="1" customWidth="1"/>
    <col min="8969" max="8969" width="8.88671875" style="393" customWidth="1"/>
    <col min="8970" max="8970" width="12.88671875" style="393" customWidth="1"/>
    <col min="8971" max="8971" width="9.44140625" style="393" customWidth="1"/>
    <col min="8972" max="8972" width="8.88671875" style="393"/>
    <col min="8973" max="8973" width="13.88671875" style="393" bestFit="1" customWidth="1"/>
    <col min="8974" max="9213" width="8.88671875" style="393"/>
    <col min="9214" max="9214" width="22" style="393" customWidth="1"/>
    <col min="9215" max="9215" width="9.88671875" style="393" customWidth="1"/>
    <col min="9216" max="9216" width="11" style="393" bestFit="1" customWidth="1"/>
    <col min="9217" max="9217" width="10" style="393" customWidth="1"/>
    <col min="9218" max="9219" width="8.88671875" style="393"/>
    <col min="9220" max="9220" width="12.88671875" style="393" bestFit="1" customWidth="1"/>
    <col min="9221" max="9221" width="7.88671875" style="393" bestFit="1" customWidth="1"/>
    <col min="9222" max="9223" width="13.6640625" style="393" customWidth="1"/>
    <col min="9224" max="9224" width="14.109375" style="393" bestFit="1" customWidth="1"/>
    <col min="9225" max="9225" width="8.88671875" style="393" customWidth="1"/>
    <col min="9226" max="9226" width="12.88671875" style="393" customWidth="1"/>
    <col min="9227" max="9227" width="9.44140625" style="393" customWidth="1"/>
    <col min="9228" max="9228" width="8.88671875" style="393"/>
    <col min="9229" max="9229" width="13.88671875" style="393" bestFit="1" customWidth="1"/>
    <col min="9230" max="9469" width="8.88671875" style="393"/>
    <col min="9470" max="9470" width="22" style="393" customWidth="1"/>
    <col min="9471" max="9471" width="9.88671875" style="393" customWidth="1"/>
    <col min="9472" max="9472" width="11" style="393" bestFit="1" customWidth="1"/>
    <col min="9473" max="9473" width="10" style="393" customWidth="1"/>
    <col min="9474" max="9475" width="8.88671875" style="393"/>
    <col min="9476" max="9476" width="12.88671875" style="393" bestFit="1" customWidth="1"/>
    <col min="9477" max="9477" width="7.88671875" style="393" bestFit="1" customWidth="1"/>
    <col min="9478" max="9479" width="13.6640625" style="393" customWidth="1"/>
    <col min="9480" max="9480" width="14.109375" style="393" bestFit="1" customWidth="1"/>
    <col min="9481" max="9481" width="8.88671875" style="393" customWidth="1"/>
    <col min="9482" max="9482" width="12.88671875" style="393" customWidth="1"/>
    <col min="9483" max="9483" width="9.44140625" style="393" customWidth="1"/>
    <col min="9484" max="9484" width="8.88671875" style="393"/>
    <col min="9485" max="9485" width="13.88671875" style="393" bestFit="1" customWidth="1"/>
    <col min="9486" max="9725" width="8.88671875" style="393"/>
    <col min="9726" max="9726" width="22" style="393" customWidth="1"/>
    <col min="9727" max="9727" width="9.88671875" style="393" customWidth="1"/>
    <col min="9728" max="9728" width="11" style="393" bestFit="1" customWidth="1"/>
    <col min="9729" max="9729" width="10" style="393" customWidth="1"/>
    <col min="9730" max="9731" width="8.88671875" style="393"/>
    <col min="9732" max="9732" width="12.88671875" style="393" bestFit="1" customWidth="1"/>
    <col min="9733" max="9733" width="7.88671875" style="393" bestFit="1" customWidth="1"/>
    <col min="9734" max="9735" width="13.6640625" style="393" customWidth="1"/>
    <col min="9736" max="9736" width="14.109375" style="393" bestFit="1" customWidth="1"/>
    <col min="9737" max="9737" width="8.88671875" style="393" customWidth="1"/>
    <col min="9738" max="9738" width="12.88671875" style="393" customWidth="1"/>
    <col min="9739" max="9739" width="9.44140625" style="393" customWidth="1"/>
    <col min="9740" max="9740" width="8.88671875" style="393"/>
    <col min="9741" max="9741" width="13.88671875" style="393" bestFit="1" customWidth="1"/>
    <col min="9742" max="9981" width="8.88671875" style="393"/>
    <col min="9982" max="9982" width="22" style="393" customWidth="1"/>
    <col min="9983" max="9983" width="9.88671875" style="393" customWidth="1"/>
    <col min="9984" max="9984" width="11" style="393" bestFit="1" customWidth="1"/>
    <col min="9985" max="9985" width="10" style="393" customWidth="1"/>
    <col min="9986" max="9987" width="8.88671875" style="393"/>
    <col min="9988" max="9988" width="12.88671875" style="393" bestFit="1" customWidth="1"/>
    <col min="9989" max="9989" width="7.88671875" style="393" bestFit="1" customWidth="1"/>
    <col min="9990" max="9991" width="13.6640625" style="393" customWidth="1"/>
    <col min="9992" max="9992" width="14.109375" style="393" bestFit="1" customWidth="1"/>
    <col min="9993" max="9993" width="8.88671875" style="393" customWidth="1"/>
    <col min="9994" max="9994" width="12.88671875" style="393" customWidth="1"/>
    <col min="9995" max="9995" width="9.44140625" style="393" customWidth="1"/>
    <col min="9996" max="9996" width="8.88671875" style="393"/>
    <col min="9997" max="9997" width="13.88671875" style="393" bestFit="1" customWidth="1"/>
    <col min="9998" max="10237" width="8.88671875" style="393"/>
    <col min="10238" max="10238" width="22" style="393" customWidth="1"/>
    <col min="10239" max="10239" width="9.88671875" style="393" customWidth="1"/>
    <col min="10240" max="10240" width="11" style="393" bestFit="1" customWidth="1"/>
    <col min="10241" max="10241" width="10" style="393" customWidth="1"/>
    <col min="10242" max="10243" width="8.88671875" style="393"/>
    <col min="10244" max="10244" width="12.88671875" style="393" bestFit="1" customWidth="1"/>
    <col min="10245" max="10245" width="7.88671875" style="393" bestFit="1" customWidth="1"/>
    <col min="10246" max="10247" width="13.6640625" style="393" customWidth="1"/>
    <col min="10248" max="10248" width="14.109375" style="393" bestFit="1" customWidth="1"/>
    <col min="10249" max="10249" width="8.88671875" style="393" customWidth="1"/>
    <col min="10250" max="10250" width="12.88671875" style="393" customWidth="1"/>
    <col min="10251" max="10251" width="9.44140625" style="393" customWidth="1"/>
    <col min="10252" max="10252" width="8.88671875" style="393"/>
    <col min="10253" max="10253" width="13.88671875" style="393" bestFit="1" customWidth="1"/>
    <col min="10254" max="10493" width="8.88671875" style="393"/>
    <col min="10494" max="10494" width="22" style="393" customWidth="1"/>
    <col min="10495" max="10495" width="9.88671875" style="393" customWidth="1"/>
    <col min="10496" max="10496" width="11" style="393" bestFit="1" customWidth="1"/>
    <col min="10497" max="10497" width="10" style="393" customWidth="1"/>
    <col min="10498" max="10499" width="8.88671875" style="393"/>
    <col min="10500" max="10500" width="12.88671875" style="393" bestFit="1" customWidth="1"/>
    <col min="10501" max="10501" width="7.88671875" style="393" bestFit="1" customWidth="1"/>
    <col min="10502" max="10503" width="13.6640625" style="393" customWidth="1"/>
    <col min="10504" max="10504" width="14.109375" style="393" bestFit="1" customWidth="1"/>
    <col min="10505" max="10505" width="8.88671875" style="393" customWidth="1"/>
    <col min="10506" max="10506" width="12.88671875" style="393" customWidth="1"/>
    <col min="10507" max="10507" width="9.44140625" style="393" customWidth="1"/>
    <col min="10508" max="10508" width="8.88671875" style="393"/>
    <col min="10509" max="10509" width="13.88671875" style="393" bestFit="1" customWidth="1"/>
    <col min="10510" max="10749" width="8.88671875" style="393"/>
    <col min="10750" max="10750" width="22" style="393" customWidth="1"/>
    <col min="10751" max="10751" width="9.88671875" style="393" customWidth="1"/>
    <col min="10752" max="10752" width="11" style="393" bestFit="1" customWidth="1"/>
    <col min="10753" max="10753" width="10" style="393" customWidth="1"/>
    <col min="10754" max="10755" width="8.88671875" style="393"/>
    <col min="10756" max="10756" width="12.88671875" style="393" bestFit="1" customWidth="1"/>
    <col min="10757" max="10757" width="7.88671875" style="393" bestFit="1" customWidth="1"/>
    <col min="10758" max="10759" width="13.6640625" style="393" customWidth="1"/>
    <col min="10760" max="10760" width="14.109375" style="393" bestFit="1" customWidth="1"/>
    <col min="10761" max="10761" width="8.88671875" style="393" customWidth="1"/>
    <col min="10762" max="10762" width="12.88671875" style="393" customWidth="1"/>
    <col min="10763" max="10763" width="9.44140625" style="393" customWidth="1"/>
    <col min="10764" max="10764" width="8.88671875" style="393"/>
    <col min="10765" max="10765" width="13.88671875" style="393" bestFit="1" customWidth="1"/>
    <col min="10766" max="11005" width="8.88671875" style="393"/>
    <col min="11006" max="11006" width="22" style="393" customWidth="1"/>
    <col min="11007" max="11007" width="9.88671875" style="393" customWidth="1"/>
    <col min="11008" max="11008" width="11" style="393" bestFit="1" customWidth="1"/>
    <col min="11009" max="11009" width="10" style="393" customWidth="1"/>
    <col min="11010" max="11011" width="8.88671875" style="393"/>
    <col min="11012" max="11012" width="12.88671875" style="393" bestFit="1" customWidth="1"/>
    <col min="11013" max="11013" width="7.88671875" style="393" bestFit="1" customWidth="1"/>
    <col min="11014" max="11015" width="13.6640625" style="393" customWidth="1"/>
    <col min="11016" max="11016" width="14.109375" style="393" bestFit="1" customWidth="1"/>
    <col min="11017" max="11017" width="8.88671875" style="393" customWidth="1"/>
    <col min="11018" max="11018" width="12.88671875" style="393" customWidth="1"/>
    <col min="11019" max="11019" width="9.44140625" style="393" customWidth="1"/>
    <col min="11020" max="11020" width="8.88671875" style="393"/>
    <col min="11021" max="11021" width="13.88671875" style="393" bestFit="1" customWidth="1"/>
    <col min="11022" max="11261" width="8.88671875" style="393"/>
    <col min="11262" max="11262" width="22" style="393" customWidth="1"/>
    <col min="11263" max="11263" width="9.88671875" style="393" customWidth="1"/>
    <col min="11264" max="11264" width="11" style="393" bestFit="1" customWidth="1"/>
    <col min="11265" max="11265" width="10" style="393" customWidth="1"/>
    <col min="11266" max="11267" width="8.88671875" style="393"/>
    <col min="11268" max="11268" width="12.88671875" style="393" bestFit="1" customWidth="1"/>
    <col min="11269" max="11269" width="7.88671875" style="393" bestFit="1" customWidth="1"/>
    <col min="11270" max="11271" width="13.6640625" style="393" customWidth="1"/>
    <col min="11272" max="11272" width="14.109375" style="393" bestFit="1" customWidth="1"/>
    <col min="11273" max="11273" width="8.88671875" style="393" customWidth="1"/>
    <col min="11274" max="11274" width="12.88671875" style="393" customWidth="1"/>
    <col min="11275" max="11275" width="9.44140625" style="393" customWidth="1"/>
    <col min="11276" max="11276" width="8.88671875" style="393"/>
    <col min="11277" max="11277" width="13.88671875" style="393" bestFit="1" customWidth="1"/>
    <col min="11278" max="11517" width="8.88671875" style="393"/>
    <col min="11518" max="11518" width="22" style="393" customWidth="1"/>
    <col min="11519" max="11519" width="9.88671875" style="393" customWidth="1"/>
    <col min="11520" max="11520" width="11" style="393" bestFit="1" customWidth="1"/>
    <col min="11521" max="11521" width="10" style="393" customWidth="1"/>
    <col min="11522" max="11523" width="8.88671875" style="393"/>
    <col min="11524" max="11524" width="12.88671875" style="393" bestFit="1" customWidth="1"/>
    <col min="11525" max="11525" width="7.88671875" style="393" bestFit="1" customWidth="1"/>
    <col min="11526" max="11527" width="13.6640625" style="393" customWidth="1"/>
    <col min="11528" max="11528" width="14.109375" style="393" bestFit="1" customWidth="1"/>
    <col min="11529" max="11529" width="8.88671875" style="393" customWidth="1"/>
    <col min="11530" max="11530" width="12.88671875" style="393" customWidth="1"/>
    <col min="11531" max="11531" width="9.44140625" style="393" customWidth="1"/>
    <col min="11532" max="11532" width="8.88671875" style="393"/>
    <col min="11533" max="11533" width="13.88671875" style="393" bestFit="1" customWidth="1"/>
    <col min="11534" max="11773" width="8.88671875" style="393"/>
    <col min="11774" max="11774" width="22" style="393" customWidth="1"/>
    <col min="11775" max="11775" width="9.88671875" style="393" customWidth="1"/>
    <col min="11776" max="11776" width="11" style="393" bestFit="1" customWidth="1"/>
    <col min="11777" max="11777" width="10" style="393" customWidth="1"/>
    <col min="11778" max="11779" width="8.88671875" style="393"/>
    <col min="11780" max="11780" width="12.88671875" style="393" bestFit="1" customWidth="1"/>
    <col min="11781" max="11781" width="7.88671875" style="393" bestFit="1" customWidth="1"/>
    <col min="11782" max="11783" width="13.6640625" style="393" customWidth="1"/>
    <col min="11784" max="11784" width="14.109375" style="393" bestFit="1" customWidth="1"/>
    <col min="11785" max="11785" width="8.88671875" style="393" customWidth="1"/>
    <col min="11786" max="11786" width="12.88671875" style="393" customWidth="1"/>
    <col min="11787" max="11787" width="9.44140625" style="393" customWidth="1"/>
    <col min="11788" max="11788" width="8.88671875" style="393"/>
    <col min="11789" max="11789" width="13.88671875" style="393" bestFit="1" customWidth="1"/>
    <col min="11790" max="12029" width="8.88671875" style="393"/>
    <col min="12030" max="12030" width="22" style="393" customWidth="1"/>
    <col min="12031" max="12031" width="9.88671875" style="393" customWidth="1"/>
    <col min="12032" max="12032" width="11" style="393" bestFit="1" customWidth="1"/>
    <col min="12033" max="12033" width="10" style="393" customWidth="1"/>
    <col min="12034" max="12035" width="8.88671875" style="393"/>
    <col min="12036" max="12036" width="12.88671875" style="393" bestFit="1" customWidth="1"/>
    <col min="12037" max="12037" width="7.88671875" style="393" bestFit="1" customWidth="1"/>
    <col min="12038" max="12039" width="13.6640625" style="393" customWidth="1"/>
    <col min="12040" max="12040" width="14.109375" style="393" bestFit="1" customWidth="1"/>
    <col min="12041" max="12041" width="8.88671875" style="393" customWidth="1"/>
    <col min="12042" max="12042" width="12.88671875" style="393" customWidth="1"/>
    <col min="12043" max="12043" width="9.44140625" style="393" customWidth="1"/>
    <col min="12044" max="12044" width="8.88671875" style="393"/>
    <col min="12045" max="12045" width="13.88671875" style="393" bestFit="1" customWidth="1"/>
    <col min="12046" max="12285" width="8.88671875" style="393"/>
    <col min="12286" max="12286" width="22" style="393" customWidth="1"/>
    <col min="12287" max="12287" width="9.88671875" style="393" customWidth="1"/>
    <col min="12288" max="12288" width="11" style="393" bestFit="1" customWidth="1"/>
    <col min="12289" max="12289" width="10" style="393" customWidth="1"/>
    <col min="12290" max="12291" width="8.88671875" style="393"/>
    <col min="12292" max="12292" width="12.88671875" style="393" bestFit="1" customWidth="1"/>
    <col min="12293" max="12293" width="7.88671875" style="393" bestFit="1" customWidth="1"/>
    <col min="12294" max="12295" width="13.6640625" style="393" customWidth="1"/>
    <col min="12296" max="12296" width="14.109375" style="393" bestFit="1" customWidth="1"/>
    <col min="12297" max="12297" width="8.88671875" style="393" customWidth="1"/>
    <col min="12298" max="12298" width="12.88671875" style="393" customWidth="1"/>
    <col min="12299" max="12299" width="9.44140625" style="393" customWidth="1"/>
    <col min="12300" max="12300" width="8.88671875" style="393"/>
    <col min="12301" max="12301" width="13.88671875" style="393" bestFit="1" customWidth="1"/>
    <col min="12302" max="12541" width="8.88671875" style="393"/>
    <col min="12542" max="12542" width="22" style="393" customWidth="1"/>
    <col min="12543" max="12543" width="9.88671875" style="393" customWidth="1"/>
    <col min="12544" max="12544" width="11" style="393" bestFit="1" customWidth="1"/>
    <col min="12545" max="12545" width="10" style="393" customWidth="1"/>
    <col min="12546" max="12547" width="8.88671875" style="393"/>
    <col min="12548" max="12548" width="12.88671875" style="393" bestFit="1" customWidth="1"/>
    <col min="12549" max="12549" width="7.88671875" style="393" bestFit="1" customWidth="1"/>
    <col min="12550" max="12551" width="13.6640625" style="393" customWidth="1"/>
    <col min="12552" max="12552" width="14.109375" style="393" bestFit="1" customWidth="1"/>
    <col min="12553" max="12553" width="8.88671875" style="393" customWidth="1"/>
    <col min="12554" max="12554" width="12.88671875" style="393" customWidth="1"/>
    <col min="12555" max="12555" width="9.44140625" style="393" customWidth="1"/>
    <col min="12556" max="12556" width="8.88671875" style="393"/>
    <col min="12557" max="12557" width="13.88671875" style="393" bestFit="1" customWidth="1"/>
    <col min="12558" max="12797" width="8.88671875" style="393"/>
    <col min="12798" max="12798" width="22" style="393" customWidth="1"/>
    <col min="12799" max="12799" width="9.88671875" style="393" customWidth="1"/>
    <col min="12800" max="12800" width="11" style="393" bestFit="1" customWidth="1"/>
    <col min="12801" max="12801" width="10" style="393" customWidth="1"/>
    <col min="12802" max="12803" width="8.88671875" style="393"/>
    <col min="12804" max="12804" width="12.88671875" style="393" bestFit="1" customWidth="1"/>
    <col min="12805" max="12805" width="7.88671875" style="393" bestFit="1" customWidth="1"/>
    <col min="12806" max="12807" width="13.6640625" style="393" customWidth="1"/>
    <col min="12808" max="12808" width="14.109375" style="393" bestFit="1" customWidth="1"/>
    <col min="12809" max="12809" width="8.88671875" style="393" customWidth="1"/>
    <col min="12810" max="12810" width="12.88671875" style="393" customWidth="1"/>
    <col min="12811" max="12811" width="9.44140625" style="393" customWidth="1"/>
    <col min="12812" max="12812" width="8.88671875" style="393"/>
    <col min="12813" max="12813" width="13.88671875" style="393" bestFit="1" customWidth="1"/>
    <col min="12814" max="13053" width="8.88671875" style="393"/>
    <col min="13054" max="13054" width="22" style="393" customWidth="1"/>
    <col min="13055" max="13055" width="9.88671875" style="393" customWidth="1"/>
    <col min="13056" max="13056" width="11" style="393" bestFit="1" customWidth="1"/>
    <col min="13057" max="13057" width="10" style="393" customWidth="1"/>
    <col min="13058" max="13059" width="8.88671875" style="393"/>
    <col min="13060" max="13060" width="12.88671875" style="393" bestFit="1" customWidth="1"/>
    <col min="13061" max="13061" width="7.88671875" style="393" bestFit="1" customWidth="1"/>
    <col min="13062" max="13063" width="13.6640625" style="393" customWidth="1"/>
    <col min="13064" max="13064" width="14.109375" style="393" bestFit="1" customWidth="1"/>
    <col min="13065" max="13065" width="8.88671875" style="393" customWidth="1"/>
    <col min="13066" max="13066" width="12.88671875" style="393" customWidth="1"/>
    <col min="13067" max="13067" width="9.44140625" style="393" customWidth="1"/>
    <col min="13068" max="13068" width="8.88671875" style="393"/>
    <col min="13069" max="13069" width="13.88671875" style="393" bestFit="1" customWidth="1"/>
    <col min="13070" max="13309" width="8.88671875" style="393"/>
    <col min="13310" max="13310" width="22" style="393" customWidth="1"/>
    <col min="13311" max="13311" width="9.88671875" style="393" customWidth="1"/>
    <col min="13312" max="13312" width="11" style="393" bestFit="1" customWidth="1"/>
    <col min="13313" max="13313" width="10" style="393" customWidth="1"/>
    <col min="13314" max="13315" width="8.88671875" style="393"/>
    <col min="13316" max="13316" width="12.88671875" style="393" bestFit="1" customWidth="1"/>
    <col min="13317" max="13317" width="7.88671875" style="393" bestFit="1" customWidth="1"/>
    <col min="13318" max="13319" width="13.6640625" style="393" customWidth="1"/>
    <col min="13320" max="13320" width="14.109375" style="393" bestFit="1" customWidth="1"/>
    <col min="13321" max="13321" width="8.88671875" style="393" customWidth="1"/>
    <col min="13322" max="13322" width="12.88671875" style="393" customWidth="1"/>
    <col min="13323" max="13323" width="9.44140625" style="393" customWidth="1"/>
    <col min="13324" max="13324" width="8.88671875" style="393"/>
    <col min="13325" max="13325" width="13.88671875" style="393" bestFit="1" customWidth="1"/>
    <col min="13326" max="13565" width="8.88671875" style="393"/>
    <col min="13566" max="13566" width="22" style="393" customWidth="1"/>
    <col min="13567" max="13567" width="9.88671875" style="393" customWidth="1"/>
    <col min="13568" max="13568" width="11" style="393" bestFit="1" customWidth="1"/>
    <col min="13569" max="13569" width="10" style="393" customWidth="1"/>
    <col min="13570" max="13571" width="8.88671875" style="393"/>
    <col min="13572" max="13572" width="12.88671875" style="393" bestFit="1" customWidth="1"/>
    <col min="13573" max="13573" width="7.88671875" style="393" bestFit="1" customWidth="1"/>
    <col min="13574" max="13575" width="13.6640625" style="393" customWidth="1"/>
    <col min="13576" max="13576" width="14.109375" style="393" bestFit="1" customWidth="1"/>
    <col min="13577" max="13577" width="8.88671875" style="393" customWidth="1"/>
    <col min="13578" max="13578" width="12.88671875" style="393" customWidth="1"/>
    <col min="13579" max="13579" width="9.44140625" style="393" customWidth="1"/>
    <col min="13580" max="13580" width="8.88671875" style="393"/>
    <col min="13581" max="13581" width="13.88671875" style="393" bestFit="1" customWidth="1"/>
    <col min="13582" max="13821" width="8.88671875" style="393"/>
    <col min="13822" max="13822" width="22" style="393" customWidth="1"/>
    <col min="13823" max="13823" width="9.88671875" style="393" customWidth="1"/>
    <col min="13824" max="13824" width="11" style="393" bestFit="1" customWidth="1"/>
    <col min="13825" max="13825" width="10" style="393" customWidth="1"/>
    <col min="13826" max="13827" width="8.88671875" style="393"/>
    <col min="13828" max="13828" width="12.88671875" style="393" bestFit="1" customWidth="1"/>
    <col min="13829" max="13829" width="7.88671875" style="393" bestFit="1" customWidth="1"/>
    <col min="13830" max="13831" width="13.6640625" style="393" customWidth="1"/>
    <col min="13832" max="13832" width="14.109375" style="393" bestFit="1" customWidth="1"/>
    <col min="13833" max="13833" width="8.88671875" style="393" customWidth="1"/>
    <col min="13834" max="13834" width="12.88671875" style="393" customWidth="1"/>
    <col min="13835" max="13835" width="9.44140625" style="393" customWidth="1"/>
    <col min="13836" max="13836" width="8.88671875" style="393"/>
    <col min="13837" max="13837" width="13.88671875" style="393" bestFit="1" customWidth="1"/>
    <col min="13838" max="14077" width="8.88671875" style="393"/>
    <col min="14078" max="14078" width="22" style="393" customWidth="1"/>
    <col min="14079" max="14079" width="9.88671875" style="393" customWidth="1"/>
    <col min="14080" max="14080" width="11" style="393" bestFit="1" customWidth="1"/>
    <col min="14081" max="14081" width="10" style="393" customWidth="1"/>
    <col min="14082" max="14083" width="8.88671875" style="393"/>
    <col min="14084" max="14084" width="12.88671875" style="393" bestFit="1" customWidth="1"/>
    <col min="14085" max="14085" width="7.88671875" style="393" bestFit="1" customWidth="1"/>
    <col min="14086" max="14087" width="13.6640625" style="393" customWidth="1"/>
    <col min="14088" max="14088" width="14.109375" style="393" bestFit="1" customWidth="1"/>
    <col min="14089" max="14089" width="8.88671875" style="393" customWidth="1"/>
    <col min="14090" max="14090" width="12.88671875" style="393" customWidth="1"/>
    <col min="14091" max="14091" width="9.44140625" style="393" customWidth="1"/>
    <col min="14092" max="14092" width="8.88671875" style="393"/>
    <col min="14093" max="14093" width="13.88671875" style="393" bestFit="1" customWidth="1"/>
    <col min="14094" max="14333" width="8.88671875" style="393"/>
    <col min="14334" max="14334" width="22" style="393" customWidth="1"/>
    <col min="14335" max="14335" width="9.88671875" style="393" customWidth="1"/>
    <col min="14336" max="14336" width="11" style="393" bestFit="1" customWidth="1"/>
    <col min="14337" max="14337" width="10" style="393" customWidth="1"/>
    <col min="14338" max="14339" width="8.88671875" style="393"/>
    <col min="14340" max="14340" width="12.88671875" style="393" bestFit="1" customWidth="1"/>
    <col min="14341" max="14341" width="7.88671875" style="393" bestFit="1" customWidth="1"/>
    <col min="14342" max="14343" width="13.6640625" style="393" customWidth="1"/>
    <col min="14344" max="14344" width="14.109375" style="393" bestFit="1" customWidth="1"/>
    <col min="14345" max="14345" width="8.88671875" style="393" customWidth="1"/>
    <col min="14346" max="14346" width="12.88671875" style="393" customWidth="1"/>
    <col min="14347" max="14347" width="9.44140625" style="393" customWidth="1"/>
    <col min="14348" max="14348" width="8.88671875" style="393"/>
    <col min="14349" max="14349" width="13.88671875" style="393" bestFit="1" customWidth="1"/>
    <col min="14350" max="14589" width="8.88671875" style="393"/>
    <col min="14590" max="14590" width="22" style="393" customWidth="1"/>
    <col min="14591" max="14591" width="9.88671875" style="393" customWidth="1"/>
    <col min="14592" max="14592" width="11" style="393" bestFit="1" customWidth="1"/>
    <col min="14593" max="14593" width="10" style="393" customWidth="1"/>
    <col min="14594" max="14595" width="8.88671875" style="393"/>
    <col min="14596" max="14596" width="12.88671875" style="393" bestFit="1" customWidth="1"/>
    <col min="14597" max="14597" width="7.88671875" style="393" bestFit="1" customWidth="1"/>
    <col min="14598" max="14599" width="13.6640625" style="393" customWidth="1"/>
    <col min="14600" max="14600" width="14.109375" style="393" bestFit="1" customWidth="1"/>
    <col min="14601" max="14601" width="8.88671875" style="393" customWidth="1"/>
    <col min="14602" max="14602" width="12.88671875" style="393" customWidth="1"/>
    <col min="14603" max="14603" width="9.44140625" style="393" customWidth="1"/>
    <col min="14604" max="14604" width="8.88671875" style="393"/>
    <col min="14605" max="14605" width="13.88671875" style="393" bestFit="1" customWidth="1"/>
    <col min="14606" max="14845" width="8.88671875" style="393"/>
    <col min="14846" max="14846" width="22" style="393" customWidth="1"/>
    <col min="14847" max="14847" width="9.88671875" style="393" customWidth="1"/>
    <col min="14848" max="14848" width="11" style="393" bestFit="1" customWidth="1"/>
    <col min="14849" max="14849" width="10" style="393" customWidth="1"/>
    <col min="14850" max="14851" width="8.88671875" style="393"/>
    <col min="14852" max="14852" width="12.88671875" style="393" bestFit="1" customWidth="1"/>
    <col min="14853" max="14853" width="7.88671875" style="393" bestFit="1" customWidth="1"/>
    <col min="14854" max="14855" width="13.6640625" style="393" customWidth="1"/>
    <col min="14856" max="14856" width="14.109375" style="393" bestFit="1" customWidth="1"/>
    <col min="14857" max="14857" width="8.88671875" style="393" customWidth="1"/>
    <col min="14858" max="14858" width="12.88671875" style="393" customWidth="1"/>
    <col min="14859" max="14859" width="9.44140625" style="393" customWidth="1"/>
    <col min="14860" max="14860" width="8.88671875" style="393"/>
    <col min="14861" max="14861" width="13.88671875" style="393" bestFit="1" customWidth="1"/>
    <col min="14862" max="15101" width="8.88671875" style="393"/>
    <col min="15102" max="15102" width="22" style="393" customWidth="1"/>
    <col min="15103" max="15103" width="9.88671875" style="393" customWidth="1"/>
    <col min="15104" max="15104" width="11" style="393" bestFit="1" customWidth="1"/>
    <col min="15105" max="15105" width="10" style="393" customWidth="1"/>
    <col min="15106" max="15107" width="8.88671875" style="393"/>
    <col min="15108" max="15108" width="12.88671875" style="393" bestFit="1" customWidth="1"/>
    <col min="15109" max="15109" width="7.88671875" style="393" bestFit="1" customWidth="1"/>
    <col min="15110" max="15111" width="13.6640625" style="393" customWidth="1"/>
    <col min="15112" max="15112" width="14.109375" style="393" bestFit="1" customWidth="1"/>
    <col min="15113" max="15113" width="8.88671875" style="393" customWidth="1"/>
    <col min="15114" max="15114" width="12.88671875" style="393" customWidth="1"/>
    <col min="15115" max="15115" width="9.44140625" style="393" customWidth="1"/>
    <col min="15116" max="15116" width="8.88671875" style="393"/>
    <col min="15117" max="15117" width="13.88671875" style="393" bestFit="1" customWidth="1"/>
    <col min="15118" max="15357" width="8.88671875" style="393"/>
    <col min="15358" max="15358" width="22" style="393" customWidth="1"/>
    <col min="15359" max="15359" width="9.88671875" style="393" customWidth="1"/>
    <col min="15360" max="15360" width="11" style="393" bestFit="1" customWidth="1"/>
    <col min="15361" max="15361" width="10" style="393" customWidth="1"/>
    <col min="15362" max="15363" width="8.88671875" style="393"/>
    <col min="15364" max="15364" width="12.88671875" style="393" bestFit="1" customWidth="1"/>
    <col min="15365" max="15365" width="7.88671875" style="393" bestFit="1" customWidth="1"/>
    <col min="15366" max="15367" width="13.6640625" style="393" customWidth="1"/>
    <col min="15368" max="15368" width="14.109375" style="393" bestFit="1" customWidth="1"/>
    <col min="15369" max="15369" width="8.88671875" style="393" customWidth="1"/>
    <col min="15370" max="15370" width="12.88671875" style="393" customWidth="1"/>
    <col min="15371" max="15371" width="9.44140625" style="393" customWidth="1"/>
    <col min="15372" max="15372" width="8.88671875" style="393"/>
    <col min="15373" max="15373" width="13.88671875" style="393" bestFit="1" customWidth="1"/>
    <col min="15374" max="15613" width="8.88671875" style="393"/>
    <col min="15614" max="15614" width="22" style="393" customWidth="1"/>
    <col min="15615" max="15615" width="9.88671875" style="393" customWidth="1"/>
    <col min="15616" max="15616" width="11" style="393" bestFit="1" customWidth="1"/>
    <col min="15617" max="15617" width="10" style="393" customWidth="1"/>
    <col min="15618" max="15619" width="8.88671875" style="393"/>
    <col min="15620" max="15620" width="12.88671875" style="393" bestFit="1" customWidth="1"/>
    <col min="15621" max="15621" width="7.88671875" style="393" bestFit="1" customWidth="1"/>
    <col min="15622" max="15623" width="13.6640625" style="393" customWidth="1"/>
    <col min="15624" max="15624" width="14.109375" style="393" bestFit="1" customWidth="1"/>
    <col min="15625" max="15625" width="8.88671875" style="393" customWidth="1"/>
    <col min="15626" max="15626" width="12.88671875" style="393" customWidth="1"/>
    <col min="15627" max="15627" width="9.44140625" style="393" customWidth="1"/>
    <col min="15628" max="15628" width="8.88671875" style="393"/>
    <col min="15629" max="15629" width="13.88671875" style="393" bestFit="1" customWidth="1"/>
    <col min="15630" max="15869" width="8.88671875" style="393"/>
    <col min="15870" max="15870" width="22" style="393" customWidth="1"/>
    <col min="15871" max="15871" width="9.88671875" style="393" customWidth="1"/>
    <col min="15872" max="15872" width="11" style="393" bestFit="1" customWidth="1"/>
    <col min="15873" max="15873" width="10" style="393" customWidth="1"/>
    <col min="15874" max="15875" width="8.88671875" style="393"/>
    <col min="15876" max="15876" width="12.88671875" style="393" bestFit="1" customWidth="1"/>
    <col min="15877" max="15877" width="7.88671875" style="393" bestFit="1" customWidth="1"/>
    <col min="15878" max="15879" width="13.6640625" style="393" customWidth="1"/>
    <col min="15880" max="15880" width="14.109375" style="393" bestFit="1" customWidth="1"/>
    <col min="15881" max="15881" width="8.88671875" style="393" customWidth="1"/>
    <col min="15882" max="15882" width="12.88671875" style="393" customWidth="1"/>
    <col min="15883" max="15883" width="9.44140625" style="393" customWidth="1"/>
    <col min="15884" max="15884" width="8.88671875" style="393"/>
    <col min="15885" max="15885" width="13.88671875" style="393" bestFit="1" customWidth="1"/>
    <col min="15886" max="16125" width="8.88671875" style="393"/>
    <col min="16126" max="16126" width="22" style="393" customWidth="1"/>
    <col min="16127" max="16127" width="9.88671875" style="393" customWidth="1"/>
    <col min="16128" max="16128" width="11" style="393" bestFit="1" customWidth="1"/>
    <col min="16129" max="16129" width="10" style="393" customWidth="1"/>
    <col min="16130" max="16131" width="8.88671875" style="393"/>
    <col min="16132" max="16132" width="12.88671875" style="393" bestFit="1" customWidth="1"/>
    <col min="16133" max="16133" width="7.88671875" style="393" bestFit="1" customWidth="1"/>
    <col min="16134" max="16135" width="13.6640625" style="393" customWidth="1"/>
    <col min="16136" max="16136" width="14.109375" style="393" bestFit="1" customWidth="1"/>
    <col min="16137" max="16137" width="8.88671875" style="393" customWidth="1"/>
    <col min="16138" max="16138" width="12.88671875" style="393" customWidth="1"/>
    <col min="16139" max="16139" width="9.44140625" style="393" customWidth="1"/>
    <col min="16140" max="16140" width="8.88671875" style="393"/>
    <col min="16141" max="16141" width="13.88671875" style="393" bestFit="1" customWidth="1"/>
    <col min="16142" max="16383" width="8.88671875" style="393"/>
    <col min="16384" max="16384" width="9.109375" style="393" customWidth="1"/>
  </cols>
  <sheetData>
    <row r="1" spans="1:20" s="412" customFormat="1" ht="20.399999999999999" thickBot="1" x14ac:dyDescent="0.45">
      <c r="A1" s="482" t="s">
        <v>253</v>
      </c>
      <c r="B1" s="482"/>
      <c r="C1" s="482"/>
      <c r="D1" s="482"/>
      <c r="E1" s="482"/>
      <c r="F1" s="482"/>
      <c r="G1" s="482"/>
      <c r="H1" s="482"/>
      <c r="I1" s="482"/>
      <c r="J1" s="482"/>
      <c r="K1" s="482"/>
      <c r="L1" s="482"/>
      <c r="M1" s="482"/>
      <c r="O1" s="417"/>
      <c r="P1" s="417"/>
    </row>
    <row r="2" spans="1:20" s="412" customFormat="1" ht="21" thickTop="1" thickBot="1" x14ac:dyDescent="0.45">
      <c r="A2" s="482" t="s">
        <v>194</v>
      </c>
      <c r="B2" s="482"/>
      <c r="C2" s="482"/>
      <c r="D2" s="482"/>
      <c r="E2" s="482"/>
      <c r="F2" s="482"/>
      <c r="G2" s="482"/>
      <c r="H2" s="482"/>
      <c r="I2" s="482"/>
      <c r="J2" s="482"/>
      <c r="K2" s="482"/>
      <c r="L2" s="482"/>
      <c r="M2" s="482"/>
      <c r="O2" s="417"/>
      <c r="P2" s="417"/>
    </row>
    <row r="3" spans="1:20" s="413" customFormat="1" ht="12.6" thickTop="1" x14ac:dyDescent="0.25">
      <c r="A3" s="483" t="s">
        <v>0</v>
      </c>
      <c r="B3" s="490" t="s">
        <v>139</v>
      </c>
      <c r="C3" s="491"/>
      <c r="D3" s="491"/>
      <c r="E3" s="491"/>
      <c r="F3" s="491"/>
      <c r="G3" s="491"/>
      <c r="H3" s="491"/>
      <c r="I3" s="491"/>
      <c r="J3" s="492" t="s">
        <v>140</v>
      </c>
      <c r="K3" s="493"/>
      <c r="L3" s="493"/>
      <c r="M3" s="493"/>
      <c r="O3" s="418"/>
      <c r="P3" s="418"/>
    </row>
    <row r="4" spans="1:20" s="412" customFormat="1" ht="12" x14ac:dyDescent="0.25">
      <c r="A4" s="484"/>
      <c r="B4" s="411" t="s">
        <v>45</v>
      </c>
      <c r="C4" s="411" t="s">
        <v>46</v>
      </c>
      <c r="D4" s="411" t="s">
        <v>47</v>
      </c>
      <c r="E4" s="411" t="s">
        <v>141</v>
      </c>
      <c r="F4" s="483" t="s">
        <v>142</v>
      </c>
      <c r="G4" s="476" t="s">
        <v>11</v>
      </c>
      <c r="H4" s="476" t="s">
        <v>143</v>
      </c>
      <c r="I4" s="476" t="s">
        <v>296</v>
      </c>
      <c r="J4" s="483" t="s">
        <v>297</v>
      </c>
      <c r="K4" s="483" t="s">
        <v>25</v>
      </c>
      <c r="L4" s="486" t="s">
        <v>12</v>
      </c>
      <c r="M4" s="476" t="s">
        <v>144</v>
      </c>
      <c r="O4" s="417"/>
      <c r="P4" s="417"/>
    </row>
    <row r="5" spans="1:20" s="410" customFormat="1" ht="13.2" customHeight="1" x14ac:dyDescent="0.25">
      <c r="A5" s="489"/>
      <c r="B5" s="411" t="s">
        <v>145</v>
      </c>
      <c r="C5" s="411" t="s">
        <v>145</v>
      </c>
      <c r="D5" s="411" t="s">
        <v>145</v>
      </c>
      <c r="E5" s="411" t="s">
        <v>145</v>
      </c>
      <c r="F5" s="484"/>
      <c r="G5" s="477"/>
      <c r="H5" s="477"/>
      <c r="I5" s="477"/>
      <c r="J5" s="484"/>
      <c r="K5" s="484"/>
      <c r="L5" s="487"/>
      <c r="M5" s="477"/>
      <c r="O5" s="419"/>
      <c r="P5" s="419"/>
    </row>
    <row r="6" spans="1:20" ht="12" x14ac:dyDescent="0.25">
      <c r="A6" s="485"/>
      <c r="B6" s="409">
        <v>88.01</v>
      </c>
      <c r="C6" s="409">
        <v>132.91</v>
      </c>
      <c r="D6" s="409">
        <v>168.46</v>
      </c>
      <c r="E6" s="409">
        <v>40.380000000000003</v>
      </c>
      <c r="F6" s="485"/>
      <c r="G6" s="478"/>
      <c r="H6" s="478"/>
      <c r="I6" s="478"/>
      <c r="J6" s="485"/>
      <c r="K6" s="485"/>
      <c r="L6" s="488"/>
      <c r="M6" s="478"/>
    </row>
    <row r="7" spans="1:20" ht="13.2" x14ac:dyDescent="0.25">
      <c r="A7" s="479" t="s">
        <v>273</v>
      </c>
      <c r="B7" s="480"/>
      <c r="C7" s="480"/>
      <c r="D7" s="480"/>
      <c r="E7" s="480"/>
      <c r="F7" s="480"/>
      <c r="G7" s="480"/>
      <c r="H7" s="480"/>
      <c r="I7" s="480"/>
      <c r="J7" s="480"/>
      <c r="K7" s="480"/>
      <c r="L7" s="480"/>
      <c r="M7" s="481"/>
    </row>
    <row r="8" spans="1:20" ht="26.4" customHeight="1" x14ac:dyDescent="0.25">
      <c r="A8" s="408" t="s">
        <v>30</v>
      </c>
      <c r="B8" s="403">
        <v>8</v>
      </c>
      <c r="C8" s="403">
        <v>4.5</v>
      </c>
      <c r="D8" s="403">
        <v>10</v>
      </c>
      <c r="E8" s="403">
        <v>1</v>
      </c>
      <c r="F8" s="403">
        <f t="shared" ref="F8:F13" si="0">B8+C8+D8+E8</f>
        <v>23.5</v>
      </c>
      <c r="G8" s="402">
        <f t="shared" ref="G8:G13" si="1">(B8*$B$6)+(C8*$C$6)+(D8*$D$6)+(E8*$E$6)</f>
        <v>3027.1550000000007</v>
      </c>
      <c r="H8" s="402">
        <v>0</v>
      </c>
      <c r="I8" s="402">
        <v>0</v>
      </c>
      <c r="J8" s="365">
        <v>1</v>
      </c>
      <c r="K8" s="366">
        <v>8</v>
      </c>
      <c r="L8" s="403">
        <f t="shared" ref="L8:L13" si="2">F8*J8*K8</f>
        <v>188</v>
      </c>
      <c r="M8" s="402">
        <f t="shared" ref="M8:M13" si="3">(G8+H8+I8)*J8*K8</f>
        <v>24217.240000000005</v>
      </c>
      <c r="O8" s="420"/>
      <c r="P8" s="421"/>
    </row>
    <row r="9" spans="1:20" ht="28.8" customHeight="1" x14ac:dyDescent="0.25">
      <c r="A9" s="404" t="s">
        <v>28</v>
      </c>
      <c r="B9" s="403">
        <v>2</v>
      </c>
      <c r="C9" s="403">
        <v>1</v>
      </c>
      <c r="D9" s="403">
        <v>0</v>
      </c>
      <c r="E9" s="403">
        <v>0</v>
      </c>
      <c r="F9" s="403">
        <f t="shared" si="0"/>
        <v>3</v>
      </c>
      <c r="G9" s="402">
        <f t="shared" si="1"/>
        <v>308.93</v>
      </c>
      <c r="H9" s="402">
        <v>0</v>
      </c>
      <c r="I9" s="402">
        <v>0</v>
      </c>
      <c r="J9" s="365">
        <v>1.4</v>
      </c>
      <c r="K9" s="366">
        <v>8</v>
      </c>
      <c r="L9" s="403">
        <f t="shared" si="2"/>
        <v>33.599999999999994</v>
      </c>
      <c r="M9" s="402">
        <f t="shared" si="3"/>
        <v>3460.0160000000001</v>
      </c>
      <c r="O9" s="420"/>
      <c r="P9" s="421"/>
    </row>
    <row r="10" spans="1:20" ht="26.4" x14ac:dyDescent="0.25">
      <c r="A10" s="404" t="s">
        <v>9</v>
      </c>
      <c r="B10" s="403">
        <v>6</v>
      </c>
      <c r="C10" s="403">
        <v>6</v>
      </c>
      <c r="D10" s="403">
        <v>1</v>
      </c>
      <c r="E10" s="403">
        <v>1</v>
      </c>
      <c r="F10" s="403">
        <f t="shared" si="0"/>
        <v>14</v>
      </c>
      <c r="G10" s="402">
        <f t="shared" si="1"/>
        <v>1534.3600000000001</v>
      </c>
      <c r="H10" s="402">
        <v>0</v>
      </c>
      <c r="I10" s="402">
        <v>0</v>
      </c>
      <c r="J10" s="365">
        <v>1.4</v>
      </c>
      <c r="K10" s="366">
        <v>8</v>
      </c>
      <c r="L10" s="403">
        <f t="shared" si="2"/>
        <v>156.79999999999998</v>
      </c>
      <c r="M10" s="402">
        <f t="shared" si="3"/>
        <v>17184.832000000002</v>
      </c>
      <c r="O10" s="420"/>
      <c r="P10" s="421"/>
    </row>
    <row r="11" spans="1:20" ht="39.6" x14ac:dyDescent="0.25">
      <c r="A11" s="404" t="s">
        <v>10</v>
      </c>
      <c r="B11" s="403">
        <v>2</v>
      </c>
      <c r="C11" s="403">
        <v>0.5</v>
      </c>
      <c r="D11" s="403">
        <v>0</v>
      </c>
      <c r="E11" s="403">
        <v>4</v>
      </c>
      <c r="F11" s="403">
        <f t="shared" si="0"/>
        <v>6.5</v>
      </c>
      <c r="G11" s="402">
        <f t="shared" si="1"/>
        <v>403.995</v>
      </c>
      <c r="H11" s="402">
        <v>0</v>
      </c>
      <c r="I11" s="402">
        <v>4</v>
      </c>
      <c r="J11" s="365">
        <v>1.4</v>
      </c>
      <c r="K11" s="366">
        <v>8</v>
      </c>
      <c r="L11" s="403">
        <f t="shared" si="2"/>
        <v>72.8</v>
      </c>
      <c r="M11" s="402">
        <f t="shared" si="3"/>
        <v>4569.5439999999999</v>
      </c>
      <c r="O11" s="420"/>
      <c r="P11" s="421"/>
    </row>
    <row r="12" spans="1:20" ht="26.4" x14ac:dyDescent="0.25">
      <c r="A12" s="407" t="s">
        <v>8</v>
      </c>
      <c r="B12" s="403">
        <v>0.5</v>
      </c>
      <c r="C12" s="403">
        <v>0</v>
      </c>
      <c r="D12" s="403">
        <v>0</v>
      </c>
      <c r="E12" s="403">
        <v>0</v>
      </c>
      <c r="F12" s="403">
        <f t="shared" si="0"/>
        <v>0.5</v>
      </c>
      <c r="G12" s="402">
        <f t="shared" si="1"/>
        <v>44.005000000000003</v>
      </c>
      <c r="H12" s="402">
        <v>0</v>
      </c>
      <c r="I12" s="402">
        <v>4</v>
      </c>
      <c r="J12" s="365">
        <v>0.4</v>
      </c>
      <c r="K12" s="366">
        <v>8</v>
      </c>
      <c r="L12" s="403">
        <f t="shared" si="2"/>
        <v>1.6</v>
      </c>
      <c r="M12" s="402">
        <f t="shared" si="3"/>
        <v>153.61600000000001</v>
      </c>
      <c r="O12" s="420"/>
      <c r="P12" s="421"/>
    </row>
    <row r="13" spans="1:20" ht="26.4" x14ac:dyDescent="0.25">
      <c r="A13" s="404" t="s">
        <v>1</v>
      </c>
      <c r="B13" s="403">
        <v>3.5</v>
      </c>
      <c r="C13" s="403">
        <v>0</v>
      </c>
      <c r="D13" s="403">
        <v>0</v>
      </c>
      <c r="E13" s="403">
        <v>2</v>
      </c>
      <c r="F13" s="403">
        <f t="shared" si="0"/>
        <v>5.5</v>
      </c>
      <c r="G13" s="402">
        <f t="shared" si="1"/>
        <v>388.79500000000002</v>
      </c>
      <c r="H13" s="402">
        <v>0</v>
      </c>
      <c r="I13" s="402">
        <v>6</v>
      </c>
      <c r="J13" s="365">
        <v>1</v>
      </c>
      <c r="K13" s="366">
        <v>4</v>
      </c>
      <c r="L13" s="403">
        <f t="shared" si="2"/>
        <v>22</v>
      </c>
      <c r="M13" s="586">
        <f t="shared" si="3"/>
        <v>1579.18</v>
      </c>
      <c r="N13" s="396"/>
      <c r="O13" s="420"/>
      <c r="P13" s="421"/>
      <c r="Q13" s="396"/>
      <c r="R13" s="396"/>
      <c r="S13" s="396"/>
      <c r="T13" s="396"/>
    </row>
    <row r="14" spans="1:20" ht="13.2" x14ac:dyDescent="0.25">
      <c r="A14" s="479" t="s">
        <v>275</v>
      </c>
      <c r="B14" s="480"/>
      <c r="C14" s="480"/>
      <c r="D14" s="480"/>
      <c r="E14" s="480"/>
      <c r="F14" s="480"/>
      <c r="G14" s="480"/>
      <c r="H14" s="480"/>
      <c r="I14" s="480"/>
      <c r="J14" s="480"/>
      <c r="K14" s="480"/>
      <c r="L14" s="480"/>
      <c r="M14" s="480"/>
      <c r="N14" s="396"/>
      <c r="O14" s="420"/>
      <c r="P14" s="421"/>
      <c r="Q14" s="396"/>
      <c r="R14" s="396"/>
      <c r="S14" s="396"/>
      <c r="T14" s="396"/>
    </row>
    <row r="15" spans="1:20" ht="15.6" x14ac:dyDescent="0.25">
      <c r="A15" s="404" t="s">
        <v>276</v>
      </c>
      <c r="B15" s="403">
        <v>0</v>
      </c>
      <c r="C15" s="403">
        <v>0</v>
      </c>
      <c r="D15" s="403">
        <v>0</v>
      </c>
      <c r="E15" s="403">
        <v>0</v>
      </c>
      <c r="F15" s="403">
        <f t="shared" ref="F15" si="4">B15+C15+D15+E15</f>
        <v>0</v>
      </c>
      <c r="G15" s="402">
        <f t="shared" ref="G15" si="5">(B15*$B$6)+(C15*$C$6)+(D15*$D$6)+(E15*$E$6)</f>
        <v>0</v>
      </c>
      <c r="H15" s="402">
        <v>0</v>
      </c>
      <c r="I15" s="405">
        <f>32700/3</f>
        <v>10900</v>
      </c>
      <c r="J15" s="365">
        <f>10/4</f>
        <v>2.5</v>
      </c>
      <c r="K15" s="366">
        <v>4</v>
      </c>
      <c r="L15" s="403">
        <f t="shared" ref="L15" si="6">F15*J15*K15</f>
        <v>0</v>
      </c>
      <c r="M15" s="586">
        <f t="shared" ref="M15" si="7">(G15+H15+I15)*J15*K15</f>
        <v>109000</v>
      </c>
      <c r="N15" s="396"/>
      <c r="Q15" s="396"/>
      <c r="R15" s="396"/>
      <c r="S15" s="396"/>
      <c r="T15" s="396"/>
    </row>
    <row r="16" spans="1:20" ht="13.2" x14ac:dyDescent="0.25">
      <c r="A16" s="404" t="s">
        <v>54</v>
      </c>
      <c r="B16" s="403">
        <v>2</v>
      </c>
      <c r="C16" s="403">
        <v>0</v>
      </c>
      <c r="D16" s="403">
        <v>0</v>
      </c>
      <c r="E16" s="403">
        <v>0</v>
      </c>
      <c r="F16" s="403">
        <f>B16+C16+D16+E16</f>
        <v>2</v>
      </c>
      <c r="G16" s="402">
        <f>(B16*$B$6)+(C16*$C$6)+(D16*$D$6)+(E16*$E$6)</f>
        <v>176.02</v>
      </c>
      <c r="H16" s="402">
        <v>0</v>
      </c>
      <c r="I16" s="402">
        <v>200</v>
      </c>
      <c r="J16" s="365">
        <f t="shared" ref="J16:J19" si="8">10/4</f>
        <v>2.5</v>
      </c>
      <c r="K16" s="366">
        <v>4</v>
      </c>
      <c r="L16" s="403">
        <f>F16*J16*K16</f>
        <v>20</v>
      </c>
      <c r="M16" s="586">
        <f>(G16+H16+I16)*J16*K16</f>
        <v>3760.2</v>
      </c>
      <c r="N16" s="396"/>
      <c r="Q16" s="396"/>
      <c r="R16" s="396"/>
      <c r="S16" s="396"/>
      <c r="T16" s="396"/>
    </row>
    <row r="17" spans="1:20" ht="13.2" x14ac:dyDescent="0.25">
      <c r="A17" s="404" t="s">
        <v>48</v>
      </c>
      <c r="B17" s="403">
        <v>0</v>
      </c>
      <c r="C17" s="403">
        <v>0</v>
      </c>
      <c r="D17" s="403">
        <v>0</v>
      </c>
      <c r="E17" s="403">
        <v>0</v>
      </c>
      <c r="F17" s="403">
        <f t="shared" ref="F17:F18" si="9">B17+C17+D17+E17</f>
        <v>0</v>
      </c>
      <c r="G17" s="402">
        <f t="shared" ref="G17:G18" si="10">(B17*$B$6)+(C17*$C$6)+(D17*$D$6)+(E17*$E$6)</f>
        <v>0</v>
      </c>
      <c r="H17" s="402">
        <v>0</v>
      </c>
      <c r="I17" s="405">
        <f>2500/3</f>
        <v>833.33333333333337</v>
      </c>
      <c r="J17" s="365">
        <f t="shared" si="8"/>
        <v>2.5</v>
      </c>
      <c r="K17" s="366">
        <v>4</v>
      </c>
      <c r="L17" s="403">
        <f t="shared" ref="L17:L18" si="11">F17*J17*K17</f>
        <v>0</v>
      </c>
      <c r="M17" s="586">
        <f t="shared" ref="M17:M18" si="12">(G17+H17+I17)*J17*K17</f>
        <v>8333.3333333333339</v>
      </c>
      <c r="N17" s="396"/>
      <c r="Q17" s="396"/>
      <c r="R17" s="396"/>
      <c r="S17" s="396"/>
      <c r="T17" s="396"/>
    </row>
    <row r="18" spans="1:20" ht="26.4" x14ac:dyDescent="0.25">
      <c r="A18" s="404" t="s">
        <v>49</v>
      </c>
      <c r="B18" s="403">
        <v>0</v>
      </c>
      <c r="C18" s="403">
        <v>0</v>
      </c>
      <c r="D18" s="403">
        <v>0</v>
      </c>
      <c r="E18" s="403">
        <v>0</v>
      </c>
      <c r="F18" s="403">
        <f t="shared" si="9"/>
        <v>0</v>
      </c>
      <c r="G18" s="402">
        <f t="shared" si="10"/>
        <v>0</v>
      </c>
      <c r="H18" s="402">
        <v>0</v>
      </c>
      <c r="I18" s="405">
        <f>250/3</f>
        <v>83.333333333333329</v>
      </c>
      <c r="J18" s="365">
        <f t="shared" si="8"/>
        <v>2.5</v>
      </c>
      <c r="K18" s="366">
        <v>4</v>
      </c>
      <c r="L18" s="403">
        <f t="shared" si="11"/>
        <v>0</v>
      </c>
      <c r="M18" s="586">
        <f t="shared" si="12"/>
        <v>833.33333333333326</v>
      </c>
      <c r="N18" s="396"/>
      <c r="O18" s="420"/>
      <c r="P18" s="421"/>
      <c r="Q18" s="421"/>
      <c r="R18" s="421"/>
      <c r="S18" s="421"/>
      <c r="T18" s="396"/>
    </row>
    <row r="19" spans="1:20" ht="13.2" x14ac:dyDescent="0.25">
      <c r="A19" s="406" t="s">
        <v>53</v>
      </c>
      <c r="B19" s="403">
        <v>0</v>
      </c>
      <c r="C19" s="403">
        <v>0</v>
      </c>
      <c r="D19" s="403">
        <v>0</v>
      </c>
      <c r="E19" s="403">
        <v>0</v>
      </c>
      <c r="F19" s="403">
        <f>B19+C19+D19+E19</f>
        <v>0</v>
      </c>
      <c r="G19" s="402">
        <f>(B19*$B$6)+(C19*$C$6)+(D19*$D$6)+(E19*$E$6)</f>
        <v>0</v>
      </c>
      <c r="H19" s="402">
        <v>0</v>
      </c>
      <c r="I19" s="90">
        <v>47664</v>
      </c>
      <c r="J19" s="365">
        <f t="shared" si="8"/>
        <v>2.5</v>
      </c>
      <c r="K19" s="366">
        <v>4</v>
      </c>
      <c r="L19" s="403">
        <f>F19*J19*K19</f>
        <v>0</v>
      </c>
      <c r="M19" s="586">
        <f>(G19+H19+I19)*J19*K19</f>
        <v>476640</v>
      </c>
      <c r="N19" s="396"/>
      <c r="O19" s="420"/>
      <c r="P19" s="421"/>
      <c r="Q19" s="396"/>
      <c r="R19" s="588"/>
      <c r="S19" s="588"/>
      <c r="T19" s="396"/>
    </row>
    <row r="20" spans="1:20" ht="13.2" x14ac:dyDescent="0.25">
      <c r="A20" s="479" t="s">
        <v>274</v>
      </c>
      <c r="B20" s="480"/>
      <c r="C20" s="480"/>
      <c r="D20" s="480"/>
      <c r="E20" s="480"/>
      <c r="F20" s="480"/>
      <c r="G20" s="480"/>
      <c r="H20" s="480"/>
      <c r="I20" s="480"/>
      <c r="J20" s="480"/>
      <c r="K20" s="480"/>
      <c r="L20" s="480"/>
      <c r="M20" s="480"/>
      <c r="N20" s="396"/>
      <c r="Q20" s="396"/>
      <c r="R20" s="396"/>
      <c r="S20" s="396"/>
      <c r="T20" s="396"/>
    </row>
    <row r="21" spans="1:20" ht="39.6" x14ac:dyDescent="0.25">
      <c r="A21" s="404" t="s">
        <v>50</v>
      </c>
      <c r="B21" s="403">
        <v>1</v>
      </c>
      <c r="C21" s="403">
        <v>0</v>
      </c>
      <c r="D21" s="403">
        <v>0</v>
      </c>
      <c r="E21" s="403">
        <v>1</v>
      </c>
      <c r="F21" s="403">
        <f>B21+C21+D21+E21</f>
        <v>2</v>
      </c>
      <c r="G21" s="402">
        <f>(B21*$B$6)+(C21*$C$6)+(D21*$D$6)+(E21*$E$6)</f>
        <v>128.39000000000001</v>
      </c>
      <c r="H21" s="402">
        <v>0</v>
      </c>
      <c r="I21" s="405">
        <v>183</v>
      </c>
      <c r="J21" s="365">
        <v>1</v>
      </c>
      <c r="K21" s="366">
        <v>1</v>
      </c>
      <c r="L21" s="403">
        <f>F21*J21*K21</f>
        <v>2</v>
      </c>
      <c r="M21" s="587">
        <f>(G21+H21+I21)*J21*K21</f>
        <v>311.39</v>
      </c>
      <c r="N21" s="396"/>
      <c r="Q21" s="396"/>
      <c r="R21" s="396"/>
      <c r="S21" s="396"/>
      <c r="T21" s="396"/>
    </row>
    <row r="22" spans="1:20" ht="26.4" x14ac:dyDescent="0.25">
      <c r="A22" s="404" t="s">
        <v>51</v>
      </c>
      <c r="B22" s="403">
        <v>2</v>
      </c>
      <c r="C22" s="403">
        <v>0</v>
      </c>
      <c r="D22" s="403">
        <v>0</v>
      </c>
      <c r="E22" s="403">
        <v>0</v>
      </c>
      <c r="F22" s="403">
        <f>B22+C22+D22+E22</f>
        <v>2</v>
      </c>
      <c r="G22" s="402">
        <f>(B22*$B$6)+(C22*$C$6)+(D22*$D$6)+(E22*$E$6)</f>
        <v>176.02</v>
      </c>
      <c r="H22" s="402">
        <v>0</v>
      </c>
      <c r="I22" s="405">
        <v>0</v>
      </c>
      <c r="J22" s="365">
        <v>1</v>
      </c>
      <c r="K22" s="366">
        <v>1</v>
      </c>
      <c r="L22" s="403">
        <f>F22*J22*K22</f>
        <v>2</v>
      </c>
      <c r="M22" s="587">
        <f>(G22+H22+I22)*J22*K22</f>
        <v>176.02</v>
      </c>
      <c r="N22" s="396"/>
      <c r="Q22" s="396"/>
      <c r="R22" s="396"/>
      <c r="S22" s="396"/>
      <c r="T22" s="396"/>
    </row>
    <row r="23" spans="1:20" ht="13.2" x14ac:dyDescent="0.25">
      <c r="A23" s="479" t="s">
        <v>23</v>
      </c>
      <c r="B23" s="480"/>
      <c r="C23" s="480"/>
      <c r="D23" s="480"/>
      <c r="E23" s="480"/>
      <c r="F23" s="480"/>
      <c r="G23" s="480"/>
      <c r="H23" s="480"/>
      <c r="I23" s="480"/>
      <c r="J23" s="480"/>
      <c r="K23" s="480"/>
      <c r="L23" s="480"/>
      <c r="M23" s="480"/>
      <c r="N23" s="396"/>
      <c r="Q23" s="396"/>
      <c r="R23" s="396"/>
      <c r="S23" s="396"/>
      <c r="T23" s="396"/>
    </row>
    <row r="24" spans="1:20" ht="26.4" x14ac:dyDescent="0.25">
      <c r="A24" s="404" t="s">
        <v>2</v>
      </c>
      <c r="B24" s="403">
        <v>5</v>
      </c>
      <c r="C24" s="403">
        <v>2</v>
      </c>
      <c r="D24" s="403">
        <v>2</v>
      </c>
      <c r="E24" s="403">
        <v>10</v>
      </c>
      <c r="F24" s="403">
        <f>B24+C24+D24+E24</f>
        <v>19</v>
      </c>
      <c r="G24" s="402">
        <f>(B24*$B$6)+(C24*$C$6)+(D24*$D$6)+(E24*$E$6)</f>
        <v>1446.59</v>
      </c>
      <c r="H24" s="402">
        <v>0</v>
      </c>
      <c r="I24" s="402">
        <v>5</v>
      </c>
      <c r="J24" s="365">
        <v>1</v>
      </c>
      <c r="K24" s="366">
        <v>8</v>
      </c>
      <c r="L24" s="403">
        <f>F24*J24*K24</f>
        <v>152</v>
      </c>
      <c r="M24" s="586">
        <f>(G24+H24+I24)*J24*K24</f>
        <v>11612.72</v>
      </c>
      <c r="N24" s="589"/>
      <c r="Q24" s="396"/>
      <c r="R24" s="396"/>
      <c r="S24" s="396"/>
      <c r="T24" s="396"/>
    </row>
    <row r="25" spans="1:20" ht="26.4" x14ac:dyDescent="0.25">
      <c r="A25" s="401" t="s">
        <v>52</v>
      </c>
      <c r="B25" s="400">
        <f t="shared" ref="B25:I25" si="13">SUM(B8:B24)</f>
        <v>32</v>
      </c>
      <c r="C25" s="400">
        <f t="shared" si="13"/>
        <v>14</v>
      </c>
      <c r="D25" s="400">
        <f t="shared" si="13"/>
        <v>13</v>
      </c>
      <c r="E25" s="400">
        <f t="shared" si="13"/>
        <v>19</v>
      </c>
      <c r="F25" s="400">
        <f t="shared" si="13"/>
        <v>78</v>
      </c>
      <c r="G25" s="310">
        <f t="shared" si="13"/>
        <v>7634.260000000002</v>
      </c>
      <c r="H25" s="310">
        <f t="shared" si="13"/>
        <v>0</v>
      </c>
      <c r="I25" s="310">
        <f t="shared" si="13"/>
        <v>59882.666666666672</v>
      </c>
      <c r="J25" s="400" t="s">
        <v>4</v>
      </c>
      <c r="K25" s="400" t="s">
        <v>6</v>
      </c>
      <c r="L25" s="400" t="s">
        <v>6</v>
      </c>
      <c r="M25" s="310" t="s">
        <v>6</v>
      </c>
    </row>
    <row r="26" spans="1:20" ht="13.2" x14ac:dyDescent="0.25">
      <c r="A26" s="401" t="s">
        <v>5</v>
      </c>
      <c r="B26" s="400" t="s">
        <v>6</v>
      </c>
      <c r="C26" s="400" t="s">
        <v>6</v>
      </c>
      <c r="D26" s="400" t="s">
        <v>6</v>
      </c>
      <c r="E26" s="400" t="s">
        <v>6</v>
      </c>
      <c r="F26" s="400" t="s">
        <v>6</v>
      </c>
      <c r="G26" s="310">
        <f>SUMPRODUCT(G8:G24,J8:J24,K8:K24)</f>
        <v>64720.157999999996</v>
      </c>
      <c r="H26" s="310">
        <v>0</v>
      </c>
      <c r="I26" s="310">
        <f>SUMPRODUCT(I8:I24,J8:J24,K8:K24)</f>
        <v>597111.2666666666</v>
      </c>
      <c r="J26" s="400" t="s">
        <v>4</v>
      </c>
      <c r="K26" s="400">
        <v>8</v>
      </c>
      <c r="L26" s="400">
        <f>SUM(L8:L24)</f>
        <v>650.79999999999995</v>
      </c>
      <c r="M26" s="310">
        <f>SUM(M8:M24)</f>
        <v>661831.42466666678</v>
      </c>
    </row>
    <row r="27" spans="1:20" ht="11.4" x14ac:dyDescent="0.2">
      <c r="A27" s="200" t="s">
        <v>278</v>
      </c>
      <c r="B27" s="399"/>
      <c r="D27" s="398"/>
      <c r="E27" s="398"/>
      <c r="F27" s="398"/>
      <c r="G27" s="397"/>
      <c r="H27" s="398"/>
      <c r="I27" s="397"/>
      <c r="J27" s="398"/>
      <c r="K27" s="398"/>
      <c r="L27" s="398"/>
      <c r="M27" s="397"/>
    </row>
    <row r="28" spans="1:20" ht="11.4" x14ac:dyDescent="0.2">
      <c r="A28" s="200" t="s">
        <v>279</v>
      </c>
    </row>
    <row r="29" spans="1:20" ht="11.4" x14ac:dyDescent="0.2">
      <c r="A29" s="399" t="s">
        <v>277</v>
      </c>
    </row>
    <row r="30" spans="1:20" ht="15" x14ac:dyDescent="0.25">
      <c r="A30" s="395"/>
      <c r="B30" s="395"/>
    </row>
    <row r="31" spans="1:20" ht="15" x14ac:dyDescent="0.25">
      <c r="A31" s="395"/>
      <c r="B31" s="394"/>
    </row>
    <row r="32" spans="1:20" ht="15" x14ac:dyDescent="0.25">
      <c r="A32" s="395"/>
      <c r="B32" s="394"/>
    </row>
    <row r="33" spans="1:2" ht="15" x14ac:dyDescent="0.25">
      <c r="A33" s="395"/>
      <c r="B33" s="394"/>
    </row>
    <row r="34" spans="1:2" ht="15" x14ac:dyDescent="0.25">
      <c r="A34" s="395"/>
      <c r="B34" s="394"/>
    </row>
  </sheetData>
  <mergeCells count="17">
    <mergeCell ref="A1:M1"/>
    <mergeCell ref="A2:M2"/>
    <mergeCell ref="J4:J6"/>
    <mergeCell ref="K4:K6"/>
    <mergeCell ref="L4:L6"/>
    <mergeCell ref="M4:M6"/>
    <mergeCell ref="A3:A6"/>
    <mergeCell ref="B3:I3"/>
    <mergeCell ref="J3:M3"/>
    <mergeCell ref="F4:F6"/>
    <mergeCell ref="G4:G6"/>
    <mergeCell ref="H4:H6"/>
    <mergeCell ref="I4:I6"/>
    <mergeCell ref="A7:M7"/>
    <mergeCell ref="A14:M14"/>
    <mergeCell ref="A20:M20"/>
    <mergeCell ref="A23:M23"/>
  </mergeCells>
  <printOptions horizontalCentered="1" verticalCentered="1"/>
  <pageMargins left="0.75" right="0.75" top="1" bottom="1" header="0.5" footer="0.5"/>
  <pageSetup scale="68"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workbookViewId="0">
      <selection sqref="A1:L1"/>
    </sheetView>
  </sheetViews>
  <sheetFormatPr defaultColWidth="9.109375" defaultRowHeight="13.2" x14ac:dyDescent="0.25"/>
  <cols>
    <col min="1" max="1" width="27.44140625" style="19" customWidth="1"/>
    <col min="2" max="2" width="10.109375" style="19" customWidth="1"/>
    <col min="3" max="3" width="9.88671875" style="19" customWidth="1"/>
    <col min="4" max="4" width="10.33203125" style="19" customWidth="1"/>
    <col min="5" max="6" width="9.33203125" style="19" bestFit="1" customWidth="1"/>
    <col min="7" max="7" width="13.44140625" style="19" customWidth="1"/>
    <col min="8" max="8" width="9.33203125" style="19" bestFit="1" customWidth="1"/>
    <col min="9" max="9" width="9.6640625" style="29" customWidth="1"/>
    <col min="10" max="10" width="11.21875" style="19" customWidth="1"/>
    <col min="11" max="11" width="9.33203125" style="19" customWidth="1"/>
    <col min="12" max="12" width="12.109375" style="19" customWidth="1"/>
    <col min="13" max="256" width="9.109375" style="19"/>
    <col min="257" max="257" width="16.109375" style="19" customWidth="1"/>
    <col min="258" max="258" width="10.109375" style="19" customWidth="1"/>
    <col min="259" max="259" width="9.88671875" style="19" customWidth="1"/>
    <col min="260" max="260" width="10.33203125" style="19" customWidth="1"/>
    <col min="261" max="262" width="9.33203125" style="19" bestFit="1" customWidth="1"/>
    <col min="263" max="263" width="13.44140625" style="19" customWidth="1"/>
    <col min="264" max="264" width="9.33203125" style="19" bestFit="1" customWidth="1"/>
    <col min="265" max="265" width="12.33203125" style="19" bestFit="1" customWidth="1"/>
    <col min="266" max="266" width="9.33203125" style="19" bestFit="1" customWidth="1"/>
    <col min="267" max="267" width="9.33203125" style="19" customWidth="1"/>
    <col min="268" max="268" width="12.109375" style="19" customWidth="1"/>
    <col min="269" max="512" width="9.109375" style="19"/>
    <col min="513" max="513" width="16.109375" style="19" customWidth="1"/>
    <col min="514" max="514" width="10.109375" style="19" customWidth="1"/>
    <col min="515" max="515" width="9.88671875" style="19" customWidth="1"/>
    <col min="516" max="516" width="10.33203125" style="19" customWidth="1"/>
    <col min="517" max="518" width="9.33203125" style="19" bestFit="1" customWidth="1"/>
    <col min="519" max="519" width="13.44140625" style="19" customWidth="1"/>
    <col min="520" max="520" width="9.33203125" style="19" bestFit="1" customWidth="1"/>
    <col min="521" max="521" width="12.33203125" style="19" bestFit="1" customWidth="1"/>
    <col min="522" max="522" width="9.33203125" style="19" bestFit="1" customWidth="1"/>
    <col min="523" max="523" width="9.33203125" style="19" customWidth="1"/>
    <col min="524" max="524" width="12.109375" style="19" customWidth="1"/>
    <col min="525" max="768" width="9.109375" style="19"/>
    <col min="769" max="769" width="16.109375" style="19" customWidth="1"/>
    <col min="770" max="770" width="10.109375" style="19" customWidth="1"/>
    <col min="771" max="771" width="9.88671875" style="19" customWidth="1"/>
    <col min="772" max="772" width="10.33203125" style="19" customWidth="1"/>
    <col min="773" max="774" width="9.33203125" style="19" bestFit="1" customWidth="1"/>
    <col min="775" max="775" width="13.44140625" style="19" customWidth="1"/>
    <col min="776" max="776" width="9.33203125" style="19" bestFit="1" customWidth="1"/>
    <col min="777" max="777" width="12.33203125" style="19" bestFit="1" customWidth="1"/>
    <col min="778" max="778" width="9.33203125" style="19" bestFit="1" customWidth="1"/>
    <col min="779" max="779" width="9.33203125" style="19" customWidth="1"/>
    <col min="780" max="780" width="12.109375" style="19" customWidth="1"/>
    <col min="781" max="1024" width="9.109375" style="19"/>
    <col min="1025" max="1025" width="16.109375" style="19" customWidth="1"/>
    <col min="1026" max="1026" width="10.109375" style="19" customWidth="1"/>
    <col min="1027" max="1027" width="9.88671875" style="19" customWidth="1"/>
    <col min="1028" max="1028" width="10.33203125" style="19" customWidth="1"/>
    <col min="1029" max="1030" width="9.33203125" style="19" bestFit="1" customWidth="1"/>
    <col min="1031" max="1031" width="13.44140625" style="19" customWidth="1"/>
    <col min="1032" max="1032" width="9.33203125" style="19" bestFit="1" customWidth="1"/>
    <col min="1033" max="1033" width="12.33203125" style="19" bestFit="1" customWidth="1"/>
    <col min="1034" max="1034" width="9.33203125" style="19" bestFit="1" customWidth="1"/>
    <col min="1035" max="1035" width="9.33203125" style="19" customWidth="1"/>
    <col min="1036" max="1036" width="12.109375" style="19" customWidth="1"/>
    <col min="1037" max="1280" width="9.109375" style="19"/>
    <col min="1281" max="1281" width="16.109375" style="19" customWidth="1"/>
    <col min="1282" max="1282" width="10.109375" style="19" customWidth="1"/>
    <col min="1283" max="1283" width="9.88671875" style="19" customWidth="1"/>
    <col min="1284" max="1284" width="10.33203125" style="19" customWidth="1"/>
    <col min="1285" max="1286" width="9.33203125" style="19" bestFit="1" customWidth="1"/>
    <col min="1287" max="1287" width="13.44140625" style="19" customWidth="1"/>
    <col min="1288" max="1288" width="9.33203125" style="19" bestFit="1" customWidth="1"/>
    <col min="1289" max="1289" width="12.33203125" style="19" bestFit="1" customWidth="1"/>
    <col min="1290" max="1290" width="9.33203125" style="19" bestFit="1" customWidth="1"/>
    <col min="1291" max="1291" width="9.33203125" style="19" customWidth="1"/>
    <col min="1292" max="1292" width="12.109375" style="19" customWidth="1"/>
    <col min="1293" max="1536" width="9.109375" style="19"/>
    <col min="1537" max="1537" width="16.109375" style="19" customWidth="1"/>
    <col min="1538" max="1538" width="10.109375" style="19" customWidth="1"/>
    <col min="1539" max="1539" width="9.88671875" style="19" customWidth="1"/>
    <col min="1540" max="1540" width="10.33203125" style="19" customWidth="1"/>
    <col min="1541" max="1542" width="9.33203125" style="19" bestFit="1" customWidth="1"/>
    <col min="1543" max="1543" width="13.44140625" style="19" customWidth="1"/>
    <col min="1544" max="1544" width="9.33203125" style="19" bestFit="1" customWidth="1"/>
    <col min="1545" max="1545" width="12.33203125" style="19" bestFit="1" customWidth="1"/>
    <col min="1546" max="1546" width="9.33203125" style="19" bestFit="1" customWidth="1"/>
    <col min="1547" max="1547" width="9.33203125" style="19" customWidth="1"/>
    <col min="1548" max="1548" width="12.109375" style="19" customWidth="1"/>
    <col min="1549" max="1792" width="9.109375" style="19"/>
    <col min="1793" max="1793" width="16.109375" style="19" customWidth="1"/>
    <col min="1794" max="1794" width="10.109375" style="19" customWidth="1"/>
    <col min="1795" max="1795" width="9.88671875" style="19" customWidth="1"/>
    <col min="1796" max="1796" width="10.33203125" style="19" customWidth="1"/>
    <col min="1797" max="1798" width="9.33203125" style="19" bestFit="1" customWidth="1"/>
    <col min="1799" max="1799" width="13.44140625" style="19" customWidth="1"/>
    <col min="1800" max="1800" width="9.33203125" style="19" bestFit="1" customWidth="1"/>
    <col min="1801" max="1801" width="12.33203125" style="19" bestFit="1" customWidth="1"/>
    <col min="1802" max="1802" width="9.33203125" style="19" bestFit="1" customWidth="1"/>
    <col min="1803" max="1803" width="9.33203125" style="19" customWidth="1"/>
    <col min="1804" max="1804" width="12.109375" style="19" customWidth="1"/>
    <col min="1805" max="2048" width="9.109375" style="19"/>
    <col min="2049" max="2049" width="16.109375" style="19" customWidth="1"/>
    <col min="2050" max="2050" width="10.109375" style="19" customWidth="1"/>
    <col min="2051" max="2051" width="9.88671875" style="19" customWidth="1"/>
    <col min="2052" max="2052" width="10.33203125" style="19" customWidth="1"/>
    <col min="2053" max="2054" width="9.33203125" style="19" bestFit="1" customWidth="1"/>
    <col min="2055" max="2055" width="13.44140625" style="19" customWidth="1"/>
    <col min="2056" max="2056" width="9.33203125" style="19" bestFit="1" customWidth="1"/>
    <col min="2057" max="2057" width="12.33203125" style="19" bestFit="1" customWidth="1"/>
    <col min="2058" max="2058" width="9.33203125" style="19" bestFit="1" customWidth="1"/>
    <col min="2059" max="2059" width="9.33203125" style="19" customWidth="1"/>
    <col min="2060" max="2060" width="12.109375" style="19" customWidth="1"/>
    <col min="2061" max="2304" width="9.109375" style="19"/>
    <col min="2305" max="2305" width="16.109375" style="19" customWidth="1"/>
    <col min="2306" max="2306" width="10.109375" style="19" customWidth="1"/>
    <col min="2307" max="2307" width="9.88671875" style="19" customWidth="1"/>
    <col min="2308" max="2308" width="10.33203125" style="19" customWidth="1"/>
    <col min="2309" max="2310" width="9.33203125" style="19" bestFit="1" customWidth="1"/>
    <col min="2311" max="2311" width="13.44140625" style="19" customWidth="1"/>
    <col min="2312" max="2312" width="9.33203125" style="19" bestFit="1" customWidth="1"/>
    <col min="2313" max="2313" width="12.33203125" style="19" bestFit="1" customWidth="1"/>
    <col min="2314" max="2314" width="9.33203125" style="19" bestFit="1" customWidth="1"/>
    <col min="2315" max="2315" width="9.33203125" style="19" customWidth="1"/>
    <col min="2316" max="2316" width="12.109375" style="19" customWidth="1"/>
    <col min="2317" max="2560" width="9.109375" style="19"/>
    <col min="2561" max="2561" width="16.109375" style="19" customWidth="1"/>
    <col min="2562" max="2562" width="10.109375" style="19" customWidth="1"/>
    <col min="2563" max="2563" width="9.88671875" style="19" customWidth="1"/>
    <col min="2564" max="2564" width="10.33203125" style="19" customWidth="1"/>
    <col min="2565" max="2566" width="9.33203125" style="19" bestFit="1" customWidth="1"/>
    <col min="2567" max="2567" width="13.44140625" style="19" customWidth="1"/>
    <col min="2568" max="2568" width="9.33203125" style="19" bestFit="1" customWidth="1"/>
    <col min="2569" max="2569" width="12.33203125" style="19" bestFit="1" customWidth="1"/>
    <col min="2570" max="2570" width="9.33203125" style="19" bestFit="1" customWidth="1"/>
    <col min="2571" max="2571" width="9.33203125" style="19" customWidth="1"/>
    <col min="2572" max="2572" width="12.109375" style="19" customWidth="1"/>
    <col min="2573" max="2816" width="9.109375" style="19"/>
    <col min="2817" max="2817" width="16.109375" style="19" customWidth="1"/>
    <col min="2818" max="2818" width="10.109375" style="19" customWidth="1"/>
    <col min="2819" max="2819" width="9.88671875" style="19" customWidth="1"/>
    <col min="2820" max="2820" width="10.33203125" style="19" customWidth="1"/>
    <col min="2821" max="2822" width="9.33203125" style="19" bestFit="1" customWidth="1"/>
    <col min="2823" max="2823" width="13.44140625" style="19" customWidth="1"/>
    <col min="2824" max="2824" width="9.33203125" style="19" bestFit="1" customWidth="1"/>
    <col min="2825" max="2825" width="12.33203125" style="19" bestFit="1" customWidth="1"/>
    <col min="2826" max="2826" width="9.33203125" style="19" bestFit="1" customWidth="1"/>
    <col min="2827" max="2827" width="9.33203125" style="19" customWidth="1"/>
    <col min="2828" max="2828" width="12.109375" style="19" customWidth="1"/>
    <col min="2829" max="3072" width="9.109375" style="19"/>
    <col min="3073" max="3073" width="16.109375" style="19" customWidth="1"/>
    <col min="3074" max="3074" width="10.109375" style="19" customWidth="1"/>
    <col min="3075" max="3075" width="9.88671875" style="19" customWidth="1"/>
    <col min="3076" max="3076" width="10.33203125" style="19" customWidth="1"/>
    <col min="3077" max="3078" width="9.33203125" style="19" bestFit="1" customWidth="1"/>
    <col min="3079" max="3079" width="13.44140625" style="19" customWidth="1"/>
    <col min="3080" max="3080" width="9.33203125" style="19" bestFit="1" customWidth="1"/>
    <col min="3081" max="3081" width="12.33203125" style="19" bestFit="1" customWidth="1"/>
    <col min="3082" max="3082" width="9.33203125" style="19" bestFit="1" customWidth="1"/>
    <col min="3083" max="3083" width="9.33203125" style="19" customWidth="1"/>
    <col min="3084" max="3084" width="12.109375" style="19" customWidth="1"/>
    <col min="3085" max="3328" width="9.109375" style="19"/>
    <col min="3329" max="3329" width="16.109375" style="19" customWidth="1"/>
    <col min="3330" max="3330" width="10.109375" style="19" customWidth="1"/>
    <col min="3331" max="3331" width="9.88671875" style="19" customWidth="1"/>
    <col min="3332" max="3332" width="10.33203125" style="19" customWidth="1"/>
    <col min="3333" max="3334" width="9.33203125" style="19" bestFit="1" customWidth="1"/>
    <col min="3335" max="3335" width="13.44140625" style="19" customWidth="1"/>
    <col min="3336" max="3336" width="9.33203125" style="19" bestFit="1" customWidth="1"/>
    <col min="3337" max="3337" width="12.33203125" style="19" bestFit="1" customWidth="1"/>
    <col min="3338" max="3338" width="9.33203125" style="19" bestFit="1" customWidth="1"/>
    <col min="3339" max="3339" width="9.33203125" style="19" customWidth="1"/>
    <col min="3340" max="3340" width="12.109375" style="19" customWidth="1"/>
    <col min="3341" max="3584" width="9.109375" style="19"/>
    <col min="3585" max="3585" width="16.109375" style="19" customWidth="1"/>
    <col min="3586" max="3586" width="10.109375" style="19" customWidth="1"/>
    <col min="3587" max="3587" width="9.88671875" style="19" customWidth="1"/>
    <col min="3588" max="3588" width="10.33203125" style="19" customWidth="1"/>
    <col min="3589" max="3590" width="9.33203125" style="19" bestFit="1" customWidth="1"/>
    <col min="3591" max="3591" width="13.44140625" style="19" customWidth="1"/>
    <col min="3592" max="3592" width="9.33203125" style="19" bestFit="1" customWidth="1"/>
    <col min="3593" max="3593" width="12.33203125" style="19" bestFit="1" customWidth="1"/>
    <col min="3594" max="3594" width="9.33203125" style="19" bestFit="1" customWidth="1"/>
    <col min="3595" max="3595" width="9.33203125" style="19" customWidth="1"/>
    <col min="3596" max="3596" width="12.109375" style="19" customWidth="1"/>
    <col min="3597" max="3840" width="9.109375" style="19"/>
    <col min="3841" max="3841" width="16.109375" style="19" customWidth="1"/>
    <col min="3842" max="3842" width="10.109375" style="19" customWidth="1"/>
    <col min="3843" max="3843" width="9.88671875" style="19" customWidth="1"/>
    <col min="3844" max="3844" width="10.33203125" style="19" customWidth="1"/>
    <col min="3845" max="3846" width="9.33203125" style="19" bestFit="1" customWidth="1"/>
    <col min="3847" max="3847" width="13.44140625" style="19" customWidth="1"/>
    <col min="3848" max="3848" width="9.33203125" style="19" bestFit="1" customWidth="1"/>
    <col min="3849" max="3849" width="12.33203125" style="19" bestFit="1" customWidth="1"/>
    <col min="3850" max="3850" width="9.33203125" style="19" bestFit="1" customWidth="1"/>
    <col min="3851" max="3851" width="9.33203125" style="19" customWidth="1"/>
    <col min="3852" max="3852" width="12.109375" style="19" customWidth="1"/>
    <col min="3853" max="4096" width="9.109375" style="19"/>
    <col min="4097" max="4097" width="16.109375" style="19" customWidth="1"/>
    <col min="4098" max="4098" width="10.109375" style="19" customWidth="1"/>
    <col min="4099" max="4099" width="9.88671875" style="19" customWidth="1"/>
    <col min="4100" max="4100" width="10.33203125" style="19" customWidth="1"/>
    <col min="4101" max="4102" width="9.33203125" style="19" bestFit="1" customWidth="1"/>
    <col min="4103" max="4103" width="13.44140625" style="19" customWidth="1"/>
    <col min="4104" max="4104" width="9.33203125" style="19" bestFit="1" customWidth="1"/>
    <col min="4105" max="4105" width="12.33203125" style="19" bestFit="1" customWidth="1"/>
    <col min="4106" max="4106" width="9.33203125" style="19" bestFit="1" customWidth="1"/>
    <col min="4107" max="4107" width="9.33203125" style="19" customWidth="1"/>
    <col min="4108" max="4108" width="12.109375" style="19" customWidth="1"/>
    <col min="4109" max="4352" width="9.109375" style="19"/>
    <col min="4353" max="4353" width="16.109375" style="19" customWidth="1"/>
    <col min="4354" max="4354" width="10.109375" style="19" customWidth="1"/>
    <col min="4355" max="4355" width="9.88671875" style="19" customWidth="1"/>
    <col min="4356" max="4356" width="10.33203125" style="19" customWidth="1"/>
    <col min="4357" max="4358" width="9.33203125" style="19" bestFit="1" customWidth="1"/>
    <col min="4359" max="4359" width="13.44140625" style="19" customWidth="1"/>
    <col min="4360" max="4360" width="9.33203125" style="19" bestFit="1" customWidth="1"/>
    <col min="4361" max="4361" width="12.33203125" style="19" bestFit="1" customWidth="1"/>
    <col min="4362" max="4362" width="9.33203125" style="19" bestFit="1" customWidth="1"/>
    <col min="4363" max="4363" width="9.33203125" style="19" customWidth="1"/>
    <col min="4364" max="4364" width="12.109375" style="19" customWidth="1"/>
    <col min="4365" max="4608" width="9.109375" style="19"/>
    <col min="4609" max="4609" width="16.109375" style="19" customWidth="1"/>
    <col min="4610" max="4610" width="10.109375" style="19" customWidth="1"/>
    <col min="4611" max="4611" width="9.88671875" style="19" customWidth="1"/>
    <col min="4612" max="4612" width="10.33203125" style="19" customWidth="1"/>
    <col min="4613" max="4614" width="9.33203125" style="19" bestFit="1" customWidth="1"/>
    <col min="4615" max="4615" width="13.44140625" style="19" customWidth="1"/>
    <col min="4616" max="4616" width="9.33203125" style="19" bestFit="1" customWidth="1"/>
    <col min="4617" max="4617" width="12.33203125" style="19" bestFit="1" customWidth="1"/>
    <col min="4618" max="4618" width="9.33203125" style="19" bestFit="1" customWidth="1"/>
    <col min="4619" max="4619" width="9.33203125" style="19" customWidth="1"/>
    <col min="4620" max="4620" width="12.109375" style="19" customWidth="1"/>
    <col min="4621" max="4864" width="9.109375" style="19"/>
    <col min="4865" max="4865" width="16.109375" style="19" customWidth="1"/>
    <col min="4866" max="4866" width="10.109375" style="19" customWidth="1"/>
    <col min="4867" max="4867" width="9.88671875" style="19" customWidth="1"/>
    <col min="4868" max="4868" width="10.33203125" style="19" customWidth="1"/>
    <col min="4869" max="4870" width="9.33203125" style="19" bestFit="1" customWidth="1"/>
    <col min="4871" max="4871" width="13.44140625" style="19" customWidth="1"/>
    <col min="4872" max="4872" width="9.33203125" style="19" bestFit="1" customWidth="1"/>
    <col min="4873" max="4873" width="12.33203125" style="19" bestFit="1" customWidth="1"/>
    <col min="4874" max="4874" width="9.33203125" style="19" bestFit="1" customWidth="1"/>
    <col min="4875" max="4875" width="9.33203125" style="19" customWidth="1"/>
    <col min="4876" max="4876" width="12.109375" style="19" customWidth="1"/>
    <col min="4877" max="5120" width="9.109375" style="19"/>
    <col min="5121" max="5121" width="16.109375" style="19" customWidth="1"/>
    <col min="5122" max="5122" width="10.109375" style="19" customWidth="1"/>
    <col min="5123" max="5123" width="9.88671875" style="19" customWidth="1"/>
    <col min="5124" max="5124" width="10.33203125" style="19" customWidth="1"/>
    <col min="5125" max="5126" width="9.33203125" style="19" bestFit="1" customWidth="1"/>
    <col min="5127" max="5127" width="13.44140625" style="19" customWidth="1"/>
    <col min="5128" max="5128" width="9.33203125" style="19" bestFit="1" customWidth="1"/>
    <col min="5129" max="5129" width="12.33203125" style="19" bestFit="1" customWidth="1"/>
    <col min="5130" max="5130" width="9.33203125" style="19" bestFit="1" customWidth="1"/>
    <col min="5131" max="5131" width="9.33203125" style="19" customWidth="1"/>
    <col min="5132" max="5132" width="12.109375" style="19" customWidth="1"/>
    <col min="5133" max="5376" width="9.109375" style="19"/>
    <col min="5377" max="5377" width="16.109375" style="19" customWidth="1"/>
    <col min="5378" max="5378" width="10.109375" style="19" customWidth="1"/>
    <col min="5379" max="5379" width="9.88671875" style="19" customWidth="1"/>
    <col min="5380" max="5380" width="10.33203125" style="19" customWidth="1"/>
    <col min="5381" max="5382" width="9.33203125" style="19" bestFit="1" customWidth="1"/>
    <col min="5383" max="5383" width="13.44140625" style="19" customWidth="1"/>
    <col min="5384" max="5384" width="9.33203125" style="19" bestFit="1" customWidth="1"/>
    <col min="5385" max="5385" width="12.33203125" style="19" bestFit="1" customWidth="1"/>
    <col min="5386" max="5386" width="9.33203125" style="19" bestFit="1" customWidth="1"/>
    <col min="5387" max="5387" width="9.33203125" style="19" customWidth="1"/>
    <col min="5388" max="5388" width="12.109375" style="19" customWidth="1"/>
    <col min="5389" max="5632" width="9.109375" style="19"/>
    <col min="5633" max="5633" width="16.109375" style="19" customWidth="1"/>
    <col min="5634" max="5634" width="10.109375" style="19" customWidth="1"/>
    <col min="5635" max="5635" width="9.88671875" style="19" customWidth="1"/>
    <col min="5636" max="5636" width="10.33203125" style="19" customWidth="1"/>
    <col min="5637" max="5638" width="9.33203125" style="19" bestFit="1" customWidth="1"/>
    <col min="5639" max="5639" width="13.44140625" style="19" customWidth="1"/>
    <col min="5640" max="5640" width="9.33203125" style="19" bestFit="1" customWidth="1"/>
    <col min="5641" max="5641" width="12.33203125" style="19" bestFit="1" customWidth="1"/>
    <col min="5642" max="5642" width="9.33203125" style="19" bestFit="1" customWidth="1"/>
    <col min="5643" max="5643" width="9.33203125" style="19" customWidth="1"/>
    <col min="5644" max="5644" width="12.109375" style="19" customWidth="1"/>
    <col min="5645" max="5888" width="9.109375" style="19"/>
    <col min="5889" max="5889" width="16.109375" style="19" customWidth="1"/>
    <col min="5890" max="5890" width="10.109375" style="19" customWidth="1"/>
    <col min="5891" max="5891" width="9.88671875" style="19" customWidth="1"/>
    <col min="5892" max="5892" width="10.33203125" style="19" customWidth="1"/>
    <col min="5893" max="5894" width="9.33203125" style="19" bestFit="1" customWidth="1"/>
    <col min="5895" max="5895" width="13.44140625" style="19" customWidth="1"/>
    <col min="5896" max="5896" width="9.33203125" style="19" bestFit="1" customWidth="1"/>
    <col min="5897" max="5897" width="12.33203125" style="19" bestFit="1" customWidth="1"/>
    <col min="5898" max="5898" width="9.33203125" style="19" bestFit="1" customWidth="1"/>
    <col min="5899" max="5899" width="9.33203125" style="19" customWidth="1"/>
    <col min="5900" max="5900" width="12.109375" style="19" customWidth="1"/>
    <col min="5901" max="6144" width="9.109375" style="19"/>
    <col min="6145" max="6145" width="16.109375" style="19" customWidth="1"/>
    <col min="6146" max="6146" width="10.109375" style="19" customWidth="1"/>
    <col min="6147" max="6147" width="9.88671875" style="19" customWidth="1"/>
    <col min="6148" max="6148" width="10.33203125" style="19" customWidth="1"/>
    <col min="6149" max="6150" width="9.33203125" style="19" bestFit="1" customWidth="1"/>
    <col min="6151" max="6151" width="13.44140625" style="19" customWidth="1"/>
    <col min="6152" max="6152" width="9.33203125" style="19" bestFit="1" customWidth="1"/>
    <col min="6153" max="6153" width="12.33203125" style="19" bestFit="1" customWidth="1"/>
    <col min="6154" max="6154" width="9.33203125" style="19" bestFit="1" customWidth="1"/>
    <col min="6155" max="6155" width="9.33203125" style="19" customWidth="1"/>
    <col min="6156" max="6156" width="12.109375" style="19" customWidth="1"/>
    <col min="6157" max="6400" width="9.109375" style="19"/>
    <col min="6401" max="6401" width="16.109375" style="19" customWidth="1"/>
    <col min="6402" max="6402" width="10.109375" style="19" customWidth="1"/>
    <col min="6403" max="6403" width="9.88671875" style="19" customWidth="1"/>
    <col min="6404" max="6404" width="10.33203125" style="19" customWidth="1"/>
    <col min="6405" max="6406" width="9.33203125" style="19" bestFit="1" customWidth="1"/>
    <col min="6407" max="6407" width="13.44140625" style="19" customWidth="1"/>
    <col min="6408" max="6408" width="9.33203125" style="19" bestFit="1" customWidth="1"/>
    <col min="6409" max="6409" width="12.33203125" style="19" bestFit="1" customWidth="1"/>
    <col min="6410" max="6410" width="9.33203125" style="19" bestFit="1" customWidth="1"/>
    <col min="6411" max="6411" width="9.33203125" style="19" customWidth="1"/>
    <col min="6412" max="6412" width="12.109375" style="19" customWidth="1"/>
    <col min="6413" max="6656" width="9.109375" style="19"/>
    <col min="6657" max="6657" width="16.109375" style="19" customWidth="1"/>
    <col min="6658" max="6658" width="10.109375" style="19" customWidth="1"/>
    <col min="6659" max="6659" width="9.88671875" style="19" customWidth="1"/>
    <col min="6660" max="6660" width="10.33203125" style="19" customWidth="1"/>
    <col min="6661" max="6662" width="9.33203125" style="19" bestFit="1" customWidth="1"/>
    <col min="6663" max="6663" width="13.44140625" style="19" customWidth="1"/>
    <col min="6664" max="6664" width="9.33203125" style="19" bestFit="1" customWidth="1"/>
    <col min="6665" max="6665" width="12.33203125" style="19" bestFit="1" customWidth="1"/>
    <col min="6666" max="6666" width="9.33203125" style="19" bestFit="1" customWidth="1"/>
    <col min="6667" max="6667" width="9.33203125" style="19" customWidth="1"/>
    <col min="6668" max="6668" width="12.109375" style="19" customWidth="1"/>
    <col min="6669" max="6912" width="9.109375" style="19"/>
    <col min="6913" max="6913" width="16.109375" style="19" customWidth="1"/>
    <col min="6914" max="6914" width="10.109375" style="19" customWidth="1"/>
    <col min="6915" max="6915" width="9.88671875" style="19" customWidth="1"/>
    <col min="6916" max="6916" width="10.33203125" style="19" customWidth="1"/>
    <col min="6917" max="6918" width="9.33203125" style="19" bestFit="1" customWidth="1"/>
    <col min="6919" max="6919" width="13.44140625" style="19" customWidth="1"/>
    <col min="6920" max="6920" width="9.33203125" style="19" bestFit="1" customWidth="1"/>
    <col min="6921" max="6921" width="12.33203125" style="19" bestFit="1" customWidth="1"/>
    <col min="6922" max="6922" width="9.33203125" style="19" bestFit="1" customWidth="1"/>
    <col min="6923" max="6923" width="9.33203125" style="19" customWidth="1"/>
    <col min="6924" max="6924" width="12.109375" style="19" customWidth="1"/>
    <col min="6925" max="7168" width="9.109375" style="19"/>
    <col min="7169" max="7169" width="16.109375" style="19" customWidth="1"/>
    <col min="7170" max="7170" width="10.109375" style="19" customWidth="1"/>
    <col min="7171" max="7171" width="9.88671875" style="19" customWidth="1"/>
    <col min="7172" max="7172" width="10.33203125" style="19" customWidth="1"/>
    <col min="7173" max="7174" width="9.33203125" style="19" bestFit="1" customWidth="1"/>
    <col min="7175" max="7175" width="13.44140625" style="19" customWidth="1"/>
    <col min="7176" max="7176" width="9.33203125" style="19" bestFit="1" customWidth="1"/>
    <col min="7177" max="7177" width="12.33203125" style="19" bestFit="1" customWidth="1"/>
    <col min="7178" max="7178" width="9.33203125" style="19" bestFit="1" customWidth="1"/>
    <col min="7179" max="7179" width="9.33203125" style="19" customWidth="1"/>
    <col min="7180" max="7180" width="12.109375" style="19" customWidth="1"/>
    <col min="7181" max="7424" width="9.109375" style="19"/>
    <col min="7425" max="7425" width="16.109375" style="19" customWidth="1"/>
    <col min="7426" max="7426" width="10.109375" style="19" customWidth="1"/>
    <col min="7427" max="7427" width="9.88671875" style="19" customWidth="1"/>
    <col min="7428" max="7428" width="10.33203125" style="19" customWidth="1"/>
    <col min="7429" max="7430" width="9.33203125" style="19" bestFit="1" customWidth="1"/>
    <col min="7431" max="7431" width="13.44140625" style="19" customWidth="1"/>
    <col min="7432" max="7432" width="9.33203125" style="19" bestFit="1" customWidth="1"/>
    <col min="7433" max="7433" width="12.33203125" style="19" bestFit="1" customWidth="1"/>
    <col min="7434" max="7434" width="9.33203125" style="19" bestFit="1" customWidth="1"/>
    <col min="7435" max="7435" width="9.33203125" style="19" customWidth="1"/>
    <col min="7436" max="7436" width="12.109375" style="19" customWidth="1"/>
    <col min="7437" max="7680" width="9.109375" style="19"/>
    <col min="7681" max="7681" width="16.109375" style="19" customWidth="1"/>
    <col min="7682" max="7682" width="10.109375" style="19" customWidth="1"/>
    <col min="7683" max="7683" width="9.88671875" style="19" customWidth="1"/>
    <col min="7684" max="7684" width="10.33203125" style="19" customWidth="1"/>
    <col min="7685" max="7686" width="9.33203125" style="19" bestFit="1" customWidth="1"/>
    <col min="7687" max="7687" width="13.44140625" style="19" customWidth="1"/>
    <col min="7688" max="7688" width="9.33203125" style="19" bestFit="1" customWidth="1"/>
    <col min="7689" max="7689" width="12.33203125" style="19" bestFit="1" customWidth="1"/>
    <col min="7690" max="7690" width="9.33203125" style="19" bestFit="1" customWidth="1"/>
    <col min="7691" max="7691" width="9.33203125" style="19" customWidth="1"/>
    <col min="7692" max="7692" width="12.109375" style="19" customWidth="1"/>
    <col min="7693" max="7936" width="9.109375" style="19"/>
    <col min="7937" max="7937" width="16.109375" style="19" customWidth="1"/>
    <col min="7938" max="7938" width="10.109375" style="19" customWidth="1"/>
    <col min="7939" max="7939" width="9.88671875" style="19" customWidth="1"/>
    <col min="7940" max="7940" width="10.33203125" style="19" customWidth="1"/>
    <col min="7941" max="7942" width="9.33203125" style="19" bestFit="1" customWidth="1"/>
    <col min="7943" max="7943" width="13.44140625" style="19" customWidth="1"/>
    <col min="7944" max="7944" width="9.33203125" style="19" bestFit="1" customWidth="1"/>
    <col min="7945" max="7945" width="12.33203125" style="19" bestFit="1" customWidth="1"/>
    <col min="7946" max="7946" width="9.33203125" style="19" bestFit="1" customWidth="1"/>
    <col min="7947" max="7947" width="9.33203125" style="19" customWidth="1"/>
    <col min="7948" max="7948" width="12.109375" style="19" customWidth="1"/>
    <col min="7949" max="8192" width="9.109375" style="19"/>
    <col min="8193" max="8193" width="16.109375" style="19" customWidth="1"/>
    <col min="8194" max="8194" width="10.109375" style="19" customWidth="1"/>
    <col min="8195" max="8195" width="9.88671875" style="19" customWidth="1"/>
    <col min="8196" max="8196" width="10.33203125" style="19" customWidth="1"/>
    <col min="8197" max="8198" width="9.33203125" style="19" bestFit="1" customWidth="1"/>
    <col min="8199" max="8199" width="13.44140625" style="19" customWidth="1"/>
    <col min="8200" max="8200" width="9.33203125" style="19" bestFit="1" customWidth="1"/>
    <col min="8201" max="8201" width="12.33203125" style="19" bestFit="1" customWidth="1"/>
    <col min="8202" max="8202" width="9.33203125" style="19" bestFit="1" customWidth="1"/>
    <col min="8203" max="8203" width="9.33203125" style="19" customWidth="1"/>
    <col min="8204" max="8204" width="12.109375" style="19" customWidth="1"/>
    <col min="8205" max="8448" width="9.109375" style="19"/>
    <col min="8449" max="8449" width="16.109375" style="19" customWidth="1"/>
    <col min="8450" max="8450" width="10.109375" style="19" customWidth="1"/>
    <col min="8451" max="8451" width="9.88671875" style="19" customWidth="1"/>
    <col min="8452" max="8452" width="10.33203125" style="19" customWidth="1"/>
    <col min="8453" max="8454" width="9.33203125" style="19" bestFit="1" customWidth="1"/>
    <col min="8455" max="8455" width="13.44140625" style="19" customWidth="1"/>
    <col min="8456" max="8456" width="9.33203125" style="19" bestFit="1" customWidth="1"/>
    <col min="8457" max="8457" width="12.33203125" style="19" bestFit="1" customWidth="1"/>
    <col min="8458" max="8458" width="9.33203125" style="19" bestFit="1" customWidth="1"/>
    <col min="8459" max="8459" width="9.33203125" style="19" customWidth="1"/>
    <col min="8460" max="8460" width="12.109375" style="19" customWidth="1"/>
    <col min="8461" max="8704" width="9.109375" style="19"/>
    <col min="8705" max="8705" width="16.109375" style="19" customWidth="1"/>
    <col min="8706" max="8706" width="10.109375" style="19" customWidth="1"/>
    <col min="8707" max="8707" width="9.88671875" style="19" customWidth="1"/>
    <col min="8708" max="8708" width="10.33203125" style="19" customWidth="1"/>
    <col min="8709" max="8710" width="9.33203125" style="19" bestFit="1" customWidth="1"/>
    <col min="8711" max="8711" width="13.44140625" style="19" customWidth="1"/>
    <col min="8712" max="8712" width="9.33203125" style="19" bestFit="1" customWidth="1"/>
    <col min="8713" max="8713" width="12.33203125" style="19" bestFit="1" customWidth="1"/>
    <col min="8714" max="8714" width="9.33203125" style="19" bestFit="1" customWidth="1"/>
    <col min="8715" max="8715" width="9.33203125" style="19" customWidth="1"/>
    <col min="8716" max="8716" width="12.109375" style="19" customWidth="1"/>
    <col min="8717" max="8960" width="9.109375" style="19"/>
    <col min="8961" max="8961" width="16.109375" style="19" customWidth="1"/>
    <col min="8962" max="8962" width="10.109375" style="19" customWidth="1"/>
    <col min="8963" max="8963" width="9.88671875" style="19" customWidth="1"/>
    <col min="8964" max="8964" width="10.33203125" style="19" customWidth="1"/>
    <col min="8965" max="8966" width="9.33203125" style="19" bestFit="1" customWidth="1"/>
    <col min="8967" max="8967" width="13.44140625" style="19" customWidth="1"/>
    <col min="8968" max="8968" width="9.33203125" style="19" bestFit="1" customWidth="1"/>
    <col min="8969" max="8969" width="12.33203125" style="19" bestFit="1" customWidth="1"/>
    <col min="8970" max="8970" width="9.33203125" style="19" bestFit="1" customWidth="1"/>
    <col min="8971" max="8971" width="9.33203125" style="19" customWidth="1"/>
    <col min="8972" max="8972" width="12.109375" style="19" customWidth="1"/>
    <col min="8973" max="9216" width="9.109375" style="19"/>
    <col min="9217" max="9217" width="16.109375" style="19" customWidth="1"/>
    <col min="9218" max="9218" width="10.109375" style="19" customWidth="1"/>
    <col min="9219" max="9219" width="9.88671875" style="19" customWidth="1"/>
    <col min="9220" max="9220" width="10.33203125" style="19" customWidth="1"/>
    <col min="9221" max="9222" width="9.33203125" style="19" bestFit="1" customWidth="1"/>
    <col min="9223" max="9223" width="13.44140625" style="19" customWidth="1"/>
    <col min="9224" max="9224" width="9.33203125" style="19" bestFit="1" customWidth="1"/>
    <col min="9225" max="9225" width="12.33203125" style="19" bestFit="1" customWidth="1"/>
    <col min="9226" max="9226" width="9.33203125" style="19" bestFit="1" customWidth="1"/>
    <col min="9227" max="9227" width="9.33203125" style="19" customWidth="1"/>
    <col min="9228" max="9228" width="12.109375" style="19" customWidth="1"/>
    <col min="9229" max="9472" width="9.109375" style="19"/>
    <col min="9473" max="9473" width="16.109375" style="19" customWidth="1"/>
    <col min="9474" max="9474" width="10.109375" style="19" customWidth="1"/>
    <col min="9475" max="9475" width="9.88671875" style="19" customWidth="1"/>
    <col min="9476" max="9476" width="10.33203125" style="19" customWidth="1"/>
    <col min="9477" max="9478" width="9.33203125" style="19" bestFit="1" customWidth="1"/>
    <col min="9479" max="9479" width="13.44140625" style="19" customWidth="1"/>
    <col min="9480" max="9480" width="9.33203125" style="19" bestFit="1" customWidth="1"/>
    <col min="9481" max="9481" width="12.33203125" style="19" bestFit="1" customWidth="1"/>
    <col min="9482" max="9482" width="9.33203125" style="19" bestFit="1" customWidth="1"/>
    <col min="9483" max="9483" width="9.33203125" style="19" customWidth="1"/>
    <col min="9484" max="9484" width="12.109375" style="19" customWidth="1"/>
    <col min="9485" max="9728" width="9.109375" style="19"/>
    <col min="9729" max="9729" width="16.109375" style="19" customWidth="1"/>
    <col min="9730" max="9730" width="10.109375" style="19" customWidth="1"/>
    <col min="9731" max="9731" width="9.88671875" style="19" customWidth="1"/>
    <col min="9732" max="9732" width="10.33203125" style="19" customWidth="1"/>
    <col min="9733" max="9734" width="9.33203125" style="19" bestFit="1" customWidth="1"/>
    <col min="9735" max="9735" width="13.44140625" style="19" customWidth="1"/>
    <col min="9736" max="9736" width="9.33203125" style="19" bestFit="1" customWidth="1"/>
    <col min="9737" max="9737" width="12.33203125" style="19" bestFit="1" customWidth="1"/>
    <col min="9738" max="9738" width="9.33203125" style="19" bestFit="1" customWidth="1"/>
    <col min="9739" max="9739" width="9.33203125" style="19" customWidth="1"/>
    <col min="9740" max="9740" width="12.109375" style="19" customWidth="1"/>
    <col min="9741" max="9984" width="9.109375" style="19"/>
    <col min="9985" max="9985" width="16.109375" style="19" customWidth="1"/>
    <col min="9986" max="9986" width="10.109375" style="19" customWidth="1"/>
    <col min="9987" max="9987" width="9.88671875" style="19" customWidth="1"/>
    <col min="9988" max="9988" width="10.33203125" style="19" customWidth="1"/>
    <col min="9989" max="9990" width="9.33203125" style="19" bestFit="1" customWidth="1"/>
    <col min="9991" max="9991" width="13.44140625" style="19" customWidth="1"/>
    <col min="9992" max="9992" width="9.33203125" style="19" bestFit="1" customWidth="1"/>
    <col min="9993" max="9993" width="12.33203125" style="19" bestFit="1" customWidth="1"/>
    <col min="9994" max="9994" width="9.33203125" style="19" bestFit="1" customWidth="1"/>
    <col min="9995" max="9995" width="9.33203125" style="19" customWidth="1"/>
    <col min="9996" max="9996" width="12.109375" style="19" customWidth="1"/>
    <col min="9997" max="10240" width="9.109375" style="19"/>
    <col min="10241" max="10241" width="16.109375" style="19" customWidth="1"/>
    <col min="10242" max="10242" width="10.109375" style="19" customWidth="1"/>
    <col min="10243" max="10243" width="9.88671875" style="19" customWidth="1"/>
    <col min="10244" max="10244" width="10.33203125" style="19" customWidth="1"/>
    <col min="10245" max="10246" width="9.33203125" style="19" bestFit="1" customWidth="1"/>
    <col min="10247" max="10247" width="13.44140625" style="19" customWidth="1"/>
    <col min="10248" max="10248" width="9.33203125" style="19" bestFit="1" customWidth="1"/>
    <col min="10249" max="10249" width="12.33203125" style="19" bestFit="1" customWidth="1"/>
    <col min="10250" max="10250" width="9.33203125" style="19" bestFit="1" customWidth="1"/>
    <col min="10251" max="10251" width="9.33203125" style="19" customWidth="1"/>
    <col min="10252" max="10252" width="12.109375" style="19" customWidth="1"/>
    <col min="10253" max="10496" width="9.109375" style="19"/>
    <col min="10497" max="10497" width="16.109375" style="19" customWidth="1"/>
    <col min="10498" max="10498" width="10.109375" style="19" customWidth="1"/>
    <col min="10499" max="10499" width="9.88671875" style="19" customWidth="1"/>
    <col min="10500" max="10500" width="10.33203125" style="19" customWidth="1"/>
    <col min="10501" max="10502" width="9.33203125" style="19" bestFit="1" customWidth="1"/>
    <col min="10503" max="10503" width="13.44140625" style="19" customWidth="1"/>
    <col min="10504" max="10504" width="9.33203125" style="19" bestFit="1" customWidth="1"/>
    <col min="10505" max="10505" width="12.33203125" style="19" bestFit="1" customWidth="1"/>
    <col min="10506" max="10506" width="9.33203125" style="19" bestFit="1" customWidth="1"/>
    <col min="10507" max="10507" width="9.33203125" style="19" customWidth="1"/>
    <col min="10508" max="10508" width="12.109375" style="19" customWidth="1"/>
    <col min="10509" max="10752" width="9.109375" style="19"/>
    <col min="10753" max="10753" width="16.109375" style="19" customWidth="1"/>
    <col min="10754" max="10754" width="10.109375" style="19" customWidth="1"/>
    <col min="10755" max="10755" width="9.88671875" style="19" customWidth="1"/>
    <col min="10756" max="10756" width="10.33203125" style="19" customWidth="1"/>
    <col min="10757" max="10758" width="9.33203125" style="19" bestFit="1" customWidth="1"/>
    <col min="10759" max="10759" width="13.44140625" style="19" customWidth="1"/>
    <col min="10760" max="10760" width="9.33203125" style="19" bestFit="1" customWidth="1"/>
    <col min="10761" max="10761" width="12.33203125" style="19" bestFit="1" customWidth="1"/>
    <col min="10762" max="10762" width="9.33203125" style="19" bestFit="1" customWidth="1"/>
    <col min="10763" max="10763" width="9.33203125" style="19" customWidth="1"/>
    <col min="10764" max="10764" width="12.109375" style="19" customWidth="1"/>
    <col min="10765" max="11008" width="9.109375" style="19"/>
    <col min="11009" max="11009" width="16.109375" style="19" customWidth="1"/>
    <col min="11010" max="11010" width="10.109375" style="19" customWidth="1"/>
    <col min="11011" max="11011" width="9.88671875" style="19" customWidth="1"/>
    <col min="11012" max="11012" width="10.33203125" style="19" customWidth="1"/>
    <col min="11013" max="11014" width="9.33203125" style="19" bestFit="1" customWidth="1"/>
    <col min="11015" max="11015" width="13.44140625" style="19" customWidth="1"/>
    <col min="11016" max="11016" width="9.33203125" style="19" bestFit="1" customWidth="1"/>
    <col min="11017" max="11017" width="12.33203125" style="19" bestFit="1" customWidth="1"/>
    <col min="11018" max="11018" width="9.33203125" style="19" bestFit="1" customWidth="1"/>
    <col min="11019" max="11019" width="9.33203125" style="19" customWidth="1"/>
    <col min="11020" max="11020" width="12.109375" style="19" customWidth="1"/>
    <col min="11021" max="11264" width="9.109375" style="19"/>
    <col min="11265" max="11265" width="16.109375" style="19" customWidth="1"/>
    <col min="11266" max="11266" width="10.109375" style="19" customWidth="1"/>
    <col min="11267" max="11267" width="9.88671875" style="19" customWidth="1"/>
    <col min="11268" max="11268" width="10.33203125" style="19" customWidth="1"/>
    <col min="11269" max="11270" width="9.33203125" style="19" bestFit="1" customWidth="1"/>
    <col min="11271" max="11271" width="13.44140625" style="19" customWidth="1"/>
    <col min="11272" max="11272" width="9.33203125" style="19" bestFit="1" customWidth="1"/>
    <col min="11273" max="11273" width="12.33203125" style="19" bestFit="1" customWidth="1"/>
    <col min="11274" max="11274" width="9.33203125" style="19" bestFit="1" customWidth="1"/>
    <col min="11275" max="11275" width="9.33203125" style="19" customWidth="1"/>
    <col min="11276" max="11276" width="12.109375" style="19" customWidth="1"/>
    <col min="11277" max="11520" width="9.109375" style="19"/>
    <col min="11521" max="11521" width="16.109375" style="19" customWidth="1"/>
    <col min="11522" max="11522" width="10.109375" style="19" customWidth="1"/>
    <col min="11523" max="11523" width="9.88671875" style="19" customWidth="1"/>
    <col min="11524" max="11524" width="10.33203125" style="19" customWidth="1"/>
    <col min="11525" max="11526" width="9.33203125" style="19" bestFit="1" customWidth="1"/>
    <col min="11527" max="11527" width="13.44140625" style="19" customWidth="1"/>
    <col min="11528" max="11528" width="9.33203125" style="19" bestFit="1" customWidth="1"/>
    <col min="11529" max="11529" width="12.33203125" style="19" bestFit="1" customWidth="1"/>
    <col min="11530" max="11530" width="9.33203125" style="19" bestFit="1" customWidth="1"/>
    <col min="11531" max="11531" width="9.33203125" style="19" customWidth="1"/>
    <col min="11532" max="11532" width="12.109375" style="19" customWidth="1"/>
    <col min="11533" max="11776" width="9.109375" style="19"/>
    <col min="11777" max="11777" width="16.109375" style="19" customWidth="1"/>
    <col min="11778" max="11778" width="10.109375" style="19" customWidth="1"/>
    <col min="11779" max="11779" width="9.88671875" style="19" customWidth="1"/>
    <col min="11780" max="11780" width="10.33203125" style="19" customWidth="1"/>
    <col min="11781" max="11782" width="9.33203125" style="19" bestFit="1" customWidth="1"/>
    <col min="11783" max="11783" width="13.44140625" style="19" customWidth="1"/>
    <col min="11784" max="11784" width="9.33203125" style="19" bestFit="1" customWidth="1"/>
    <col min="11785" max="11785" width="12.33203125" style="19" bestFit="1" customWidth="1"/>
    <col min="11786" max="11786" width="9.33203125" style="19" bestFit="1" customWidth="1"/>
    <col min="11787" max="11787" width="9.33203125" style="19" customWidth="1"/>
    <col min="11788" max="11788" width="12.109375" style="19" customWidth="1"/>
    <col min="11789" max="12032" width="9.109375" style="19"/>
    <col min="12033" max="12033" width="16.109375" style="19" customWidth="1"/>
    <col min="12034" max="12034" width="10.109375" style="19" customWidth="1"/>
    <col min="12035" max="12035" width="9.88671875" style="19" customWidth="1"/>
    <col min="12036" max="12036" width="10.33203125" style="19" customWidth="1"/>
    <col min="12037" max="12038" width="9.33203125" style="19" bestFit="1" customWidth="1"/>
    <col min="12039" max="12039" width="13.44140625" style="19" customWidth="1"/>
    <col min="12040" max="12040" width="9.33203125" style="19" bestFit="1" customWidth="1"/>
    <col min="12041" max="12041" width="12.33203125" style="19" bestFit="1" customWidth="1"/>
    <col min="12042" max="12042" width="9.33203125" style="19" bestFit="1" customWidth="1"/>
    <col min="12043" max="12043" width="9.33203125" style="19" customWidth="1"/>
    <col min="12044" max="12044" width="12.109375" style="19" customWidth="1"/>
    <col min="12045" max="12288" width="9.109375" style="19"/>
    <col min="12289" max="12289" width="16.109375" style="19" customWidth="1"/>
    <col min="12290" max="12290" width="10.109375" style="19" customWidth="1"/>
    <col min="12291" max="12291" width="9.88671875" style="19" customWidth="1"/>
    <col min="12292" max="12292" width="10.33203125" style="19" customWidth="1"/>
    <col min="12293" max="12294" width="9.33203125" style="19" bestFit="1" customWidth="1"/>
    <col min="12295" max="12295" width="13.44140625" style="19" customWidth="1"/>
    <col min="12296" max="12296" width="9.33203125" style="19" bestFit="1" customWidth="1"/>
    <col min="12297" max="12297" width="12.33203125" style="19" bestFit="1" customWidth="1"/>
    <col min="12298" max="12298" width="9.33203125" style="19" bestFit="1" customWidth="1"/>
    <col min="12299" max="12299" width="9.33203125" style="19" customWidth="1"/>
    <col min="12300" max="12300" width="12.109375" style="19" customWidth="1"/>
    <col min="12301" max="12544" width="9.109375" style="19"/>
    <col min="12545" max="12545" width="16.109375" style="19" customWidth="1"/>
    <col min="12546" max="12546" width="10.109375" style="19" customWidth="1"/>
    <col min="12547" max="12547" width="9.88671875" style="19" customWidth="1"/>
    <col min="12548" max="12548" width="10.33203125" style="19" customWidth="1"/>
    <col min="12549" max="12550" width="9.33203125" style="19" bestFit="1" customWidth="1"/>
    <col min="12551" max="12551" width="13.44140625" style="19" customWidth="1"/>
    <col min="12552" max="12552" width="9.33203125" style="19" bestFit="1" customWidth="1"/>
    <col min="12553" max="12553" width="12.33203125" style="19" bestFit="1" customWidth="1"/>
    <col min="12554" max="12554" width="9.33203125" style="19" bestFit="1" customWidth="1"/>
    <col min="12555" max="12555" width="9.33203125" style="19" customWidth="1"/>
    <col min="12556" max="12556" width="12.109375" style="19" customWidth="1"/>
    <col min="12557" max="12800" width="9.109375" style="19"/>
    <col min="12801" max="12801" width="16.109375" style="19" customWidth="1"/>
    <col min="12802" max="12802" width="10.109375" style="19" customWidth="1"/>
    <col min="12803" max="12803" width="9.88671875" style="19" customWidth="1"/>
    <col min="12804" max="12804" width="10.33203125" style="19" customWidth="1"/>
    <col min="12805" max="12806" width="9.33203125" style="19" bestFit="1" customWidth="1"/>
    <col min="12807" max="12807" width="13.44140625" style="19" customWidth="1"/>
    <col min="12808" max="12808" width="9.33203125" style="19" bestFit="1" customWidth="1"/>
    <col min="12809" max="12809" width="12.33203125" style="19" bestFit="1" customWidth="1"/>
    <col min="12810" max="12810" width="9.33203125" style="19" bestFit="1" customWidth="1"/>
    <col min="12811" max="12811" width="9.33203125" style="19" customWidth="1"/>
    <col min="12812" max="12812" width="12.109375" style="19" customWidth="1"/>
    <col min="12813" max="13056" width="9.109375" style="19"/>
    <col min="13057" max="13057" width="16.109375" style="19" customWidth="1"/>
    <col min="13058" max="13058" width="10.109375" style="19" customWidth="1"/>
    <col min="13059" max="13059" width="9.88671875" style="19" customWidth="1"/>
    <col min="13060" max="13060" width="10.33203125" style="19" customWidth="1"/>
    <col min="13061" max="13062" width="9.33203125" style="19" bestFit="1" customWidth="1"/>
    <col min="13063" max="13063" width="13.44140625" style="19" customWidth="1"/>
    <col min="13064" max="13064" width="9.33203125" style="19" bestFit="1" customWidth="1"/>
    <col min="13065" max="13065" width="12.33203125" style="19" bestFit="1" customWidth="1"/>
    <col min="13066" max="13066" width="9.33203125" style="19" bestFit="1" customWidth="1"/>
    <col min="13067" max="13067" width="9.33203125" style="19" customWidth="1"/>
    <col min="13068" max="13068" width="12.109375" style="19" customWidth="1"/>
    <col min="13069" max="13312" width="9.109375" style="19"/>
    <col min="13313" max="13313" width="16.109375" style="19" customWidth="1"/>
    <col min="13314" max="13314" width="10.109375" style="19" customWidth="1"/>
    <col min="13315" max="13315" width="9.88671875" style="19" customWidth="1"/>
    <col min="13316" max="13316" width="10.33203125" style="19" customWidth="1"/>
    <col min="13317" max="13318" width="9.33203125" style="19" bestFit="1" customWidth="1"/>
    <col min="13319" max="13319" width="13.44140625" style="19" customWidth="1"/>
    <col min="13320" max="13320" width="9.33203125" style="19" bestFit="1" customWidth="1"/>
    <col min="13321" max="13321" width="12.33203125" style="19" bestFit="1" customWidth="1"/>
    <col min="13322" max="13322" width="9.33203125" style="19" bestFit="1" customWidth="1"/>
    <col min="13323" max="13323" width="9.33203125" style="19" customWidth="1"/>
    <col min="13324" max="13324" width="12.109375" style="19" customWidth="1"/>
    <col min="13325" max="13568" width="9.109375" style="19"/>
    <col min="13569" max="13569" width="16.109375" style="19" customWidth="1"/>
    <col min="13570" max="13570" width="10.109375" style="19" customWidth="1"/>
    <col min="13571" max="13571" width="9.88671875" style="19" customWidth="1"/>
    <col min="13572" max="13572" width="10.33203125" style="19" customWidth="1"/>
    <col min="13573" max="13574" width="9.33203125" style="19" bestFit="1" customWidth="1"/>
    <col min="13575" max="13575" width="13.44140625" style="19" customWidth="1"/>
    <col min="13576" max="13576" width="9.33203125" style="19" bestFit="1" customWidth="1"/>
    <col min="13577" max="13577" width="12.33203125" style="19" bestFit="1" customWidth="1"/>
    <col min="13578" max="13578" width="9.33203125" style="19" bestFit="1" customWidth="1"/>
    <col min="13579" max="13579" width="9.33203125" style="19" customWidth="1"/>
    <col min="13580" max="13580" width="12.109375" style="19" customWidth="1"/>
    <col min="13581" max="13824" width="9.109375" style="19"/>
    <col min="13825" max="13825" width="16.109375" style="19" customWidth="1"/>
    <col min="13826" max="13826" width="10.109375" style="19" customWidth="1"/>
    <col min="13827" max="13827" width="9.88671875" style="19" customWidth="1"/>
    <col min="13828" max="13828" width="10.33203125" style="19" customWidth="1"/>
    <col min="13829" max="13830" width="9.33203125" style="19" bestFit="1" customWidth="1"/>
    <col min="13831" max="13831" width="13.44140625" style="19" customWidth="1"/>
    <col min="13832" max="13832" width="9.33203125" style="19" bestFit="1" customWidth="1"/>
    <col min="13833" max="13833" width="12.33203125" style="19" bestFit="1" customWidth="1"/>
    <col min="13834" max="13834" width="9.33203125" style="19" bestFit="1" customWidth="1"/>
    <col min="13835" max="13835" width="9.33203125" style="19" customWidth="1"/>
    <col min="13836" max="13836" width="12.109375" style="19" customWidth="1"/>
    <col min="13837" max="14080" width="9.109375" style="19"/>
    <col min="14081" max="14081" width="16.109375" style="19" customWidth="1"/>
    <col min="14082" max="14082" width="10.109375" style="19" customWidth="1"/>
    <col min="14083" max="14083" width="9.88671875" style="19" customWidth="1"/>
    <col min="14084" max="14084" width="10.33203125" style="19" customWidth="1"/>
    <col min="14085" max="14086" width="9.33203125" style="19" bestFit="1" customWidth="1"/>
    <col min="14087" max="14087" width="13.44140625" style="19" customWidth="1"/>
    <col min="14088" max="14088" width="9.33203125" style="19" bestFit="1" customWidth="1"/>
    <col min="14089" max="14089" width="12.33203125" style="19" bestFit="1" customWidth="1"/>
    <col min="14090" max="14090" width="9.33203125" style="19" bestFit="1" customWidth="1"/>
    <col min="14091" max="14091" width="9.33203125" style="19" customWidth="1"/>
    <col min="14092" max="14092" width="12.109375" style="19" customWidth="1"/>
    <col min="14093" max="14336" width="9.109375" style="19"/>
    <col min="14337" max="14337" width="16.109375" style="19" customWidth="1"/>
    <col min="14338" max="14338" width="10.109375" style="19" customWidth="1"/>
    <col min="14339" max="14339" width="9.88671875" style="19" customWidth="1"/>
    <col min="14340" max="14340" width="10.33203125" style="19" customWidth="1"/>
    <col min="14341" max="14342" width="9.33203125" style="19" bestFit="1" customWidth="1"/>
    <col min="14343" max="14343" width="13.44140625" style="19" customWidth="1"/>
    <col min="14344" max="14344" width="9.33203125" style="19" bestFit="1" customWidth="1"/>
    <col min="14345" max="14345" width="12.33203125" style="19" bestFit="1" customWidth="1"/>
    <col min="14346" max="14346" width="9.33203125" style="19" bestFit="1" customWidth="1"/>
    <col min="14347" max="14347" width="9.33203125" style="19" customWidth="1"/>
    <col min="14348" max="14348" width="12.109375" style="19" customWidth="1"/>
    <col min="14349" max="14592" width="9.109375" style="19"/>
    <col min="14593" max="14593" width="16.109375" style="19" customWidth="1"/>
    <col min="14594" max="14594" width="10.109375" style="19" customWidth="1"/>
    <col min="14595" max="14595" width="9.88671875" style="19" customWidth="1"/>
    <col min="14596" max="14596" width="10.33203125" style="19" customWidth="1"/>
    <col min="14597" max="14598" width="9.33203125" style="19" bestFit="1" customWidth="1"/>
    <col min="14599" max="14599" width="13.44140625" style="19" customWidth="1"/>
    <col min="14600" max="14600" width="9.33203125" style="19" bestFit="1" customWidth="1"/>
    <col min="14601" max="14601" width="12.33203125" style="19" bestFit="1" customWidth="1"/>
    <col min="14602" max="14602" width="9.33203125" style="19" bestFit="1" customWidth="1"/>
    <col min="14603" max="14603" width="9.33203125" style="19" customWidth="1"/>
    <col min="14604" max="14604" width="12.109375" style="19" customWidth="1"/>
    <col min="14605" max="14848" width="9.109375" style="19"/>
    <col min="14849" max="14849" width="16.109375" style="19" customWidth="1"/>
    <col min="14850" max="14850" width="10.109375" style="19" customWidth="1"/>
    <col min="14851" max="14851" width="9.88671875" style="19" customWidth="1"/>
    <col min="14852" max="14852" width="10.33203125" style="19" customWidth="1"/>
    <col min="14853" max="14854" width="9.33203125" style="19" bestFit="1" customWidth="1"/>
    <col min="14855" max="14855" width="13.44140625" style="19" customWidth="1"/>
    <col min="14856" max="14856" width="9.33203125" style="19" bestFit="1" customWidth="1"/>
    <col min="14857" max="14857" width="12.33203125" style="19" bestFit="1" customWidth="1"/>
    <col min="14858" max="14858" width="9.33203125" style="19" bestFit="1" customWidth="1"/>
    <col min="14859" max="14859" width="9.33203125" style="19" customWidth="1"/>
    <col min="14860" max="14860" width="12.109375" style="19" customWidth="1"/>
    <col min="14861" max="15104" width="9.109375" style="19"/>
    <col min="15105" max="15105" width="16.109375" style="19" customWidth="1"/>
    <col min="15106" max="15106" width="10.109375" style="19" customWidth="1"/>
    <col min="15107" max="15107" width="9.88671875" style="19" customWidth="1"/>
    <col min="15108" max="15108" width="10.33203125" style="19" customWidth="1"/>
    <col min="15109" max="15110" width="9.33203125" style="19" bestFit="1" customWidth="1"/>
    <col min="15111" max="15111" width="13.44140625" style="19" customWidth="1"/>
    <col min="15112" max="15112" width="9.33203125" style="19" bestFit="1" customWidth="1"/>
    <col min="15113" max="15113" width="12.33203125" style="19" bestFit="1" customWidth="1"/>
    <col min="15114" max="15114" width="9.33203125" style="19" bestFit="1" customWidth="1"/>
    <col min="15115" max="15115" width="9.33203125" style="19" customWidth="1"/>
    <col min="15116" max="15116" width="12.109375" style="19" customWidth="1"/>
    <col min="15117" max="15360" width="9.109375" style="19"/>
    <col min="15361" max="15361" width="16.109375" style="19" customWidth="1"/>
    <col min="15362" max="15362" width="10.109375" style="19" customWidth="1"/>
    <col min="15363" max="15363" width="9.88671875" style="19" customWidth="1"/>
    <col min="15364" max="15364" width="10.33203125" style="19" customWidth="1"/>
    <col min="15365" max="15366" width="9.33203125" style="19" bestFit="1" customWidth="1"/>
    <col min="15367" max="15367" width="13.44140625" style="19" customWidth="1"/>
    <col min="15368" max="15368" width="9.33203125" style="19" bestFit="1" customWidth="1"/>
    <col min="15369" max="15369" width="12.33203125" style="19" bestFit="1" customWidth="1"/>
    <col min="15370" max="15370" width="9.33203125" style="19" bestFit="1" customWidth="1"/>
    <col min="15371" max="15371" width="9.33203125" style="19" customWidth="1"/>
    <col min="15372" max="15372" width="12.109375" style="19" customWidth="1"/>
    <col min="15373" max="15616" width="9.109375" style="19"/>
    <col min="15617" max="15617" width="16.109375" style="19" customWidth="1"/>
    <col min="15618" max="15618" width="10.109375" style="19" customWidth="1"/>
    <col min="15619" max="15619" width="9.88671875" style="19" customWidth="1"/>
    <col min="15620" max="15620" width="10.33203125" style="19" customWidth="1"/>
    <col min="15621" max="15622" width="9.33203125" style="19" bestFit="1" customWidth="1"/>
    <col min="15623" max="15623" width="13.44140625" style="19" customWidth="1"/>
    <col min="15624" max="15624" width="9.33203125" style="19" bestFit="1" customWidth="1"/>
    <col min="15625" max="15625" width="12.33203125" style="19" bestFit="1" customWidth="1"/>
    <col min="15626" max="15626" width="9.33203125" style="19" bestFit="1" customWidth="1"/>
    <col min="15627" max="15627" width="9.33203125" style="19" customWidth="1"/>
    <col min="15628" max="15628" width="12.109375" style="19" customWidth="1"/>
    <col min="15629" max="15872" width="9.109375" style="19"/>
    <col min="15873" max="15873" width="16.109375" style="19" customWidth="1"/>
    <col min="15874" max="15874" width="10.109375" style="19" customWidth="1"/>
    <col min="15875" max="15875" width="9.88671875" style="19" customWidth="1"/>
    <col min="15876" max="15876" width="10.33203125" style="19" customWidth="1"/>
    <col min="15877" max="15878" width="9.33203125" style="19" bestFit="1" customWidth="1"/>
    <col min="15879" max="15879" width="13.44140625" style="19" customWidth="1"/>
    <col min="15880" max="15880" width="9.33203125" style="19" bestFit="1" customWidth="1"/>
    <col min="15881" max="15881" width="12.33203125" style="19" bestFit="1" customWidth="1"/>
    <col min="15882" max="15882" width="9.33203125" style="19" bestFit="1" customWidth="1"/>
    <col min="15883" max="15883" width="9.33203125" style="19" customWidth="1"/>
    <col min="15884" max="15884" width="12.109375" style="19" customWidth="1"/>
    <col min="15885" max="16128" width="9.109375" style="19"/>
    <col min="16129" max="16129" width="16.109375" style="19" customWidth="1"/>
    <col min="16130" max="16130" width="10.109375" style="19" customWidth="1"/>
    <col min="16131" max="16131" width="9.88671875" style="19" customWidth="1"/>
    <col min="16132" max="16132" width="10.33203125" style="19" customWidth="1"/>
    <col min="16133" max="16134" width="9.33203125" style="19" bestFit="1" customWidth="1"/>
    <col min="16135" max="16135" width="13.44140625" style="19" customWidth="1"/>
    <col min="16136" max="16136" width="9.33203125" style="19" bestFit="1" customWidth="1"/>
    <col min="16137" max="16137" width="12.33203125" style="19" bestFit="1" customWidth="1"/>
    <col min="16138" max="16138" width="9.33203125" style="19" bestFit="1" customWidth="1"/>
    <col min="16139" max="16139" width="9.33203125" style="19" customWidth="1"/>
    <col min="16140" max="16140" width="12.109375" style="19" customWidth="1"/>
    <col min="16141" max="16384" width="9.109375" style="19"/>
  </cols>
  <sheetData>
    <row r="1" spans="1:12" ht="20.399999999999999" thickBot="1" x14ac:dyDescent="0.45">
      <c r="A1" s="506" t="s">
        <v>298</v>
      </c>
      <c r="B1" s="506"/>
      <c r="C1" s="506"/>
      <c r="D1" s="506"/>
      <c r="E1" s="506"/>
      <c r="F1" s="506"/>
      <c r="G1" s="506"/>
      <c r="H1" s="506"/>
      <c r="I1" s="506"/>
      <c r="J1" s="506"/>
      <c r="K1" s="506"/>
      <c r="L1" s="506"/>
    </row>
    <row r="2" spans="1:12" ht="21" thickTop="1" thickBot="1" x14ac:dyDescent="0.45">
      <c r="A2" s="506" t="s">
        <v>203</v>
      </c>
      <c r="B2" s="506"/>
      <c r="C2" s="506"/>
      <c r="D2" s="506"/>
      <c r="E2" s="506"/>
      <c r="F2" s="506"/>
      <c r="G2" s="506"/>
      <c r="H2" s="506"/>
      <c r="I2" s="506"/>
      <c r="J2" s="506"/>
      <c r="K2" s="506"/>
      <c r="L2" s="506"/>
    </row>
    <row r="3" spans="1:12" ht="13.8" thickTop="1" x14ac:dyDescent="0.25">
      <c r="A3" s="430" t="s">
        <v>0</v>
      </c>
      <c r="B3" s="446" t="s">
        <v>139</v>
      </c>
      <c r="C3" s="447"/>
      <c r="D3" s="447"/>
      <c r="E3" s="447"/>
      <c r="F3" s="447"/>
      <c r="G3" s="447"/>
      <c r="H3" s="447"/>
      <c r="I3" s="447"/>
      <c r="J3" s="446" t="s">
        <v>140</v>
      </c>
      <c r="K3" s="447"/>
      <c r="L3" s="447"/>
    </row>
    <row r="4" spans="1:12" ht="13.2" customHeight="1" x14ac:dyDescent="0.25">
      <c r="A4" s="431"/>
      <c r="B4" s="153" t="s">
        <v>45</v>
      </c>
      <c r="C4" s="153" t="s">
        <v>46</v>
      </c>
      <c r="D4" s="153" t="s">
        <v>47</v>
      </c>
      <c r="E4" s="153" t="s">
        <v>141</v>
      </c>
      <c r="F4" s="430" t="s">
        <v>142</v>
      </c>
      <c r="G4" s="439" t="s">
        <v>11</v>
      </c>
      <c r="H4" s="439" t="s">
        <v>143</v>
      </c>
      <c r="I4" s="476" t="s">
        <v>296</v>
      </c>
      <c r="J4" s="430" t="s">
        <v>25</v>
      </c>
      <c r="K4" s="436" t="s">
        <v>12</v>
      </c>
      <c r="L4" s="439" t="s">
        <v>144</v>
      </c>
    </row>
    <row r="5" spans="1:12" x14ac:dyDescent="0.25">
      <c r="A5" s="445"/>
      <c r="B5" s="153" t="s">
        <v>145</v>
      </c>
      <c r="C5" s="153" t="s">
        <v>145</v>
      </c>
      <c r="D5" s="153" t="s">
        <v>145</v>
      </c>
      <c r="E5" s="153" t="s">
        <v>145</v>
      </c>
      <c r="F5" s="431"/>
      <c r="G5" s="440"/>
      <c r="H5" s="440"/>
      <c r="I5" s="477"/>
      <c r="J5" s="431"/>
      <c r="K5" s="437"/>
      <c r="L5" s="440"/>
    </row>
    <row r="6" spans="1:12" x14ac:dyDescent="0.25">
      <c r="A6" s="432"/>
      <c r="B6" s="133">
        <v>88.01</v>
      </c>
      <c r="C6" s="133">
        <v>132.91</v>
      </c>
      <c r="D6" s="133">
        <v>168.46</v>
      </c>
      <c r="E6" s="133">
        <v>40.380000000000003</v>
      </c>
      <c r="F6" s="432"/>
      <c r="G6" s="441"/>
      <c r="H6" s="441"/>
      <c r="I6" s="478"/>
      <c r="J6" s="432"/>
      <c r="K6" s="438"/>
      <c r="L6" s="441"/>
    </row>
    <row r="7" spans="1:12" x14ac:dyDescent="0.25">
      <c r="A7" s="500" t="s">
        <v>204</v>
      </c>
      <c r="B7" s="501"/>
      <c r="C7" s="501"/>
      <c r="D7" s="501"/>
      <c r="E7" s="501"/>
      <c r="F7" s="501"/>
      <c r="G7" s="501"/>
      <c r="H7" s="501"/>
      <c r="I7" s="501"/>
      <c r="J7" s="501"/>
      <c r="K7" s="501"/>
      <c r="L7" s="502"/>
    </row>
    <row r="8" spans="1:12" ht="26.4" x14ac:dyDescent="0.25">
      <c r="A8" s="565" t="s">
        <v>34</v>
      </c>
      <c r="B8" s="21">
        <v>12</v>
      </c>
      <c r="C8" s="21">
        <v>5</v>
      </c>
      <c r="D8" s="21">
        <v>5</v>
      </c>
      <c r="E8" s="21">
        <v>1</v>
      </c>
      <c r="F8" s="21">
        <f>B8+C8+D8+E8</f>
        <v>23</v>
      </c>
      <c r="G8" s="151">
        <f>(B8*$B$6)+(C8*$C$6)+(D8*$D$6)+(E8*$E$6)</f>
        <v>2603.3500000000004</v>
      </c>
      <c r="H8" s="21">
        <v>0</v>
      </c>
      <c r="I8" s="22">
        <v>17</v>
      </c>
      <c r="J8" s="130">
        <v>107</v>
      </c>
      <c r="K8" s="258">
        <f>F8*J8</f>
        <v>2461</v>
      </c>
      <c r="L8" s="22">
        <f>(G8+H8+I8)*J8</f>
        <v>280377.45</v>
      </c>
    </row>
    <row r="9" spans="1:12" x14ac:dyDescent="0.25">
      <c r="A9" s="565" t="s">
        <v>35</v>
      </c>
      <c r="B9" s="21">
        <v>3</v>
      </c>
      <c r="C9" s="21">
        <v>5</v>
      </c>
      <c r="D9" s="21">
        <v>3</v>
      </c>
      <c r="E9" s="21">
        <v>0</v>
      </c>
      <c r="F9" s="21">
        <f t="shared" ref="F9:F24" si="0">B9+C9+D9+E9</f>
        <v>11</v>
      </c>
      <c r="G9" s="151">
        <f t="shared" ref="G9:G24" si="1">(B9*$B$6)+(C9*$C$6)+(D9*$D$6)+(E9*$E$6)</f>
        <v>1433.96</v>
      </c>
      <c r="H9" s="21">
        <v>0</v>
      </c>
      <c r="I9" s="22">
        <v>0</v>
      </c>
      <c r="J9" s="130">
        <v>20</v>
      </c>
      <c r="K9" s="258">
        <f>F9*J9</f>
        <v>220</v>
      </c>
      <c r="L9" s="23">
        <f t="shared" ref="L9:L24" si="2">(G9+H9+I9)*J9</f>
        <v>28679.200000000001</v>
      </c>
    </row>
    <row r="10" spans="1:12" x14ac:dyDescent="0.25">
      <c r="A10" s="565" t="s">
        <v>36</v>
      </c>
      <c r="B10" s="21">
        <v>1</v>
      </c>
      <c r="C10" s="21">
        <v>1</v>
      </c>
      <c r="D10" s="21">
        <v>1</v>
      </c>
      <c r="E10" s="21">
        <v>1</v>
      </c>
      <c r="F10" s="21">
        <f t="shared" si="0"/>
        <v>4</v>
      </c>
      <c r="G10" s="151">
        <f t="shared" si="1"/>
        <v>429.76</v>
      </c>
      <c r="H10" s="21">
        <v>0</v>
      </c>
      <c r="I10" s="22">
        <v>5</v>
      </c>
      <c r="J10" s="130">
        <v>20</v>
      </c>
      <c r="K10" s="258">
        <f t="shared" ref="K10:K15" si="3">F10*J10</f>
        <v>80</v>
      </c>
      <c r="L10" s="22">
        <f t="shared" si="2"/>
        <v>8695.2000000000007</v>
      </c>
    </row>
    <row r="11" spans="1:12" ht="26.4" x14ac:dyDescent="0.25">
      <c r="A11" s="565" t="s">
        <v>37</v>
      </c>
      <c r="B11" s="21">
        <v>5</v>
      </c>
      <c r="C11" s="21">
        <v>1</v>
      </c>
      <c r="D11" s="21">
        <v>0</v>
      </c>
      <c r="E11" s="21">
        <v>1</v>
      </c>
      <c r="F11" s="21">
        <f t="shared" si="0"/>
        <v>7</v>
      </c>
      <c r="G11" s="151">
        <f t="shared" si="1"/>
        <v>613.34</v>
      </c>
      <c r="H11" s="21">
        <v>0</v>
      </c>
      <c r="I11" s="22">
        <v>3</v>
      </c>
      <c r="J11" s="130">
        <v>107</v>
      </c>
      <c r="K11" s="258">
        <f t="shared" si="3"/>
        <v>749</v>
      </c>
      <c r="L11" s="22">
        <f>(G11+H11+I11)*J11</f>
        <v>65948.38</v>
      </c>
    </row>
    <row r="12" spans="1:12" ht="26.4" x14ac:dyDescent="0.25">
      <c r="A12" s="565" t="s">
        <v>38</v>
      </c>
      <c r="B12" s="21">
        <v>1</v>
      </c>
      <c r="C12" s="21">
        <v>3</v>
      </c>
      <c r="D12" s="21">
        <v>5</v>
      </c>
      <c r="E12" s="21">
        <v>10</v>
      </c>
      <c r="F12" s="21">
        <f t="shared" si="0"/>
        <v>19</v>
      </c>
      <c r="G12" s="151">
        <f t="shared" si="1"/>
        <v>1732.84</v>
      </c>
      <c r="H12" s="21">
        <v>0</v>
      </c>
      <c r="I12" s="22">
        <v>5000</v>
      </c>
      <c r="J12" s="130">
        <v>50</v>
      </c>
      <c r="K12" s="258">
        <f t="shared" si="3"/>
        <v>950</v>
      </c>
      <c r="L12" s="22">
        <f>(G12+H12+I12)*J12</f>
        <v>336642</v>
      </c>
    </row>
    <row r="13" spans="1:12" x14ac:dyDescent="0.25">
      <c r="A13" s="565" t="s">
        <v>119</v>
      </c>
      <c r="B13" s="21">
        <v>0.5</v>
      </c>
      <c r="C13" s="21">
        <v>0</v>
      </c>
      <c r="D13" s="21">
        <v>0</v>
      </c>
      <c r="E13" s="21">
        <v>1</v>
      </c>
      <c r="F13" s="21">
        <f t="shared" si="0"/>
        <v>1.5</v>
      </c>
      <c r="G13" s="151">
        <f t="shared" si="1"/>
        <v>84.385000000000005</v>
      </c>
      <c r="H13" s="21">
        <v>0</v>
      </c>
      <c r="I13" s="22">
        <v>2</v>
      </c>
      <c r="J13" s="130">
        <v>10</v>
      </c>
      <c r="K13" s="258">
        <f t="shared" ref="K13" si="4">F13*J13</f>
        <v>15</v>
      </c>
      <c r="L13" s="22">
        <f>(G13+H13+I13)*J13</f>
        <v>863.85</v>
      </c>
    </row>
    <row r="14" spans="1:12" ht="26.4" x14ac:dyDescent="0.25">
      <c r="A14" s="565" t="s">
        <v>39</v>
      </c>
      <c r="B14" s="21">
        <v>10</v>
      </c>
      <c r="C14" s="21">
        <v>5</v>
      </c>
      <c r="D14" s="21">
        <v>2</v>
      </c>
      <c r="E14" s="21">
        <v>25</v>
      </c>
      <c r="F14" s="21">
        <f t="shared" si="0"/>
        <v>42</v>
      </c>
      <c r="G14" s="151">
        <f t="shared" si="1"/>
        <v>2891.07</v>
      </c>
      <c r="H14" s="21">
        <v>0</v>
      </c>
      <c r="I14" s="22">
        <v>5</v>
      </c>
      <c r="J14" s="130">
        <v>107</v>
      </c>
      <c r="K14" s="258">
        <f t="shared" si="3"/>
        <v>4494</v>
      </c>
      <c r="L14" s="22">
        <f t="shared" si="2"/>
        <v>309879.49</v>
      </c>
    </row>
    <row r="15" spans="1:12" ht="26.4" x14ac:dyDescent="0.25">
      <c r="A15" s="565" t="s">
        <v>235</v>
      </c>
      <c r="B15" s="21">
        <v>5</v>
      </c>
      <c r="C15" s="21">
        <v>1</v>
      </c>
      <c r="D15" s="21">
        <v>0</v>
      </c>
      <c r="E15" s="21">
        <v>3</v>
      </c>
      <c r="F15" s="21">
        <f t="shared" si="0"/>
        <v>9</v>
      </c>
      <c r="G15" s="151">
        <f t="shared" si="1"/>
        <v>694.1</v>
      </c>
      <c r="H15" s="21">
        <v>0</v>
      </c>
      <c r="I15" s="22">
        <v>3</v>
      </c>
      <c r="J15" s="130">
        <v>107</v>
      </c>
      <c r="K15" s="258">
        <f t="shared" si="3"/>
        <v>963</v>
      </c>
      <c r="L15" s="22">
        <f t="shared" si="2"/>
        <v>74589.7</v>
      </c>
    </row>
    <row r="16" spans="1:12" ht="26.4" x14ac:dyDescent="0.25">
      <c r="A16" s="566" t="s">
        <v>105</v>
      </c>
      <c r="B16" s="101">
        <v>25</v>
      </c>
      <c r="C16" s="101">
        <v>10</v>
      </c>
      <c r="D16" s="101">
        <v>25</v>
      </c>
      <c r="E16" s="101">
        <v>20</v>
      </c>
      <c r="F16" s="101">
        <f t="shared" si="0"/>
        <v>80</v>
      </c>
      <c r="G16" s="151">
        <f t="shared" si="1"/>
        <v>8548.4500000000007</v>
      </c>
      <c r="H16" s="21">
        <v>0</v>
      </c>
      <c r="I16" s="22">
        <v>15</v>
      </c>
      <c r="J16" s="130">
        <v>2</v>
      </c>
      <c r="K16" s="258">
        <f t="shared" ref="K16:K18" si="5">F16*J16</f>
        <v>160</v>
      </c>
      <c r="L16" s="22">
        <f t="shared" ref="L16:L18" si="6">(G16+H16+I16)*J16</f>
        <v>17126.900000000001</v>
      </c>
    </row>
    <row r="17" spans="1:13" ht="26.4" x14ac:dyDescent="0.25">
      <c r="A17" s="566" t="s">
        <v>106</v>
      </c>
      <c r="B17" s="101">
        <v>3</v>
      </c>
      <c r="C17" s="101">
        <v>1</v>
      </c>
      <c r="D17" s="101">
        <v>0</v>
      </c>
      <c r="E17" s="101">
        <v>1</v>
      </c>
      <c r="F17" s="101">
        <f t="shared" si="0"/>
        <v>5</v>
      </c>
      <c r="G17" s="151">
        <f t="shared" si="1"/>
        <v>437.32000000000005</v>
      </c>
      <c r="H17" s="21">
        <v>0</v>
      </c>
      <c r="I17" s="122">
        <v>1200</v>
      </c>
      <c r="J17" s="130">
        <v>6</v>
      </c>
      <c r="K17" s="258">
        <f t="shared" si="5"/>
        <v>30</v>
      </c>
      <c r="L17" s="22">
        <f t="shared" si="6"/>
        <v>9823.9200000000019</v>
      </c>
    </row>
    <row r="18" spans="1:13" ht="26.4" x14ac:dyDescent="0.25">
      <c r="A18" s="566" t="s">
        <v>107</v>
      </c>
      <c r="B18" s="100">
        <v>1.5</v>
      </c>
      <c r="C18" s="100">
        <v>0.5</v>
      </c>
      <c r="D18" s="100">
        <v>0</v>
      </c>
      <c r="E18" s="100">
        <v>1</v>
      </c>
      <c r="F18" s="100">
        <f t="shared" si="0"/>
        <v>3</v>
      </c>
      <c r="G18" s="151">
        <f t="shared" si="1"/>
        <v>238.85000000000002</v>
      </c>
      <c r="H18" s="21">
        <v>0</v>
      </c>
      <c r="I18" s="22">
        <v>3</v>
      </c>
      <c r="J18" s="128">
        <v>6</v>
      </c>
      <c r="K18" s="258">
        <f t="shared" si="5"/>
        <v>18</v>
      </c>
      <c r="L18" s="22">
        <f t="shared" si="6"/>
        <v>1451.1000000000001</v>
      </c>
    </row>
    <row r="19" spans="1:13" x14ac:dyDescent="0.25">
      <c r="A19" s="500" t="s">
        <v>205</v>
      </c>
      <c r="B19" s="501"/>
      <c r="C19" s="501"/>
      <c r="D19" s="501"/>
      <c r="E19" s="501"/>
      <c r="F19" s="501"/>
      <c r="G19" s="501"/>
      <c r="H19" s="501"/>
      <c r="I19" s="501"/>
      <c r="J19" s="501"/>
      <c r="K19" s="501"/>
      <c r="L19" s="502"/>
    </row>
    <row r="20" spans="1:13" ht="26.4" x14ac:dyDescent="0.25">
      <c r="A20" s="565" t="s">
        <v>34</v>
      </c>
      <c r="B20" s="37">
        <v>40</v>
      </c>
      <c r="C20" s="37">
        <v>5</v>
      </c>
      <c r="D20" s="37">
        <v>5</v>
      </c>
      <c r="E20" s="37">
        <v>0</v>
      </c>
      <c r="F20" s="37">
        <f>B20+C20+D20+E20</f>
        <v>50</v>
      </c>
      <c r="G20" s="95">
        <f>(B20*82.45)+(C20*123.48)+(D20*161.91)+(E20*39.06)</f>
        <v>4724.95</v>
      </c>
      <c r="H20" s="37">
        <v>0</v>
      </c>
      <c r="I20" s="105">
        <v>17</v>
      </c>
      <c r="J20" s="127">
        <v>25</v>
      </c>
      <c r="K20" s="37">
        <f>F20*J20</f>
        <v>1250</v>
      </c>
      <c r="L20" s="105">
        <f>(G20+H20+I20)*J20</f>
        <v>118548.75</v>
      </c>
    </row>
    <row r="21" spans="1:13" ht="39.6" x14ac:dyDescent="0.25">
      <c r="A21" s="565" t="s">
        <v>40</v>
      </c>
      <c r="B21" s="37">
        <v>20</v>
      </c>
      <c r="C21" s="37">
        <v>7</v>
      </c>
      <c r="D21" s="37">
        <v>0</v>
      </c>
      <c r="E21" s="37">
        <v>35</v>
      </c>
      <c r="F21" s="37">
        <f>B21+C21+D21+E21</f>
        <v>62</v>
      </c>
      <c r="G21" s="95">
        <f>(B21*82.45)+(C21*123.48)+(D21*161.91)+(E21*39.06)</f>
        <v>3880.46</v>
      </c>
      <c r="H21" s="37">
        <v>0</v>
      </c>
      <c r="I21" s="105">
        <v>5</v>
      </c>
      <c r="J21" s="127">
        <v>25</v>
      </c>
      <c r="K21" s="37">
        <f>F21*J21</f>
        <v>1550</v>
      </c>
      <c r="L21" s="105">
        <f>(G21+H21+I21)*J21</f>
        <v>97136.5</v>
      </c>
    </row>
    <row r="22" spans="1:13" x14ac:dyDescent="0.25">
      <c r="A22" s="565" t="s">
        <v>41</v>
      </c>
      <c r="B22" s="37">
        <v>5</v>
      </c>
      <c r="C22" s="37">
        <v>3</v>
      </c>
      <c r="D22" s="37">
        <v>0</v>
      </c>
      <c r="E22" s="37">
        <v>3</v>
      </c>
      <c r="F22" s="37">
        <f>B22+C22+D22+E22</f>
        <v>11</v>
      </c>
      <c r="G22" s="95">
        <f>(B22*82.45)+(C22*123.48)+(D22*161.91)+(E22*39.06)</f>
        <v>899.87000000000012</v>
      </c>
      <c r="H22" s="37">
        <v>0</v>
      </c>
      <c r="I22" s="105">
        <v>3</v>
      </c>
      <c r="J22" s="127">
        <v>25</v>
      </c>
      <c r="K22" s="37">
        <f>F22*J22</f>
        <v>275</v>
      </c>
      <c r="L22" s="105">
        <f>(G22+H22+I22)*J22</f>
        <v>22571.750000000004</v>
      </c>
    </row>
    <row r="23" spans="1:13" x14ac:dyDescent="0.25">
      <c r="A23" s="503" t="s">
        <v>23</v>
      </c>
      <c r="B23" s="504"/>
      <c r="C23" s="504"/>
      <c r="D23" s="504"/>
      <c r="E23" s="504"/>
      <c r="F23" s="504"/>
      <c r="G23" s="504"/>
      <c r="H23" s="504"/>
      <c r="I23" s="504"/>
      <c r="J23" s="504"/>
      <c r="K23" s="504"/>
      <c r="L23" s="505"/>
    </row>
    <row r="24" spans="1:13" ht="13.8" thickBot="1" x14ac:dyDescent="0.3">
      <c r="A24" s="567" t="s">
        <v>23</v>
      </c>
      <c r="B24" s="25">
        <v>8</v>
      </c>
      <c r="C24" s="25">
        <v>3</v>
      </c>
      <c r="D24" s="25">
        <v>2</v>
      </c>
      <c r="E24" s="25">
        <v>20</v>
      </c>
      <c r="F24" s="26">
        <f t="shared" si="0"/>
        <v>33</v>
      </c>
      <c r="G24" s="27">
        <f t="shared" si="1"/>
        <v>2247.33</v>
      </c>
      <c r="H24" s="26">
        <v>0</v>
      </c>
      <c r="I24" s="27">
        <v>5</v>
      </c>
      <c r="J24" s="129">
        <v>107</v>
      </c>
      <c r="K24" s="259">
        <v>1432</v>
      </c>
      <c r="L24" s="28">
        <f t="shared" si="2"/>
        <v>240999.31</v>
      </c>
      <c r="M24" s="124"/>
    </row>
    <row r="25" spans="1:13" ht="13.8" thickTop="1" x14ac:dyDescent="0.25">
      <c r="A25" s="303" t="s">
        <v>3</v>
      </c>
      <c r="B25" s="304">
        <f t="shared" ref="B25:I25" si="7">SUM(B8:B24)</f>
        <v>140</v>
      </c>
      <c r="C25" s="304">
        <f t="shared" si="7"/>
        <v>50.5</v>
      </c>
      <c r="D25" s="304">
        <f t="shared" si="7"/>
        <v>48</v>
      </c>
      <c r="E25" s="304">
        <f t="shared" si="7"/>
        <v>122</v>
      </c>
      <c r="F25" s="304">
        <f t="shared" si="7"/>
        <v>360.5</v>
      </c>
      <c r="G25" s="305">
        <f t="shared" si="7"/>
        <v>31460.035000000003</v>
      </c>
      <c r="H25" s="306">
        <f t="shared" si="7"/>
        <v>0</v>
      </c>
      <c r="I25" s="305">
        <f t="shared" si="7"/>
        <v>6283</v>
      </c>
      <c r="J25" s="304" t="s">
        <v>6</v>
      </c>
      <c r="K25" s="304" t="s">
        <v>6</v>
      </c>
      <c r="L25" s="305" t="s">
        <v>6</v>
      </c>
    </row>
    <row r="26" spans="1:13" x14ac:dyDescent="0.25">
      <c r="A26" s="303" t="s">
        <v>5</v>
      </c>
      <c r="B26" s="304" t="s">
        <v>6</v>
      </c>
      <c r="C26" s="304" t="s">
        <v>6</v>
      </c>
      <c r="D26" s="304" t="s">
        <v>6</v>
      </c>
      <c r="E26" s="304" t="s">
        <v>6</v>
      </c>
      <c r="F26" s="304" t="s">
        <v>6</v>
      </c>
      <c r="G26" s="305">
        <f>SUMPRODUCT(G8:G24,J8:J24)</f>
        <v>1351809.5</v>
      </c>
      <c r="H26" s="306">
        <v>0</v>
      </c>
      <c r="I26" s="305">
        <f>SUMPRODUCT(I8:I24,J8:J24)</f>
        <v>261524</v>
      </c>
      <c r="J26" s="304">
        <v>107</v>
      </c>
      <c r="K26" s="304">
        <f>SUM(K8:K24)</f>
        <v>14647</v>
      </c>
      <c r="L26" s="305">
        <f>SUM(L8:L24)</f>
        <v>1613333.5</v>
      </c>
    </row>
    <row r="27" spans="1:13" x14ac:dyDescent="0.25">
      <c r="A27" s="200" t="s">
        <v>324</v>
      </c>
    </row>
    <row r="28" spans="1:13" x14ac:dyDescent="0.25">
      <c r="A28" s="393"/>
    </row>
    <row r="29" spans="1:13" x14ac:dyDescent="0.25">
      <c r="A29" s="30"/>
    </row>
    <row r="31" spans="1:13" ht="15" x14ac:dyDescent="0.25">
      <c r="B31" s="31"/>
      <c r="C31" s="32"/>
      <c r="D31" s="32"/>
      <c r="E31" s="33"/>
      <c r="F31" s="33"/>
      <c r="G31" s="34"/>
    </row>
    <row r="32" spans="1:13" ht="15" x14ac:dyDescent="0.25">
      <c r="B32" s="33"/>
      <c r="C32" s="32"/>
      <c r="D32" s="32"/>
      <c r="E32" s="33"/>
      <c r="F32" s="35"/>
      <c r="G32" s="34"/>
    </row>
    <row r="33" spans="2:7" ht="15" x14ac:dyDescent="0.25">
      <c r="B33" s="33"/>
      <c r="C33" s="32"/>
      <c r="D33" s="32"/>
      <c r="E33" s="33"/>
      <c r="F33" s="36"/>
      <c r="G33" s="34"/>
    </row>
  </sheetData>
  <mergeCells count="15">
    <mergeCell ref="A7:L7"/>
    <mergeCell ref="A19:L19"/>
    <mergeCell ref="A23:L23"/>
    <mergeCell ref="A1:L1"/>
    <mergeCell ref="A2:L2"/>
    <mergeCell ref="A3:A6"/>
    <mergeCell ref="B3:I3"/>
    <mergeCell ref="F4:F6"/>
    <mergeCell ref="G4:G6"/>
    <mergeCell ref="H4:H6"/>
    <mergeCell ref="I4:I6"/>
    <mergeCell ref="J4:J6"/>
    <mergeCell ref="K4:K6"/>
    <mergeCell ref="L4:L6"/>
    <mergeCell ref="J3:L3"/>
  </mergeCells>
  <printOptions horizontalCentered="1" verticalCentered="1"/>
  <pageMargins left="0.75" right="0.75" top="1" bottom="1" header="0.5" footer="0.5"/>
  <pageSetup scale="8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sqref="A1:L1"/>
    </sheetView>
  </sheetViews>
  <sheetFormatPr defaultRowHeight="13.2" x14ac:dyDescent="0.25"/>
  <cols>
    <col min="1" max="1" width="25.88671875" customWidth="1"/>
    <col min="2" max="2" width="11.33203125" customWidth="1"/>
    <col min="3" max="3" width="11.5546875" customWidth="1"/>
    <col min="4" max="4" width="10.5546875" customWidth="1"/>
    <col min="5" max="5" width="10" customWidth="1"/>
    <col min="6" max="6" width="10.44140625" customWidth="1"/>
    <col min="7" max="7" width="11.5546875" customWidth="1"/>
    <col min="10" max="10" width="11.109375" customWidth="1"/>
    <col min="11" max="11" width="10.44140625" customWidth="1"/>
    <col min="12" max="12" width="11.109375" customWidth="1"/>
  </cols>
  <sheetData>
    <row r="1" spans="1:13" ht="20.399999999999999" thickBot="1" x14ac:dyDescent="0.45">
      <c r="A1" s="506" t="s">
        <v>254</v>
      </c>
      <c r="B1" s="506"/>
      <c r="C1" s="506"/>
      <c r="D1" s="506"/>
      <c r="E1" s="506"/>
      <c r="F1" s="506"/>
      <c r="G1" s="506"/>
      <c r="H1" s="506"/>
      <c r="I1" s="506"/>
      <c r="J1" s="506"/>
      <c r="K1" s="506"/>
      <c r="L1" s="506"/>
    </row>
    <row r="2" spans="1:13" ht="20.399999999999999" thickTop="1" x14ac:dyDescent="0.4">
      <c r="A2" s="510" t="s">
        <v>82</v>
      </c>
      <c r="B2" s="510"/>
      <c r="C2" s="510"/>
      <c r="D2" s="510"/>
      <c r="E2" s="510"/>
      <c r="F2" s="510"/>
      <c r="G2" s="510"/>
      <c r="H2" s="510"/>
      <c r="I2" s="510"/>
      <c r="J2" s="510"/>
      <c r="K2" s="510"/>
      <c r="L2" s="510"/>
    </row>
    <row r="3" spans="1:13" x14ac:dyDescent="0.25">
      <c r="A3" s="507" t="s">
        <v>0</v>
      </c>
      <c r="B3" s="507" t="s">
        <v>139</v>
      </c>
      <c r="C3" s="507"/>
      <c r="D3" s="507"/>
      <c r="E3" s="507"/>
      <c r="F3" s="507"/>
      <c r="G3" s="507"/>
      <c r="H3" s="507"/>
      <c r="I3" s="507"/>
      <c r="J3" s="507" t="s">
        <v>140</v>
      </c>
      <c r="K3" s="507"/>
      <c r="L3" s="507"/>
    </row>
    <row r="4" spans="1:13" ht="13.2" customHeight="1" x14ac:dyDescent="0.25">
      <c r="A4" s="507"/>
      <c r="B4" s="367" t="s">
        <v>45</v>
      </c>
      <c r="C4" s="367" t="s">
        <v>46</v>
      </c>
      <c r="D4" s="367" t="s">
        <v>47</v>
      </c>
      <c r="E4" s="367" t="s">
        <v>141</v>
      </c>
      <c r="F4" s="507" t="s">
        <v>142</v>
      </c>
      <c r="G4" s="508" t="s">
        <v>11</v>
      </c>
      <c r="H4" s="508" t="s">
        <v>143</v>
      </c>
      <c r="I4" s="476" t="s">
        <v>296</v>
      </c>
      <c r="J4" s="507" t="s">
        <v>25</v>
      </c>
      <c r="K4" s="509" t="s">
        <v>12</v>
      </c>
      <c r="L4" s="508" t="s">
        <v>144</v>
      </c>
    </row>
    <row r="5" spans="1:13" x14ac:dyDescent="0.25">
      <c r="A5" s="507"/>
      <c r="B5" s="367" t="s">
        <v>145</v>
      </c>
      <c r="C5" s="367" t="s">
        <v>145</v>
      </c>
      <c r="D5" s="367" t="s">
        <v>145</v>
      </c>
      <c r="E5" s="367" t="s">
        <v>145</v>
      </c>
      <c r="F5" s="507"/>
      <c r="G5" s="508"/>
      <c r="H5" s="508"/>
      <c r="I5" s="477"/>
      <c r="J5" s="507"/>
      <c r="K5" s="509"/>
      <c r="L5" s="508"/>
    </row>
    <row r="6" spans="1:13" x14ac:dyDescent="0.25">
      <c r="A6" s="507"/>
      <c r="B6" s="133">
        <v>88.01</v>
      </c>
      <c r="C6" s="133">
        <v>132.91</v>
      </c>
      <c r="D6" s="133">
        <v>168.46</v>
      </c>
      <c r="E6" s="133">
        <v>40.380000000000003</v>
      </c>
      <c r="F6" s="507"/>
      <c r="G6" s="508"/>
      <c r="H6" s="508"/>
      <c r="I6" s="478"/>
      <c r="J6" s="507"/>
      <c r="K6" s="509"/>
      <c r="L6" s="508"/>
    </row>
    <row r="7" spans="1:13" ht="26.4" x14ac:dyDescent="0.25">
      <c r="A7" s="20" t="s">
        <v>34</v>
      </c>
      <c r="B7" s="96">
        <v>1.5</v>
      </c>
      <c r="C7" s="96">
        <v>1</v>
      </c>
      <c r="D7" s="96">
        <v>0</v>
      </c>
      <c r="E7" s="96">
        <v>0</v>
      </c>
      <c r="F7" s="96">
        <f>B7+C7+D7+E7</f>
        <v>2.5</v>
      </c>
      <c r="G7" s="151">
        <f>(B7*$B$6)+(C7*$C$6)+(D7*$D$6)+(E7*$E$6)</f>
        <v>264.92500000000001</v>
      </c>
      <c r="H7" s="96">
        <v>0</v>
      </c>
      <c r="I7" s="98">
        <v>17</v>
      </c>
      <c r="J7" s="96">
        <v>220</v>
      </c>
      <c r="K7" s="96">
        <f>F7*J7</f>
        <v>550</v>
      </c>
      <c r="L7" s="98">
        <f>(G7+H7+I7)*J7</f>
        <v>62023.5</v>
      </c>
    </row>
    <row r="8" spans="1:13" ht="39.6" x14ac:dyDescent="0.25">
      <c r="A8" s="20" t="s">
        <v>104</v>
      </c>
      <c r="B8" s="96">
        <v>5</v>
      </c>
      <c r="C8" s="96">
        <v>3</v>
      </c>
      <c r="D8" s="96">
        <v>2</v>
      </c>
      <c r="E8" s="96">
        <v>4</v>
      </c>
      <c r="F8" s="96">
        <f t="shared" ref="F8:F15" si="0">B8+C8+D8+E8</f>
        <v>14</v>
      </c>
      <c r="G8" s="151">
        <f t="shared" ref="G8:G15" si="1">(B8*$B$6)+(C8*$C$6)+(D8*$D$6)+(E8*$E$6)</f>
        <v>1337.22</v>
      </c>
      <c r="H8" s="96">
        <v>0</v>
      </c>
      <c r="I8" s="98">
        <v>20</v>
      </c>
      <c r="J8" s="96">
        <v>20</v>
      </c>
      <c r="K8" s="96">
        <f t="shared" ref="K8:K11" si="2">F8*J8</f>
        <v>280</v>
      </c>
      <c r="L8" s="98">
        <f t="shared" ref="L8:L11" si="3">(G8+H8+I8)*J8</f>
        <v>27144.400000000001</v>
      </c>
    </row>
    <row r="9" spans="1:13" x14ac:dyDescent="0.25">
      <c r="A9" s="20" t="s">
        <v>103</v>
      </c>
      <c r="B9" s="96">
        <v>1</v>
      </c>
      <c r="C9" s="96">
        <v>0.5</v>
      </c>
      <c r="D9" s="96">
        <v>0.5</v>
      </c>
      <c r="E9" s="96">
        <v>1</v>
      </c>
      <c r="F9" s="96">
        <f t="shared" si="0"/>
        <v>3</v>
      </c>
      <c r="G9" s="151">
        <f t="shared" si="1"/>
        <v>279.07499999999999</v>
      </c>
      <c r="H9" s="96">
        <v>0</v>
      </c>
      <c r="I9" s="98">
        <v>5</v>
      </c>
      <c r="J9" s="96">
        <v>16</v>
      </c>
      <c r="K9" s="96">
        <f t="shared" si="2"/>
        <v>48</v>
      </c>
      <c r="L9" s="98">
        <f t="shared" si="3"/>
        <v>4545.2</v>
      </c>
    </row>
    <row r="10" spans="1:13" ht="52.8" x14ac:dyDescent="0.25">
      <c r="A10" s="20" t="s">
        <v>233</v>
      </c>
      <c r="B10" s="96">
        <v>3</v>
      </c>
      <c r="C10" s="96">
        <v>0</v>
      </c>
      <c r="D10" s="96">
        <v>0</v>
      </c>
      <c r="E10" s="96">
        <v>0</v>
      </c>
      <c r="F10" s="96">
        <f t="shared" si="0"/>
        <v>3</v>
      </c>
      <c r="G10" s="151">
        <f t="shared" si="1"/>
        <v>264.03000000000003</v>
      </c>
      <c r="H10" s="96">
        <v>0</v>
      </c>
      <c r="I10" s="98">
        <v>2</v>
      </c>
      <c r="J10" s="96">
        <f>108+97</f>
        <v>205</v>
      </c>
      <c r="K10" s="96">
        <f t="shared" si="2"/>
        <v>615</v>
      </c>
      <c r="L10" s="98">
        <f t="shared" si="3"/>
        <v>54536.150000000009</v>
      </c>
      <c r="M10" s="125"/>
    </row>
    <row r="11" spans="1:13" x14ac:dyDescent="0.25">
      <c r="A11" s="307" t="s">
        <v>83</v>
      </c>
      <c r="B11" s="96">
        <v>10</v>
      </c>
      <c r="C11" s="96">
        <v>0</v>
      </c>
      <c r="D11" s="96">
        <v>0</v>
      </c>
      <c r="E11" s="96">
        <v>10</v>
      </c>
      <c r="F11" s="96">
        <f t="shared" si="0"/>
        <v>20</v>
      </c>
      <c r="G11" s="151">
        <f t="shared" si="1"/>
        <v>1283.9000000000001</v>
      </c>
      <c r="H11" s="96">
        <v>0</v>
      </c>
      <c r="I11" s="98">
        <v>20</v>
      </c>
      <c r="J11" s="96">
        <v>205</v>
      </c>
      <c r="K11" s="96">
        <f t="shared" si="2"/>
        <v>4100</v>
      </c>
      <c r="L11" s="98">
        <f t="shared" si="3"/>
        <v>267299.5</v>
      </c>
    </row>
    <row r="12" spans="1:13" ht="26.4" x14ac:dyDescent="0.25">
      <c r="A12" s="307" t="s">
        <v>108</v>
      </c>
      <c r="B12" s="96">
        <v>5</v>
      </c>
      <c r="C12" s="96">
        <v>3</v>
      </c>
      <c r="D12" s="96">
        <v>0</v>
      </c>
      <c r="E12" s="96">
        <v>3</v>
      </c>
      <c r="F12" s="96">
        <f t="shared" si="0"/>
        <v>11</v>
      </c>
      <c r="G12" s="151">
        <f t="shared" si="1"/>
        <v>959.92</v>
      </c>
      <c r="H12" s="96">
        <v>0</v>
      </c>
      <c r="I12" s="98">
        <v>3</v>
      </c>
      <c r="J12" s="96">
        <v>205</v>
      </c>
      <c r="K12" s="96">
        <f>F12*J12</f>
        <v>2255</v>
      </c>
      <c r="L12" s="98">
        <f>(G12+H12+I12)*J12</f>
        <v>197398.6</v>
      </c>
    </row>
    <row r="13" spans="1:13" ht="39.6" x14ac:dyDescent="0.25">
      <c r="A13" s="99" t="s">
        <v>109</v>
      </c>
      <c r="B13" s="103">
        <v>1</v>
      </c>
      <c r="C13" s="103">
        <v>0</v>
      </c>
      <c r="D13" s="103">
        <v>0</v>
      </c>
      <c r="E13" s="103">
        <v>0</v>
      </c>
      <c r="F13" s="103">
        <f t="shared" si="0"/>
        <v>1</v>
      </c>
      <c r="G13" s="151">
        <f t="shared" si="1"/>
        <v>88.01</v>
      </c>
      <c r="H13" s="103">
        <v>0</v>
      </c>
      <c r="I13" s="104">
        <v>10</v>
      </c>
      <c r="J13" s="103">
        <v>68</v>
      </c>
      <c r="K13" s="96">
        <f>F13*J13</f>
        <v>68</v>
      </c>
      <c r="L13" s="98">
        <f>(G13+H13+I13)*J13</f>
        <v>6664.68</v>
      </c>
    </row>
    <row r="14" spans="1:13" x14ac:dyDescent="0.25">
      <c r="A14" s="312" t="s">
        <v>23</v>
      </c>
      <c r="B14" s="313"/>
      <c r="C14" s="313"/>
      <c r="D14" s="313"/>
      <c r="E14" s="313"/>
      <c r="F14" s="313"/>
      <c r="G14" s="313"/>
      <c r="H14" s="313"/>
      <c r="I14" s="313"/>
      <c r="J14" s="313"/>
      <c r="K14" s="313"/>
      <c r="L14" s="314"/>
    </row>
    <row r="15" spans="1:13" ht="13.8" thickBot="1" x14ac:dyDescent="0.3">
      <c r="A15" s="24" t="s">
        <v>23</v>
      </c>
      <c r="B15" s="97">
        <v>1.5</v>
      </c>
      <c r="C15" s="97">
        <v>0</v>
      </c>
      <c r="D15" s="97">
        <v>0</v>
      </c>
      <c r="E15" s="97">
        <v>3</v>
      </c>
      <c r="F15" s="97">
        <f t="shared" si="0"/>
        <v>4.5</v>
      </c>
      <c r="G15" s="151">
        <f t="shared" si="1"/>
        <v>253.15500000000003</v>
      </c>
      <c r="H15" s="97">
        <v>0</v>
      </c>
      <c r="I15" s="102">
        <v>13</v>
      </c>
      <c r="J15" s="97">
        <v>220</v>
      </c>
      <c r="K15" s="97">
        <f>F15*J15</f>
        <v>990</v>
      </c>
      <c r="L15" s="102">
        <f>(G15+H15+I15)*J15</f>
        <v>58554.100000000006</v>
      </c>
      <c r="M15" s="319"/>
    </row>
    <row r="16" spans="1:13" ht="13.8" thickTop="1" x14ac:dyDescent="0.25">
      <c r="A16" s="308" t="s">
        <v>3</v>
      </c>
      <c r="B16" s="306">
        <f t="shared" ref="B16:I16" si="4">SUM(B7:B15)</f>
        <v>28</v>
      </c>
      <c r="C16" s="306">
        <f t="shared" si="4"/>
        <v>7.5</v>
      </c>
      <c r="D16" s="306">
        <f t="shared" si="4"/>
        <v>2.5</v>
      </c>
      <c r="E16" s="306">
        <f t="shared" si="4"/>
        <v>21</v>
      </c>
      <c r="F16" s="306">
        <f t="shared" si="4"/>
        <v>59</v>
      </c>
      <c r="G16" s="231">
        <f t="shared" si="4"/>
        <v>4730.2349999999997</v>
      </c>
      <c r="H16" s="306">
        <f t="shared" si="4"/>
        <v>0</v>
      </c>
      <c r="I16" s="231">
        <f t="shared" si="4"/>
        <v>90</v>
      </c>
      <c r="J16" s="306" t="s">
        <v>6</v>
      </c>
      <c r="K16" s="306" t="s">
        <v>6</v>
      </c>
      <c r="L16" s="306" t="s">
        <v>6</v>
      </c>
    </row>
    <row r="17" spans="1:12" x14ac:dyDescent="0.25">
      <c r="A17" s="308" t="s">
        <v>5</v>
      </c>
      <c r="B17" s="309" t="s">
        <v>6</v>
      </c>
      <c r="C17" s="309" t="s">
        <v>6</v>
      </c>
      <c r="D17" s="309" t="s">
        <v>6</v>
      </c>
      <c r="E17" s="309" t="s">
        <v>6</v>
      </c>
      <c r="F17" s="309" t="s">
        <v>6</v>
      </c>
      <c r="G17" s="310">
        <f>SUMPRODUCT(G7:G15,J7:J15)</f>
        <v>665281.13</v>
      </c>
      <c r="H17" s="309">
        <v>0</v>
      </c>
      <c r="I17" s="310">
        <f>SUMPRODUCT(I7:I15,J7:J15)</f>
        <v>12885</v>
      </c>
      <c r="J17" s="309">
        <v>225</v>
      </c>
      <c r="K17" s="304">
        <f>SUM(K7:K15)</f>
        <v>8906</v>
      </c>
      <c r="L17" s="310">
        <f>SUM(L7:L15)</f>
        <v>678166.13</v>
      </c>
    </row>
    <row r="18" spans="1:12" x14ac:dyDescent="0.25">
      <c r="A18" s="200" t="s">
        <v>324</v>
      </c>
      <c r="B18" s="19"/>
      <c r="C18" s="19"/>
      <c r="D18" s="19"/>
      <c r="E18" s="19"/>
      <c r="F18" s="19"/>
      <c r="G18" s="19"/>
      <c r="H18" s="19"/>
      <c r="I18" s="19"/>
      <c r="J18" s="19"/>
      <c r="K18" s="19"/>
      <c r="L18" s="19"/>
    </row>
    <row r="19" spans="1:12" x14ac:dyDescent="0.25">
      <c r="B19" s="19"/>
      <c r="C19" s="19"/>
      <c r="D19" s="19"/>
      <c r="E19" s="19"/>
      <c r="F19" s="19"/>
      <c r="G19" s="19"/>
      <c r="H19" s="19"/>
      <c r="I19" s="19"/>
      <c r="J19" s="19"/>
      <c r="K19" s="19"/>
      <c r="L19" s="19"/>
    </row>
    <row r="20" spans="1:12" x14ac:dyDescent="0.25">
      <c r="A20" s="19"/>
      <c r="B20" s="19"/>
      <c r="C20" s="19"/>
      <c r="D20" s="19"/>
      <c r="E20" s="19"/>
      <c r="F20" s="19"/>
      <c r="G20" s="19"/>
      <c r="H20" s="19"/>
      <c r="I20" s="19"/>
      <c r="J20" s="19"/>
      <c r="K20" s="19"/>
      <c r="L20" s="19"/>
    </row>
    <row r="22" spans="1:12" x14ac:dyDescent="0.25">
      <c r="H22" s="4"/>
      <c r="I22" s="4"/>
    </row>
  </sheetData>
  <mergeCells count="12">
    <mergeCell ref="A1:L1"/>
    <mergeCell ref="A3:A6"/>
    <mergeCell ref="B3:I3"/>
    <mergeCell ref="J3:L3"/>
    <mergeCell ref="F4:F6"/>
    <mergeCell ref="G4:G6"/>
    <mergeCell ref="H4:H6"/>
    <mergeCell ref="I4:I6"/>
    <mergeCell ref="J4:J6"/>
    <mergeCell ref="K4:K6"/>
    <mergeCell ref="L4:L6"/>
    <mergeCell ref="A2:L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Table 5 Cert</vt:lpstr>
      <vt:lpstr>Table 6 GHG Engines</vt:lpstr>
      <vt:lpstr>Table 7 GHG Vehicles</vt:lpstr>
      <vt:lpstr>Table 8 PLT</vt:lpstr>
      <vt:lpstr>Table 9 In-use</vt:lpstr>
      <vt:lpstr>Table 10 Defects</vt:lpstr>
      <vt:lpstr>Table 11-Alt Fuel</vt:lpstr>
      <vt:lpstr>Table 12 TPEM</vt:lpstr>
      <vt:lpstr>Table 13 Special Compliance</vt:lpstr>
      <vt:lpstr>Table 17 -Agency Burden</vt:lpstr>
      <vt:lpstr>Table 18 Cert Participation</vt:lpstr>
      <vt:lpstr>Table 19 Reports</vt:lpstr>
      <vt:lpstr>Table 20 ICs</vt:lpstr>
      <vt:lpstr>Table 21 IC Changes</vt:lpstr>
    </vt:vector>
  </TitlesOfParts>
  <Company>EPA - OTAQ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OTAQ5Y20X41</dc:creator>
  <cp:lastModifiedBy>NREYES</cp:lastModifiedBy>
  <cp:lastPrinted>2014-07-18T02:34:10Z</cp:lastPrinted>
  <dcterms:created xsi:type="dcterms:W3CDTF">2004-09-12T01:02:31Z</dcterms:created>
  <dcterms:modified xsi:type="dcterms:W3CDTF">2018-08-06T04:39:28Z</dcterms:modified>
</cp:coreProperties>
</file>