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saunder\Desktop\"/>
    </mc:Choice>
  </mc:AlternateContent>
  <bookViews>
    <workbookView xWindow="2430" yWindow="345" windowWidth="18045" windowHeight="8610" tabRatio="836" firstSheet="1" activeTab="1"/>
  </bookViews>
  <sheets>
    <sheet name="PartnerCounts" sheetId="27" state="hidden" r:id="rId1"/>
    <sheet name="Existing State" sheetId="12" r:id="rId2"/>
    <sheet name="New State" sheetId="15" r:id="rId3"/>
    <sheet name="Existing Endorser" sheetId="13" r:id="rId4"/>
    <sheet name="New Endorser" sheetId="16" r:id="rId5"/>
    <sheet name="Existing Ind Non-Dev" sheetId="14" r:id="rId6"/>
    <sheet name="New Ind Non-Dev" sheetId="17" r:id="rId7"/>
    <sheet name="Existing Comm" sheetId="20" r:id="rId8"/>
    <sheet name="New Comm" sheetId="21" r:id="rId9"/>
    <sheet name="Existing Energy &amp; Dev" sheetId="19" r:id="rId10"/>
    <sheet name="New Energy &amp; Dev" sheetId="18" r:id="rId11"/>
    <sheet name="Agency-1" sheetId="24" r:id="rId12"/>
    <sheet name="Agency-2" sheetId="25" r:id="rId13"/>
    <sheet name="Agency-3" sheetId="26" r:id="rId14"/>
    <sheet name="LaborRates" sheetId="31" state="hidden" r:id="rId15"/>
    <sheet name="totals &amp; avgs" sheetId="6" state="hidden" r:id="rId16"/>
    <sheet name="For 2nd FR Notice" sheetId="28" state="hidden" r:id="rId17"/>
    <sheet name="For Small Entity" sheetId="32" state="hidden" r:id="rId18"/>
    <sheet name="Module1" sheetId="3" state="veryHidden" r:id="rId19"/>
  </sheets>
  <externalReferences>
    <externalReference r:id="rId20"/>
  </externalReferences>
  <definedNames>
    <definedName name="compliance" localSheetId="17">#REF!</definedName>
    <definedName name="compliance">#REF!</definedName>
    <definedName name="corrective" localSheetId="17">#REF!</definedName>
    <definedName name="corrective">#REF!</definedName>
    <definedName name="CRITERION1" localSheetId="17">#REF!</definedName>
    <definedName name="CRITERION1">#REF!</definedName>
    <definedName name="CRITERION2">#REF!</definedName>
    <definedName name="detection">#REF!</definedName>
    <definedName name="inflator94">#REF!</definedName>
    <definedName name="inflator97">#REF!</definedName>
    <definedName name="interim">#REF!</definedName>
    <definedName name="new">#REF!</definedName>
    <definedName name="permitted">#REF!</definedName>
    <definedName name="_xlnm.Print_Area" localSheetId="11">'Agency-1'!$A$1:$J$33</definedName>
    <definedName name="_xlnm.Print_Area" localSheetId="15">'totals &amp; avgs'!$A$1:$I$44</definedName>
    <definedName name="_xlnm.Print_Area">#REF!</definedName>
    <definedName name="PRINT_AREA_MI">#REF!</definedName>
    <definedName name="_xlnm.Print_Titles">#REF!</definedName>
    <definedName name="PRINT1">#REF!</definedName>
    <definedName name="PRINT2">#REF!</definedName>
    <definedName name="PRINT3">#REF!</definedName>
    <definedName name="PRINT4">#REF!</definedName>
    <definedName name="PRINT5">#REF!</definedName>
    <definedName name="RANGE1">#REF!</definedName>
    <definedName name="RANGE2">#REF!</definedName>
    <definedName name="TEST1">#REF!</definedName>
    <definedName name="TOPBORD1">#REF!</definedName>
    <definedName name="TOPBORD2">#REF!</definedName>
    <definedName name="TOPBORD3">#REF!</definedName>
    <definedName name="TOPBORD4">#REF!</definedName>
  </definedNames>
  <calcPr calcId="152511"/>
</workbook>
</file>

<file path=xl/calcChain.xml><?xml version="1.0" encoding="utf-8"?>
<calcChain xmlns="http://schemas.openxmlformats.org/spreadsheetml/2006/main">
  <c r="Q22" i="32" l="1"/>
  <c r="O22" i="32"/>
  <c r="Q21" i="32"/>
  <c r="R21" i="32" s="1"/>
  <c r="O21" i="32"/>
  <c r="P21" i="32" s="1"/>
  <c r="G21" i="32"/>
  <c r="H21" i="32" s="1"/>
  <c r="E21" i="32"/>
  <c r="F21" i="32" s="1"/>
  <c r="Q20" i="32"/>
  <c r="R20" i="32" s="1"/>
  <c r="O20" i="32"/>
  <c r="P20" i="32" s="1"/>
  <c r="G20" i="32"/>
  <c r="H20" i="32" s="1"/>
  <c r="E20" i="32"/>
  <c r="F20" i="32" s="1"/>
  <c r="Q19" i="32"/>
  <c r="R19" i="32" s="1"/>
  <c r="O19" i="32"/>
  <c r="P19" i="32" s="1"/>
  <c r="G19" i="32"/>
  <c r="H19" i="32" s="1"/>
  <c r="E19" i="32"/>
  <c r="F19" i="32" s="1"/>
  <c r="Q18" i="32"/>
  <c r="R18" i="32" s="1"/>
  <c r="O18" i="32"/>
  <c r="P18" i="32" s="1"/>
  <c r="G18" i="32"/>
  <c r="H18" i="32" s="1"/>
  <c r="E18" i="32"/>
  <c r="F18" i="32" s="1"/>
  <c r="Q17" i="32"/>
  <c r="R17" i="32" s="1"/>
  <c r="R23" i="32" s="1"/>
  <c r="O17" i="32"/>
  <c r="P17" i="32" s="1"/>
  <c r="P23" i="32" s="1"/>
  <c r="G17" i="32"/>
  <c r="H17" i="32" s="1"/>
  <c r="H22" i="32" s="1"/>
  <c r="E17" i="32"/>
  <c r="F17" i="32" s="1"/>
  <c r="F22" i="32" s="1"/>
  <c r="Q11" i="32"/>
  <c r="P11" i="32"/>
  <c r="O11" i="32"/>
  <c r="T10" i="32"/>
  <c r="R10" i="32"/>
  <c r="S10" i="32" s="1"/>
  <c r="H10" i="32"/>
  <c r="G10" i="32"/>
  <c r="F10" i="32"/>
  <c r="E10" i="32"/>
  <c r="T9" i="32"/>
  <c r="S9" i="32"/>
  <c r="R9" i="32"/>
  <c r="J9" i="32"/>
  <c r="I9" i="32"/>
  <c r="T8" i="32"/>
  <c r="R8" i="32"/>
  <c r="S8" i="32" s="1"/>
  <c r="J8" i="32"/>
  <c r="I8" i="32"/>
  <c r="T7" i="32"/>
  <c r="S7" i="32"/>
  <c r="R7" i="32"/>
  <c r="J7" i="32"/>
  <c r="I7" i="32"/>
  <c r="T6" i="32"/>
  <c r="R6" i="32"/>
  <c r="S6" i="32" s="1"/>
  <c r="J6" i="32"/>
  <c r="I6" i="32"/>
  <c r="T5" i="32"/>
  <c r="S5" i="32"/>
  <c r="R5" i="32"/>
  <c r="J5" i="32"/>
  <c r="I5" i="32"/>
  <c r="R11" i="32" l="1"/>
  <c r="T11" i="32" s="1"/>
  <c r="E22" i="32"/>
  <c r="G22" i="32"/>
  <c r="O23" i="32"/>
  <c r="Q23" i="32"/>
  <c r="Q41" i="6"/>
  <c r="Q39" i="6"/>
  <c r="Q37" i="6"/>
  <c r="Q43" i="6" l="1"/>
  <c r="N41" i="6"/>
  <c r="N39" i="6"/>
  <c r="N21" i="6" l="1"/>
  <c r="M21" i="6"/>
  <c r="O21" i="6" s="1"/>
  <c r="N24" i="6"/>
  <c r="M24" i="6"/>
  <c r="N23" i="6"/>
  <c r="M23" i="6"/>
  <c r="O23" i="6" s="1"/>
  <c r="N22" i="6"/>
  <c r="M22" i="6"/>
  <c r="O22" i="6" s="1"/>
  <c r="N25" i="6"/>
  <c r="M25" i="6"/>
  <c r="O25" i="6" s="1"/>
  <c r="N26" i="6" l="1"/>
  <c r="O24" i="6"/>
  <c r="O26" i="6" s="1"/>
  <c r="M26" i="6"/>
  <c r="C65" i="6" l="1"/>
  <c r="C64" i="6"/>
  <c r="B50" i="6" l="1"/>
  <c r="H25" i="26"/>
  <c r="H21" i="26"/>
  <c r="H25" i="25"/>
  <c r="H21" i="25"/>
  <c r="H25" i="24"/>
  <c r="H21" i="24"/>
  <c r="I20" i="18"/>
  <c r="I15" i="19"/>
  <c r="H20" i="21"/>
  <c r="H15" i="20"/>
  <c r="I14" i="17"/>
  <c r="I9" i="14"/>
  <c r="H14" i="16"/>
  <c r="H9" i="13"/>
  <c r="H7" i="27"/>
  <c r="H6" i="27"/>
  <c r="H5" i="27"/>
  <c r="H4" i="27"/>
  <c r="H3" i="27"/>
  <c r="H2" i="27"/>
  <c r="H14" i="15"/>
  <c r="H9" i="12"/>
  <c r="B15" i="27"/>
  <c r="C15" i="27"/>
  <c r="B13" i="27"/>
  <c r="C13" i="27"/>
  <c r="B11" i="27"/>
  <c r="C11" i="27"/>
  <c r="D8" i="27"/>
  <c r="C8" i="27"/>
  <c r="B8" i="27"/>
  <c r="B14" i="27"/>
  <c r="E7" i="27"/>
  <c r="F7" i="27"/>
  <c r="G7" i="27"/>
  <c r="F6" i="27"/>
  <c r="G6" i="27"/>
  <c r="E6" i="27"/>
  <c r="E5" i="27"/>
  <c r="F5" i="27"/>
  <c r="G5" i="27"/>
  <c r="F4" i="27"/>
  <c r="G4" i="27"/>
  <c r="E4" i="27"/>
  <c r="E3" i="27"/>
  <c r="F3" i="27"/>
  <c r="G3" i="27"/>
  <c r="F2" i="27"/>
  <c r="F8" i="27"/>
  <c r="E2" i="27"/>
  <c r="D14" i="27"/>
  <c r="C14" i="27"/>
  <c r="E8" i="27"/>
  <c r="D11" i="27"/>
  <c r="D13" i="27"/>
  <c r="D15" i="27"/>
  <c r="G2" i="27"/>
  <c r="G8" i="27"/>
  <c r="B10" i="27"/>
  <c r="B12" i="27"/>
  <c r="D12" i="27"/>
  <c r="C12" i="27"/>
  <c r="D10" i="27"/>
  <c r="C10" i="27"/>
  <c r="D7" i="26"/>
  <c r="C7" i="26"/>
  <c r="F22" i="26"/>
  <c r="B7" i="26"/>
  <c r="D7" i="25"/>
  <c r="C7" i="25"/>
  <c r="F12" i="25"/>
  <c r="B7" i="25"/>
  <c r="D7" i="24"/>
  <c r="C7" i="24"/>
  <c r="F25" i="24"/>
  <c r="B7" i="24"/>
  <c r="E6" i="18"/>
  <c r="D6" i="18"/>
  <c r="C6" i="18"/>
  <c r="B6" i="18"/>
  <c r="G9" i="18"/>
  <c r="E6" i="19"/>
  <c r="D6" i="19"/>
  <c r="C6" i="19"/>
  <c r="B6" i="19"/>
  <c r="G16" i="19"/>
  <c r="D6" i="21"/>
  <c r="C6" i="21"/>
  <c r="F14" i="21"/>
  <c r="B6" i="21"/>
  <c r="D6" i="20"/>
  <c r="C6" i="20"/>
  <c r="B6" i="20"/>
  <c r="F9" i="20"/>
  <c r="E6" i="17"/>
  <c r="D6" i="17"/>
  <c r="C6" i="17"/>
  <c r="B6" i="17"/>
  <c r="G16" i="17"/>
  <c r="E6" i="14"/>
  <c r="D6" i="14"/>
  <c r="C6" i="14"/>
  <c r="B6" i="14"/>
  <c r="G10" i="14"/>
  <c r="D6" i="16"/>
  <c r="C6" i="16"/>
  <c r="F14" i="16"/>
  <c r="B6" i="16"/>
  <c r="D6" i="13"/>
  <c r="C6" i="13"/>
  <c r="F9" i="13"/>
  <c r="B6" i="13"/>
  <c r="D6" i="15"/>
  <c r="C6" i="15"/>
  <c r="F14" i="15"/>
  <c r="B6" i="15"/>
  <c r="D6" i="12"/>
  <c r="C6" i="12"/>
  <c r="B6" i="12"/>
  <c r="F10" i="12"/>
  <c r="E30" i="31"/>
  <c r="E17" i="31"/>
  <c r="F17" i="18"/>
  <c r="F16" i="18"/>
  <c r="F15" i="18"/>
  <c r="F14" i="18"/>
  <c r="F11" i="14"/>
  <c r="F10" i="14"/>
  <c r="F9" i="14"/>
  <c r="G21" i="18"/>
  <c r="G17" i="19"/>
  <c r="G15" i="17"/>
  <c r="G12" i="6"/>
  <c r="E12" i="6"/>
  <c r="C12" i="6"/>
  <c r="I12" i="6" s="1"/>
  <c r="G11" i="6"/>
  <c r="E11" i="6"/>
  <c r="C11" i="6"/>
  <c r="I11" i="6" s="1"/>
  <c r="G10" i="6"/>
  <c r="I10" i="6" s="1"/>
  <c r="E10" i="6"/>
  <c r="C10" i="6"/>
  <c r="G8" i="6"/>
  <c r="E8" i="6"/>
  <c r="I8" i="6" s="1"/>
  <c r="C8" i="6"/>
  <c r="G7" i="6"/>
  <c r="E7" i="6"/>
  <c r="C7" i="6"/>
  <c r="I7" i="6" s="1"/>
  <c r="G6" i="6"/>
  <c r="E6" i="6"/>
  <c r="C6" i="6"/>
  <c r="H15" i="26"/>
  <c r="I15" i="26"/>
  <c r="H15" i="25"/>
  <c r="B6" i="6"/>
  <c r="D6" i="6"/>
  <c r="B11" i="6"/>
  <c r="H15" i="24"/>
  <c r="I15" i="24"/>
  <c r="H10" i="26"/>
  <c r="H11" i="26"/>
  <c r="I11" i="26"/>
  <c r="H10" i="25"/>
  <c r="H11" i="25"/>
  <c r="H10" i="24"/>
  <c r="H12" i="24"/>
  <c r="I12" i="24"/>
  <c r="I14" i="18"/>
  <c r="I17" i="18"/>
  <c r="I9" i="18"/>
  <c r="H14" i="21"/>
  <c r="H17" i="21"/>
  <c r="H9" i="21"/>
  <c r="I9" i="17"/>
  <c r="H9" i="16"/>
  <c r="H15" i="16"/>
  <c r="I15" i="16"/>
  <c r="H9" i="15"/>
  <c r="H11" i="15"/>
  <c r="I11" i="15"/>
  <c r="B15" i="21"/>
  <c r="E15" i="21"/>
  <c r="D15" i="21"/>
  <c r="F15" i="21"/>
  <c r="F16" i="21"/>
  <c r="F20" i="21"/>
  <c r="F22" i="21"/>
  <c r="F10" i="21"/>
  <c r="F9" i="16"/>
  <c r="G10" i="17"/>
  <c r="G11" i="18"/>
  <c r="F11" i="15"/>
  <c r="B10" i="20"/>
  <c r="D10" i="20"/>
  <c r="F11" i="20"/>
  <c r="G9" i="19"/>
  <c r="B10" i="19"/>
  <c r="C10" i="19"/>
  <c r="E10" i="19"/>
  <c r="G10" i="19"/>
  <c r="B11" i="19"/>
  <c r="G11" i="19"/>
  <c r="F9" i="12"/>
  <c r="E14" i="21"/>
  <c r="E16" i="21"/>
  <c r="E17" i="21"/>
  <c r="E20" i="21"/>
  <c r="E21" i="21"/>
  <c r="E22" i="21"/>
  <c r="E9" i="21"/>
  <c r="E10" i="21"/>
  <c r="E11" i="21"/>
  <c r="E9" i="16"/>
  <c r="E10" i="16"/>
  <c r="E11" i="16"/>
  <c r="E14" i="16"/>
  <c r="E15" i="16"/>
  <c r="E16" i="16"/>
  <c r="F9" i="17"/>
  <c r="F10" i="17"/>
  <c r="F11" i="17"/>
  <c r="F14" i="17"/>
  <c r="F15" i="17"/>
  <c r="F16" i="17"/>
  <c r="F9" i="18"/>
  <c r="F10" i="18"/>
  <c r="F11" i="18"/>
  <c r="F20" i="18"/>
  <c r="F21" i="18"/>
  <c r="F22" i="18"/>
  <c r="E9" i="15"/>
  <c r="I9" i="15"/>
  <c r="E10" i="15"/>
  <c r="E11" i="15"/>
  <c r="E14" i="15"/>
  <c r="E15" i="15"/>
  <c r="E16" i="15"/>
  <c r="E9" i="20"/>
  <c r="E10" i="20"/>
  <c r="E11" i="20"/>
  <c r="E12" i="20"/>
  <c r="E15" i="20"/>
  <c r="E16" i="20"/>
  <c r="E17" i="20"/>
  <c r="E9" i="13"/>
  <c r="E10" i="13"/>
  <c r="E11" i="13"/>
  <c r="F9" i="19"/>
  <c r="F10" i="19"/>
  <c r="F12" i="19"/>
  <c r="F15" i="19"/>
  <c r="F16" i="19"/>
  <c r="F17" i="19"/>
  <c r="E9" i="12"/>
  <c r="E10" i="12"/>
  <c r="E11" i="12"/>
  <c r="E18" i="26"/>
  <c r="E17" i="26"/>
  <c r="E16" i="26"/>
  <c r="E15" i="26"/>
  <c r="E18" i="25"/>
  <c r="E17" i="25"/>
  <c r="E16" i="25"/>
  <c r="E15" i="25"/>
  <c r="I15" i="25"/>
  <c r="E10" i="24"/>
  <c r="E11" i="24"/>
  <c r="E12" i="24"/>
  <c r="E21" i="24"/>
  <c r="E22" i="24"/>
  <c r="E15" i="24"/>
  <c r="E16" i="24"/>
  <c r="E17" i="24"/>
  <c r="E18" i="24"/>
  <c r="E25" i="24"/>
  <c r="E26" i="24"/>
  <c r="E10" i="25"/>
  <c r="E11" i="25"/>
  <c r="E12" i="25"/>
  <c r="E21" i="25"/>
  <c r="E22" i="25"/>
  <c r="E25" i="25"/>
  <c r="E26" i="25"/>
  <c r="E10" i="26"/>
  <c r="E11" i="26"/>
  <c r="E12" i="26"/>
  <c r="E21" i="26"/>
  <c r="E22" i="26"/>
  <c r="E25" i="26"/>
  <c r="E26" i="26"/>
  <c r="F22" i="24"/>
  <c r="F21" i="25"/>
  <c r="F11" i="26"/>
  <c r="F17" i="24"/>
  <c r="F12" i="24"/>
  <c r="F17" i="26"/>
  <c r="F11" i="12"/>
  <c r="F11" i="13"/>
  <c r="F16" i="15"/>
  <c r="F25" i="26"/>
  <c r="F10" i="25"/>
  <c r="F21" i="24"/>
  <c r="H10" i="15"/>
  <c r="I10" i="15"/>
  <c r="J9" i="17"/>
  <c r="H10" i="21"/>
  <c r="I10" i="21"/>
  <c r="B8" i="6"/>
  <c r="H8" i="6" s="1"/>
  <c r="B12" i="6"/>
  <c r="G14" i="17"/>
  <c r="G14" i="18"/>
  <c r="K14" i="18"/>
  <c r="G16" i="18"/>
  <c r="G20" i="18"/>
  <c r="G22" i="18"/>
  <c r="B7" i="6"/>
  <c r="H7" i="6" s="1"/>
  <c r="B10" i="6"/>
  <c r="G9" i="14"/>
  <c r="G15" i="18"/>
  <c r="G17" i="18"/>
  <c r="F11" i="19"/>
  <c r="H15" i="21"/>
  <c r="J15" i="21"/>
  <c r="H16" i="21"/>
  <c r="I16" i="21"/>
  <c r="H22" i="24"/>
  <c r="I22" i="24"/>
  <c r="H10" i="16"/>
  <c r="I10" i="24"/>
  <c r="I9" i="16"/>
  <c r="H11" i="16"/>
  <c r="I15" i="18"/>
  <c r="J15" i="18"/>
  <c r="I14" i="21"/>
  <c r="I16" i="18"/>
  <c r="J16" i="18"/>
  <c r="H15" i="15"/>
  <c r="I15" i="15"/>
  <c r="H12" i="25"/>
  <c r="I12" i="25"/>
  <c r="J10" i="25"/>
  <c r="I10" i="25"/>
  <c r="J14" i="18"/>
  <c r="J9" i="16"/>
  <c r="I10" i="17"/>
  <c r="K15" i="18"/>
  <c r="I6" i="6"/>
  <c r="I11" i="18"/>
  <c r="K11" i="18"/>
  <c r="I14" i="16"/>
  <c r="H11" i="21"/>
  <c r="I11" i="21"/>
  <c r="J9" i="18"/>
  <c r="G13" i="6"/>
  <c r="D10" i="6"/>
  <c r="F10" i="6"/>
  <c r="I10" i="14"/>
  <c r="J10" i="14"/>
  <c r="D12" i="6"/>
  <c r="I9" i="12"/>
  <c r="D8" i="6"/>
  <c r="B13" i="6"/>
  <c r="I21" i="24"/>
  <c r="I23" i="24"/>
  <c r="F6" i="6"/>
  <c r="H6" i="6"/>
  <c r="K16" i="18"/>
  <c r="B30" i="28"/>
  <c r="I10" i="18"/>
  <c r="J10" i="18"/>
  <c r="H16" i="24"/>
  <c r="I10" i="26"/>
  <c r="I9" i="21"/>
  <c r="I11" i="14"/>
  <c r="J11" i="14"/>
  <c r="I11" i="25"/>
  <c r="I17" i="21"/>
  <c r="D56" i="6"/>
  <c r="G56" i="6" s="1"/>
  <c r="I20" i="21"/>
  <c r="H21" i="21"/>
  <c r="I21" i="21"/>
  <c r="J20" i="21"/>
  <c r="J21" i="25"/>
  <c r="D7" i="6"/>
  <c r="J21" i="24"/>
  <c r="J14" i="21"/>
  <c r="F12" i="6"/>
  <c r="H12" i="6" s="1"/>
  <c r="I10" i="16"/>
  <c r="J11" i="15"/>
  <c r="J12" i="15"/>
  <c r="J18" i="15"/>
  <c r="G33" i="6"/>
  <c r="J11" i="26"/>
  <c r="H12" i="26"/>
  <c r="I12" i="26"/>
  <c r="F18" i="26"/>
  <c r="F26" i="26"/>
  <c r="F10" i="26"/>
  <c r="J10" i="26"/>
  <c r="F12" i="26"/>
  <c r="J12" i="26"/>
  <c r="F16" i="26"/>
  <c r="F15" i="26"/>
  <c r="J15" i="26"/>
  <c r="F21" i="26"/>
  <c r="F17" i="25"/>
  <c r="F25" i="25"/>
  <c r="F11" i="25"/>
  <c r="J11" i="25"/>
  <c r="F18" i="25"/>
  <c r="F16" i="25"/>
  <c r="F15" i="25"/>
  <c r="J15" i="25"/>
  <c r="F26" i="25"/>
  <c r="F22" i="25"/>
  <c r="H26" i="24"/>
  <c r="I26" i="24"/>
  <c r="I27" i="24"/>
  <c r="I28" i="24"/>
  <c r="B43" i="6"/>
  <c r="I25" i="24"/>
  <c r="J12" i="24"/>
  <c r="J25" i="24"/>
  <c r="H11" i="24"/>
  <c r="I11" i="24"/>
  <c r="F15" i="24"/>
  <c r="J15" i="24"/>
  <c r="F26" i="24"/>
  <c r="F10" i="24"/>
  <c r="J10" i="24"/>
  <c r="F11" i="24"/>
  <c r="F16" i="24"/>
  <c r="F18" i="24"/>
  <c r="J17" i="18"/>
  <c r="C56" i="6"/>
  <c r="J20" i="18"/>
  <c r="I21" i="18"/>
  <c r="J21" i="18"/>
  <c r="K17" i="18"/>
  <c r="K20" i="18"/>
  <c r="K9" i="18"/>
  <c r="G10" i="18"/>
  <c r="G15" i="19"/>
  <c r="G12" i="19"/>
  <c r="J10" i="21"/>
  <c r="J16" i="21"/>
  <c r="F11" i="21"/>
  <c r="F9" i="21"/>
  <c r="J9" i="21"/>
  <c r="F21" i="21"/>
  <c r="F17" i="21"/>
  <c r="J17" i="21"/>
  <c r="F17" i="20"/>
  <c r="F15" i="20"/>
  <c r="F16" i="20"/>
  <c r="F12" i="20"/>
  <c r="F10" i="20"/>
  <c r="I15" i="17"/>
  <c r="I16" i="17"/>
  <c r="J14" i="17"/>
  <c r="K14" i="17"/>
  <c r="I11" i="17"/>
  <c r="G11" i="17"/>
  <c r="G9" i="17"/>
  <c r="K9" i="17"/>
  <c r="G11" i="14"/>
  <c r="J14" i="16"/>
  <c r="H16" i="16"/>
  <c r="F16" i="16"/>
  <c r="F11" i="16"/>
  <c r="F15" i="16"/>
  <c r="J15" i="16"/>
  <c r="F10" i="16"/>
  <c r="F10" i="13"/>
  <c r="I12" i="15"/>
  <c r="F9" i="15"/>
  <c r="J9" i="15"/>
  <c r="F15" i="15"/>
  <c r="F10" i="15"/>
  <c r="J10" i="15"/>
  <c r="K10" i="14"/>
  <c r="J11" i="16"/>
  <c r="I13" i="24"/>
  <c r="I13" i="26"/>
  <c r="I15" i="21"/>
  <c r="I18" i="21"/>
  <c r="I14" i="15"/>
  <c r="J9" i="14"/>
  <c r="J12" i="14"/>
  <c r="F23" i="6"/>
  <c r="H16" i="15"/>
  <c r="I16" i="15"/>
  <c r="J10" i="16"/>
  <c r="J12" i="16"/>
  <c r="I12" i="21"/>
  <c r="J12" i="25"/>
  <c r="J13" i="25"/>
  <c r="I13" i="25"/>
  <c r="B31" i="28"/>
  <c r="I11" i="16"/>
  <c r="I12" i="16"/>
  <c r="F50" i="6"/>
  <c r="J10" i="17"/>
  <c r="K10" i="17"/>
  <c r="J15" i="15"/>
  <c r="J16" i="15"/>
  <c r="K18" i="18"/>
  <c r="J18" i="18"/>
  <c r="C55" i="6"/>
  <c r="J14" i="15"/>
  <c r="K11" i="14"/>
  <c r="K9" i="14"/>
  <c r="K12" i="14"/>
  <c r="F31" i="6"/>
  <c r="A39" i="28"/>
  <c r="H22" i="21"/>
  <c r="J22" i="21"/>
  <c r="J23" i="21"/>
  <c r="K10" i="18"/>
  <c r="K12" i="18"/>
  <c r="H10" i="6"/>
  <c r="D50" i="6"/>
  <c r="B33" i="28"/>
  <c r="C50" i="6"/>
  <c r="J11" i="18"/>
  <c r="J12" i="18"/>
  <c r="J11" i="21"/>
  <c r="J12" i="21"/>
  <c r="J24" i="21"/>
  <c r="G29" i="6"/>
  <c r="G34" i="6" s="1"/>
  <c r="J16" i="24"/>
  <c r="B34" i="28"/>
  <c r="B35" i="28"/>
  <c r="A23" i="28"/>
  <c r="H9" i="20"/>
  <c r="F8" i="6"/>
  <c r="J21" i="21"/>
  <c r="J25" i="25"/>
  <c r="H17" i="24"/>
  <c r="I16" i="24"/>
  <c r="D11" i="6"/>
  <c r="H11" i="6" s="1"/>
  <c r="H16" i="25"/>
  <c r="H10" i="12"/>
  <c r="J9" i="12"/>
  <c r="J13" i="26"/>
  <c r="D49" i="6"/>
  <c r="D51" i="6"/>
  <c r="F7" i="6"/>
  <c r="H26" i="25"/>
  <c r="I26" i="25"/>
  <c r="I27" i="25"/>
  <c r="I25" i="25"/>
  <c r="J18" i="21"/>
  <c r="H22" i="25"/>
  <c r="I22" i="25"/>
  <c r="I23" i="25"/>
  <c r="I21" i="25"/>
  <c r="J11" i="24"/>
  <c r="J13" i="24"/>
  <c r="J26" i="24"/>
  <c r="J27" i="24"/>
  <c r="K21" i="18"/>
  <c r="I22" i="18"/>
  <c r="C57" i="6"/>
  <c r="D55" i="6"/>
  <c r="D57" i="6" s="1"/>
  <c r="K16" i="17"/>
  <c r="J16" i="17"/>
  <c r="K15" i="17"/>
  <c r="K17" i="17"/>
  <c r="J15" i="17"/>
  <c r="J17" i="17"/>
  <c r="B32" i="28"/>
  <c r="K11" i="17"/>
  <c r="J11" i="17"/>
  <c r="J12" i="17"/>
  <c r="E50" i="6"/>
  <c r="H36" i="6"/>
  <c r="I16" i="16"/>
  <c r="I17" i="16"/>
  <c r="J16" i="16"/>
  <c r="J17" i="16"/>
  <c r="B51" i="6"/>
  <c r="B49" i="6"/>
  <c r="I17" i="15"/>
  <c r="I18" i="15"/>
  <c r="G25" i="6"/>
  <c r="K12" i="17"/>
  <c r="K18" i="17"/>
  <c r="G31" i="6"/>
  <c r="F51" i="6"/>
  <c r="F49" i="6"/>
  <c r="I18" i="16"/>
  <c r="G22" i="6"/>
  <c r="G26" i="6" s="1"/>
  <c r="N27" i="6" s="1"/>
  <c r="J18" i="16"/>
  <c r="G30" i="6"/>
  <c r="J17" i="15"/>
  <c r="C49" i="6"/>
  <c r="C51" i="6"/>
  <c r="I16" i="25"/>
  <c r="H17" i="25"/>
  <c r="F11" i="6"/>
  <c r="I9" i="19"/>
  <c r="H18" i="24"/>
  <c r="I17" i="24"/>
  <c r="J17" i="24"/>
  <c r="I9" i="20"/>
  <c r="H10" i="20"/>
  <c r="H11" i="20"/>
  <c r="H12" i="20"/>
  <c r="J9" i="20"/>
  <c r="J16" i="25"/>
  <c r="J10" i="12"/>
  <c r="H11" i="12"/>
  <c r="I10" i="12"/>
  <c r="H16" i="26"/>
  <c r="H22" i="26"/>
  <c r="I21" i="26"/>
  <c r="I9" i="13"/>
  <c r="H10" i="13"/>
  <c r="H11" i="13"/>
  <c r="J9" i="13"/>
  <c r="H26" i="26"/>
  <c r="I25" i="26"/>
  <c r="J25" i="26"/>
  <c r="J21" i="26"/>
  <c r="J22" i="18"/>
  <c r="J23" i="18"/>
  <c r="J24" i="18"/>
  <c r="G24" i="6"/>
  <c r="K22" i="18"/>
  <c r="K23" i="18"/>
  <c r="K24" i="18"/>
  <c r="G32" i="6"/>
  <c r="E49" i="6"/>
  <c r="E51" i="6"/>
  <c r="J18" i="17"/>
  <c r="G23" i="6"/>
  <c r="J11" i="12"/>
  <c r="J12" i="12"/>
  <c r="F33" i="6"/>
  <c r="I11" i="12"/>
  <c r="I12" i="12"/>
  <c r="F25" i="6"/>
  <c r="H25" i="6" s="1"/>
  <c r="D59" i="6"/>
  <c r="I12" i="20"/>
  <c r="J12" i="20"/>
  <c r="I10" i="20"/>
  <c r="J10" i="20"/>
  <c r="I15" i="20"/>
  <c r="H16" i="20"/>
  <c r="J15" i="20"/>
  <c r="I12" i="19"/>
  <c r="I11" i="19"/>
  <c r="I10" i="19"/>
  <c r="J9" i="19"/>
  <c r="K9" i="19"/>
  <c r="I17" i="25"/>
  <c r="H18" i="25"/>
  <c r="J17" i="25"/>
  <c r="H17" i="26"/>
  <c r="I16" i="26"/>
  <c r="J16" i="26"/>
  <c r="I11" i="20"/>
  <c r="J11" i="20"/>
  <c r="I18" i="24"/>
  <c r="I19" i="24"/>
  <c r="J18" i="24"/>
  <c r="J19" i="24"/>
  <c r="I10" i="13"/>
  <c r="J10" i="13"/>
  <c r="I22" i="26"/>
  <c r="I23" i="26"/>
  <c r="J22" i="26"/>
  <c r="J23" i="26"/>
  <c r="I26" i="26"/>
  <c r="I27" i="26"/>
  <c r="J26" i="26"/>
  <c r="J27" i="26"/>
  <c r="J28" i="26"/>
  <c r="D44" i="6"/>
  <c r="J11" i="13"/>
  <c r="J12" i="13"/>
  <c r="F30" i="6"/>
  <c r="H30" i="6" s="1"/>
  <c r="I11" i="13"/>
  <c r="I12" i="13"/>
  <c r="F22" i="6"/>
  <c r="H22" i="6" s="1"/>
  <c r="I13" i="20"/>
  <c r="J13" i="20"/>
  <c r="H18" i="26"/>
  <c r="I17" i="26"/>
  <c r="J17" i="26"/>
  <c r="J10" i="19"/>
  <c r="K10" i="19"/>
  <c r="C59" i="6"/>
  <c r="J12" i="19"/>
  <c r="K12" i="19"/>
  <c r="A40" i="28"/>
  <c r="H17" i="20"/>
  <c r="I17" i="20"/>
  <c r="I18" i="20"/>
  <c r="I19" i="20"/>
  <c r="F21" i="6"/>
  <c r="I16" i="20"/>
  <c r="J16" i="20"/>
  <c r="D58" i="6"/>
  <c r="D60" i="6"/>
  <c r="I18" i="25"/>
  <c r="I19" i="25"/>
  <c r="J18" i="25"/>
  <c r="J19" i="25"/>
  <c r="K15" i="19"/>
  <c r="J15" i="19"/>
  <c r="J18" i="19"/>
  <c r="J19" i="19"/>
  <c r="F24" i="6"/>
  <c r="H24" i="6" s="1"/>
  <c r="I16" i="19"/>
  <c r="K11" i="19"/>
  <c r="J11" i="19"/>
  <c r="J13" i="19"/>
  <c r="C58" i="6"/>
  <c r="C60" i="6" s="1"/>
  <c r="I17" i="19"/>
  <c r="J16" i="19"/>
  <c r="K16" i="19"/>
  <c r="K18" i="19"/>
  <c r="K19" i="19"/>
  <c r="F32" i="6"/>
  <c r="H32" i="6" s="1"/>
  <c r="J17" i="20"/>
  <c r="J18" i="20"/>
  <c r="J19" i="20"/>
  <c r="F29" i="6"/>
  <c r="H29" i="6" s="1"/>
  <c r="K13" i="19"/>
  <c r="I18" i="26"/>
  <c r="I19" i="26"/>
  <c r="I28" i="26"/>
  <c r="D43" i="6"/>
  <c r="E43" i="6" s="1"/>
  <c r="J18" i="26"/>
  <c r="J19" i="26"/>
  <c r="J17" i="19"/>
  <c r="K17" i="19"/>
  <c r="I28" i="25"/>
  <c r="C43" i="6"/>
  <c r="J26" i="25"/>
  <c r="J27" i="25"/>
  <c r="J22" i="25"/>
  <c r="J23" i="25"/>
  <c r="J28" i="25"/>
  <c r="C44" i="6"/>
  <c r="J22" i="24"/>
  <c r="J23" i="24"/>
  <c r="J28" i="24"/>
  <c r="B44" i="6"/>
  <c r="E44" i="6" s="1"/>
  <c r="I22" i="21"/>
  <c r="I23" i="21"/>
  <c r="I24" i="21"/>
  <c r="G21" i="6"/>
  <c r="F44" i="6"/>
  <c r="H33" i="6"/>
  <c r="G35" i="6" l="1"/>
  <c r="H31" i="6"/>
  <c r="G50" i="6"/>
  <c r="G55" i="6"/>
  <c r="H55" i="6" s="1"/>
  <c r="F13" i="6"/>
  <c r="E13" i="6"/>
  <c r="F26" i="6"/>
  <c r="O27" i="6" s="1"/>
  <c r="H23" i="6"/>
  <c r="F43" i="6"/>
  <c r="I13" i="6"/>
  <c r="D13" i="6"/>
  <c r="C13" i="6"/>
  <c r="H51" i="6"/>
  <c r="G49" i="6"/>
  <c r="H13" i="6"/>
  <c r="A43" i="28"/>
  <c r="A8" i="28"/>
  <c r="M27" i="6"/>
  <c r="A2" i="28"/>
  <c r="H21" i="6"/>
  <c r="F34" i="6"/>
  <c r="H26" i="6"/>
  <c r="A17" i="28" s="1"/>
  <c r="G27" i="6"/>
  <c r="H50" i="6" l="1"/>
  <c r="F35" i="6"/>
  <c r="A13" i="28"/>
  <c r="H34" i="6"/>
  <c r="A18" i="28" s="1"/>
  <c r="A22" i="28" s="1"/>
  <c r="A7" i="28"/>
  <c r="A44" i="28"/>
  <c r="F27" i="6"/>
  <c r="A12" i="28"/>
</calcChain>
</file>

<file path=xl/sharedStrings.xml><?xml version="1.0" encoding="utf-8"?>
<sst xmlns="http://schemas.openxmlformats.org/spreadsheetml/2006/main" count="832" uniqueCount="243">
  <si>
    <t>File MOU and return signed copy to the Partner</t>
  </si>
  <si>
    <t>ESTIMATED AVERAGE RESPONDENT BURDEN AND COST: New Endorsers</t>
  </si>
  <si>
    <t>Average Burden per Partner</t>
  </si>
  <si>
    <t>--</t>
  </si>
  <si>
    <t>Average Cost per Partner</t>
  </si>
  <si>
    <t>Review spreadsheets and follow up, if necessary</t>
  </si>
  <si>
    <t>Enter information into database and file electronic copy of the spreadsheet</t>
  </si>
  <si>
    <t>Average</t>
  </si>
  <si>
    <t>Endorser</t>
  </si>
  <si>
    <t>Average Annual Burden</t>
  </si>
  <si>
    <t>Table A-3</t>
  </si>
  <si>
    <t>Table A-6</t>
  </si>
  <si>
    <t>ESTIMATED AVERAGE RESPONDENT BURDEN AND COST: New State Partners</t>
  </si>
  <si>
    <r>
      <t>Information Update</t>
    </r>
    <r>
      <rPr>
        <b/>
        <vertAlign val="superscript"/>
        <sz val="10"/>
        <rFont val="Times New Roman"/>
        <family val="1"/>
      </rPr>
      <t>3</t>
    </r>
  </si>
  <si>
    <t>Table A-7</t>
  </si>
  <si>
    <t>Table A-8</t>
  </si>
  <si>
    <t>Table A-5</t>
  </si>
  <si>
    <t>Table A-4</t>
  </si>
  <si>
    <t>ESTIMATED AVERAGE RESPONDENT BURDEN AND COST: Existing Community Partners</t>
  </si>
  <si>
    <t>Table A-9</t>
  </si>
  <si>
    <t>ESTIMATED AVERAGE RESPONDENT BURDEN AND COST: New Community Partners</t>
  </si>
  <si>
    <t>Table A-10</t>
  </si>
  <si>
    <t xml:space="preserve">  Complete the spreadsheet</t>
  </si>
  <si>
    <t xml:space="preserve">  Submit spreadsheet to EPA and file copy</t>
  </si>
  <si>
    <t xml:space="preserve">  Review spreadsheet and instructions</t>
  </si>
  <si>
    <t>NUMBER OF RESPONDENTS</t>
  </si>
  <si>
    <t>Partner</t>
  </si>
  <si>
    <t>Existing</t>
  </si>
  <si>
    <t>New</t>
  </si>
  <si>
    <t>Community</t>
  </si>
  <si>
    <t>State</t>
  </si>
  <si>
    <t>Hours</t>
  </si>
  <si>
    <t>Total Hours</t>
  </si>
  <si>
    <t>Total Cost</t>
  </si>
  <si>
    <t>SUMMARY OF RESPONDENT BURDEN</t>
  </si>
  <si>
    <t>SUMMARY OF AGENCY BURDEN</t>
  </si>
  <si>
    <t>Legal</t>
  </si>
  <si>
    <t>Total Hours and Costs</t>
  </si>
  <si>
    <t>Mgr.</t>
  </si>
  <si>
    <t>Tech.</t>
  </si>
  <si>
    <t>Cler.</t>
  </si>
  <si>
    <t>Respon.</t>
  </si>
  <si>
    <t>Labor</t>
  </si>
  <si>
    <t>Total</t>
  </si>
  <si>
    <t>Hours/</t>
  </si>
  <si>
    <t>Cost/</t>
  </si>
  <si>
    <t>O &amp; M</t>
  </si>
  <si>
    <t>INFORMATION COLLECTION ACTIVITY</t>
  </si>
  <si>
    <t>Hour</t>
  </si>
  <si>
    <t>Activity</t>
  </si>
  <si>
    <t>Cost</t>
  </si>
  <si>
    <t>Year</t>
  </si>
  <si>
    <t>SUBTOTAL</t>
  </si>
  <si>
    <t/>
  </si>
  <si>
    <t>TOTAL</t>
  </si>
  <si>
    <t xml:space="preserve">  Gather information</t>
  </si>
  <si>
    <t xml:space="preserve">  Provide information via telephone interview</t>
  </si>
  <si>
    <t>Revise data in database</t>
  </si>
  <si>
    <t>Revise data in the database</t>
  </si>
  <si>
    <t xml:space="preserve">  Complete MOU</t>
  </si>
  <si>
    <t>Number</t>
  </si>
  <si>
    <t>of</t>
  </si>
  <si>
    <t>Respondents</t>
  </si>
  <si>
    <t xml:space="preserve">  Submit MOU to EPA and file copy</t>
  </si>
  <si>
    <t>Review and sign MOU</t>
  </si>
  <si>
    <r>
      <t>Hours and Costs Per Respondent/Activity</t>
    </r>
    <r>
      <rPr>
        <b/>
        <vertAlign val="superscript"/>
        <sz val="10"/>
        <rFont val="Times New Roman"/>
        <family val="1"/>
      </rPr>
      <t>1</t>
    </r>
  </si>
  <si>
    <r>
      <t>Information Update</t>
    </r>
    <r>
      <rPr>
        <b/>
        <vertAlign val="superscript"/>
        <sz val="10"/>
        <rFont val="Times New Roman"/>
        <family val="1"/>
      </rPr>
      <t>4</t>
    </r>
  </si>
  <si>
    <t>Enter MOU information into a database</t>
  </si>
  <si>
    <t xml:space="preserve">  Review MOU</t>
  </si>
  <si>
    <r>
      <t>Memoranda of Understanding</t>
    </r>
    <r>
      <rPr>
        <b/>
        <vertAlign val="superscript"/>
        <sz val="10"/>
        <rFont val="Times New Roman"/>
        <family val="1"/>
      </rPr>
      <t>2</t>
    </r>
  </si>
  <si>
    <t>Table A-1</t>
  </si>
  <si>
    <t>per hour</t>
  </si>
  <si>
    <t>ESTIMATED AVERAGE RESPONDENT BURDEN AND COST: Existing State Partners</t>
  </si>
  <si>
    <r>
      <t>Information Update</t>
    </r>
    <r>
      <rPr>
        <b/>
        <vertAlign val="superscript"/>
        <sz val="10"/>
        <rFont val="Times New Roman"/>
        <family val="1"/>
      </rPr>
      <t>2</t>
    </r>
  </si>
  <si>
    <t>Table A-2</t>
  </si>
  <si>
    <t>ESTIMATED AVERAGE RESPONDENT BURDEN AND COST: Existing Endorsers</t>
  </si>
  <si>
    <t>Prepare and send spreadsheets to new Partners</t>
  </si>
  <si>
    <t>Prepare and send spreadsheets to existing Partners</t>
  </si>
  <si>
    <t>Call or email Partner and request updated information</t>
  </si>
  <si>
    <t>Energy</t>
  </si>
  <si>
    <t>Industry - Developer</t>
  </si>
  <si>
    <t>Industry - Non-Developer</t>
  </si>
  <si>
    <t>Estimate of New Partners per Year for Next 3 Years</t>
  </si>
  <si>
    <t xml:space="preserve">  Provide information via LMOP website or email</t>
  </si>
  <si>
    <t>ESTIMATED AVERAGE RESPONDENT BURDEN AND COST: Existing Energy and Industry-Project Developer Partners</t>
  </si>
  <si>
    <t>ESTIMATED AVERAGE RESPONDENT BURDEN AND COST: New Energy and Industry-Project Developer Partners</t>
  </si>
  <si>
    <t>ESTIMATED AVERAGE RESPONDENT BURDEN AND COST: Existing Industry Non-Developer Partners</t>
  </si>
  <si>
    <t>ESTIMATED AVERAGE RESPONDENT BURDEN AND COST: New Industry Non-Developer Partners</t>
  </si>
  <si>
    <r>
      <t>LFG Energy and Landfill Data Spreadsheet</t>
    </r>
    <r>
      <rPr>
        <b/>
        <vertAlign val="superscript"/>
        <sz val="10"/>
        <rFont val="Times New Roman"/>
        <family val="1"/>
      </rPr>
      <t>2</t>
    </r>
  </si>
  <si>
    <r>
      <t>LFG Energy and Landfill Data Spreadsheet</t>
    </r>
    <r>
      <rPr>
        <b/>
        <vertAlign val="superscript"/>
        <sz val="10"/>
        <rFont val="Times New Roman"/>
        <family val="1"/>
      </rPr>
      <t>3</t>
    </r>
  </si>
  <si>
    <r>
      <t>New</t>
    </r>
    <r>
      <rPr>
        <b/>
        <vertAlign val="superscript"/>
        <sz val="10"/>
        <rFont val="Times New Roman"/>
        <family val="1"/>
      </rPr>
      <t>1</t>
    </r>
  </si>
  <si>
    <t>Industry</t>
  </si>
  <si>
    <t>Energy and Industry-Project Developer</t>
  </si>
  <si>
    <t>Industry Non-Developer</t>
  </si>
  <si>
    <r>
      <t>Receive Information Update</t>
    </r>
    <r>
      <rPr>
        <b/>
        <vertAlign val="superscript"/>
        <sz val="10"/>
        <rFont val="Times New Roman"/>
        <family val="1"/>
      </rPr>
      <t>4</t>
    </r>
  </si>
  <si>
    <r>
      <t>Initiate Information Update</t>
    </r>
    <r>
      <rPr>
        <b/>
        <vertAlign val="superscript"/>
        <sz val="10"/>
        <rFont val="Times New Roman"/>
        <family val="1"/>
      </rPr>
      <t>4</t>
    </r>
  </si>
  <si>
    <t>Review information received via LMOP website, email, or telephone</t>
  </si>
  <si>
    <t xml:space="preserve">   Non-Developer</t>
  </si>
  <si>
    <t xml:space="preserve">   Project Developer</t>
  </si>
  <si>
    <t>Table B-1</t>
  </si>
  <si>
    <t>Table B-2</t>
  </si>
  <si>
    <t>Table B-3</t>
  </si>
  <si>
    <t>hours for each respondent.</t>
  </si>
  <si>
    <t>The LMOP information collection is expected to involve an average of</t>
  </si>
  <si>
    <t>existing Partners and an additional</t>
  </si>
  <si>
    <t>new Partners per year.</t>
  </si>
  <si>
    <t>The average annual burden (rounded to one decimal place) and cost per respondent are estimated to be</t>
  </si>
  <si>
    <t>hours and</t>
  </si>
  <si>
    <t>.</t>
  </si>
  <si>
    <t>The total annual reporting and recordkeeping burden averaged over three years is</t>
  </si>
  <si>
    <t>This includes an estimated burden cost of</t>
  </si>
  <si>
    <t xml:space="preserve">and an estimated cost of </t>
  </si>
  <si>
    <t xml:space="preserve">for maintenance and operational costs. </t>
  </si>
  <si>
    <r>
      <rPr>
        <i/>
        <sz val="10"/>
        <rFont val="Tahoma"/>
        <family val="2"/>
      </rPr>
      <t>Burden Statement:</t>
    </r>
    <r>
      <rPr>
        <sz val="10"/>
        <rFont val="Tahoma"/>
        <family val="2"/>
      </rPr>
      <t xml:space="preserve"> The annual public reporting and recordkeeping burden for this collection of information is estimated to average </t>
    </r>
  </si>
  <si>
    <t>Ind Non-Dev</t>
  </si>
  <si>
    <t>Comm</t>
  </si>
  <si>
    <t>Energy &amp; Dev</t>
  </si>
  <si>
    <t>Average Annual O&amp;M Costs</t>
  </si>
  <si>
    <t>Number of responses</t>
  </si>
  <si>
    <t>EXISTING</t>
  </si>
  <si>
    <t>NEW</t>
  </si>
  <si>
    <t>Number of responses per respondent</t>
  </si>
  <si>
    <t>Small Entity</t>
  </si>
  <si>
    <t>Average Annual Respondents</t>
  </si>
  <si>
    <t>Small Respondents</t>
  </si>
  <si>
    <t>Total O&amp;M Cost</t>
  </si>
  <si>
    <t>Burden by task</t>
  </si>
  <si>
    <t>Energy/Developer</t>
  </si>
  <si>
    <t>Industry-Non Developer</t>
  </si>
  <si>
    <t>Sum</t>
  </si>
  <si>
    <t>Pre-populated Spreadsheets</t>
  </si>
  <si>
    <t>1  Labor rates for EPA personnel were used for all public-sector personnel, including employees of State agencies. Source for EPA labor rates: Department of Personnel Management, "Salary Table 2015 - GS" at https://www.opm.gov/policy-data-oversight/pay-leave/salaries-wages/salary-tables/pdf/2015/GS_h.pdf. For the managerial labor rate, used level GS-15, step 1; for the technical labor rate, used level GS-12, step 5; for the clerical labor rate, used level GS-5, step 1. All agency labor rates include a multiplier of 1.6 to account for overhead and fringe benefit costs.</t>
  </si>
  <si>
    <t>1  Labor rates for EPA personnel were used for all public-sector personnel, including employees of local governments. Source for EPA labor rates: Department of Personnel Management, "Salary Table 2015 - GS" at https://www.opm.gov/policy-data-oversight/pay-leave/salaries-wages/salary-tables/pdf/2015/GS_h.pdf. For the managerial labor rate, used level GS-15, step 1; for the technical labor rate, used level GS-12, step 5; for the clerical labor rate, used level GS-5, step 1. All agency labor rates include a multiplier of 1.6 to account for overhead and fringe benefit costs.</t>
  </si>
  <si>
    <t>1  Source for EPA labor rates: Department of Personnel Management, "Salary Table 2015 - GS" at https://www.opm.gov/policy-data-oversight/pay-leave/salaries-wages/salary-tables/pdf/2015/GS_h.pdf. For the managerial labor rate, used level GS-15, step 1; for the technical labor rate, used level GS-12, step 5; for the clerical labor rate, used level GS-5, step 1. All agency labor rates include a multiplier of 1.6 to account for overhead and fringe benefit costs.</t>
  </si>
  <si>
    <t xml:space="preserve">1  Labor rates for Endorsers were estimated using the average May 2014 labor rates for NAICS industry grouping 813900, Business, Professional, Labor, Political, and Similar Organizations from the Bureau of Labor and Statistics Occupational Employment Statistics at http://www.bls.gov/oes/current/naics4_813900.htm. Occupational Title used for clerical labor was "Executive Secretaries and Executive Administrative Assistants", for technical labor was "Engineers, All Other", and for managerial labor was "Managers, All Other". Estimated a June 2015 labor rate using a 2.0% growth factor from the employment cost index to account for increases in wages from June 2014 to June 2015. Obtained growth factor for Occupational Group "Management, professional, and related" from "Table 2. Seasonally Adjusted: Employment Cost Index for wages and salaries, by ownership, occupational group, and industry" at http://www.bls.gov/news.release/eci.t02.htm. All labor rates incorporate a factor of 110% to account for overhead and fringe benefit costs. </t>
  </si>
  <si>
    <t xml:space="preserve">1  Labor rates for Industry Non-Developer Partners were estimated using the average May 2014 labor rates for NAICS industry grouping 541000, Professional, Scientific, and Technical Services at http://www.bls.gov/oes/current/naics3_541000.htm. Occupational Title used for clerical labor was "Executive Secretaries and Executive Administrative Assistants", for technical labor was "Environmental Engineers", for managerial labor was "Managers, All Other", and for legal labor was "Lawyers". Estimated a June 2015 labor rate using a 1.3% growth factor from the employment cost index to account for increases in wages from June 2014 to June 2015. Obtained growth factor for Occupational Group "Professional, scientific, and technical services" from "Table 2. Seasonally Adjusted: Employment Cost Index for wages and salaries, by ownership, occupational group, and industry" at http://www.bls.gov/news.release/eci.t02.htm. All labor rates incorporate a factor of 110% to account for overhead and fringe benefit costs. </t>
  </si>
  <si>
    <t xml:space="preserve">1  Labor rates for Energy and Industry-Project Developer Partners were estimated using the average May 2014 labor rates for NAICS industry grouping 541000, Professional, Scientific, and Technical Services at http://www.bls.gov/oes/current/naics3_541000.htm. Occupational Title used for clerical labor was "Executive Secretaries and Executive Administrative Assistants", for technical labor was "Environmental Engineers", for managerial labor was "Managers, All Other", and for legal labor was "Lawyers". Estimated a June 2015 labor rate using a 1.3% growth factor from the employment cost index to account for increases in wages from June 2014 to June 2015. Obtained growth factor for Occupational Group "Professional, scientific, and technical services" from "Table 2. Seasonally Adjusted: Employment Cost Index for wages and salaries, by ownership, occupational group, and industry" at http://www.bls.gov/news.release/eci.t02.htm. All labor rates incorporate a factor of 110% to account for overhead and fringe benefit costs. </t>
  </si>
  <si>
    <t>Managerial</t>
  </si>
  <si>
    <t>Technical</t>
  </si>
  <si>
    <t>Clerical</t>
  </si>
  <si>
    <t>Energy Partners, Industry Partners</t>
  </si>
  <si>
    <t>State Partners, Community Partners, Agency</t>
  </si>
  <si>
    <t>Grade, Step</t>
  </si>
  <si>
    <t>GS-15, Step 1</t>
  </si>
  <si>
    <t>GS-12, Step 5</t>
  </si>
  <si>
    <t>GS-5, Step 1</t>
  </si>
  <si>
    <r>
      <rPr>
        <sz val="10"/>
        <rFont val="Calibri"/>
        <family val="2"/>
      </rPr>
      <t xml:space="preserve">Source: </t>
    </r>
    <r>
      <rPr>
        <u/>
        <sz val="10"/>
        <color indexed="12"/>
        <rFont val="Calibri"/>
        <family val="2"/>
      </rPr>
      <t>https://www.opm.gov/policy-data-oversight/pay-leave/salaries-wages/salary-tables/pdf/2015/GS_h.pdf</t>
    </r>
  </si>
  <si>
    <r>
      <rPr>
        <sz val="10"/>
        <rFont val="Calibri"/>
        <family val="2"/>
      </rPr>
      <t xml:space="preserve">Source: </t>
    </r>
    <r>
      <rPr>
        <u/>
        <sz val="10"/>
        <color indexed="12"/>
        <rFont val="Calibri"/>
        <family val="2"/>
      </rPr>
      <t>http://www.bls.gov/oes/current/naics4_813900.htm</t>
    </r>
  </si>
  <si>
    <t>Occupation Code</t>
  </si>
  <si>
    <t>43-6011</t>
  </si>
  <si>
    <t>Mean Hourly Wage (raw)</t>
  </si>
  <si>
    <t>Hourly Basic Rate (raw)</t>
  </si>
  <si>
    <r>
      <rPr>
        <sz val="10"/>
        <rFont val="Calibri"/>
        <family val="2"/>
      </rPr>
      <t xml:space="preserve">Source: </t>
    </r>
    <r>
      <rPr>
        <u/>
        <sz val="10"/>
        <color indexed="12"/>
        <rFont val="Calibri"/>
        <family val="2"/>
      </rPr>
      <t>http://www.bls.gov/oes/current/naics3_541000.htm</t>
    </r>
  </si>
  <si>
    <t>17-2199</t>
  </si>
  <si>
    <t>11-9199</t>
  </si>
  <si>
    <t>17-2081</t>
  </si>
  <si>
    <t>23-1011</t>
  </si>
  <si>
    <t>Growth Factor for Endorser</t>
  </si>
  <si>
    <r>
      <rPr>
        <sz val="10"/>
        <rFont val="Calibri"/>
        <family val="2"/>
      </rPr>
      <t xml:space="preserve">Source: </t>
    </r>
    <r>
      <rPr>
        <u/>
        <sz val="10"/>
        <color indexed="12"/>
        <rFont val="Calibri"/>
        <family val="2"/>
      </rPr>
      <t>http://www.bls.gov/news.release/eci.t02.htm</t>
    </r>
  </si>
  <si>
    <t>Growth Factor for Energy Partners, Industry Partners</t>
  </si>
  <si>
    <t>Management, professional, and related</t>
  </si>
  <si>
    <t>Occupational group</t>
  </si>
  <si>
    <t>Sep. 2014</t>
  </si>
  <si>
    <t>Dec. 2014</t>
  </si>
  <si>
    <t>Mar. 2015</t>
  </si>
  <si>
    <t>June 2015</t>
  </si>
  <si>
    <t>Professional, scientific, and technical services</t>
  </si>
  <si>
    <t>Per CRM on 11/9/15</t>
  </si>
  <si>
    <t>Count of Existing Partners (in 2015)</t>
  </si>
  <si>
    <t>Estimate of Dropped Partners per Year for Next 3 Years</t>
  </si>
  <si>
    <t>2  All Partners must submit MOU when they join LMOP. As of July 2015, 28 out of the 52 states/territories have joined LMOP. For the upcoming 3-year ICR period it is expected that 1 new State Partner will join LMOP per year.</t>
  </si>
  <si>
    <t>Avg</t>
  </si>
  <si>
    <t>2  All Endorsers must submit Agreements when they join LMOP. For the upcoming 3-year ICR period it is expected that 1 new Endorser will join LMOP per year.</t>
  </si>
  <si>
    <t>2  All Partners must submit MOU when they join LMOP. For the upcoming 3-year ICR period it is expected that 16 new Industry Non-Developer Partners will join LMOP per year.</t>
  </si>
  <si>
    <t>2  All Partners must submit MOU when they join LMOP. For the upcoming 3-year ICR period it is expected that 3 new Community Partners will join LMOP per year.</t>
  </si>
  <si>
    <t>2  All Partners must submit MOU when they join LMOP. For the upcoming 3-year ICR period it is expected that 4 new Energy and Industry-Project Developer Partners will join LMOP per year.</t>
  </si>
  <si>
    <t>ESTIMATED AGENCY BURDEN AND COST FOR 2016</t>
  </si>
  <si>
    <t>ESTIMATED AGENCY BURDEN AND COST FOR 2017</t>
  </si>
  <si>
    <t>ESTIMATED AGENCY BURDEN AND COST FOR 2018</t>
  </si>
  <si>
    <t>3  In 2016, EPA will compile landfill and/or project data into a single spreadsheet for each existing Community, Energy, and Industry-Project Developer Partner to review and revise if necessary, and also provide information on new projects. LMOP will email these spreadsheets to all existing Community, Energy, and Industry-Project Developer Partners. EPA will prepare and send spreadsheets for new Community, Energy, and Industry-Project Developer Partners via a welcome email when they join the program. In 2016, it is estimated that EPA will need to prepare and review annual spreadsheets from 7 new and 320 existing Community, Energy, and Industry-Project Developer Partners.</t>
  </si>
  <si>
    <t>3  In 2017, EPA will compile landfill and/or project data into a single spreadsheet for each existing Community, Energy, and Industry-Project Developer Partner to review and revise if necessary, and also provide information on new projects. LMOP will email these spreadsheets to all existing Community, Energy, and Industry-Project Developer Partners. EPA will prepare and send spreadsheets for new Community, Energy, and Industry-Project Developer Partners via a welcome email when they join the program. In 2017, it is estimated that EPA will need to prepare and review annual spreadsheets from 7 new and 324 existing Community, Energy, and Industry-Project Developer Partners.</t>
  </si>
  <si>
    <t>2  All Partners must submit MOU when they join LMOP. In 2018, it is expected that 25 new Partners will join LMOP.</t>
  </si>
  <si>
    <t>2  All Partners must submit MOU when they join LMOP. In 2017, it is expected that 25 new Partners will join LMOP.</t>
  </si>
  <si>
    <t>2  All Partners must submit MOU when they join LMOP. In 2016, it is expected that 25 new Partners will join LMOP.</t>
  </si>
  <si>
    <t>3  In 2018, EPA will compile landfill and/or project data into a single spreadsheet for each existing Community, Energy, and Industry-Project Developer Partner to review and revise if necessary, and also provide information on new projects. LMOP will email these spreadsheets to all existing Community, Energy, and Industry-Project Developer Partners. EPA will prepare and send spreadsheets for new Community, Energy, and Industry-Project Developer Partners via a welcome email when they join the program. In 2018, it is estimated that EPA will need to prepare and review annual spreadsheets from 7 new and 328 existing Community, Energy, and Industry-Project Developer Partners.</t>
  </si>
  <si>
    <t>average hrs/Partner</t>
  </si>
  <si>
    <t>MOU - hrs</t>
  </si>
  <si>
    <t>MOU - # of Partners</t>
  </si>
  <si>
    <t>NEW - hrs</t>
  </si>
  <si>
    <t>NEW - # of Partners</t>
  </si>
  <si>
    <t>Existing - hrs</t>
  </si>
  <si>
    <t>Existing - # of Partners</t>
  </si>
  <si>
    <t>2015 ICR Renewal - use percentages based on last renewal</t>
  </si>
  <si>
    <t>3  All existing Community Partners agreed to submit information on LFG energy projects and landfill data. During the 3-year ICR period there are an estimated 3 new Community Partners that will complete a pre-populated LFG energy spreadsheet each year.</t>
  </si>
  <si>
    <t>2  All existing Community Partners agreed to submit information on LFG energy projects and landfill data. During the 3-year ICR period there are an estimated 145 existing Community Partners that will complete a pre-populated LFG energy spreadsheet each year.</t>
  </si>
  <si>
    <t>2  All existing Energy and Industry-Project Developer Partners agreed to submit information on LFG energy projects and landfill data. During the 3-year ICR period there are an estimated 179 existing Energy and Industry-Project Developer Partners that will complete a pre-populated LFG energy spreadsheet each year.</t>
  </si>
  <si>
    <t>3  All new Energy and Industry-Project Developer Partners agreed to submit information on LFG energy projects and landfill data. During the 3-year ICR period there are an estimated 4 new Energy and Industry-Project Developer Partners that will complete a pre-populated LFG energy spreadsheet each year.</t>
  </si>
  <si>
    <t>Overall Average (p 19 of SS)</t>
  </si>
  <si>
    <t>Periodic Information Update</t>
  </si>
  <si>
    <t>State &amp; Endorser</t>
  </si>
  <si>
    <t>Industry, Energy, Community</t>
  </si>
  <si>
    <t>hrs</t>
  </si>
  <si>
    <t>2  The only burden for existing State Partners is to submit voluntary periodic information updates. It is assumed that one-quarter of all existing State Partners will submit an information update each year. It is assumed that half of those that update their information will provide information through the LMOP website or by email and the other half will provide information through a telephone interview. During the 3-year ICR period the expected average number of existing State Partners is 41. It is assumed 10 existing State Partners will provide an information update each year: 5 through the website or by email, and 5 by telephone.</t>
  </si>
  <si>
    <t xml:space="preserve">3  New State Partners may also submit voluntary periodic information updates. It is assumed that one-quarter of all new State Partners will submit an information update. It is assumed that half of those that update their information will provide information through the LMOP website or email and the other half will provide information through a telephone interview. During the 3-year ICR period an average of 1 new State Partner is expected. This rounds down to 0 new State Partners submitting an update. </t>
  </si>
  <si>
    <t>2  The only burden for existing Endorsers is to submit voluntary periodic information updates. It is assumed that one-quarter of all existing Endorsers will submit an information update each year. It is assumed that half of those that update their information will provide information through the LMOP website or by email and the other half will provide information through a telephone interview. During the 3-year ICR period the expected average number of existing Endorsers is 39. It is assumed 10 existing Endorsers will provide an information update each year: 5 through the website or by email, and 5 by telephone.</t>
  </si>
  <si>
    <t xml:space="preserve">3  New Endorsers may also submit voluntary periodic information updates. It is assumed that one-quarter of all new Endorsers will submit an information update. It is assumed that half of those that update their information will provide information through the LMOP website or email and the other half will provide information through a telephone interview. During the 3-year ICR period an average of 1 new Endorser is expected. This rounds down to 0 new Endorsers submitting an update. </t>
  </si>
  <si>
    <t>2  The only burden for existing Industry-Non Developer Partners is to submit voluntary periodic information updates. It is assumed that one-quarter of all existing Industry Non-Developer Partners will submit an information update each year. It is assumed that half of those that update their information will provide information through the LMOP website or by email and the other half will provide information through a telephone interview. During the 3-year ICR period the expected average number of existing Industry Non-Developer Partners is 731. It is assumed 183 existing Industry Non-Developer Partners will provide an information update each year: 92 through the website or by email, and 91 by telephone.</t>
  </si>
  <si>
    <t>3  New Industry Non-Developer Partners may also submit voluntary periodic information updates. It is assumed that one-quarter of all new Industry Non-Developer Partners will submit an information update. It is assumed that half of those that update their information will provide information through the LMOP website or email and the other half will provide information through a telephone interview. During the 3-year ICR period an average of 16 new Industry Non-Developer Partners is expected. It is assumed 4 new Industry Non-Developer Partners will provide an information update each year: 2 through the website or by email, and 2 by telephone.</t>
  </si>
  <si>
    <t>3  Existing Community Partners may submit voluntary periodic information updates. It is assumed that one-quarter of all existing Community Partners will submit an information update each year. It is assumed that half of those that update their information will provide information through the LMOP website or email and the other half will provide information through a telephone interview. During the 3-year ICR period the expected average number of existing Community Partners is 145. It is assumed 36 will provide an information update each year: 18 through the website or email, and 18 by telephone.</t>
  </si>
  <si>
    <t>4  New Community Partners may also submit voluntary periodic information updates. It is assumed that one-quarter of all new Community Partners will submit an information update. It is assumed that half of those that update their information will provide information through the LMOP website or email and the other half will provide information through a telephone interview. During the 3-year ICR period an average of 3 new Community Partners is expected. It is assumed 1 new Community Partner will provide an information update each year: 1 through the website or by email, and 0 by telephone.</t>
  </si>
  <si>
    <t>3  Existing Energy and Industry-Project Developer Partners may submit voluntary periodic information updates. It is assumed that one-quarter of all existing Energy and Industry-Project Developer Partners will submit an information update each year. It is assumed that half of those that update their information will provide information through the LMOP website or email and the other half will provide information through a telephone interview. During the 3-year ICR period the expected average number of existing Energy and Industry-Project Developer Partners is 179. It is assumed 45 will provide an information update each year: 23 through the website or email, and 22 by telephone.</t>
  </si>
  <si>
    <t>4  New Energy and Industry-Project Developer Partners may also submit voluntary periodic information updates. It is assumed that one-quarter of all new Energy and Industry-Project Developer Partners will submit an information update. It is assumed that half of those that update their information will provide information through the LMOP website or email and the other half will provide information through a telephone interview. During the 3-year ICR period an average of 4 new Energy and Industry-Project Developer Partners is expected. It is assumed 1 new Energy and Industry-Project Developer Partner will provide an information update each year: 1 through the website or by email, and 0 by telephone.</t>
  </si>
  <si>
    <t>4  In 2016, it is assumed that one-quarter of all existing and new Partners will submit voluntary periodic information updates. It is assumed that half of those that update their information will provide information through the LMOP website or email and the other half will provide information through a telephone interview. In 2016, it is anticipated that there will be 1,120 existing and 25 new Partners. It is assumed 286 will provide an information update: 143 through the website or email, and 143 by telephone interview.</t>
  </si>
  <si>
    <t>4  In 2017, it is assumed that one-quarter of all existing and new Partners will submit voluntary periodic information updates. It is assumed that half of those that update their information will provide information through the LMOP website or email and the other half will provide information through a telephone interview. In 2017, it is anticipated that there will be 1,135 existing and 25 new Partners.  It is assumed 290 will provide an information update: 145 through the website or email, and 145 by telephone interview.</t>
  </si>
  <si>
    <t>4  In 2018, it is assumed that one-quarter of all existing and new Partners will submit voluntary periodic information updates. It is assumed that half of those that update their information will provide information through the LMOP website or email and the other half will provide information through a telephone interview. In 2018, it is anticipated that there will be 1,150 existing and 25 new Partners. It is assumed 294 will provide an information update: 147 through the website or email, and 147 by telephone interview.</t>
  </si>
  <si>
    <r>
      <t xml:space="preserve">1 Staff with experience in managing the LMOP Partner database provided insight on future program growth by Partner category. </t>
    </r>
    <r>
      <rPr>
        <sz val="8"/>
        <rFont val="Helv"/>
      </rPr>
      <t>The number of new Partners joining LMOP per year has declined in recent years and this trend is expected to continue. 54 new Partners joined in 2012, 45 new Partners joined in 2013, and 30 new Partners joined in 2014. The majority of existing and new Partners are Industry-NonDeveloper.</t>
    </r>
  </si>
  <si>
    <t>Total Response</t>
  </si>
  <si>
    <t>Hours per response</t>
  </si>
  <si>
    <t>ALL</t>
  </si>
  <si>
    <t>Summary of Response Burden</t>
  </si>
  <si>
    <t>Partner Type</t>
  </si>
  <si>
    <t>Number of Responses</t>
  </si>
  <si>
    <t>Total Annual Responses</t>
  </si>
  <si>
    <t>(A)</t>
  </si>
  <si>
    <t>Information Collection Activity</t>
  </si>
  <si>
    <t>(B)</t>
  </si>
  <si>
    <t xml:space="preserve">Number of Respondents  </t>
  </si>
  <si>
    <t>(C)</t>
  </si>
  <si>
    <t>(D)</t>
  </si>
  <si>
    <t>Number of Existing Respondents That Keep Records But Do Not Submit Reports</t>
  </si>
  <si>
    <t>(E)</t>
  </si>
  <si>
    <t xml:space="preserve">Total Annual  Responses </t>
  </si>
  <si>
    <t>E=(BxC)+D</t>
  </si>
  <si>
    <t>N/A</t>
  </si>
  <si>
    <t>MOUs</t>
  </si>
  <si>
    <t>Information Updates</t>
  </si>
  <si>
    <t>LFG energy project and landfill data updates</t>
  </si>
  <si>
    <t>Number of Responses - Existing</t>
  </si>
  <si>
    <t>Number of Responses - New</t>
  </si>
  <si>
    <t>Last ICR Renewal - from Burden Excel File</t>
  </si>
  <si>
    <t>Last ICR Renewal - from Supporting Statement and "ICR Small Business 2011-ars-jas1-ars.xlsx" file</t>
  </si>
  <si>
    <t>values in green reflect values from 'Small Business' tab, cells Y1010:Y1015, DIVIDED BY 3</t>
  </si>
  <si>
    <t>Industry-Project Developer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</si>
</sst>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7" formatCode="&quot;$&quot;#,##0.00_);\(&quot;$&quot;#,##0.00\)"/>
    <numFmt numFmtId="43" formatCode="_(* #,##0.00_);_(* \(#,##0.00\);_(* &quot;-&quot;??_);_(@_)"/>
    <numFmt numFmtId="164" formatCode="General_)"/>
    <numFmt numFmtId="165" formatCode="0.00_)"/>
    <numFmt numFmtId="166" formatCode="0.0"/>
    <numFmt numFmtId="167" formatCode="&quot;$&quot;#,##0"/>
    <numFmt numFmtId="168" formatCode="&quot;$&quot;#,##0.00"/>
    <numFmt numFmtId="169" formatCode="_(* #,##0.0_);_(* \(#,##0.0\);_(* &quot;-&quot;??_);_(@_)"/>
    <numFmt numFmtId="170" formatCode="0.0%"/>
  </numFmts>
  <fonts count="33" x14ac:knownFonts="1">
    <font>
      <sz val="8"/>
      <name val="Helv"/>
    </font>
    <font>
      <sz val="10"/>
      <name val="Arial"/>
      <family val="2"/>
    </font>
    <font>
      <sz val="10"/>
      <name val="Times New Roman"/>
      <family val="1"/>
    </font>
    <font>
      <b/>
      <sz val="10"/>
      <name val="Times New Roman"/>
      <family val="1"/>
    </font>
    <font>
      <b/>
      <vertAlign val="superscript"/>
      <sz val="10"/>
      <name val="Times New Roman"/>
      <family val="1"/>
    </font>
    <font>
      <u/>
      <sz val="8"/>
      <color indexed="12"/>
      <name val="Helv"/>
    </font>
    <font>
      <b/>
      <sz val="8"/>
      <name val="Helv"/>
    </font>
    <font>
      <b/>
      <sz val="8"/>
      <name val="Arial"/>
      <family val="2"/>
    </font>
    <font>
      <sz val="10"/>
      <color indexed="10"/>
      <name val="Times New Roman"/>
      <family val="1"/>
    </font>
    <font>
      <b/>
      <i/>
      <sz val="10"/>
      <name val="Times New Roman"/>
      <family val="1"/>
    </font>
    <font>
      <sz val="10"/>
      <name val="Tahoma"/>
      <family val="2"/>
    </font>
    <font>
      <i/>
      <sz val="10"/>
      <name val="Tahoma"/>
      <family val="2"/>
    </font>
    <font>
      <b/>
      <sz val="10"/>
      <name val="Tahoma"/>
      <family val="2"/>
    </font>
    <font>
      <sz val="10"/>
      <name val="Calibri"/>
      <family val="2"/>
    </font>
    <font>
      <u/>
      <sz val="10"/>
      <color indexed="12"/>
      <name val="Calibri"/>
      <family val="2"/>
    </font>
    <font>
      <sz val="11"/>
      <color rgb="FFFF0000"/>
      <name val="Calibri"/>
      <family val="2"/>
      <scheme val="minor"/>
    </font>
    <font>
      <sz val="11"/>
      <name val="Calibri"/>
      <family val="2"/>
      <scheme val="minor"/>
    </font>
    <font>
      <b/>
      <sz val="10"/>
      <color rgb="FFFF0000"/>
      <name val="Tahoma"/>
      <family val="2"/>
    </font>
    <font>
      <sz val="10"/>
      <name val="Calibri"/>
      <family val="2"/>
      <scheme val="minor"/>
    </font>
    <font>
      <b/>
      <sz val="10"/>
      <color rgb="FFFF0000"/>
      <name val="Calibri"/>
      <family val="2"/>
      <scheme val="minor"/>
    </font>
    <font>
      <b/>
      <sz val="10"/>
      <name val="Calibri"/>
      <family val="2"/>
      <scheme val="minor"/>
    </font>
    <font>
      <u/>
      <sz val="10"/>
      <color indexed="12"/>
      <name val="Calibri"/>
      <family val="2"/>
      <scheme val="minor"/>
    </font>
    <font>
      <b/>
      <sz val="10"/>
      <color rgb="FF00B050"/>
      <name val="Calibri"/>
      <family val="2"/>
      <scheme val="minor"/>
    </font>
    <font>
      <b/>
      <sz val="11"/>
      <color rgb="FFFF0000"/>
      <name val="Calibri"/>
      <family val="2"/>
      <scheme val="minor"/>
    </font>
    <font>
      <b/>
      <sz val="11"/>
      <name val="Calibri"/>
      <family val="2"/>
      <scheme val="minor"/>
    </font>
    <font>
      <b/>
      <sz val="8"/>
      <color rgb="FFFF0000"/>
      <name val="Helv"/>
    </font>
    <font>
      <b/>
      <sz val="10"/>
      <name val="Helv"/>
    </font>
    <font>
      <sz val="12"/>
      <name val="Times New Roman"/>
      <family val="1"/>
    </font>
    <font>
      <b/>
      <sz val="12"/>
      <name val="Times New Roman"/>
      <family val="1"/>
    </font>
    <font>
      <sz val="9"/>
      <name val="Times New Roman"/>
      <family val="1"/>
    </font>
    <font>
      <b/>
      <sz val="8"/>
      <name val="Times New Roman"/>
      <family val="1"/>
    </font>
    <font>
      <b/>
      <sz val="10"/>
      <color rgb="FFFF0000"/>
      <name val="Times New Roman"/>
      <family val="1"/>
    </font>
    <font>
      <sz val="8"/>
      <name val="Helv"/>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8"/>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top/>
      <bottom style="thin">
        <color indexed="64"/>
      </bottom>
      <diagonal/>
    </border>
    <border>
      <left style="medium">
        <color indexed="64"/>
      </left>
      <right style="thin">
        <color indexed="8"/>
      </right>
      <top/>
      <bottom style="thin">
        <color indexed="64"/>
      </bottom>
      <diagonal/>
    </border>
    <border>
      <left style="thin">
        <color indexed="64"/>
      </left>
      <right style="thin">
        <color indexed="8"/>
      </right>
      <top/>
      <bottom/>
      <diagonal/>
    </border>
    <border>
      <left/>
      <right style="thin">
        <color indexed="8"/>
      </right>
      <top/>
      <bottom/>
      <diagonal/>
    </border>
    <border>
      <left style="medium">
        <color indexed="64"/>
      </left>
      <right style="thin">
        <color indexed="8"/>
      </right>
      <top/>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64"/>
      </left>
      <right style="thin">
        <color indexed="8"/>
      </right>
      <top/>
      <bottom style="medium">
        <color indexed="64"/>
      </bottom>
      <diagonal/>
    </border>
    <border>
      <left/>
      <right style="thin">
        <color indexed="8"/>
      </right>
      <top/>
      <bottom style="medium">
        <color indexed="64"/>
      </bottom>
      <diagonal/>
    </border>
    <border>
      <left style="medium">
        <color indexed="64"/>
      </left>
      <right style="thin">
        <color indexed="8"/>
      </right>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8"/>
      </right>
      <top/>
      <bottom style="thin">
        <color indexed="64"/>
      </bottom>
      <diagonal/>
    </border>
    <border>
      <left/>
      <right/>
      <top style="thin">
        <color indexed="64"/>
      </top>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ck">
        <color indexed="64"/>
      </left>
      <right/>
      <top style="thin">
        <color indexed="8"/>
      </top>
      <bottom style="thin">
        <color indexed="8"/>
      </bottom>
      <diagonal/>
    </border>
    <border>
      <left style="thin">
        <color indexed="64"/>
      </left>
      <right style="thin">
        <color indexed="8"/>
      </right>
      <top style="thin">
        <color indexed="8"/>
      </top>
      <bottom/>
      <diagonal/>
    </border>
    <border>
      <left style="thick">
        <color indexed="64"/>
      </left>
      <right/>
      <top style="thin">
        <color indexed="8"/>
      </top>
      <bottom/>
      <diagonal/>
    </border>
    <border>
      <left style="thick">
        <color indexed="64"/>
      </left>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ck">
        <color indexed="64"/>
      </left>
      <right/>
      <top/>
      <bottom/>
      <diagonal/>
    </border>
    <border>
      <left style="thick">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ck">
        <color indexed="64"/>
      </left>
      <right/>
      <top/>
      <bottom style="thin">
        <color indexed="8"/>
      </bottom>
      <diagonal/>
    </border>
    <border>
      <left style="thin">
        <color indexed="64"/>
      </left>
      <right style="thin">
        <color indexed="64"/>
      </right>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style="thin">
        <color indexed="64"/>
      </left>
      <right/>
      <top/>
      <bottom/>
      <diagonal/>
    </border>
    <border>
      <left style="thin">
        <color indexed="8"/>
      </left>
      <right style="medium">
        <color indexed="64"/>
      </right>
      <top style="thin">
        <color indexed="64"/>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8"/>
      </bottom>
      <diagonal/>
    </border>
    <border>
      <left/>
      <right/>
      <top style="medium">
        <color indexed="64"/>
      </top>
      <bottom style="thin">
        <color indexed="8"/>
      </bottom>
      <diagonal/>
    </border>
    <border>
      <left/>
      <right style="thin">
        <color indexed="64"/>
      </right>
      <top style="medium">
        <color indexed="64"/>
      </top>
      <bottom style="thin">
        <color indexed="8"/>
      </bottom>
      <diagonal/>
    </border>
    <border>
      <left/>
      <right/>
      <top/>
      <bottom style="thin">
        <color indexed="8"/>
      </bottom>
      <diagonal/>
    </border>
    <border>
      <left/>
      <right style="thin">
        <color indexed="64"/>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s>
  <cellStyleXfs count="4">
    <xf numFmtId="164"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9" fontId="32" fillId="0" borderId="0" applyFont="0" applyFill="0" applyBorder="0" applyAlignment="0" applyProtection="0"/>
  </cellStyleXfs>
  <cellXfs count="447">
    <xf numFmtId="164" fontId="0" fillId="0" borderId="0" xfId="0"/>
    <xf numFmtId="164" fontId="2" fillId="0" borderId="0" xfId="0" applyFont="1" applyFill="1" applyBorder="1"/>
    <xf numFmtId="7" fontId="2" fillId="0" borderId="0" xfId="0" applyNumberFormat="1" applyFont="1" applyFill="1" applyBorder="1" applyProtection="1"/>
    <xf numFmtId="165" fontId="2" fillId="0" borderId="1" xfId="0" applyNumberFormat="1" applyFont="1" applyFill="1" applyBorder="1" applyProtection="1"/>
    <xf numFmtId="165" fontId="2" fillId="0" borderId="2" xfId="0" applyNumberFormat="1" applyFont="1" applyFill="1" applyBorder="1" applyProtection="1"/>
    <xf numFmtId="164" fontId="0" fillId="0" borderId="0" xfId="0" applyFill="1" applyBorder="1"/>
    <xf numFmtId="5" fontId="2" fillId="0" borderId="0" xfId="0" applyNumberFormat="1" applyFont="1" applyFill="1" applyBorder="1" applyProtection="1"/>
    <xf numFmtId="5" fontId="2" fillId="0" borderId="0" xfId="1" applyNumberFormat="1" applyFont="1" applyFill="1" applyBorder="1" applyProtection="1"/>
    <xf numFmtId="165" fontId="2" fillId="0" borderId="0" xfId="0" applyNumberFormat="1" applyFont="1" applyFill="1" applyBorder="1"/>
    <xf numFmtId="164" fontId="0" fillId="0" borderId="0" xfId="0" applyFill="1"/>
    <xf numFmtId="164" fontId="0" fillId="0" borderId="0" xfId="0" applyFill="1" applyBorder="1" applyAlignment="1">
      <alignment horizontal="center"/>
    </xf>
    <xf numFmtId="167" fontId="2" fillId="0" borderId="1" xfId="0" applyNumberFormat="1" applyFont="1" applyFill="1" applyBorder="1" applyAlignment="1" applyProtection="1">
      <alignment horizontal="center" vertical="center"/>
    </xf>
    <xf numFmtId="164" fontId="7" fillId="0" borderId="0" xfId="0" applyFont="1" applyFill="1" applyBorder="1" applyAlignment="1"/>
    <xf numFmtId="167" fontId="2" fillId="0" borderId="0" xfId="0" applyNumberFormat="1" applyFont="1" applyFill="1" applyBorder="1" applyAlignment="1" applyProtection="1">
      <alignment horizontal="center" vertical="center"/>
    </xf>
    <xf numFmtId="164" fontId="3" fillId="0" borderId="3" xfId="0" applyFont="1" applyFill="1" applyBorder="1" applyAlignment="1" applyProtection="1">
      <alignment horizontal="left" vertical="center" wrapText="1"/>
    </xf>
    <xf numFmtId="165" fontId="3" fillId="0" borderId="4" xfId="0" applyNumberFormat="1" applyFont="1" applyFill="1" applyBorder="1" applyAlignment="1" applyProtection="1">
      <alignment horizontal="center" vertical="center"/>
    </xf>
    <xf numFmtId="164" fontId="0" fillId="0" borderId="0" xfId="0" applyFill="1" applyBorder="1" applyAlignment="1"/>
    <xf numFmtId="164" fontId="2" fillId="0" borderId="5" xfId="0" applyFont="1" applyFill="1" applyBorder="1" applyAlignment="1">
      <alignment horizontal="center" vertical="center"/>
    </xf>
    <xf numFmtId="164" fontId="2" fillId="0" borderId="6" xfId="0" applyFont="1" applyFill="1" applyBorder="1" applyAlignment="1">
      <alignment horizontal="center" vertical="center"/>
    </xf>
    <xf numFmtId="164" fontId="2" fillId="0" borderId="7" xfId="0" applyFont="1" applyFill="1" applyBorder="1" applyAlignment="1">
      <alignment horizontal="center" vertical="center"/>
    </xf>
    <xf numFmtId="164" fontId="2" fillId="0" borderId="8" xfId="0" applyFont="1" applyFill="1" applyBorder="1" applyAlignment="1">
      <alignment horizontal="center" vertical="center"/>
    </xf>
    <xf numFmtId="164" fontId="2" fillId="0" borderId="9" xfId="0" applyFont="1" applyFill="1" applyBorder="1" applyAlignment="1">
      <alignment horizontal="center" vertical="center"/>
    </xf>
    <xf numFmtId="164" fontId="2" fillId="0" borderId="10" xfId="0" applyFont="1" applyFill="1" applyBorder="1" applyAlignment="1">
      <alignment horizontal="center" vertical="center"/>
    </xf>
    <xf numFmtId="164" fontId="2" fillId="0" borderId="11" xfId="0" applyFont="1" applyFill="1" applyBorder="1" applyAlignment="1">
      <alignment horizontal="center" vertical="center"/>
    </xf>
    <xf numFmtId="164" fontId="0" fillId="0" borderId="0" xfId="0" applyFill="1" applyAlignment="1">
      <alignment wrapText="1"/>
    </xf>
    <xf numFmtId="0" fontId="0" fillId="0" borderId="0" xfId="0" applyNumberFormat="1" applyFill="1" applyAlignment="1">
      <alignment wrapText="1"/>
    </xf>
    <xf numFmtId="0" fontId="0" fillId="0" borderId="0" xfId="0" applyNumberFormat="1" applyFill="1" applyAlignment="1">
      <alignment horizontal="left" wrapText="1"/>
    </xf>
    <xf numFmtId="164" fontId="2" fillId="0" borderId="1" xfId="0" applyFont="1" applyFill="1" applyBorder="1" applyAlignment="1" applyProtection="1">
      <alignment horizontal="left" vertical="center"/>
    </xf>
    <xf numFmtId="3" fontId="16" fillId="0" borderId="0" xfId="0" applyNumberFormat="1" applyFont="1" applyFill="1" applyAlignment="1">
      <alignment horizontal="center"/>
    </xf>
    <xf numFmtId="164" fontId="2" fillId="0" borderId="12" xfId="0" applyFont="1" applyFill="1" applyBorder="1" applyAlignment="1" applyProtection="1">
      <alignment horizontal="left" wrapText="1"/>
    </xf>
    <xf numFmtId="164" fontId="3" fillId="0" borderId="0" xfId="0" applyNumberFormat="1" applyFont="1" applyFill="1" applyBorder="1" applyAlignment="1" applyProtection="1">
      <alignment horizontal="left" wrapText="1"/>
    </xf>
    <xf numFmtId="164" fontId="3" fillId="0" borderId="0" xfId="0" applyFont="1" applyFill="1" applyBorder="1"/>
    <xf numFmtId="5" fontId="3" fillId="0" borderId="0" xfId="0" applyNumberFormat="1" applyFont="1" applyFill="1" applyBorder="1"/>
    <xf numFmtId="5" fontId="2" fillId="0" borderId="0" xfId="0" applyNumberFormat="1" applyFont="1" applyFill="1" applyBorder="1"/>
    <xf numFmtId="4" fontId="2" fillId="0" borderId="0" xfId="0" applyNumberFormat="1" applyFont="1" applyFill="1" applyBorder="1"/>
    <xf numFmtId="164" fontId="3" fillId="0" borderId="7" xfId="0" applyNumberFormat="1" applyFont="1" applyFill="1" applyBorder="1" applyAlignment="1" applyProtection="1">
      <alignment horizontal="centerContinuous"/>
    </xf>
    <xf numFmtId="164" fontId="3" fillId="0" borderId="7" xfId="0" applyFont="1" applyFill="1" applyBorder="1" applyAlignment="1">
      <alignment horizontal="centerContinuous"/>
    </xf>
    <xf numFmtId="5" fontId="3" fillId="0" borderId="7" xfId="0" applyNumberFormat="1" applyFont="1" applyFill="1" applyBorder="1" applyAlignment="1">
      <alignment horizontal="centerContinuous"/>
    </xf>
    <xf numFmtId="4" fontId="3" fillId="0" borderId="7" xfId="0" applyNumberFormat="1" applyFont="1" applyFill="1" applyBorder="1" applyAlignment="1">
      <alignment horizontal="centerContinuous"/>
    </xf>
    <xf numFmtId="5" fontId="3" fillId="0" borderId="13" xfId="0" applyNumberFormat="1" applyFont="1" applyFill="1" applyBorder="1" applyAlignment="1">
      <alignment horizontal="centerContinuous"/>
    </xf>
    <xf numFmtId="164" fontId="3" fillId="0" borderId="0" xfId="0" applyNumberFormat="1" applyFont="1" applyFill="1" applyBorder="1" applyAlignment="1" applyProtection="1">
      <alignment horizontal="center"/>
    </xf>
    <xf numFmtId="5" fontId="3" fillId="0" borderId="0" xfId="0" applyNumberFormat="1" applyFont="1" applyFill="1" applyBorder="1" applyAlignment="1" applyProtection="1">
      <alignment horizontal="center"/>
    </xf>
    <xf numFmtId="4" fontId="3" fillId="0" borderId="0" xfId="0" applyNumberFormat="1" applyFont="1" applyFill="1" applyBorder="1" applyAlignment="1" applyProtection="1">
      <alignment horizontal="center"/>
    </xf>
    <xf numFmtId="5" fontId="3" fillId="0" borderId="14" xfId="0" applyNumberFormat="1" applyFont="1" applyFill="1" applyBorder="1" applyAlignment="1" applyProtection="1">
      <alignment horizontal="center"/>
    </xf>
    <xf numFmtId="164" fontId="3" fillId="0" borderId="15" xfId="0" applyNumberFormat="1" applyFont="1" applyFill="1" applyBorder="1" applyAlignment="1" applyProtection="1">
      <alignment horizontal="center"/>
    </xf>
    <xf numFmtId="5" fontId="3" fillId="0" borderId="15" xfId="0" applyNumberFormat="1" applyFont="1" applyFill="1" applyBorder="1" applyAlignment="1" applyProtection="1">
      <alignment horizontal="center"/>
    </xf>
    <xf numFmtId="165" fontId="3" fillId="0" borderId="15" xfId="0" applyNumberFormat="1" applyFont="1" applyFill="1" applyBorder="1" applyAlignment="1" applyProtection="1">
      <alignment horizontal="center"/>
    </xf>
    <xf numFmtId="4" fontId="3" fillId="0" borderId="15" xfId="0" applyNumberFormat="1" applyFont="1" applyFill="1" applyBorder="1" applyAlignment="1" applyProtection="1">
      <alignment horizontal="center"/>
    </xf>
    <xf numFmtId="5" fontId="3" fillId="0" borderId="16" xfId="0" applyNumberFormat="1" applyFont="1" applyFill="1" applyBorder="1" applyAlignment="1" applyProtection="1">
      <alignment horizontal="center"/>
    </xf>
    <xf numFmtId="164" fontId="3" fillId="0" borderId="9" xfId="0" applyFont="1" applyFill="1" applyBorder="1" applyAlignment="1" applyProtection="1">
      <alignment horizontal="left"/>
    </xf>
    <xf numFmtId="164" fontId="2" fillId="0" borderId="17" xfId="0" applyFont="1" applyFill="1" applyBorder="1" applyAlignment="1" applyProtection="1">
      <alignment horizontal="left"/>
    </xf>
    <xf numFmtId="164" fontId="2" fillId="0" borderId="17" xfId="0" applyFont="1" applyFill="1" applyBorder="1"/>
    <xf numFmtId="5" fontId="2" fillId="0" borderId="17" xfId="0" applyNumberFormat="1" applyFont="1" applyFill="1" applyBorder="1" applyProtection="1"/>
    <xf numFmtId="164" fontId="2" fillId="0" borderId="18" xfId="0" applyFont="1" applyFill="1" applyBorder="1"/>
    <xf numFmtId="37" fontId="2" fillId="0" borderId="19" xfId="0" applyNumberFormat="1" applyFont="1" applyFill="1" applyBorder="1" applyProtection="1"/>
    <xf numFmtId="7" fontId="2" fillId="0" borderId="20" xfId="0" applyNumberFormat="1" applyFont="1" applyFill="1" applyBorder="1" applyProtection="1"/>
    <xf numFmtId="164" fontId="2" fillId="0" borderId="21" xfId="0" applyFont="1" applyFill="1" applyBorder="1" applyAlignment="1" applyProtection="1">
      <alignment horizontal="left" wrapText="1"/>
    </xf>
    <xf numFmtId="165" fontId="2" fillId="0" borderId="22" xfId="0" applyNumberFormat="1" applyFont="1" applyFill="1" applyBorder="1" applyProtection="1"/>
    <xf numFmtId="165" fontId="2" fillId="0" borderId="23" xfId="0" applyNumberFormat="1" applyFont="1" applyFill="1" applyBorder="1" applyProtection="1"/>
    <xf numFmtId="39" fontId="2" fillId="0" borderId="23" xfId="0" applyNumberFormat="1" applyFont="1" applyFill="1" applyBorder="1" applyProtection="1"/>
    <xf numFmtId="5" fontId="2" fillId="0" borderId="24" xfId="0" applyNumberFormat="1" applyFont="1" applyFill="1" applyBorder="1" applyProtection="1"/>
    <xf numFmtId="3" fontId="2" fillId="0" borderId="25" xfId="0" applyNumberFormat="1" applyFont="1" applyFill="1" applyBorder="1" applyProtection="1"/>
    <xf numFmtId="164" fontId="2" fillId="0" borderId="26" xfId="0" applyFont="1" applyFill="1" applyBorder="1" applyAlignment="1" applyProtection="1">
      <alignment horizontal="left" wrapText="1"/>
    </xf>
    <xf numFmtId="165" fontId="2" fillId="0" borderId="27" xfId="0" applyNumberFormat="1" applyFont="1" applyFill="1" applyBorder="1" applyProtection="1"/>
    <xf numFmtId="3" fontId="2" fillId="0" borderId="28" xfId="0" applyNumberFormat="1" applyFont="1" applyFill="1" applyBorder="1" applyProtection="1"/>
    <xf numFmtId="164" fontId="2" fillId="0" borderId="29" xfId="0" applyFont="1" applyFill="1" applyBorder="1" applyAlignment="1" applyProtection="1">
      <alignment horizontal="left" wrapText="1"/>
    </xf>
    <xf numFmtId="165" fontId="2" fillId="0" borderId="30" xfId="0" applyNumberFormat="1" applyFont="1" applyFill="1" applyBorder="1" applyProtection="1"/>
    <xf numFmtId="5" fontId="2" fillId="0" borderId="7" xfId="0" applyNumberFormat="1" applyFont="1" applyFill="1" applyBorder="1" applyProtection="1"/>
    <xf numFmtId="3" fontId="2" fillId="0" borderId="31" xfId="0" applyNumberFormat="1" applyFont="1" applyFill="1" applyBorder="1" applyProtection="1"/>
    <xf numFmtId="164" fontId="2" fillId="0" borderId="32" xfId="0" applyNumberFormat="1" applyFont="1" applyFill="1" applyBorder="1" applyAlignment="1" applyProtection="1">
      <alignment horizontal="left" wrapText="1"/>
    </xf>
    <xf numFmtId="7" fontId="2" fillId="0" borderId="33" xfId="0" applyNumberFormat="1" applyFont="1" applyFill="1" applyBorder="1" applyAlignment="1" applyProtection="1">
      <alignment horizontal="center"/>
    </xf>
    <xf numFmtId="165" fontId="2" fillId="0" borderId="33" xfId="0" applyNumberFormat="1" applyFont="1" applyFill="1" applyBorder="1" applyAlignment="1" applyProtection="1">
      <alignment horizontal="left"/>
    </xf>
    <xf numFmtId="5" fontId="2" fillId="0" borderId="33" xfId="0" applyNumberFormat="1" applyFont="1" applyFill="1" applyBorder="1" applyAlignment="1" applyProtection="1">
      <alignment horizontal="center"/>
    </xf>
    <xf numFmtId="5" fontId="2" fillId="0" borderId="15" xfId="0" applyNumberFormat="1" applyFont="1" applyFill="1" applyBorder="1" applyAlignment="1" applyProtection="1">
      <alignment horizontal="center"/>
    </xf>
    <xf numFmtId="7" fontId="2" fillId="0" borderId="34" xfId="0" applyNumberFormat="1" applyFont="1" applyFill="1" applyBorder="1" applyAlignment="1" applyProtection="1">
      <alignment horizontal="center"/>
    </xf>
    <xf numFmtId="164" fontId="3" fillId="0" borderId="35" xfId="0" applyFont="1" applyFill="1" applyBorder="1" applyAlignment="1" applyProtection="1">
      <alignment horizontal="left" wrapText="1"/>
    </xf>
    <xf numFmtId="37" fontId="2" fillId="0" borderId="17" xfId="0" applyNumberFormat="1" applyFont="1" applyFill="1" applyBorder="1" applyProtection="1"/>
    <xf numFmtId="164" fontId="2" fillId="0" borderId="19" xfId="0" applyFont="1" applyFill="1" applyBorder="1"/>
    <xf numFmtId="164" fontId="2" fillId="0" borderId="32" xfId="0" applyFont="1" applyFill="1" applyBorder="1" applyAlignment="1" applyProtection="1">
      <alignment horizontal="left" wrapText="1"/>
    </xf>
    <xf numFmtId="165" fontId="2" fillId="0" borderId="33" xfId="0" applyNumberFormat="1" applyFont="1" applyFill="1" applyBorder="1" applyProtection="1"/>
    <xf numFmtId="39" fontId="2" fillId="0" borderId="36" xfId="0" applyNumberFormat="1" applyFont="1" applyFill="1" applyBorder="1" applyProtection="1"/>
    <xf numFmtId="5" fontId="2" fillId="0" borderId="37" xfId="0" applyNumberFormat="1" applyFont="1" applyFill="1" applyBorder="1" applyProtection="1"/>
    <xf numFmtId="164" fontId="2" fillId="0" borderId="38" xfId="0" applyNumberFormat="1" applyFont="1" applyFill="1" applyBorder="1" applyAlignment="1" applyProtection="1">
      <alignment horizontal="left" wrapText="1"/>
    </xf>
    <xf numFmtId="7" fontId="2" fillId="0" borderId="23" xfId="0" applyNumberFormat="1" applyFont="1" applyFill="1" applyBorder="1" applyAlignment="1" applyProtection="1">
      <alignment horizontal="center"/>
    </xf>
    <xf numFmtId="165" fontId="2" fillId="0" borderId="23" xfId="0" applyNumberFormat="1" applyFont="1" applyFill="1" applyBorder="1" applyAlignment="1" applyProtection="1">
      <alignment horizontal="left"/>
    </xf>
    <xf numFmtId="5" fontId="2" fillId="0" borderId="23" xfId="0" applyNumberFormat="1" applyFont="1" applyFill="1" applyBorder="1" applyAlignment="1" applyProtection="1">
      <alignment horizontal="center"/>
    </xf>
    <xf numFmtId="5" fontId="2" fillId="0" borderId="24" xfId="0" applyNumberFormat="1" applyFont="1" applyFill="1" applyBorder="1" applyAlignment="1" applyProtection="1">
      <alignment horizontal="center"/>
    </xf>
    <xf numFmtId="7" fontId="2" fillId="0" borderId="25" xfId="0" applyNumberFormat="1" applyFont="1" applyFill="1" applyBorder="1" applyAlignment="1" applyProtection="1">
      <alignment horizontal="center"/>
    </xf>
    <xf numFmtId="164" fontId="2" fillId="0" borderId="0" xfId="0" applyNumberFormat="1" applyFont="1" applyFill="1" applyBorder="1" applyAlignment="1" applyProtection="1">
      <alignment horizontal="left" wrapText="1"/>
    </xf>
    <xf numFmtId="7" fontId="2" fillId="0" borderId="0" xfId="0" applyNumberFormat="1" applyFont="1" applyFill="1" applyBorder="1" applyAlignment="1" applyProtection="1">
      <alignment horizontal="center"/>
    </xf>
    <xf numFmtId="165" fontId="2" fillId="0" borderId="0" xfId="0" applyNumberFormat="1" applyFont="1" applyFill="1" applyBorder="1" applyAlignment="1" applyProtection="1">
      <alignment horizontal="left"/>
    </xf>
    <xf numFmtId="5" fontId="2" fillId="0" borderId="0" xfId="0" applyNumberFormat="1" applyFont="1" applyFill="1" applyBorder="1" applyAlignment="1" applyProtection="1">
      <alignment horizontal="center"/>
    </xf>
    <xf numFmtId="164" fontId="3" fillId="0" borderId="9" xfId="0" applyFont="1" applyFill="1" applyBorder="1" applyAlignment="1" applyProtection="1">
      <alignment horizontal="left" wrapText="1"/>
    </xf>
    <xf numFmtId="39" fontId="2" fillId="0" borderId="27" xfId="0" applyNumberFormat="1" applyFont="1" applyFill="1" applyBorder="1" applyProtection="1"/>
    <xf numFmtId="5" fontId="2" fillId="0" borderId="27" xfId="0" applyNumberFormat="1" applyFont="1" applyFill="1" applyBorder="1" applyProtection="1"/>
    <xf numFmtId="5" fontId="2" fillId="0" borderId="39" xfId="0" applyNumberFormat="1" applyFont="1" applyFill="1" applyBorder="1" applyProtection="1"/>
    <xf numFmtId="164" fontId="2" fillId="0" borderId="40" xfId="0" applyNumberFormat="1" applyFont="1" applyFill="1" applyBorder="1" applyAlignment="1" applyProtection="1">
      <alignment horizontal="left" wrapText="1"/>
    </xf>
    <xf numFmtId="165" fontId="2" fillId="0" borderId="41" xfId="0" applyNumberFormat="1" applyFont="1" applyFill="1" applyBorder="1" applyProtection="1"/>
    <xf numFmtId="39" fontId="2" fillId="0" borderId="41" xfId="0" applyNumberFormat="1" applyFont="1" applyFill="1" applyBorder="1" applyProtection="1"/>
    <xf numFmtId="5" fontId="2" fillId="0" borderId="41" xfId="0" applyNumberFormat="1" applyFont="1" applyFill="1" applyBorder="1" applyProtection="1"/>
    <xf numFmtId="5" fontId="2" fillId="0" borderId="42" xfId="0" applyNumberFormat="1" applyFont="1" applyFill="1" applyBorder="1" applyProtection="1"/>
    <xf numFmtId="3" fontId="2" fillId="0" borderId="40" xfId="0" applyNumberFormat="1" applyFont="1" applyFill="1" applyBorder="1" applyProtection="1"/>
    <xf numFmtId="164" fontId="2" fillId="0" borderId="0" xfId="0" applyFont="1" applyFill="1" applyBorder="1" applyAlignment="1">
      <alignment wrapText="1"/>
    </xf>
    <xf numFmtId="164" fontId="3" fillId="0" borderId="0" xfId="0" applyFont="1" applyFill="1" applyBorder="1" applyAlignment="1">
      <alignment horizontal="center"/>
    </xf>
    <xf numFmtId="5" fontId="3" fillId="0" borderId="43" xfId="0" applyNumberFormat="1" applyFont="1" applyFill="1" applyBorder="1"/>
    <xf numFmtId="5" fontId="3" fillId="0" borderId="43" xfId="0" applyNumberFormat="1" applyFont="1" applyFill="1" applyBorder="1" applyAlignment="1" applyProtection="1">
      <alignment horizontal="center"/>
    </xf>
    <xf numFmtId="5" fontId="3" fillId="0" borderId="44" xfId="0" applyNumberFormat="1" applyFont="1" applyFill="1" applyBorder="1" applyAlignment="1" applyProtection="1">
      <alignment horizontal="center"/>
    </xf>
    <xf numFmtId="37" fontId="2" fillId="0" borderId="18" xfId="0" applyNumberFormat="1" applyFont="1" applyFill="1" applyBorder="1" applyProtection="1"/>
    <xf numFmtId="165" fontId="2" fillId="0" borderId="25" xfId="0" applyNumberFormat="1" applyFont="1" applyFill="1" applyBorder="1" applyProtection="1"/>
    <xf numFmtId="5" fontId="2" fillId="0" borderId="45" xfId="0" applyNumberFormat="1" applyFont="1" applyFill="1" applyBorder="1" applyProtection="1"/>
    <xf numFmtId="3" fontId="2" fillId="0" borderId="23" xfId="0" applyNumberFormat="1" applyFont="1" applyFill="1" applyBorder="1" applyProtection="1"/>
    <xf numFmtId="164" fontId="2" fillId="0" borderId="46" xfId="0" applyFont="1" applyFill="1" applyBorder="1" applyAlignment="1" applyProtection="1">
      <alignment horizontal="left" wrapText="1"/>
    </xf>
    <xf numFmtId="165" fontId="2" fillId="0" borderId="34" xfId="0" applyNumberFormat="1" applyFont="1" applyFill="1" applyBorder="1" applyProtection="1"/>
    <xf numFmtId="165" fontId="2" fillId="0" borderId="36" xfId="0" applyNumberFormat="1" applyFont="1" applyFill="1" applyBorder="1" applyProtection="1"/>
    <xf numFmtId="165" fontId="2" fillId="0" borderId="47" xfId="0" applyNumberFormat="1" applyFont="1" applyFill="1" applyBorder="1" applyProtection="1"/>
    <xf numFmtId="5" fontId="2" fillId="0" borderId="48" xfId="0" applyNumberFormat="1" applyFont="1" applyFill="1" applyBorder="1" applyProtection="1"/>
    <xf numFmtId="164" fontId="2" fillId="0" borderId="9" xfId="0" applyNumberFormat="1" applyFont="1" applyFill="1" applyBorder="1" applyAlignment="1" applyProtection="1">
      <alignment horizontal="left" wrapText="1"/>
    </xf>
    <xf numFmtId="5" fontId="2" fillId="0" borderId="45" xfId="0" applyNumberFormat="1" applyFont="1" applyFill="1" applyBorder="1" applyAlignment="1" applyProtection="1">
      <alignment horizontal="center"/>
    </xf>
    <xf numFmtId="5" fontId="3" fillId="0" borderId="1" xfId="0" applyNumberFormat="1" applyFont="1" applyFill="1" applyBorder="1" applyAlignment="1">
      <alignment horizontal="centerContinuous"/>
    </xf>
    <xf numFmtId="164" fontId="2" fillId="0" borderId="21" xfId="0" applyFont="1" applyFill="1" applyBorder="1" applyAlignment="1" applyProtection="1">
      <alignment horizontal="left"/>
    </xf>
    <xf numFmtId="164" fontId="2" fillId="0" borderId="26" xfId="0" applyFont="1" applyFill="1" applyBorder="1" applyAlignment="1" applyProtection="1">
      <alignment horizontal="left"/>
    </xf>
    <xf numFmtId="165" fontId="2" fillId="0" borderId="49" xfId="0" applyNumberFormat="1" applyFont="1" applyFill="1" applyBorder="1" applyProtection="1"/>
    <xf numFmtId="5" fontId="2" fillId="0" borderId="43" xfId="0" applyNumberFormat="1" applyFont="1" applyFill="1" applyBorder="1" applyProtection="1"/>
    <xf numFmtId="3" fontId="2" fillId="0" borderId="27" xfId="0" applyNumberFormat="1" applyFont="1" applyFill="1" applyBorder="1" applyProtection="1"/>
    <xf numFmtId="164" fontId="2" fillId="0" borderId="50" xfId="0" applyFont="1" applyFill="1" applyBorder="1" applyAlignment="1" applyProtection="1">
      <alignment horizontal="left" wrapText="1"/>
    </xf>
    <xf numFmtId="165" fontId="2" fillId="0" borderId="51" xfId="0" applyNumberFormat="1" applyFont="1" applyFill="1" applyBorder="1" applyProtection="1"/>
    <xf numFmtId="39" fontId="2" fillId="0" borderId="52" xfId="0" applyNumberFormat="1" applyFont="1" applyFill="1" applyBorder="1" applyProtection="1"/>
    <xf numFmtId="3" fontId="2" fillId="0" borderId="51" xfId="0" applyNumberFormat="1" applyFont="1" applyFill="1" applyBorder="1" applyProtection="1"/>
    <xf numFmtId="164" fontId="2" fillId="0" borderId="53" xfId="0" applyNumberFormat="1" applyFont="1" applyFill="1" applyBorder="1" applyAlignment="1" applyProtection="1">
      <alignment horizontal="left"/>
    </xf>
    <xf numFmtId="165" fontId="2" fillId="0" borderId="54" xfId="0" applyNumberFormat="1" applyFont="1" applyFill="1" applyBorder="1" applyAlignment="1" applyProtection="1">
      <alignment horizontal="center"/>
    </xf>
    <xf numFmtId="7" fontId="2" fillId="0" borderId="41" xfId="0" applyNumberFormat="1" applyFont="1" applyFill="1" applyBorder="1" applyAlignment="1" applyProtection="1">
      <alignment horizontal="center"/>
    </xf>
    <xf numFmtId="165" fontId="2" fillId="0" borderId="41" xfId="0" applyNumberFormat="1" applyFont="1" applyFill="1" applyBorder="1" applyAlignment="1" applyProtection="1">
      <alignment horizontal="left"/>
    </xf>
    <xf numFmtId="5" fontId="2" fillId="0" borderId="41" xfId="0" applyNumberFormat="1" applyFont="1" applyFill="1" applyBorder="1" applyAlignment="1" applyProtection="1">
      <alignment horizontal="center"/>
    </xf>
    <xf numFmtId="5" fontId="2" fillId="0" borderId="55" xfId="0" applyNumberFormat="1" applyFont="1" applyFill="1" applyBorder="1" applyAlignment="1" applyProtection="1">
      <alignment horizontal="center"/>
    </xf>
    <xf numFmtId="164" fontId="3" fillId="0" borderId="56" xfId="0" applyFont="1" applyFill="1" applyBorder="1" applyAlignment="1" applyProtection="1">
      <alignment wrapText="1"/>
    </xf>
    <xf numFmtId="164" fontId="3" fillId="0" borderId="57" xfId="0" applyFont="1" applyFill="1" applyBorder="1" applyAlignment="1" applyProtection="1">
      <alignment wrapText="1"/>
    </xf>
    <xf numFmtId="164" fontId="3" fillId="0" borderId="58" xfId="0" applyFont="1" applyFill="1" applyBorder="1" applyAlignment="1" applyProtection="1">
      <alignment wrapText="1"/>
    </xf>
    <xf numFmtId="164" fontId="3" fillId="0" borderId="59" xfId="0" applyFont="1" applyFill="1" applyBorder="1" applyAlignment="1" applyProtection="1">
      <alignment wrapText="1"/>
    </xf>
    <xf numFmtId="164" fontId="2" fillId="0" borderId="1" xfId="0" applyFont="1" applyFill="1" applyBorder="1" applyAlignment="1" applyProtection="1">
      <alignment horizontal="left" wrapText="1"/>
    </xf>
    <xf numFmtId="39" fontId="2" fillId="0" borderId="1" xfId="0" applyNumberFormat="1" applyFont="1" applyFill="1" applyBorder="1" applyProtection="1"/>
    <xf numFmtId="5" fontId="2" fillId="0" borderId="5" xfId="0" applyNumberFormat="1" applyFont="1" applyFill="1" applyBorder="1" applyProtection="1"/>
    <xf numFmtId="3" fontId="2" fillId="0" borderId="13" xfId="0" applyNumberFormat="1" applyFont="1" applyFill="1" applyBorder="1" applyProtection="1"/>
    <xf numFmtId="164" fontId="2" fillId="0" borderId="2" xfId="0" applyFont="1" applyFill="1" applyBorder="1" applyAlignment="1" applyProtection="1">
      <alignment horizontal="left" wrapText="1"/>
    </xf>
    <xf numFmtId="39" fontId="2" fillId="0" borderId="2" xfId="0" applyNumberFormat="1" applyFont="1" applyFill="1" applyBorder="1" applyProtection="1"/>
    <xf numFmtId="5" fontId="2" fillId="0" borderId="60" xfId="0" applyNumberFormat="1" applyFont="1" applyFill="1" applyBorder="1" applyProtection="1"/>
    <xf numFmtId="3" fontId="2" fillId="0" borderId="61" xfId="0" applyNumberFormat="1" applyFont="1" applyFill="1" applyBorder="1" applyProtection="1"/>
    <xf numFmtId="164" fontId="2" fillId="0" borderId="62" xfId="0" applyNumberFormat="1" applyFont="1" applyFill="1" applyBorder="1" applyAlignment="1" applyProtection="1">
      <alignment horizontal="left" wrapText="1"/>
    </xf>
    <xf numFmtId="164" fontId="0" fillId="0" borderId="62" xfId="0" applyFill="1" applyBorder="1"/>
    <xf numFmtId="7" fontId="2" fillId="0" borderId="62" xfId="0" applyNumberFormat="1" applyFont="1" applyFill="1" applyBorder="1" applyAlignment="1" applyProtection="1">
      <alignment horizontal="center"/>
    </xf>
    <xf numFmtId="165" fontId="2" fillId="0" borderId="62" xfId="0" applyNumberFormat="1" applyFont="1" applyFill="1" applyBorder="1" applyAlignment="1" applyProtection="1">
      <alignment horizontal="left"/>
    </xf>
    <xf numFmtId="5" fontId="2" fillId="0" borderId="62" xfId="0" applyNumberFormat="1" applyFont="1" applyFill="1" applyBorder="1" applyAlignment="1" applyProtection="1">
      <alignment horizontal="center"/>
    </xf>
    <xf numFmtId="5" fontId="2" fillId="0" borderId="63" xfId="0" applyNumberFormat="1" applyFont="1" applyFill="1" applyBorder="1" applyAlignment="1" applyProtection="1">
      <alignment horizontal="center"/>
    </xf>
    <xf numFmtId="7" fontId="2" fillId="0" borderId="64" xfId="0" applyNumberFormat="1" applyFont="1" applyFill="1" applyBorder="1" applyAlignment="1" applyProtection="1">
      <alignment horizontal="center"/>
    </xf>
    <xf numFmtId="164" fontId="2" fillId="0" borderId="65" xfId="0" applyNumberFormat="1" applyFont="1" applyFill="1" applyBorder="1" applyAlignment="1" applyProtection="1">
      <alignment horizontal="left" wrapText="1"/>
    </xf>
    <xf numFmtId="164" fontId="0" fillId="0" borderId="65" xfId="0" applyFill="1" applyBorder="1"/>
    <xf numFmtId="7" fontId="2" fillId="0" borderId="65" xfId="0" applyNumberFormat="1" applyFont="1" applyFill="1" applyBorder="1" applyAlignment="1" applyProtection="1">
      <alignment horizontal="center"/>
    </xf>
    <xf numFmtId="165" fontId="2" fillId="0" borderId="65" xfId="0" applyNumberFormat="1" applyFont="1" applyFill="1" applyBorder="1" applyAlignment="1" applyProtection="1">
      <alignment horizontal="left"/>
    </xf>
    <xf numFmtId="5" fontId="2" fillId="0" borderId="65" xfId="0" applyNumberFormat="1" applyFont="1" applyFill="1" applyBorder="1" applyAlignment="1" applyProtection="1">
      <alignment horizontal="center"/>
    </xf>
    <xf numFmtId="5" fontId="2" fillId="0" borderId="8" xfId="0" applyNumberFormat="1" applyFont="1" applyFill="1" applyBorder="1" applyAlignment="1" applyProtection="1">
      <alignment horizontal="center"/>
    </xf>
    <xf numFmtId="7" fontId="2" fillId="0" borderId="3" xfId="0" applyNumberFormat="1" applyFont="1" applyFill="1" applyBorder="1" applyAlignment="1" applyProtection="1">
      <alignment horizontal="center"/>
    </xf>
    <xf numFmtId="164" fontId="2" fillId="0" borderId="66" xfId="0" applyFont="1" applyFill="1" applyBorder="1" applyAlignment="1" applyProtection="1">
      <alignment horizontal="left" wrapText="1"/>
    </xf>
    <xf numFmtId="164" fontId="2" fillId="0" borderId="67" xfId="0" applyFont="1" applyFill="1" applyBorder="1" applyAlignment="1" applyProtection="1">
      <alignment horizontal="left" wrapText="1"/>
    </xf>
    <xf numFmtId="164" fontId="2" fillId="0" borderId="68" xfId="0" applyFont="1" applyFill="1" applyBorder="1" applyAlignment="1" applyProtection="1">
      <alignment horizontal="left" wrapText="1"/>
    </xf>
    <xf numFmtId="5" fontId="2" fillId="0" borderId="42" xfId="0" applyNumberFormat="1" applyFont="1" applyFill="1" applyBorder="1" applyAlignment="1" applyProtection="1">
      <alignment horizontal="center"/>
    </xf>
    <xf numFmtId="7" fontId="2" fillId="0" borderId="40" xfId="0" applyNumberFormat="1" applyFont="1" applyFill="1" applyBorder="1" applyAlignment="1" applyProtection="1">
      <alignment horizontal="center"/>
    </xf>
    <xf numFmtId="3" fontId="2" fillId="0" borderId="14" xfId="0" applyNumberFormat="1" applyFont="1" applyFill="1" applyBorder="1" applyProtection="1"/>
    <xf numFmtId="164" fontId="2" fillId="0" borderId="53" xfId="0" applyNumberFormat="1" applyFont="1" applyFill="1" applyBorder="1" applyAlignment="1" applyProtection="1">
      <alignment horizontal="left" wrapText="1"/>
    </xf>
    <xf numFmtId="5" fontId="2" fillId="0" borderId="64" xfId="0" applyNumberFormat="1" applyFont="1" applyFill="1" applyBorder="1" applyAlignment="1" applyProtection="1">
      <alignment horizontal="center"/>
    </xf>
    <xf numFmtId="3" fontId="2" fillId="0" borderId="3" xfId="0" applyNumberFormat="1" applyFont="1" applyFill="1" applyBorder="1" applyProtection="1"/>
    <xf numFmtId="164" fontId="3" fillId="0" borderId="69" xfId="0" applyFont="1" applyFill="1" applyBorder="1"/>
    <xf numFmtId="5" fontId="3" fillId="0" borderId="14" xfId="0" applyNumberFormat="1" applyFont="1" applyFill="1" applyBorder="1"/>
    <xf numFmtId="164" fontId="3" fillId="0" borderId="69" xfId="0" applyNumberFormat="1" applyFont="1" applyFill="1" applyBorder="1" applyAlignment="1" applyProtection="1">
      <alignment horizontal="center"/>
    </xf>
    <xf numFmtId="164" fontId="3" fillId="0" borderId="70" xfId="0" applyNumberFormat="1" applyFont="1" applyFill="1" applyBorder="1" applyAlignment="1" applyProtection="1">
      <alignment horizontal="center"/>
    </xf>
    <xf numFmtId="165" fontId="2" fillId="0" borderId="71" xfId="0" applyNumberFormat="1" applyFont="1" applyFill="1" applyBorder="1" applyAlignment="1" applyProtection="1">
      <alignment horizontal="left" wrapText="1"/>
    </xf>
    <xf numFmtId="39" fontId="2" fillId="0" borderId="72" xfId="0" applyNumberFormat="1" applyFont="1" applyFill="1" applyBorder="1" applyProtection="1"/>
    <xf numFmtId="5" fontId="2" fillId="0" borderId="72" xfId="0" applyNumberFormat="1" applyFont="1" applyFill="1" applyBorder="1" applyProtection="1"/>
    <xf numFmtId="5" fontId="2" fillId="0" borderId="73" xfId="0" applyNumberFormat="1" applyFont="1" applyFill="1" applyBorder="1" applyProtection="1"/>
    <xf numFmtId="37" fontId="2" fillId="0" borderId="74" xfId="0" applyNumberFormat="1" applyFont="1" applyFill="1" applyBorder="1" applyProtection="1"/>
    <xf numFmtId="165" fontId="2" fillId="0" borderId="75" xfId="0" applyNumberFormat="1" applyFont="1" applyFill="1" applyBorder="1" applyAlignment="1" applyProtection="1">
      <alignment horizontal="left" wrapText="1"/>
    </xf>
    <xf numFmtId="165" fontId="2" fillId="0" borderId="72" xfId="0" applyNumberFormat="1" applyFont="1" applyFill="1" applyBorder="1" applyProtection="1"/>
    <xf numFmtId="39" fontId="2" fillId="0" borderId="0" xfId="0" applyNumberFormat="1" applyFont="1" applyFill="1" applyBorder="1" applyAlignment="1" applyProtection="1">
      <alignment horizontal="left"/>
    </xf>
    <xf numFmtId="39" fontId="2" fillId="0" borderId="68" xfId="0" applyNumberFormat="1" applyFont="1" applyFill="1" applyBorder="1" applyProtection="1"/>
    <xf numFmtId="5" fontId="2" fillId="0" borderId="68" xfId="0" applyNumberFormat="1" applyFont="1" applyFill="1" applyBorder="1" applyProtection="1"/>
    <xf numFmtId="37" fontId="2" fillId="0" borderId="76" xfId="0" applyNumberFormat="1" applyFont="1" applyFill="1" applyBorder="1" applyProtection="1"/>
    <xf numFmtId="165" fontId="2" fillId="0" borderId="53" xfId="0" applyNumberFormat="1" applyFont="1" applyFill="1" applyBorder="1" applyAlignment="1" applyProtection="1">
      <alignment horizontal="left" wrapText="1"/>
    </xf>
    <xf numFmtId="37" fontId="2" fillId="0" borderId="41" xfId="0" applyNumberFormat="1" applyFont="1" applyFill="1" applyBorder="1" applyProtection="1"/>
    <xf numFmtId="37" fontId="2" fillId="0" borderId="77" xfId="0" applyNumberFormat="1" applyFont="1" applyFill="1" applyBorder="1" applyProtection="1"/>
    <xf numFmtId="39" fontId="2" fillId="0" borderId="78" xfId="0" applyNumberFormat="1" applyFont="1" applyFill="1" applyBorder="1" applyProtection="1"/>
    <xf numFmtId="5" fontId="2" fillId="0" borderId="78" xfId="0" applyNumberFormat="1" applyFont="1" applyFill="1" applyBorder="1" applyProtection="1"/>
    <xf numFmtId="165" fontId="2" fillId="0" borderId="26" xfId="0" applyNumberFormat="1" applyFont="1" applyFill="1" applyBorder="1" applyAlignment="1" applyProtection="1">
      <alignment horizontal="left" wrapText="1"/>
    </xf>
    <xf numFmtId="165" fontId="2" fillId="0" borderId="21" xfId="0" applyNumberFormat="1" applyFont="1" applyFill="1" applyBorder="1" applyAlignment="1" applyProtection="1">
      <alignment horizontal="left" wrapText="1"/>
    </xf>
    <xf numFmtId="39" fontId="2" fillId="0" borderId="79" xfId="0" applyNumberFormat="1" applyFont="1" applyFill="1" applyBorder="1" applyProtection="1"/>
    <xf numFmtId="5" fontId="2" fillId="0" borderId="79" xfId="0" applyNumberFormat="1" applyFont="1" applyFill="1" applyBorder="1" applyProtection="1"/>
    <xf numFmtId="37" fontId="2" fillId="0" borderId="80" xfId="0" applyNumberFormat="1" applyFont="1" applyFill="1" applyBorder="1" applyProtection="1"/>
    <xf numFmtId="165" fontId="3" fillId="0" borderId="38" xfId="0" applyNumberFormat="1" applyFont="1" applyFill="1" applyBorder="1" applyAlignment="1" applyProtection="1">
      <alignment horizontal="left" wrapText="1"/>
    </xf>
    <xf numFmtId="37" fontId="3" fillId="0" borderId="23" xfId="0" applyNumberFormat="1" applyFont="1" applyFill="1" applyBorder="1" applyProtection="1"/>
    <xf numFmtId="5" fontId="3" fillId="0" borderId="23" xfId="0" applyNumberFormat="1" applyFont="1" applyFill="1" applyBorder="1" applyProtection="1"/>
    <xf numFmtId="37" fontId="3" fillId="0" borderId="81" xfId="0" applyNumberFormat="1" applyFont="1" applyFill="1" applyBorder="1" applyProtection="1"/>
    <xf numFmtId="164" fontId="3" fillId="0" borderId="0" xfId="0" applyNumberFormat="1" applyFont="1" applyFill="1" applyBorder="1" applyAlignment="1" applyProtection="1">
      <alignment horizontal="left"/>
    </xf>
    <xf numFmtId="164" fontId="3" fillId="0" borderId="82" xfId="0" applyFont="1" applyFill="1" applyBorder="1" applyAlignment="1" applyProtection="1">
      <alignment horizontal="left" vertical="center"/>
    </xf>
    <xf numFmtId="164" fontId="3" fillId="0" borderId="83" xfId="0" applyFont="1" applyFill="1" applyBorder="1" applyAlignment="1" applyProtection="1">
      <alignment horizontal="left" vertical="center"/>
    </xf>
    <xf numFmtId="165" fontId="3" fillId="0" borderId="13" xfId="0" applyNumberFormat="1" applyFont="1" applyFill="1" applyBorder="1" applyAlignment="1" applyProtection="1">
      <alignment horizontal="center" vertical="center"/>
    </xf>
    <xf numFmtId="165" fontId="3" fillId="0" borderId="5" xfId="0" applyNumberFormat="1" applyFont="1" applyFill="1" applyBorder="1" applyAlignment="1" applyProtection="1">
      <alignment horizontal="center" vertical="center"/>
    </xf>
    <xf numFmtId="164" fontId="2" fillId="0" borderId="84" xfId="0" applyFont="1" applyFill="1" applyBorder="1" applyAlignment="1" applyProtection="1">
      <alignment horizontal="left" vertical="center"/>
    </xf>
    <xf numFmtId="1" fontId="2" fillId="0" borderId="13" xfId="0" applyNumberFormat="1" applyFont="1" applyFill="1" applyBorder="1" applyAlignment="1" applyProtection="1">
      <alignment horizontal="center" vertical="center"/>
    </xf>
    <xf numFmtId="1" fontId="2" fillId="0" borderId="4" xfId="0" applyNumberFormat="1" applyFont="1" applyFill="1" applyBorder="1" applyAlignment="1" applyProtection="1">
      <alignment horizontal="center" vertical="center"/>
    </xf>
    <xf numFmtId="1" fontId="2" fillId="0" borderId="4" xfId="0" applyNumberFormat="1" applyFont="1" applyFill="1" applyBorder="1" applyAlignment="1">
      <alignment horizontal="center" vertical="center"/>
    </xf>
    <xf numFmtId="164" fontId="2" fillId="0" borderId="84" xfId="0" applyFont="1" applyFill="1" applyBorder="1" applyAlignment="1" applyProtection="1">
      <alignment vertical="center"/>
    </xf>
    <xf numFmtId="164" fontId="2" fillId="0" borderId="85" xfId="0" applyFont="1" applyFill="1" applyBorder="1" applyAlignment="1" applyProtection="1">
      <alignment horizontal="left" vertical="center"/>
    </xf>
    <xf numFmtId="1" fontId="2" fillId="0" borderId="7"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164" fontId="2" fillId="0" borderId="86" xfId="0" applyFont="1" applyFill="1" applyBorder="1" applyAlignment="1">
      <alignment horizontal="center" vertical="center"/>
    </xf>
    <xf numFmtId="164" fontId="2" fillId="0" borderId="87" xfId="0" applyFont="1" applyFill="1" applyBorder="1" applyAlignment="1" applyProtection="1">
      <alignment vertical="center"/>
    </xf>
    <xf numFmtId="1" fontId="2" fillId="0" borderId="88" xfId="0" applyNumberFormat="1" applyFont="1" applyFill="1" applyBorder="1" applyAlignment="1" applyProtection="1">
      <alignment horizontal="center" vertical="center"/>
    </xf>
    <xf numFmtId="1" fontId="2" fillId="0" borderId="89" xfId="0" applyNumberFormat="1" applyFont="1" applyFill="1" applyBorder="1" applyAlignment="1" applyProtection="1">
      <alignment horizontal="center" vertical="center"/>
    </xf>
    <xf numFmtId="1" fontId="2" fillId="0" borderId="89" xfId="0" applyNumberFormat="1" applyFont="1" applyFill="1" applyBorder="1" applyAlignment="1">
      <alignment horizontal="center" vertical="center"/>
    </xf>
    <xf numFmtId="164" fontId="2" fillId="0" borderId="90" xfId="0" applyFont="1" applyFill="1" applyBorder="1" applyAlignment="1" applyProtection="1">
      <alignment vertical="center"/>
    </xf>
    <xf numFmtId="1" fontId="2" fillId="0" borderId="3" xfId="0" applyNumberFormat="1" applyFont="1" applyFill="1" applyBorder="1" applyAlignment="1" applyProtection="1">
      <alignment horizontal="center" vertical="center"/>
    </xf>
    <xf numFmtId="1" fontId="2" fillId="0" borderId="91" xfId="0" applyNumberFormat="1" applyFont="1" applyFill="1" applyBorder="1" applyAlignment="1" applyProtection="1">
      <alignment horizontal="center" vertical="center"/>
    </xf>
    <xf numFmtId="1" fontId="2" fillId="0" borderId="91" xfId="0" applyNumberFormat="1" applyFont="1" applyFill="1" applyBorder="1" applyAlignment="1">
      <alignment horizontal="center" vertical="center"/>
    </xf>
    <xf numFmtId="164" fontId="3" fillId="0" borderId="92" xfId="0" applyNumberFormat="1" applyFont="1" applyFill="1" applyBorder="1" applyAlignment="1" applyProtection="1">
      <alignment horizontal="left" vertical="center"/>
    </xf>
    <xf numFmtId="3" fontId="3" fillId="0" borderId="41" xfId="0" applyNumberFormat="1" applyFont="1" applyFill="1" applyBorder="1" applyAlignment="1" applyProtection="1">
      <alignment horizontal="center" vertical="center"/>
    </xf>
    <xf numFmtId="3" fontId="3" fillId="0" borderId="92" xfId="0" applyNumberFormat="1" applyFont="1" applyFill="1" applyBorder="1" applyAlignment="1" applyProtection="1">
      <alignment horizontal="center" vertical="center"/>
    </xf>
    <xf numFmtId="3" fontId="3" fillId="0" borderId="40" xfId="0" applyNumberFormat="1" applyFont="1" applyFill="1" applyBorder="1" applyAlignment="1" applyProtection="1">
      <alignment horizontal="center" vertical="center"/>
    </xf>
    <xf numFmtId="3" fontId="3" fillId="0" borderId="93" xfId="0" applyNumberFormat="1" applyFont="1" applyFill="1" applyBorder="1" applyAlignment="1" applyProtection="1">
      <alignment horizontal="center" vertical="center"/>
    </xf>
    <xf numFmtId="3" fontId="3" fillId="0" borderId="94" xfId="0" applyNumberFormat="1" applyFont="1" applyFill="1" applyBorder="1" applyAlignment="1">
      <alignment horizontal="center" vertical="center"/>
    </xf>
    <xf numFmtId="3" fontId="3" fillId="0" borderId="63" xfId="0" applyNumberFormat="1" applyFont="1" applyFill="1" applyBorder="1" applyAlignment="1">
      <alignment horizontal="center" vertical="center"/>
    </xf>
    <xf numFmtId="164" fontId="2" fillId="0" borderId="0" xfId="0" applyFont="1" applyFill="1"/>
    <xf numFmtId="164" fontId="3" fillId="0" borderId="2" xfId="0" applyFont="1" applyFill="1" applyBorder="1" applyAlignment="1">
      <alignment horizontal="center"/>
    </xf>
    <xf numFmtId="164" fontId="3" fillId="0" borderId="1" xfId="0" applyFont="1" applyFill="1" applyBorder="1" applyAlignment="1" applyProtection="1">
      <alignment horizontal="left" vertical="center"/>
    </xf>
    <xf numFmtId="164" fontId="3" fillId="0" borderId="1" xfId="0" applyFont="1" applyFill="1" applyBorder="1" applyAlignment="1" applyProtection="1">
      <alignment horizontal="center" vertical="center" wrapText="1"/>
    </xf>
    <xf numFmtId="3" fontId="2" fillId="0" borderId="1" xfId="0" applyNumberFormat="1" applyFont="1" applyFill="1" applyBorder="1" applyAlignment="1" applyProtection="1">
      <alignment horizontal="center" vertical="center"/>
    </xf>
    <xf numFmtId="3" fontId="2" fillId="0" borderId="1" xfId="0" applyNumberFormat="1" applyFont="1" applyFill="1" applyBorder="1" applyAlignment="1">
      <alignment horizontal="center"/>
    </xf>
    <xf numFmtId="167" fontId="2" fillId="0" borderId="1" xfId="0" applyNumberFormat="1" applyFont="1" applyFill="1" applyBorder="1" applyAlignment="1">
      <alignment horizontal="center"/>
    </xf>
    <xf numFmtId="164" fontId="3" fillId="0" borderId="1" xfId="0" applyFont="1" applyFill="1" applyBorder="1" applyAlignment="1" applyProtection="1">
      <alignment horizontal="center" vertical="center"/>
    </xf>
    <xf numFmtId="164" fontId="3" fillId="0" borderId="1" xfId="0" applyFont="1" applyFill="1" applyBorder="1" applyAlignment="1">
      <alignment horizontal="center" vertical="center"/>
    </xf>
    <xf numFmtId="3" fontId="2" fillId="0" borderId="1" xfId="0" applyNumberFormat="1" applyFont="1" applyFill="1" applyBorder="1" applyAlignment="1" applyProtection="1">
      <alignment vertical="center"/>
    </xf>
    <xf numFmtId="3" fontId="3" fillId="0" borderId="1" xfId="0" applyNumberFormat="1" applyFont="1" applyFill="1" applyBorder="1" applyAlignment="1" applyProtection="1">
      <alignment vertical="center"/>
    </xf>
    <xf numFmtId="167" fontId="2" fillId="0" borderId="1" xfId="0" applyNumberFormat="1" applyFont="1" applyFill="1" applyBorder="1" applyAlignment="1" applyProtection="1">
      <alignment vertical="center"/>
    </xf>
    <xf numFmtId="167" fontId="3" fillId="0" borderId="1" xfId="0" applyNumberFormat="1" applyFont="1" applyFill="1" applyBorder="1" applyAlignment="1" applyProtection="1">
      <alignment vertical="center"/>
    </xf>
    <xf numFmtId="164" fontId="16" fillId="0" borderId="0" xfId="0" applyFont="1" applyFill="1"/>
    <xf numFmtId="164" fontId="3" fillId="0" borderId="95" xfId="0" applyFont="1" applyFill="1" applyBorder="1" applyAlignment="1">
      <alignment wrapText="1"/>
    </xf>
    <xf numFmtId="164" fontId="3" fillId="0" borderId="85" xfId="0" applyNumberFormat="1" applyFont="1" applyFill="1" applyBorder="1" applyAlignment="1" applyProtection="1">
      <alignment horizontal="centerContinuous"/>
    </xf>
    <xf numFmtId="5" fontId="3" fillId="0" borderId="86" xfId="0" applyNumberFormat="1" applyFont="1" applyFill="1" applyBorder="1" applyAlignment="1">
      <alignment horizontal="centerContinuous"/>
    </xf>
    <xf numFmtId="3" fontId="2" fillId="0" borderId="33" xfId="0" applyNumberFormat="1" applyFont="1" applyFill="1" applyBorder="1" applyProtection="1"/>
    <xf numFmtId="3" fontId="2" fillId="0" borderId="34" xfId="0" applyNumberFormat="1" applyFont="1" applyFill="1" applyBorder="1" applyProtection="1"/>
    <xf numFmtId="7" fontId="2" fillId="0" borderId="3" xfId="1" applyNumberFormat="1" applyFont="1" applyFill="1" applyBorder="1" applyProtection="1"/>
    <xf numFmtId="39" fontId="2" fillId="0" borderId="33" xfId="0" applyNumberFormat="1" applyFont="1" applyFill="1" applyBorder="1" applyProtection="1"/>
    <xf numFmtId="164" fontId="8" fillId="0" borderId="0" xfId="0" applyFont="1" applyFill="1" applyBorder="1"/>
    <xf numFmtId="39" fontId="2" fillId="0" borderId="47" xfId="0" applyNumberFormat="1" applyFont="1" applyFill="1" applyBorder="1" applyProtection="1"/>
    <xf numFmtId="37" fontId="2" fillId="0" borderId="96" xfId="0" applyNumberFormat="1" applyFont="1" applyFill="1" applyBorder="1" applyProtection="1"/>
    <xf numFmtId="164" fontId="10" fillId="0" borderId="0" xfId="0" applyFont="1"/>
    <xf numFmtId="166" fontId="17" fillId="0" borderId="0" xfId="0" applyNumberFormat="1" applyFont="1"/>
    <xf numFmtId="164" fontId="12" fillId="0" borderId="0" xfId="0" applyFont="1"/>
    <xf numFmtId="164" fontId="17" fillId="0" borderId="0" xfId="0" applyFont="1"/>
    <xf numFmtId="167" fontId="17" fillId="0" borderId="0" xfId="0" applyNumberFormat="1" applyFont="1"/>
    <xf numFmtId="3" fontId="17" fillId="0" borderId="0" xfId="0" applyNumberFormat="1" applyFont="1"/>
    <xf numFmtId="164" fontId="12" fillId="0" borderId="0" xfId="0" applyFont="1" applyAlignment="1">
      <alignment horizontal="center"/>
    </xf>
    <xf numFmtId="167" fontId="10" fillId="0" borderId="0" xfId="0" applyNumberFormat="1" applyFont="1"/>
    <xf numFmtId="4" fontId="3" fillId="0" borderId="0" xfId="0" applyNumberFormat="1" applyFont="1" applyFill="1" applyBorder="1" applyAlignment="1" applyProtection="1">
      <alignment horizontal="left" wrapText="1"/>
    </xf>
    <xf numFmtId="4" fontId="2" fillId="0" borderId="17" xfId="0" applyNumberFormat="1" applyFont="1" applyFill="1" applyBorder="1" applyProtection="1"/>
    <xf numFmtId="4" fontId="2" fillId="0" borderId="23" xfId="1" applyNumberFormat="1" applyFont="1" applyFill="1" applyBorder="1" applyProtection="1"/>
    <xf numFmtId="4" fontId="2" fillId="0" borderId="33" xfId="1" applyNumberFormat="1" applyFont="1" applyFill="1" applyBorder="1" applyProtection="1"/>
    <xf numFmtId="4" fontId="0" fillId="0" borderId="0" xfId="0" applyNumberFormat="1" applyFill="1"/>
    <xf numFmtId="4" fontId="2" fillId="0" borderId="17" xfId="0" applyNumberFormat="1" applyFont="1" applyFill="1" applyBorder="1"/>
    <xf numFmtId="4" fontId="2" fillId="0" borderId="27" xfId="1" applyNumberFormat="1" applyFont="1" applyFill="1" applyBorder="1" applyProtection="1"/>
    <xf numFmtId="4" fontId="2" fillId="0" borderId="30" xfId="1" applyNumberFormat="1" applyFont="1" applyFill="1" applyBorder="1" applyProtection="1"/>
    <xf numFmtId="4" fontId="2" fillId="0" borderId="0" xfId="1" applyNumberFormat="1" applyFont="1" applyFill="1" applyBorder="1" applyProtection="1"/>
    <xf numFmtId="4" fontId="2" fillId="0" borderId="41" xfId="1" applyNumberFormat="1" applyFont="1" applyFill="1" applyBorder="1" applyProtection="1"/>
    <xf numFmtId="4" fontId="2" fillId="0" borderId="51" xfId="1" applyNumberFormat="1" applyFont="1" applyFill="1" applyBorder="1" applyProtection="1"/>
    <xf numFmtId="4" fontId="3" fillId="0" borderId="57" xfId="0" applyNumberFormat="1" applyFont="1" applyFill="1" applyBorder="1" applyAlignment="1" applyProtection="1">
      <alignment wrapText="1"/>
    </xf>
    <xf numFmtId="4" fontId="2" fillId="0" borderId="1" xfId="1" applyNumberFormat="1" applyFont="1" applyFill="1" applyBorder="1" applyProtection="1"/>
    <xf numFmtId="4" fontId="2" fillId="0" borderId="2" xfId="1" applyNumberFormat="1" applyFont="1" applyFill="1" applyBorder="1" applyProtection="1"/>
    <xf numFmtId="4" fontId="2" fillId="0" borderId="62" xfId="1" applyNumberFormat="1" applyFont="1" applyFill="1" applyBorder="1" applyProtection="1"/>
    <xf numFmtId="4" fontId="2" fillId="0" borderId="65" xfId="1" applyNumberFormat="1" applyFont="1" applyFill="1" applyBorder="1" applyProtection="1"/>
    <xf numFmtId="4" fontId="2" fillId="0" borderId="1" xfId="1" applyNumberFormat="1" applyFont="1" applyFill="1" applyBorder="1" applyAlignment="1" applyProtection="1">
      <alignment horizontal="right"/>
    </xf>
    <xf numFmtId="4" fontId="2" fillId="0" borderId="97" xfId="1" applyNumberFormat="1" applyFont="1" applyFill="1" applyBorder="1" applyAlignment="1" applyProtection="1">
      <alignment horizontal="right"/>
    </xf>
    <xf numFmtId="4" fontId="2" fillId="0" borderId="62" xfId="0" applyNumberFormat="1" applyFont="1" applyFill="1" applyBorder="1" applyAlignment="1" applyProtection="1">
      <alignment horizontal="right"/>
    </xf>
    <xf numFmtId="4" fontId="2" fillId="0" borderId="17" xfId="0" applyNumberFormat="1" applyFont="1" applyFill="1" applyBorder="1" applyAlignment="1" applyProtection="1">
      <alignment horizontal="right"/>
    </xf>
    <xf numFmtId="4" fontId="2" fillId="0" borderId="65" xfId="1" applyNumberFormat="1" applyFont="1" applyFill="1" applyBorder="1" applyAlignment="1" applyProtection="1">
      <alignment horizontal="right"/>
    </xf>
    <xf numFmtId="4" fontId="2" fillId="0" borderId="62" xfId="1" applyNumberFormat="1" applyFont="1" applyFill="1" applyBorder="1" applyAlignment="1" applyProtection="1">
      <alignment horizontal="right"/>
    </xf>
    <xf numFmtId="4" fontId="3" fillId="0" borderId="57" xfId="0" applyNumberFormat="1" applyFont="1" applyFill="1" applyBorder="1" applyAlignment="1" applyProtection="1">
      <alignment horizontal="right" wrapText="1"/>
    </xf>
    <xf numFmtId="4" fontId="2" fillId="0" borderId="2" xfId="1" applyNumberFormat="1" applyFont="1" applyFill="1" applyBorder="1" applyAlignment="1" applyProtection="1">
      <alignment horizontal="right"/>
    </xf>
    <xf numFmtId="7" fontId="2" fillId="0" borderId="23" xfId="0" applyNumberFormat="1" applyFont="1" applyFill="1" applyBorder="1" applyProtection="1"/>
    <xf numFmtId="7" fontId="2" fillId="0" borderId="47" xfId="0" applyNumberFormat="1" applyFont="1" applyFill="1" applyBorder="1" applyProtection="1"/>
    <xf numFmtId="7" fontId="2" fillId="0" borderId="3" xfId="0" applyNumberFormat="1" applyFont="1" applyFill="1" applyBorder="1" applyProtection="1"/>
    <xf numFmtId="7" fontId="2" fillId="0" borderId="16" xfId="0" applyNumberFormat="1" applyFont="1" applyFill="1" applyBorder="1" applyProtection="1"/>
    <xf numFmtId="7" fontId="2" fillId="0" borderId="14" xfId="0" applyNumberFormat="1" applyFont="1" applyFill="1" applyBorder="1" applyProtection="1"/>
    <xf numFmtId="7" fontId="2" fillId="0" borderId="13" xfId="0" applyNumberFormat="1" applyFont="1" applyFill="1" applyBorder="1" applyProtection="1"/>
    <xf numFmtId="7" fontId="2" fillId="0" borderId="16" xfId="1" applyNumberFormat="1" applyFont="1" applyFill="1" applyBorder="1" applyProtection="1"/>
    <xf numFmtId="7" fontId="2" fillId="0" borderId="33" xfId="0" applyNumberFormat="1" applyFont="1" applyFill="1" applyBorder="1" applyProtection="1"/>
    <xf numFmtId="7" fontId="2" fillId="0" borderId="27" xfId="0" applyNumberFormat="1" applyFont="1" applyFill="1" applyBorder="1" applyProtection="1"/>
    <xf numFmtId="7" fontId="2" fillId="0" borderId="55" xfId="1" applyNumberFormat="1" applyFont="1" applyFill="1" applyBorder="1" applyProtection="1"/>
    <xf numFmtId="7" fontId="2" fillId="0" borderId="23" xfId="1" applyNumberFormat="1" applyFont="1" applyFill="1" applyBorder="1" applyProtection="1"/>
    <xf numFmtId="7" fontId="2" fillId="0" borderId="1" xfId="0" applyNumberFormat="1" applyFont="1" applyFill="1" applyBorder="1" applyProtection="1"/>
    <xf numFmtId="7" fontId="2" fillId="0" borderId="2" xfId="0" applyNumberFormat="1" applyFont="1" applyFill="1" applyBorder="1" applyProtection="1"/>
    <xf numFmtId="7" fontId="2" fillId="0" borderId="61" xfId="0" applyNumberFormat="1" applyFont="1" applyFill="1" applyBorder="1" applyProtection="1"/>
    <xf numFmtId="7" fontId="2" fillId="0" borderId="64" xfId="1" applyNumberFormat="1" applyFont="1" applyFill="1" applyBorder="1" applyProtection="1"/>
    <xf numFmtId="7" fontId="2" fillId="0" borderId="62" xfId="1" applyNumberFormat="1" applyFont="1" applyFill="1" applyBorder="1" applyProtection="1"/>
    <xf numFmtId="7" fontId="2" fillId="0" borderId="65" xfId="1" applyNumberFormat="1" applyFont="1" applyFill="1" applyBorder="1" applyProtection="1"/>
    <xf numFmtId="7" fontId="2" fillId="0" borderId="65" xfId="0" applyNumberFormat="1" applyFont="1" applyFill="1" applyBorder="1" applyProtection="1"/>
    <xf numFmtId="7" fontId="2" fillId="0" borderId="97" xfId="0" applyNumberFormat="1" applyFont="1" applyFill="1" applyBorder="1" applyProtection="1"/>
    <xf numFmtId="7" fontId="2" fillId="0" borderId="53" xfId="0" applyNumberFormat="1" applyFont="1" applyFill="1" applyBorder="1" applyAlignment="1" applyProtection="1">
      <alignment horizontal="right"/>
    </xf>
    <xf numFmtId="7" fontId="2" fillId="0" borderId="72" xfId="0" applyNumberFormat="1" applyFont="1" applyFill="1" applyBorder="1" applyProtection="1"/>
    <xf numFmtId="7" fontId="2" fillId="0" borderId="68" xfId="0" applyNumberFormat="1" applyFont="1" applyFill="1" applyBorder="1" applyProtection="1"/>
    <xf numFmtId="7" fontId="2" fillId="0" borderId="98" xfId="0" applyNumberFormat="1" applyFont="1" applyFill="1" applyBorder="1" applyProtection="1"/>
    <xf numFmtId="7" fontId="2" fillId="0" borderId="99" xfId="0" applyNumberFormat="1" applyFont="1" applyFill="1" applyBorder="1" applyProtection="1"/>
    <xf numFmtId="7" fontId="2" fillId="0" borderId="64" xfId="0" applyNumberFormat="1" applyFont="1" applyFill="1" applyBorder="1" applyProtection="1"/>
    <xf numFmtId="7" fontId="3" fillId="0" borderId="100" xfId="0" applyNumberFormat="1" applyFont="1" applyFill="1" applyBorder="1" applyProtection="1"/>
    <xf numFmtId="4" fontId="2" fillId="0" borderId="72" xfId="1" applyNumberFormat="1" applyFont="1" applyFill="1" applyBorder="1" applyProtection="1"/>
    <xf numFmtId="4" fontId="2" fillId="0" borderId="68" xfId="1" applyNumberFormat="1" applyFont="1" applyFill="1" applyBorder="1" applyProtection="1"/>
    <xf numFmtId="4" fontId="2" fillId="0" borderId="54" xfId="1" applyNumberFormat="1" applyFont="1" applyFill="1" applyBorder="1" applyProtection="1"/>
    <xf numFmtId="4" fontId="3" fillId="0" borderId="22" xfId="1" applyNumberFormat="1" applyFont="1" applyFill="1" applyBorder="1" applyProtection="1"/>
    <xf numFmtId="164" fontId="3" fillId="0" borderId="2" xfId="0" applyFont="1" applyFill="1" applyBorder="1" applyAlignment="1">
      <alignment horizontal="center" wrapText="1"/>
    </xf>
    <xf numFmtId="43" fontId="0" fillId="0" borderId="0" xfId="1" applyFont="1" applyFill="1"/>
    <xf numFmtId="164" fontId="18" fillId="0" borderId="0" xfId="0" applyFont="1"/>
    <xf numFmtId="164" fontId="19" fillId="0" borderId="0" xfId="0" applyFont="1"/>
    <xf numFmtId="164" fontId="20" fillId="0" borderId="0" xfId="0" applyFont="1"/>
    <xf numFmtId="164" fontId="20" fillId="0" borderId="0" xfId="0" applyFont="1" applyAlignment="1">
      <alignment horizontal="center"/>
    </xf>
    <xf numFmtId="164" fontId="18" fillId="0" borderId="0" xfId="0" applyFont="1" applyAlignment="1">
      <alignment horizontal="center"/>
    </xf>
    <xf numFmtId="168" fontId="18" fillId="0" borderId="0" xfId="0" applyNumberFormat="1" applyFont="1" applyAlignment="1">
      <alignment horizontal="center"/>
    </xf>
    <xf numFmtId="164" fontId="21" fillId="0" borderId="0" xfId="2" applyNumberFormat="1" applyFont="1" applyAlignment="1" applyProtection="1"/>
    <xf numFmtId="49" fontId="18" fillId="0" borderId="0" xfId="0" applyNumberFormat="1" applyFont="1"/>
    <xf numFmtId="164" fontId="22" fillId="0" borderId="0" xfId="0" applyFont="1"/>
    <xf numFmtId="49" fontId="20" fillId="0" borderId="0" xfId="0" applyNumberFormat="1" applyFont="1" applyAlignment="1">
      <alignment horizontal="center"/>
    </xf>
    <xf numFmtId="166" fontId="22" fillId="0" borderId="1" xfId="0" applyNumberFormat="1" applyFont="1" applyBorder="1" applyAlignment="1">
      <alignment horizontal="center"/>
    </xf>
    <xf numFmtId="164" fontId="23" fillId="0" borderId="0" xfId="0" applyFont="1" applyFill="1" applyAlignment="1">
      <alignment horizontal="center" wrapText="1"/>
    </xf>
    <xf numFmtId="164" fontId="24" fillId="0" borderId="0" xfId="0" applyFont="1" applyFill="1" applyAlignment="1">
      <alignment horizontal="center" wrapText="1"/>
    </xf>
    <xf numFmtId="164" fontId="16" fillId="0" borderId="0" xfId="0" applyFont="1" applyFill="1" applyAlignment="1">
      <alignment horizontal="center" wrapText="1"/>
    </xf>
    <xf numFmtId="9" fontId="16" fillId="0" borderId="0" xfId="0" applyNumberFormat="1" applyFont="1" applyFill="1" applyAlignment="1">
      <alignment horizontal="center"/>
    </xf>
    <xf numFmtId="3" fontId="15" fillId="2" borderId="0" xfId="0" applyNumberFormat="1" applyFont="1" applyFill="1" applyAlignment="1">
      <alignment horizontal="center"/>
    </xf>
    <xf numFmtId="164" fontId="16" fillId="0" borderId="0" xfId="0" applyFont="1" applyFill="1" applyAlignment="1">
      <alignment horizontal="center"/>
    </xf>
    <xf numFmtId="3" fontId="2" fillId="2" borderId="1"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xf>
    <xf numFmtId="5" fontId="2" fillId="0" borderId="102" xfId="0" applyNumberFormat="1" applyFont="1" applyFill="1" applyBorder="1" applyProtection="1"/>
    <xf numFmtId="43" fontId="25" fillId="0" borderId="0" xfId="1" applyFont="1" applyFill="1"/>
    <xf numFmtId="164" fontId="25" fillId="0" borderId="0" xfId="0" applyFont="1" applyFill="1"/>
    <xf numFmtId="168" fontId="3" fillId="0" borderId="69" xfId="0" applyNumberFormat="1" applyFont="1" applyFill="1" applyBorder="1" applyAlignment="1">
      <alignment horizontal="center"/>
    </xf>
    <xf numFmtId="168" fontId="3" fillId="0" borderId="0" xfId="0" quotePrefix="1" applyNumberFormat="1" applyFont="1" applyFill="1" applyBorder="1" applyAlignment="1" applyProtection="1">
      <alignment horizontal="center"/>
    </xf>
    <xf numFmtId="168" fontId="3" fillId="0" borderId="101" xfId="0" applyNumberFormat="1" applyFont="1" applyFill="1" applyBorder="1" applyAlignment="1">
      <alignment horizontal="center"/>
    </xf>
    <xf numFmtId="168" fontId="3" fillId="0" borderId="0" xfId="0" applyNumberFormat="1" applyFont="1" applyFill="1" applyBorder="1" applyAlignment="1">
      <alignment horizontal="center"/>
    </xf>
    <xf numFmtId="164" fontId="26" fillId="0" borderId="0" xfId="0" applyFont="1" applyFill="1"/>
    <xf numFmtId="164" fontId="0" fillId="0" borderId="1" xfId="0" applyFill="1" applyBorder="1"/>
    <xf numFmtId="164" fontId="6" fillId="0" borderId="1" xfId="0" applyFont="1" applyFill="1" applyBorder="1"/>
    <xf numFmtId="164" fontId="2" fillId="0" borderId="1" xfId="0" applyFont="1" applyFill="1" applyBorder="1" applyAlignment="1" applyProtection="1">
      <alignment vertical="center"/>
    </xf>
    <xf numFmtId="164" fontId="0" fillId="0" borderId="1" xfId="0" applyFill="1" applyBorder="1" applyAlignment="1">
      <alignment vertical="center"/>
    </xf>
    <xf numFmtId="169" fontId="0" fillId="0" borderId="1" xfId="1" applyNumberFormat="1" applyFont="1" applyFill="1" applyBorder="1"/>
    <xf numFmtId="164" fontId="29" fillId="0" borderId="0" xfId="0" applyFont="1" applyBorder="1" applyAlignment="1">
      <alignment horizontal="center" vertical="center" wrapText="1"/>
    </xf>
    <xf numFmtId="164" fontId="29" fillId="0" borderId="0" xfId="0" applyFont="1" applyBorder="1" applyAlignment="1">
      <alignment vertical="center" wrapText="1"/>
    </xf>
    <xf numFmtId="164" fontId="29" fillId="0" borderId="1" xfId="0" applyFont="1" applyBorder="1" applyAlignment="1">
      <alignment vertical="center" wrapText="1"/>
    </xf>
    <xf numFmtId="164" fontId="29" fillId="0" borderId="1" xfId="0" applyFont="1" applyBorder="1" applyAlignment="1">
      <alignment horizontal="center" vertical="center" wrapText="1"/>
    </xf>
    <xf numFmtId="164" fontId="0" fillId="0" borderId="1" xfId="0" applyFont="1" applyBorder="1" applyAlignment="1">
      <alignment vertical="top" wrapText="1"/>
    </xf>
    <xf numFmtId="164" fontId="29" fillId="0" borderId="4" xfId="0" applyFont="1" applyBorder="1" applyAlignment="1">
      <alignment horizontal="center" vertical="center" wrapText="1"/>
    </xf>
    <xf numFmtId="164" fontId="29" fillId="0" borderId="5" xfId="0" applyFont="1" applyBorder="1" applyAlignment="1">
      <alignment horizontal="center" vertical="center" wrapText="1"/>
    </xf>
    <xf numFmtId="164" fontId="29" fillId="0" borderId="114" xfId="0" applyFont="1" applyBorder="1" applyAlignment="1">
      <alignment vertical="center" wrapText="1"/>
    </xf>
    <xf numFmtId="164" fontId="29" fillId="0" borderId="115" xfId="0" applyFont="1" applyBorder="1" applyAlignment="1">
      <alignment horizontal="center" vertical="center" wrapText="1"/>
    </xf>
    <xf numFmtId="164" fontId="29" fillId="0" borderId="116" xfId="0" applyFont="1" applyBorder="1" applyAlignment="1">
      <alignment horizontal="center" vertical="center" wrapText="1"/>
    </xf>
    <xf numFmtId="164" fontId="3" fillId="0" borderId="1" xfId="0" applyFont="1" applyFill="1" applyBorder="1" applyAlignment="1" applyProtection="1">
      <alignment horizontal="center" vertical="center" wrapText="1"/>
    </xf>
    <xf numFmtId="164" fontId="30" fillId="0" borderId="1" xfId="0" applyFont="1" applyFill="1" applyBorder="1" applyAlignment="1">
      <alignment horizontal="center" wrapText="1"/>
    </xf>
    <xf numFmtId="166" fontId="31" fillId="0" borderId="1" xfId="0" applyNumberFormat="1" applyFont="1" applyFill="1" applyBorder="1" applyAlignment="1" applyProtection="1">
      <alignment vertical="center"/>
    </xf>
    <xf numFmtId="9" fontId="0" fillId="0" borderId="0" xfId="3" applyFont="1"/>
    <xf numFmtId="3" fontId="2" fillId="3" borderId="1" xfId="0" applyNumberFormat="1" applyFont="1" applyFill="1" applyBorder="1" applyAlignment="1" applyProtection="1">
      <alignment horizontal="center" vertical="center"/>
    </xf>
    <xf numFmtId="9" fontId="0" fillId="2" borderId="0" xfId="3" applyFont="1" applyFill="1"/>
    <xf numFmtId="170" fontId="0" fillId="0" borderId="0" xfId="3" applyNumberFormat="1" applyFont="1"/>
    <xf numFmtId="9" fontId="0" fillId="0" borderId="0" xfId="3" applyNumberFormat="1" applyFont="1"/>
    <xf numFmtId="164" fontId="6" fillId="0" borderId="0" xfId="0" applyFont="1" applyAlignment="1">
      <alignment horizontal="center"/>
    </xf>
    <xf numFmtId="164" fontId="6" fillId="0" borderId="0" xfId="0" applyFont="1" applyFill="1" applyAlignment="1">
      <alignment horizontal="center"/>
    </xf>
    <xf numFmtId="164" fontId="2" fillId="0" borderId="0" xfId="0" applyFont="1" applyFill="1" applyBorder="1" applyAlignment="1">
      <alignment horizontal="left" wrapText="1"/>
    </xf>
    <xf numFmtId="164" fontId="3" fillId="0" borderId="101" xfId="0" applyNumberFormat="1" applyFont="1" applyFill="1" applyBorder="1" applyAlignment="1" applyProtection="1">
      <alignment horizontal="center" wrapText="1"/>
    </xf>
    <xf numFmtId="164" fontId="3" fillId="0" borderId="46" xfId="0" applyNumberFormat="1" applyFont="1" applyFill="1" applyBorder="1" applyAlignment="1" applyProtection="1">
      <alignment horizontal="center" wrapText="1"/>
    </xf>
    <xf numFmtId="164" fontId="3" fillId="0" borderId="0" xfId="0" applyNumberFormat="1" applyFont="1" applyFill="1" applyBorder="1" applyAlignment="1" applyProtection="1">
      <alignment horizontal="left" wrapText="1"/>
    </xf>
    <xf numFmtId="164" fontId="0" fillId="0" borderId="0" xfId="0" applyFont="1" applyFill="1" applyAlignment="1">
      <alignment wrapText="1"/>
    </xf>
    <xf numFmtId="164" fontId="3" fillId="0" borderId="2" xfId="0" applyNumberFormat="1" applyFont="1" applyFill="1" applyBorder="1" applyAlignment="1" applyProtection="1">
      <alignment horizontal="center" wrapText="1"/>
    </xf>
    <xf numFmtId="164" fontId="3" fillId="0" borderId="97" xfId="0" applyNumberFormat="1" applyFont="1" applyFill="1" applyBorder="1" applyAlignment="1" applyProtection="1">
      <alignment horizontal="center" wrapText="1"/>
    </xf>
    <xf numFmtId="164" fontId="3" fillId="0" borderId="103" xfId="0" applyNumberFormat="1" applyFont="1" applyFill="1" applyBorder="1" applyAlignment="1" applyProtection="1">
      <alignment horizontal="center" wrapText="1"/>
    </xf>
    <xf numFmtId="164" fontId="3" fillId="0" borderId="60" xfId="0" applyNumberFormat="1" applyFont="1" applyFill="1" applyBorder="1" applyAlignment="1" applyProtection="1">
      <alignment horizontal="center" wrapText="1"/>
    </xf>
    <xf numFmtId="164" fontId="3" fillId="0" borderId="104" xfId="0" applyNumberFormat="1" applyFont="1" applyFill="1" applyBorder="1" applyAlignment="1" applyProtection="1">
      <alignment horizontal="center" wrapText="1"/>
    </xf>
    <xf numFmtId="164" fontId="3" fillId="0" borderId="105" xfId="0" applyNumberFormat="1" applyFont="1" applyFill="1" applyBorder="1" applyAlignment="1" applyProtection="1">
      <alignment horizontal="center" wrapText="1"/>
    </xf>
    <xf numFmtId="164" fontId="3" fillId="0" borderId="6" xfId="0" applyNumberFormat="1" applyFont="1" applyFill="1" applyBorder="1" applyAlignment="1" applyProtection="1">
      <alignment horizontal="center"/>
    </xf>
    <xf numFmtId="164" fontId="3" fillId="0" borderId="7" xfId="0" applyNumberFormat="1" applyFont="1" applyFill="1" applyBorder="1" applyAlignment="1" applyProtection="1">
      <alignment horizontal="center"/>
    </xf>
    <xf numFmtId="164" fontId="3" fillId="0" borderId="86" xfId="0" applyNumberFormat="1" applyFont="1" applyFill="1" applyBorder="1" applyAlignment="1" applyProtection="1">
      <alignment horizontal="center"/>
    </xf>
    <xf numFmtId="164" fontId="3" fillId="0" borderId="65" xfId="0" applyNumberFormat="1" applyFont="1" applyFill="1" applyBorder="1" applyAlignment="1" applyProtection="1">
      <alignment horizontal="center" wrapText="1"/>
    </xf>
    <xf numFmtId="164" fontId="2" fillId="0" borderId="0" xfId="0" applyFont="1" applyFill="1" applyAlignment="1">
      <alignment horizontal="left" wrapText="1"/>
    </xf>
    <xf numFmtId="164" fontId="3" fillId="0" borderId="95" xfId="0" applyNumberFormat="1" applyFont="1" applyFill="1" applyBorder="1" applyAlignment="1" applyProtection="1">
      <alignment horizontal="center" wrapText="1"/>
    </xf>
    <xf numFmtId="165" fontId="3" fillId="0" borderId="12" xfId="0" applyNumberFormat="1" applyFont="1" applyFill="1" applyBorder="1" applyAlignment="1" applyProtection="1">
      <alignment horizontal="left" wrapText="1"/>
    </xf>
    <xf numFmtId="165" fontId="3" fillId="0" borderId="109" xfId="0" applyNumberFormat="1" applyFont="1" applyFill="1" applyBorder="1" applyAlignment="1" applyProtection="1">
      <alignment horizontal="left" wrapText="1"/>
    </xf>
    <xf numFmtId="165" fontId="3" fillId="0" borderId="110" xfId="0" applyNumberFormat="1" applyFont="1" applyFill="1" applyBorder="1" applyAlignment="1" applyProtection="1">
      <alignment horizontal="left" wrapText="1"/>
    </xf>
    <xf numFmtId="164" fontId="3" fillId="0" borderId="12" xfId="0" applyFont="1" applyFill="1" applyBorder="1" applyAlignment="1" applyProtection="1">
      <alignment horizontal="left" wrapText="1"/>
    </xf>
    <xf numFmtId="164" fontId="3" fillId="0" borderId="109" xfId="0" applyFont="1" applyFill="1" applyBorder="1" applyAlignment="1" applyProtection="1">
      <alignment horizontal="left" wrapText="1"/>
    </xf>
    <xf numFmtId="164" fontId="3" fillId="0" borderId="110" xfId="0" applyFont="1" applyFill="1" applyBorder="1" applyAlignment="1" applyProtection="1">
      <alignment horizontal="left" wrapText="1"/>
    </xf>
    <xf numFmtId="164" fontId="3" fillId="0" borderId="85" xfId="0" applyNumberFormat="1" applyFont="1" applyFill="1" applyBorder="1" applyAlignment="1" applyProtection="1">
      <alignment horizontal="center"/>
    </xf>
    <xf numFmtId="164" fontId="3" fillId="0" borderId="13" xfId="0" applyNumberFormat="1" applyFont="1" applyFill="1" applyBorder="1" applyAlignment="1" applyProtection="1">
      <alignment horizontal="center"/>
    </xf>
    <xf numFmtId="165" fontId="3" fillId="0" borderId="106" xfId="0" applyNumberFormat="1" applyFont="1" applyFill="1" applyBorder="1" applyAlignment="1" applyProtection="1">
      <alignment horizontal="left" wrapText="1"/>
    </xf>
    <xf numFmtId="165" fontId="3" fillId="0" borderId="107" xfId="0" applyNumberFormat="1" applyFont="1" applyFill="1" applyBorder="1" applyAlignment="1" applyProtection="1">
      <alignment horizontal="left" wrapText="1"/>
    </xf>
    <xf numFmtId="165" fontId="3" fillId="0" borderId="108" xfId="0" applyNumberFormat="1" applyFont="1" applyFill="1" applyBorder="1" applyAlignment="1" applyProtection="1">
      <alignment horizontal="left" wrapText="1"/>
    </xf>
    <xf numFmtId="164" fontId="29" fillId="0" borderId="2" xfId="0" applyFont="1" applyBorder="1" applyAlignment="1">
      <alignment horizontal="center" vertical="center" wrapText="1"/>
    </xf>
    <xf numFmtId="164" fontId="29" fillId="0" borderId="65" xfId="0" applyFont="1" applyBorder="1" applyAlignment="1">
      <alignment horizontal="center" vertical="center" wrapText="1"/>
    </xf>
    <xf numFmtId="164" fontId="29" fillId="0" borderId="60" xfId="0" applyFont="1" applyBorder="1" applyAlignment="1">
      <alignment horizontal="center" vertical="center" wrapText="1"/>
    </xf>
    <xf numFmtId="164" fontId="29" fillId="0" borderId="8" xfId="0" applyFont="1" applyBorder="1" applyAlignment="1">
      <alignment horizontal="center" vertical="center" wrapText="1"/>
    </xf>
    <xf numFmtId="164" fontId="0" fillId="0" borderId="2" xfId="0" applyFill="1" applyBorder="1" applyAlignment="1">
      <alignment horizontal="center" vertical="center"/>
    </xf>
    <xf numFmtId="164" fontId="0" fillId="0" borderId="65" xfId="0" applyFill="1" applyBorder="1" applyAlignment="1">
      <alignment horizontal="center" vertical="center"/>
    </xf>
    <xf numFmtId="164" fontId="29" fillId="0" borderId="4" xfId="0" applyFont="1" applyBorder="1" applyAlignment="1">
      <alignment horizontal="center" vertical="center" wrapText="1"/>
    </xf>
    <xf numFmtId="164" fontId="3" fillId="0" borderId="19" xfId="0" applyFont="1" applyFill="1" applyBorder="1" applyAlignment="1">
      <alignment horizontal="center" vertical="center"/>
    </xf>
    <xf numFmtId="164" fontId="3" fillId="0" borderId="17" xfId="0" applyFont="1" applyFill="1" applyBorder="1" applyAlignment="1">
      <alignment horizontal="center" vertical="center"/>
    </xf>
    <xf numFmtId="164" fontId="3" fillId="0" borderId="111" xfId="0" applyFont="1" applyFill="1" applyBorder="1" applyAlignment="1">
      <alignment horizontal="center"/>
    </xf>
    <xf numFmtId="164" fontId="3" fillId="0" borderId="112" xfId="0" applyFont="1" applyFill="1" applyBorder="1" applyAlignment="1">
      <alignment horizontal="center"/>
    </xf>
    <xf numFmtId="164" fontId="2" fillId="0" borderId="1" xfId="0" applyFont="1" applyFill="1" applyBorder="1" applyAlignment="1" applyProtection="1">
      <alignment horizontal="center" vertical="center" wrapText="1"/>
    </xf>
    <xf numFmtId="164" fontId="2" fillId="0" borderId="6" xfId="0" applyFont="1" applyFill="1" applyBorder="1" applyAlignment="1" applyProtection="1">
      <alignment horizontal="left" vertical="center"/>
    </xf>
    <xf numFmtId="164" fontId="2" fillId="0" borderId="7" xfId="0" applyFont="1" applyFill="1" applyBorder="1" applyAlignment="1" applyProtection="1">
      <alignment horizontal="left" vertical="center"/>
    </xf>
    <xf numFmtId="164" fontId="2" fillId="0" borderId="13" xfId="0" applyFont="1" applyFill="1" applyBorder="1" applyAlignment="1" applyProtection="1">
      <alignment horizontal="left" vertical="center"/>
    </xf>
    <xf numFmtId="164" fontId="0" fillId="0" borderId="7" xfId="0" applyFill="1" applyBorder="1" applyAlignment="1">
      <alignment vertical="center"/>
    </xf>
    <xf numFmtId="164" fontId="0" fillId="0" borderId="13" xfId="0" applyFill="1" applyBorder="1" applyAlignment="1">
      <alignment vertical="center"/>
    </xf>
    <xf numFmtId="164" fontId="3" fillId="0" borderId="1" xfId="0" applyFont="1" applyFill="1" applyBorder="1" applyAlignment="1" applyProtection="1">
      <alignment horizontal="left" vertical="center"/>
    </xf>
    <xf numFmtId="164" fontId="2" fillId="0" borderId="1" xfId="0" applyFont="1" applyFill="1" applyBorder="1"/>
    <xf numFmtId="164" fontId="3" fillId="0" borderId="1" xfId="0" applyFont="1" applyFill="1" applyBorder="1" applyAlignment="1" applyProtection="1">
      <alignment horizontal="center" vertical="center" wrapText="1"/>
    </xf>
    <xf numFmtId="0" fontId="0" fillId="0" borderId="0" xfId="0" applyNumberFormat="1" applyFont="1" applyFill="1" applyAlignment="1">
      <alignment horizontal="left" wrapText="1"/>
    </xf>
    <xf numFmtId="164" fontId="9" fillId="0" borderId="6" xfId="0" applyNumberFormat="1" applyFont="1" applyFill="1" applyBorder="1" applyAlignment="1" applyProtection="1">
      <alignment horizontal="left" vertical="center" wrapText="1"/>
    </xf>
    <xf numFmtId="164" fontId="9" fillId="0" borderId="7" xfId="0" applyNumberFormat="1" applyFont="1" applyFill="1" applyBorder="1" applyAlignment="1" applyProtection="1">
      <alignment horizontal="left" vertical="center" wrapText="1"/>
    </xf>
    <xf numFmtId="164" fontId="9" fillId="0" borderId="6" xfId="0" applyFont="1" applyFill="1" applyBorder="1" applyAlignment="1" applyProtection="1">
      <alignment horizontal="left" vertical="center"/>
    </xf>
    <xf numFmtId="164" fontId="6" fillId="0" borderId="7" xfId="0" applyFont="1" applyFill="1" applyBorder="1" applyAlignment="1"/>
    <xf numFmtId="164" fontId="6" fillId="0" borderId="13" xfId="0" applyFont="1" applyFill="1" applyBorder="1" applyAlignment="1"/>
    <xf numFmtId="164" fontId="3" fillId="0" borderId="17" xfId="0" applyFont="1" applyFill="1" applyBorder="1" applyAlignment="1" applyProtection="1">
      <alignment horizontal="center" vertical="center"/>
    </xf>
    <xf numFmtId="164" fontId="3" fillId="0" borderId="18" xfId="0" applyFont="1" applyFill="1" applyBorder="1" applyAlignment="1" applyProtection="1">
      <alignment horizontal="center" vertical="center"/>
    </xf>
    <xf numFmtId="164" fontId="3" fillId="0" borderId="18" xfId="0" applyFont="1" applyFill="1" applyBorder="1" applyAlignment="1">
      <alignment horizontal="center" vertical="center"/>
    </xf>
    <xf numFmtId="164" fontId="0" fillId="0" borderId="24" xfId="0" applyFill="1" applyBorder="1" applyAlignment="1">
      <alignment horizontal="center"/>
    </xf>
    <xf numFmtId="164" fontId="27" fillId="0" borderId="111" xfId="0" applyFont="1" applyBorder="1" applyAlignment="1">
      <alignment vertical="center" wrapText="1"/>
    </xf>
    <xf numFmtId="164" fontId="27" fillId="0" borderId="113" xfId="0" applyFont="1" applyBorder="1" applyAlignment="1">
      <alignment vertical="center" wrapText="1"/>
    </xf>
    <xf numFmtId="164" fontId="27" fillId="0" borderId="112" xfId="0" applyFont="1" applyBorder="1" applyAlignment="1">
      <alignment vertical="center" wrapText="1"/>
    </xf>
    <xf numFmtId="164" fontId="29" fillId="0" borderId="0" xfId="0" applyFont="1" applyBorder="1" applyAlignment="1">
      <alignment vertical="center" wrapText="1"/>
    </xf>
    <xf numFmtId="164" fontId="0" fillId="0" borderId="0" xfId="0" applyFill="1" applyAlignment="1">
      <alignment horizontal="left" wrapText="1"/>
    </xf>
    <xf numFmtId="164" fontId="9" fillId="0" borderId="1" xfId="0" applyNumberFormat="1" applyFont="1" applyFill="1" applyBorder="1" applyAlignment="1" applyProtection="1">
      <alignment horizontal="left" vertical="center" wrapText="1"/>
    </xf>
    <xf numFmtId="164" fontId="9" fillId="0" borderId="7" xfId="0" applyFont="1" applyFill="1" applyBorder="1" applyAlignment="1" applyProtection="1">
      <alignment horizontal="left" vertical="center"/>
    </xf>
    <xf numFmtId="164" fontId="9" fillId="0" borderId="13" xfId="0" applyFont="1" applyFill="1" applyBorder="1" applyAlignment="1" applyProtection="1">
      <alignment horizontal="left" vertical="center"/>
    </xf>
    <xf numFmtId="164" fontId="2" fillId="0" borderId="1" xfId="0" applyFont="1" applyFill="1" applyBorder="1" applyAlignment="1" applyProtection="1">
      <alignment horizontal="left" vertical="center"/>
    </xf>
    <xf numFmtId="164" fontId="3" fillId="0" borderId="6" xfId="0" applyFont="1" applyFill="1" applyBorder="1" applyAlignment="1" applyProtection="1">
      <alignment horizontal="left" vertical="center"/>
    </xf>
    <xf numFmtId="164" fontId="3" fillId="0" borderId="7" xfId="0" applyFont="1" applyFill="1" applyBorder="1" applyAlignment="1" applyProtection="1">
      <alignment horizontal="left" vertical="center"/>
    </xf>
    <xf numFmtId="164" fontId="3" fillId="0" borderId="13" xfId="0" applyFont="1" applyFill="1" applyBorder="1" applyAlignment="1" applyProtection="1">
      <alignment horizontal="left" vertical="center"/>
    </xf>
    <xf numFmtId="164" fontId="29" fillId="0" borderId="4" xfId="0" applyFont="1" applyBorder="1" applyAlignment="1">
      <alignment horizontal="center" wrapText="1"/>
    </xf>
    <xf numFmtId="164" fontId="28" fillId="0" borderId="117" xfId="0" applyFont="1" applyBorder="1" applyAlignment="1">
      <alignment horizontal="center" vertical="center" wrapText="1"/>
    </xf>
    <xf numFmtId="164" fontId="28" fillId="0" borderId="39" xfId="0" applyFont="1" applyBorder="1" applyAlignment="1">
      <alignment horizontal="center" vertical="center" wrapText="1"/>
    </xf>
    <xf numFmtId="164" fontId="28" fillId="0" borderId="118" xfId="0" applyFont="1" applyBorder="1" applyAlignment="1">
      <alignment horizontal="center" vertical="center" wrapText="1"/>
    </xf>
    <xf numFmtId="164" fontId="28" fillId="0" borderId="119" xfId="0" applyFont="1" applyBorder="1" applyAlignment="1">
      <alignment horizontal="center" vertical="center" wrapText="1"/>
    </xf>
    <xf numFmtId="164" fontId="28" fillId="0" borderId="24" xfId="0" applyFont="1" applyBorder="1" applyAlignment="1">
      <alignment horizontal="center" vertical="center" wrapText="1"/>
    </xf>
    <xf numFmtId="164" fontId="28" fillId="0" borderId="45" xfId="0" applyFont="1" applyBorder="1" applyAlignment="1">
      <alignment horizontal="center" vertical="center" wrapText="1"/>
    </xf>
    <xf numFmtId="164" fontId="3" fillId="0" borderId="9" xfId="0" applyFont="1" applyFill="1" applyBorder="1" applyAlignment="1">
      <alignment horizontal="center"/>
    </xf>
    <xf numFmtId="164" fontId="3" fillId="0" borderId="3" xfId="0" applyFont="1" applyFill="1" applyBorder="1" applyAlignment="1">
      <alignment horizontal="center"/>
    </xf>
    <xf numFmtId="164" fontId="3" fillId="0" borderId="24" xfId="0" applyFont="1" applyFill="1" applyBorder="1" applyAlignment="1">
      <alignment horizontal="center"/>
    </xf>
  </cellXfs>
  <cellStyles count="4">
    <cellStyle name="Comma" xfId="1" builtinId="3"/>
    <cellStyle name="Hyperlink" xfId="2" builtinId="8"/>
    <cellStyle name="Normal" xfId="0" builtinId="0"/>
    <cellStyle name="Percent" xfId="3" builtinId="5"/>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LMOP\Tracking\ICRRenewal-2015\BurdenTables\FINAL\INTERNAL_LMOP_ICR_Burden_Tables_Dec2015_Final-a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nerCounts"/>
      <sheetName val="Existing State"/>
      <sheetName val="New State"/>
      <sheetName val="Existing Endorser"/>
      <sheetName val="New Endorser"/>
      <sheetName val="Existing Ind Non-Dev"/>
      <sheetName val="New Ind Non-Dev"/>
      <sheetName val="Existing Comm"/>
      <sheetName val="New Comm"/>
      <sheetName val="Existing Energy &amp; Dev"/>
      <sheetName val="New Energy &amp; Dev"/>
      <sheetName val="Agency-1"/>
      <sheetName val="Agency-2"/>
      <sheetName val="Agency-3"/>
      <sheetName val="LaborRates"/>
      <sheetName val="totals &amp; avgs"/>
      <sheetName val="For 2nd FR Notice"/>
      <sheetName val="For Small Entity"/>
      <sheetName val="Module1"/>
    </sheetNames>
    <sheetDataSet>
      <sheetData sheetId="0">
        <row r="2">
          <cell r="C2">
            <v>1</v>
          </cell>
          <cell r="F2">
            <v>41</v>
          </cell>
        </row>
        <row r="3">
          <cell r="C3">
            <v>1</v>
          </cell>
          <cell r="F3">
            <v>39</v>
          </cell>
        </row>
        <row r="4">
          <cell r="C4">
            <v>2</v>
          </cell>
          <cell r="F4">
            <v>113</v>
          </cell>
        </row>
        <row r="5">
          <cell r="C5">
            <v>16</v>
          </cell>
          <cell r="F5">
            <v>731</v>
          </cell>
        </row>
        <row r="6">
          <cell r="C6">
            <v>2</v>
          </cell>
          <cell r="F6">
            <v>66</v>
          </cell>
        </row>
        <row r="7">
          <cell r="C7">
            <v>3</v>
          </cell>
          <cell r="F7">
            <v>145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bls.gov/oes/current/naics3_541000.htm" TargetMode="External"/><Relationship Id="rId2" Type="http://schemas.openxmlformats.org/officeDocument/2006/relationships/hyperlink" Target="http://www.bls.gov/oes/current/naics4_813900.htm" TargetMode="External"/><Relationship Id="rId1" Type="http://schemas.openxmlformats.org/officeDocument/2006/relationships/hyperlink" Target="https://www.opm.gov/policy-data-oversight/pay-leave/salaries-wages/salary-tables/pdf/2015/GS_h.pdf" TargetMode="External"/><Relationship Id="rId6" Type="http://schemas.openxmlformats.org/officeDocument/2006/relationships/printerSettings" Target="../printerSettings/printerSettings14.bin"/><Relationship Id="rId5" Type="http://schemas.openxmlformats.org/officeDocument/2006/relationships/hyperlink" Target="http://www.bls.gov/news.release/eci.t02.htm" TargetMode="External"/><Relationship Id="rId4" Type="http://schemas.openxmlformats.org/officeDocument/2006/relationships/hyperlink" Target="http://www.bls.gov/news.release/eci.t02.htm"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K12" sqref="K12"/>
    </sheetView>
  </sheetViews>
  <sheetFormatPr defaultColWidth="9.33203125" defaultRowHeight="15" x14ac:dyDescent="0.25"/>
  <cols>
    <col min="1" max="1" width="28.1640625" style="240" bestFit="1" customWidth="1"/>
    <col min="2" max="2" width="26.33203125" style="240" customWidth="1"/>
    <col min="3" max="3" width="20.83203125" style="240" customWidth="1"/>
    <col min="4" max="4" width="24.83203125" style="240" customWidth="1"/>
    <col min="5" max="16384" width="9.33203125" style="240"/>
  </cols>
  <sheetData>
    <row r="1" spans="1:8" s="328" customFormat="1" ht="49.9" customHeight="1" x14ac:dyDescent="0.25">
      <c r="A1" s="326" t="s">
        <v>167</v>
      </c>
      <c r="B1" s="327" t="s">
        <v>168</v>
      </c>
      <c r="C1" s="327" t="s">
        <v>82</v>
      </c>
      <c r="D1" s="326" t="s">
        <v>169</v>
      </c>
      <c r="E1" s="327">
        <v>2016</v>
      </c>
      <c r="F1" s="327">
        <v>2017</v>
      </c>
      <c r="G1" s="327">
        <v>2018</v>
      </c>
      <c r="H1" s="326" t="s">
        <v>171</v>
      </c>
    </row>
    <row r="2" spans="1:8" x14ac:dyDescent="0.25">
      <c r="A2" s="240" t="s">
        <v>30</v>
      </c>
      <c r="B2" s="28">
        <v>39</v>
      </c>
      <c r="C2" s="28">
        <v>1</v>
      </c>
      <c r="D2" s="28">
        <v>0</v>
      </c>
      <c r="E2" s="28">
        <f t="shared" ref="E2:E7" si="0">B2+C2-D2</f>
        <v>40</v>
      </c>
      <c r="F2" s="28">
        <f t="shared" ref="F2:F7" si="1">E2+C2-D2</f>
        <v>41</v>
      </c>
      <c r="G2" s="28">
        <f t="shared" ref="G2:G7" si="2">F2+C2-D2</f>
        <v>42</v>
      </c>
      <c r="H2" s="331">
        <f t="shared" ref="H2:H7" si="3">AVERAGE(E2:G2)</f>
        <v>41</v>
      </c>
    </row>
    <row r="3" spans="1:8" x14ac:dyDescent="0.25">
      <c r="A3" s="240" t="s">
        <v>8</v>
      </c>
      <c r="B3" s="28">
        <v>39</v>
      </c>
      <c r="C3" s="28">
        <v>1</v>
      </c>
      <c r="D3" s="28">
        <v>1</v>
      </c>
      <c r="E3" s="28">
        <f t="shared" si="0"/>
        <v>39</v>
      </c>
      <c r="F3" s="28">
        <f t="shared" si="1"/>
        <v>39</v>
      </c>
      <c r="G3" s="28">
        <f t="shared" si="2"/>
        <v>39</v>
      </c>
      <c r="H3" s="331">
        <f t="shared" si="3"/>
        <v>39</v>
      </c>
    </row>
    <row r="4" spans="1:8" x14ac:dyDescent="0.25">
      <c r="A4" s="240" t="s">
        <v>79</v>
      </c>
      <c r="B4" s="28">
        <v>111</v>
      </c>
      <c r="C4" s="28">
        <v>2</v>
      </c>
      <c r="D4" s="28">
        <v>1</v>
      </c>
      <c r="E4" s="28">
        <f t="shared" si="0"/>
        <v>112</v>
      </c>
      <c r="F4" s="28">
        <f t="shared" si="1"/>
        <v>113</v>
      </c>
      <c r="G4" s="28">
        <f t="shared" si="2"/>
        <v>114</v>
      </c>
      <c r="H4" s="331">
        <f t="shared" si="3"/>
        <v>113</v>
      </c>
    </row>
    <row r="5" spans="1:8" x14ac:dyDescent="0.25">
      <c r="A5" s="240" t="s">
        <v>81</v>
      </c>
      <c r="B5" s="28">
        <v>711</v>
      </c>
      <c r="C5" s="28">
        <v>16</v>
      </c>
      <c r="D5" s="28">
        <v>6</v>
      </c>
      <c r="E5" s="28">
        <f t="shared" si="0"/>
        <v>721</v>
      </c>
      <c r="F5" s="28">
        <f t="shared" si="1"/>
        <v>731</v>
      </c>
      <c r="G5" s="28">
        <f t="shared" si="2"/>
        <v>741</v>
      </c>
      <c r="H5" s="331">
        <f t="shared" si="3"/>
        <v>731</v>
      </c>
    </row>
    <row r="6" spans="1:8" x14ac:dyDescent="0.25">
      <c r="A6" s="240" t="s">
        <v>80</v>
      </c>
      <c r="B6" s="28">
        <v>64</v>
      </c>
      <c r="C6" s="28">
        <v>2</v>
      </c>
      <c r="D6" s="28">
        <v>1</v>
      </c>
      <c r="E6" s="28">
        <f t="shared" si="0"/>
        <v>65</v>
      </c>
      <c r="F6" s="28">
        <f t="shared" si="1"/>
        <v>66</v>
      </c>
      <c r="G6" s="28">
        <f t="shared" si="2"/>
        <v>67</v>
      </c>
      <c r="H6" s="331">
        <f t="shared" si="3"/>
        <v>66</v>
      </c>
    </row>
    <row r="7" spans="1:8" x14ac:dyDescent="0.25">
      <c r="A7" s="240" t="s">
        <v>29</v>
      </c>
      <c r="B7" s="28">
        <v>141</v>
      </c>
      <c r="C7" s="28">
        <v>3</v>
      </c>
      <c r="D7" s="28">
        <v>1</v>
      </c>
      <c r="E7" s="28">
        <f t="shared" si="0"/>
        <v>143</v>
      </c>
      <c r="F7" s="28">
        <f t="shared" si="1"/>
        <v>145</v>
      </c>
      <c r="G7" s="28">
        <f t="shared" si="2"/>
        <v>147</v>
      </c>
      <c r="H7" s="331">
        <f t="shared" si="3"/>
        <v>145</v>
      </c>
    </row>
    <row r="8" spans="1:8" x14ac:dyDescent="0.25">
      <c r="B8" s="28">
        <f t="shared" ref="B8:G8" si="4">SUM(B2:B7)</f>
        <v>1105</v>
      </c>
      <c r="C8" s="28">
        <f t="shared" si="4"/>
        <v>25</v>
      </c>
      <c r="D8" s="28">
        <f t="shared" si="4"/>
        <v>10</v>
      </c>
      <c r="E8" s="330">
        <f t="shared" si="4"/>
        <v>1120</v>
      </c>
      <c r="F8" s="330">
        <f t="shared" si="4"/>
        <v>1135</v>
      </c>
      <c r="G8" s="330">
        <f t="shared" si="4"/>
        <v>1150</v>
      </c>
    </row>
    <row r="10" spans="1:8" s="328" customFormat="1" ht="49.9" customHeight="1" x14ac:dyDescent="0.25">
      <c r="A10" s="240"/>
      <c r="B10" s="329">
        <f>B2/B8</f>
        <v>3.5294117647058823E-2</v>
      </c>
      <c r="C10" s="240">
        <f t="shared" ref="C10:C15" si="5">B10*25</f>
        <v>0.88235294117647056</v>
      </c>
      <c r="D10" s="240">
        <f t="shared" ref="D10:D15" si="6">B10*10</f>
        <v>0.3529411764705882</v>
      </c>
      <c r="E10" s="240"/>
      <c r="F10" s="240"/>
      <c r="G10" s="240"/>
    </row>
    <row r="11" spans="1:8" x14ac:dyDescent="0.25">
      <c r="B11" s="329">
        <f>B3/B8</f>
        <v>3.5294117647058823E-2</v>
      </c>
      <c r="C11" s="240">
        <f t="shared" si="5"/>
        <v>0.88235294117647056</v>
      </c>
      <c r="D11" s="240">
        <f t="shared" si="6"/>
        <v>0.3529411764705882</v>
      </c>
    </row>
    <row r="12" spans="1:8" x14ac:dyDescent="0.25">
      <c r="B12" s="329">
        <f>B4/B8</f>
        <v>0.10045248868778281</v>
      </c>
      <c r="C12" s="240">
        <f t="shared" si="5"/>
        <v>2.5113122171945701</v>
      </c>
      <c r="D12" s="240">
        <f t="shared" si="6"/>
        <v>1.004524886877828</v>
      </c>
    </row>
    <row r="13" spans="1:8" x14ac:dyDescent="0.25">
      <c r="B13" s="329">
        <f>B5/B8</f>
        <v>0.64343891402714937</v>
      </c>
      <c r="C13" s="240">
        <f t="shared" si="5"/>
        <v>16.085972850678733</v>
      </c>
      <c r="D13" s="240">
        <f t="shared" si="6"/>
        <v>6.4343891402714934</v>
      </c>
    </row>
    <row r="14" spans="1:8" x14ac:dyDescent="0.25">
      <c r="B14" s="329">
        <f>B6/B8</f>
        <v>5.7918552036199097E-2</v>
      </c>
      <c r="C14" s="240">
        <f t="shared" si="5"/>
        <v>1.4479638009049773</v>
      </c>
      <c r="D14" s="240">
        <f t="shared" si="6"/>
        <v>0.579185520361991</v>
      </c>
    </row>
    <row r="15" spans="1:8" x14ac:dyDescent="0.25">
      <c r="B15" s="329">
        <f>B7/B8</f>
        <v>0.12760180995475112</v>
      </c>
      <c r="C15" s="240">
        <f t="shared" si="5"/>
        <v>3.190045248868778</v>
      </c>
      <c r="D15" s="240">
        <f t="shared" si="6"/>
        <v>1.2760180995475112</v>
      </c>
    </row>
    <row r="16" spans="1:8" x14ac:dyDescent="0.25">
      <c r="B16" s="32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workbookViewId="0"/>
  </sheetViews>
  <sheetFormatPr defaultColWidth="9.33203125" defaultRowHeight="10.5" x14ac:dyDescent="0.15"/>
  <cols>
    <col min="1" max="1" width="32.83203125" style="24" customWidth="1"/>
    <col min="2" max="5" width="9.6640625" style="9" customWidth="1"/>
    <col min="6" max="6" width="9.33203125" style="9"/>
    <col min="7" max="7" width="11.33203125" style="9" customWidth="1"/>
    <col min="8" max="8" width="12.33203125" style="9" customWidth="1"/>
    <col min="9" max="9" width="13.6640625" style="9" customWidth="1"/>
    <col min="10" max="10" width="11.6640625" style="263" customWidth="1"/>
    <col min="11" max="11" width="14.83203125" style="9" customWidth="1"/>
    <col min="12" max="16384" width="9.33203125" style="9"/>
  </cols>
  <sheetData>
    <row r="1" spans="1:11" ht="12.75" x14ac:dyDescent="0.2">
      <c r="A1" s="30" t="s">
        <v>19</v>
      </c>
      <c r="B1" s="31"/>
      <c r="C1" s="31"/>
      <c r="D1" s="31"/>
      <c r="E1" s="31"/>
      <c r="F1" s="32"/>
      <c r="G1" s="33"/>
      <c r="H1" s="1"/>
      <c r="I1" s="34"/>
      <c r="J1" s="34"/>
      <c r="K1" s="1"/>
    </row>
    <row r="2" spans="1:11" ht="12.75" x14ac:dyDescent="0.2">
      <c r="A2" s="370" t="s">
        <v>84</v>
      </c>
      <c r="B2" s="370"/>
      <c r="C2" s="370"/>
      <c r="D2" s="370"/>
      <c r="E2" s="370"/>
      <c r="F2" s="370"/>
      <c r="G2" s="370"/>
      <c r="H2" s="370"/>
      <c r="I2" s="370"/>
      <c r="J2" s="370"/>
      <c r="K2" s="1"/>
    </row>
    <row r="3" spans="1:11" ht="12.75" x14ac:dyDescent="0.2">
      <c r="A3" s="30"/>
      <c r="B3" s="30"/>
      <c r="C3" s="30"/>
      <c r="D3" s="30"/>
      <c r="E3" s="30"/>
      <c r="F3" s="30"/>
      <c r="G3" s="30"/>
      <c r="H3" s="30"/>
      <c r="I3" s="30"/>
      <c r="J3" s="259"/>
      <c r="K3" s="1"/>
    </row>
    <row r="4" spans="1:11" ht="15.75" x14ac:dyDescent="0.2">
      <c r="A4" s="372" t="s">
        <v>47</v>
      </c>
      <c r="B4" s="378" t="s">
        <v>65</v>
      </c>
      <c r="C4" s="379"/>
      <c r="D4" s="379"/>
      <c r="E4" s="379"/>
      <c r="F4" s="379"/>
      <c r="G4" s="379"/>
      <c r="H4" s="380"/>
      <c r="I4" s="35" t="s">
        <v>37</v>
      </c>
      <c r="J4" s="38"/>
      <c r="K4" s="118"/>
    </row>
    <row r="5" spans="1:11" ht="12.75" x14ac:dyDescent="0.2">
      <c r="A5" s="373"/>
      <c r="B5" s="103" t="s">
        <v>36</v>
      </c>
      <c r="C5" s="40" t="s">
        <v>38</v>
      </c>
      <c r="D5" s="40" t="s">
        <v>39</v>
      </c>
      <c r="E5" s="40" t="s">
        <v>40</v>
      </c>
      <c r="F5" s="40" t="s">
        <v>41</v>
      </c>
      <c r="G5" s="41" t="s">
        <v>42</v>
      </c>
      <c r="H5" s="104"/>
      <c r="I5" s="40" t="s">
        <v>60</v>
      </c>
      <c r="J5" s="42" t="s">
        <v>43</v>
      </c>
      <c r="K5" s="43" t="s">
        <v>43</v>
      </c>
    </row>
    <row r="6" spans="1:11" ht="12.75" x14ac:dyDescent="0.2">
      <c r="A6" s="373"/>
      <c r="B6" s="340">
        <f>(67.07+(67.07*1.1))*1.013</f>
        <v>142.67801099999997</v>
      </c>
      <c r="C6" s="338">
        <f>(61.64+(61.64*1.1))*1.013</f>
        <v>131.12677200000002</v>
      </c>
      <c r="D6" s="338">
        <f>(42.06+(42.06*1.1))*1.013</f>
        <v>89.474238</v>
      </c>
      <c r="E6" s="338">
        <f>(27.46+(27.46*1.1))*1.013</f>
        <v>58.415658000000001</v>
      </c>
      <c r="F6" s="40" t="s">
        <v>44</v>
      </c>
      <c r="G6" s="41" t="s">
        <v>45</v>
      </c>
      <c r="H6" s="105" t="s">
        <v>46</v>
      </c>
      <c r="I6" s="40" t="s">
        <v>61</v>
      </c>
      <c r="J6" s="42" t="s">
        <v>44</v>
      </c>
      <c r="K6" s="43" t="s">
        <v>45</v>
      </c>
    </row>
    <row r="7" spans="1:11" ht="13.5" thickBot="1" x14ac:dyDescent="0.25">
      <c r="A7" s="381"/>
      <c r="B7" s="44" t="s">
        <v>71</v>
      </c>
      <c r="C7" s="44" t="s">
        <v>71</v>
      </c>
      <c r="D7" s="44" t="s">
        <v>71</v>
      </c>
      <c r="E7" s="44" t="s">
        <v>71</v>
      </c>
      <c r="F7" s="44" t="s">
        <v>49</v>
      </c>
      <c r="G7" s="44" t="s">
        <v>49</v>
      </c>
      <c r="H7" s="106" t="s">
        <v>50</v>
      </c>
      <c r="I7" s="46" t="s">
        <v>62</v>
      </c>
      <c r="J7" s="47" t="s">
        <v>51</v>
      </c>
      <c r="K7" s="48" t="s">
        <v>51</v>
      </c>
    </row>
    <row r="8" spans="1:11" s="1" customFormat="1" ht="28.5" x14ac:dyDescent="0.2">
      <c r="A8" s="75" t="s">
        <v>88</v>
      </c>
      <c r="B8" s="50"/>
      <c r="C8" s="51"/>
      <c r="D8" s="51"/>
      <c r="E8" s="52"/>
      <c r="F8" s="51"/>
      <c r="G8" s="51"/>
      <c r="H8" s="76"/>
      <c r="I8" s="77"/>
      <c r="J8" s="260"/>
      <c r="K8" s="55"/>
    </row>
    <row r="9" spans="1:11" s="1" customFormat="1" ht="25.5" x14ac:dyDescent="0.2">
      <c r="A9" s="160" t="s">
        <v>24</v>
      </c>
      <c r="B9" s="57">
        <v>0</v>
      </c>
      <c r="C9" s="57">
        <v>0</v>
      </c>
      <c r="D9" s="57">
        <v>0.5</v>
      </c>
      <c r="E9" s="58">
        <v>0</v>
      </c>
      <c r="F9" s="59">
        <f>+E9+D9+C9+B9</f>
        <v>0.5</v>
      </c>
      <c r="G9" s="283">
        <f>B$6*B9+C$6*C9+D$6*D9+E$6*E9</f>
        <v>44.737119</v>
      </c>
      <c r="H9" s="60">
        <v>0</v>
      </c>
      <c r="I9" s="61">
        <f>ROUND(AVERAGE((PartnerCounts!E4+PartnerCounts!E6),(PartnerCounts!F4+PartnerCounts!F6),(PartnerCounts!G4+PartnerCounts!G6)),0)</f>
        <v>179</v>
      </c>
      <c r="J9" s="261">
        <f>+I9*F9</f>
        <v>89.5</v>
      </c>
      <c r="K9" s="285">
        <f>+I9*(G9+H9)</f>
        <v>8007.9443009999995</v>
      </c>
    </row>
    <row r="10" spans="1:11" s="1" customFormat="1" ht="12.75" x14ac:dyDescent="0.2">
      <c r="A10" s="160" t="s">
        <v>55</v>
      </c>
      <c r="B10" s="57">
        <f>0*14</f>
        <v>0</v>
      </c>
      <c r="C10" s="57">
        <f>0*14</f>
        <v>0</v>
      </c>
      <c r="D10" s="57">
        <v>3</v>
      </c>
      <c r="E10" s="57">
        <f>0*14</f>
        <v>0</v>
      </c>
      <c r="F10" s="59">
        <f>+E10+D10+C10+B10</f>
        <v>3</v>
      </c>
      <c r="G10" s="283">
        <f>B$6*B10+C$6*C10+D$6*D10+E$6*E10</f>
        <v>268.42271399999998</v>
      </c>
      <c r="H10" s="60">
        <v>0</v>
      </c>
      <c r="I10" s="61">
        <f>I9</f>
        <v>179</v>
      </c>
      <c r="J10" s="261">
        <f>+I10*F10</f>
        <v>537</v>
      </c>
      <c r="K10" s="285">
        <f>+I10*(G10+H10)</f>
        <v>48047.665805999997</v>
      </c>
    </row>
    <row r="11" spans="1:11" s="1" customFormat="1" ht="12.75" x14ac:dyDescent="0.2">
      <c r="A11" s="161" t="s">
        <v>22</v>
      </c>
      <c r="B11" s="58">
        <f>0*14</f>
        <v>0</v>
      </c>
      <c r="C11" s="57">
        <v>0.5</v>
      </c>
      <c r="D11" s="57">
        <v>1.5</v>
      </c>
      <c r="E11" s="58">
        <v>0.5</v>
      </c>
      <c r="F11" s="59">
        <f>+E11+D11+C11+B11</f>
        <v>2.5</v>
      </c>
      <c r="G11" s="283">
        <f>B$6*B11+C$6*C11+D$6*D11+E$6*E11</f>
        <v>228.982572</v>
      </c>
      <c r="H11" s="60">
        <v>0</v>
      </c>
      <c r="I11" s="61">
        <f>I9</f>
        <v>179</v>
      </c>
      <c r="J11" s="261">
        <f>+I11*F11</f>
        <v>447.5</v>
      </c>
      <c r="K11" s="285">
        <f>+I11*(G11+H11)</f>
        <v>40987.880387999998</v>
      </c>
    </row>
    <row r="12" spans="1:11" s="1" customFormat="1" ht="29.25" customHeight="1" thickBot="1" x14ac:dyDescent="0.25">
      <c r="A12" s="162" t="s">
        <v>23</v>
      </c>
      <c r="B12" s="63">
        <v>0</v>
      </c>
      <c r="C12" s="121">
        <v>0</v>
      </c>
      <c r="D12" s="121">
        <v>0</v>
      </c>
      <c r="E12" s="63">
        <v>0.5</v>
      </c>
      <c r="F12" s="93">
        <f>+E12+D12+C12+B12</f>
        <v>0.5</v>
      </c>
      <c r="G12" s="291">
        <f>B$6*B12+C$6*C12+D$6*D12+E$6*E12</f>
        <v>29.207829</v>
      </c>
      <c r="H12" s="6">
        <v>0</v>
      </c>
      <c r="I12" s="64">
        <f>I9</f>
        <v>179</v>
      </c>
      <c r="J12" s="265">
        <f>+I12*F12</f>
        <v>89.5</v>
      </c>
      <c r="K12" s="287">
        <f>+I12*(G12+H12)</f>
        <v>5228.2013909999996</v>
      </c>
    </row>
    <row r="13" spans="1:11" s="1" customFormat="1" ht="15.75" customHeight="1" thickBot="1" x14ac:dyDescent="0.25">
      <c r="A13" s="96" t="s">
        <v>52</v>
      </c>
      <c r="B13" s="129"/>
      <c r="C13" s="130"/>
      <c r="D13" s="130"/>
      <c r="E13" s="131"/>
      <c r="F13" s="130"/>
      <c r="G13" s="132"/>
      <c r="H13" s="163"/>
      <c r="I13" s="164"/>
      <c r="J13" s="268">
        <f>SUM(J9:J12)</f>
        <v>1163.5</v>
      </c>
      <c r="K13" s="292">
        <f>SUM(K9:K12)</f>
        <v>102271.691886</v>
      </c>
    </row>
    <row r="14" spans="1:11" ht="15.75" customHeight="1" x14ac:dyDescent="0.2">
      <c r="A14" s="134" t="s">
        <v>13</v>
      </c>
      <c r="B14" s="135"/>
      <c r="C14" s="135"/>
      <c r="D14" s="135"/>
      <c r="E14" s="135"/>
      <c r="F14" s="135"/>
      <c r="G14" s="135"/>
      <c r="H14" s="136"/>
      <c r="I14" s="135"/>
      <c r="J14" s="270"/>
      <c r="K14" s="137"/>
    </row>
    <row r="15" spans="1:11" ht="12.75" x14ac:dyDescent="0.2">
      <c r="A15" s="138" t="s">
        <v>55</v>
      </c>
      <c r="B15" s="3">
        <v>0</v>
      </c>
      <c r="C15" s="3">
        <v>0</v>
      </c>
      <c r="D15" s="3">
        <v>1.5</v>
      </c>
      <c r="E15" s="3">
        <v>0</v>
      </c>
      <c r="F15" s="139">
        <f>+E15+D15+C15+B15</f>
        <v>1.5</v>
      </c>
      <c r="G15" s="294">
        <f>B$6*B15+C$6*C15+D$6*D15+E$6*E15</f>
        <v>134.21135699999999</v>
      </c>
      <c r="H15" s="140">
        <v>0</v>
      </c>
      <c r="I15" s="141">
        <f>ROUND(I9/4,0)</f>
        <v>45</v>
      </c>
      <c r="J15" s="271">
        <f>+I15*F15</f>
        <v>67.5</v>
      </c>
      <c r="K15" s="294">
        <f>+I15*(G15+H15)</f>
        <v>6039.5110649999997</v>
      </c>
    </row>
    <row r="16" spans="1:11" ht="25.5" x14ac:dyDescent="0.2">
      <c r="A16" s="138" t="s">
        <v>83</v>
      </c>
      <c r="B16" s="3">
        <v>0</v>
      </c>
      <c r="C16" s="3">
        <v>0</v>
      </c>
      <c r="D16" s="3">
        <v>1</v>
      </c>
      <c r="E16" s="3">
        <v>0</v>
      </c>
      <c r="F16" s="139">
        <f>+E16+D16+C16+B16</f>
        <v>1</v>
      </c>
      <c r="G16" s="294">
        <f>B$6*B16+C$6*C16+D$6*D16+E$6*E16</f>
        <v>89.474238</v>
      </c>
      <c r="H16" s="140">
        <v>0</v>
      </c>
      <c r="I16" s="141">
        <f>ROUND(I15/2,0)</f>
        <v>23</v>
      </c>
      <c r="J16" s="271">
        <f>+I16*F16</f>
        <v>23</v>
      </c>
      <c r="K16" s="294">
        <f>+I16*(G16+H16)</f>
        <v>2057.9074740000001</v>
      </c>
    </row>
    <row r="17" spans="1:11" ht="26.25" thickBot="1" x14ac:dyDescent="0.25">
      <c r="A17" s="142" t="s">
        <v>56</v>
      </c>
      <c r="B17" s="4">
        <v>0</v>
      </c>
      <c r="C17" s="4">
        <v>0</v>
      </c>
      <c r="D17" s="4">
        <v>1</v>
      </c>
      <c r="E17" s="4">
        <v>0</v>
      </c>
      <c r="F17" s="143">
        <f>+E17+D17+C17+B17</f>
        <v>1</v>
      </c>
      <c r="G17" s="295">
        <f>B$6*B17+C$6*C17+D$6*D17+E$6*E17</f>
        <v>89.474238</v>
      </c>
      <c r="H17" s="144">
        <v>0</v>
      </c>
      <c r="I17" s="145">
        <f>I15-I16</f>
        <v>22</v>
      </c>
      <c r="J17" s="272">
        <f>+I17*F17</f>
        <v>22</v>
      </c>
      <c r="K17" s="295">
        <f>+I17*(G17+H17)</f>
        <v>1968.4332360000001</v>
      </c>
    </row>
    <row r="18" spans="1:11" ht="15.75" customHeight="1" thickBot="1" x14ac:dyDescent="0.25">
      <c r="A18" s="146" t="s">
        <v>52</v>
      </c>
      <c r="B18" s="147"/>
      <c r="C18" s="148"/>
      <c r="D18" s="148"/>
      <c r="E18" s="149"/>
      <c r="F18" s="148"/>
      <c r="G18" s="150"/>
      <c r="H18" s="151"/>
      <c r="I18" s="152"/>
      <c r="J18" s="273">
        <f>SUM(J15:J17)</f>
        <v>112.5</v>
      </c>
      <c r="K18" s="298">
        <f>SUM(K15:K17)</f>
        <v>10065.851775000001</v>
      </c>
    </row>
    <row r="19" spans="1:11" ht="12.75" x14ac:dyDescent="0.2">
      <c r="A19" s="153" t="s">
        <v>54</v>
      </c>
      <c r="B19" s="154"/>
      <c r="C19" s="155"/>
      <c r="D19" s="155"/>
      <c r="E19" s="156"/>
      <c r="F19" s="155"/>
      <c r="G19" s="157"/>
      <c r="H19" s="158"/>
      <c r="I19" s="159"/>
      <c r="J19" s="274">
        <f>J13+J18</f>
        <v>1276</v>
      </c>
      <c r="K19" s="299">
        <f>K13+K18</f>
        <v>112337.543661</v>
      </c>
    </row>
    <row r="20" spans="1:11" ht="12.75" x14ac:dyDescent="0.2">
      <c r="A20" s="102"/>
      <c r="B20" s="1"/>
      <c r="C20" s="1"/>
      <c r="D20" s="1"/>
      <c r="E20" s="1"/>
      <c r="F20" s="33"/>
      <c r="G20" s="33"/>
      <c r="H20" s="1"/>
      <c r="I20" s="34"/>
      <c r="J20" s="34"/>
      <c r="K20" s="1"/>
    </row>
    <row r="21" spans="1:11" ht="110.45" customHeight="1" x14ac:dyDescent="0.2">
      <c r="A21" s="367" t="s">
        <v>136</v>
      </c>
      <c r="B21" s="367"/>
      <c r="C21" s="367"/>
      <c r="D21" s="367"/>
      <c r="E21" s="367"/>
      <c r="F21" s="367"/>
      <c r="G21" s="367"/>
      <c r="H21" s="367"/>
      <c r="I21" s="367"/>
      <c r="J21" s="367"/>
      <c r="K21" s="367"/>
    </row>
    <row r="22" spans="1:11" s="1" customFormat="1" ht="39.950000000000003" customHeight="1" x14ac:dyDescent="0.2">
      <c r="A22" s="367" t="s">
        <v>195</v>
      </c>
      <c r="B22" s="367"/>
      <c r="C22" s="367"/>
      <c r="D22" s="367"/>
      <c r="E22" s="367"/>
      <c r="F22" s="367"/>
      <c r="G22" s="367"/>
      <c r="H22" s="367"/>
      <c r="I22" s="367"/>
      <c r="J22" s="367"/>
      <c r="K22" s="367"/>
    </row>
    <row r="23" spans="1:11" ht="71.25" customHeight="1" x14ac:dyDescent="0.2">
      <c r="A23" s="367" t="s">
        <v>210</v>
      </c>
      <c r="B23" s="367"/>
      <c r="C23" s="367"/>
      <c r="D23" s="367"/>
      <c r="E23" s="367"/>
      <c r="F23" s="367"/>
      <c r="G23" s="367"/>
      <c r="H23" s="367"/>
      <c r="I23" s="367"/>
      <c r="J23" s="367"/>
      <c r="K23" s="367"/>
    </row>
  </sheetData>
  <mergeCells count="6">
    <mergeCell ref="A23:K23"/>
    <mergeCell ref="A2:J2"/>
    <mergeCell ref="A4:A7"/>
    <mergeCell ref="B4:H4"/>
    <mergeCell ref="A21:K21"/>
    <mergeCell ref="A22:K22"/>
  </mergeCells>
  <phoneticPr fontId="0" type="noConversion"/>
  <pageMargins left="0.75" right="0.75" top="0.26" bottom="0.28000000000000003" header="0.24" footer="0.26"/>
  <pageSetup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workbookViewId="0"/>
  </sheetViews>
  <sheetFormatPr defaultColWidth="9.33203125" defaultRowHeight="10.5" x14ac:dyDescent="0.15"/>
  <cols>
    <col min="1" max="1" width="40.1640625" style="24" customWidth="1"/>
    <col min="2" max="5" width="9.6640625" style="9" customWidth="1"/>
    <col min="6" max="6" width="9.33203125" style="9"/>
    <col min="7" max="7" width="11.33203125" style="9" customWidth="1"/>
    <col min="8" max="8" width="12.33203125" style="9" customWidth="1"/>
    <col min="9" max="9" width="13.6640625" style="9" customWidth="1"/>
    <col min="10" max="10" width="9.33203125" style="263"/>
    <col min="11" max="11" width="12.83203125" style="9" customWidth="1"/>
    <col min="12" max="16384" width="9.33203125" style="9"/>
  </cols>
  <sheetData>
    <row r="1" spans="1:11" ht="12.75" x14ac:dyDescent="0.2">
      <c r="A1" s="30" t="s">
        <v>21</v>
      </c>
      <c r="B1" s="31"/>
      <c r="C1" s="31"/>
      <c r="D1" s="31"/>
      <c r="E1" s="31"/>
      <c r="F1" s="32"/>
      <c r="G1" s="33"/>
      <c r="H1" s="1"/>
      <c r="I1" s="34"/>
      <c r="J1" s="34"/>
      <c r="K1" s="1"/>
    </row>
    <row r="2" spans="1:11" ht="12.75" x14ac:dyDescent="0.2">
      <c r="A2" s="370" t="s">
        <v>85</v>
      </c>
      <c r="B2" s="370"/>
      <c r="C2" s="370"/>
      <c r="D2" s="370"/>
      <c r="E2" s="370"/>
      <c r="F2" s="370"/>
      <c r="G2" s="370"/>
      <c r="H2" s="370"/>
      <c r="I2" s="370"/>
      <c r="J2" s="370"/>
      <c r="K2" s="1"/>
    </row>
    <row r="3" spans="1:11" ht="12.75" x14ac:dyDescent="0.2">
      <c r="A3" s="30"/>
      <c r="B3" s="30"/>
      <c r="C3" s="30"/>
      <c r="D3" s="30"/>
      <c r="E3" s="30"/>
      <c r="F3" s="30"/>
      <c r="G3" s="30"/>
      <c r="H3" s="30"/>
      <c r="I3" s="30"/>
      <c r="J3" s="259"/>
      <c r="K3" s="1"/>
    </row>
    <row r="4" spans="1:11" ht="15.75" x14ac:dyDescent="0.2">
      <c r="A4" s="372" t="s">
        <v>47</v>
      </c>
      <c r="B4" s="378" t="s">
        <v>65</v>
      </c>
      <c r="C4" s="379"/>
      <c r="D4" s="379"/>
      <c r="E4" s="379"/>
      <c r="F4" s="379"/>
      <c r="G4" s="379"/>
      <c r="H4" s="380"/>
      <c r="I4" s="35" t="s">
        <v>37</v>
      </c>
      <c r="J4" s="38"/>
      <c r="K4" s="118"/>
    </row>
    <row r="5" spans="1:11" ht="12.75" x14ac:dyDescent="0.2">
      <c r="A5" s="373"/>
      <c r="B5" s="103" t="s">
        <v>36</v>
      </c>
      <c r="C5" s="40" t="s">
        <v>38</v>
      </c>
      <c r="D5" s="40" t="s">
        <v>39</v>
      </c>
      <c r="E5" s="40" t="s">
        <v>40</v>
      </c>
      <c r="F5" s="40" t="s">
        <v>41</v>
      </c>
      <c r="G5" s="41" t="s">
        <v>42</v>
      </c>
      <c r="H5" s="104"/>
      <c r="I5" s="40" t="s">
        <v>60</v>
      </c>
      <c r="J5" s="42" t="s">
        <v>43</v>
      </c>
      <c r="K5" s="43" t="s">
        <v>43</v>
      </c>
    </row>
    <row r="6" spans="1:11" ht="12.75" x14ac:dyDescent="0.2">
      <c r="A6" s="373"/>
      <c r="B6" s="340">
        <f>(67.07+(67.07*1.1))*1.013</f>
        <v>142.67801099999997</v>
      </c>
      <c r="C6" s="338">
        <f>(61.64+(61.64*1.1))*1.013</f>
        <v>131.12677200000002</v>
      </c>
      <c r="D6" s="338">
        <f>(42.06+(42.06*1.1))*1.013</f>
        <v>89.474238</v>
      </c>
      <c r="E6" s="338">
        <f>(27.46+(27.46*1.1))*1.013</f>
        <v>58.415658000000001</v>
      </c>
      <c r="F6" s="40" t="s">
        <v>44</v>
      </c>
      <c r="G6" s="41" t="s">
        <v>45</v>
      </c>
      <c r="H6" s="105" t="s">
        <v>46</v>
      </c>
      <c r="I6" s="40" t="s">
        <v>61</v>
      </c>
      <c r="J6" s="42" t="s">
        <v>44</v>
      </c>
      <c r="K6" s="43" t="s">
        <v>45</v>
      </c>
    </row>
    <row r="7" spans="1:11" ht="13.5" thickBot="1" x14ac:dyDescent="0.25">
      <c r="A7" s="374"/>
      <c r="B7" s="44" t="s">
        <v>71</v>
      </c>
      <c r="C7" s="44" t="s">
        <v>71</v>
      </c>
      <c r="D7" s="44" t="s">
        <v>71</v>
      </c>
      <c r="E7" s="44" t="s">
        <v>71</v>
      </c>
      <c r="F7" s="44" t="s">
        <v>49</v>
      </c>
      <c r="G7" s="44" t="s">
        <v>49</v>
      </c>
      <c r="H7" s="106" t="s">
        <v>50</v>
      </c>
      <c r="I7" s="46" t="s">
        <v>62</v>
      </c>
      <c r="J7" s="47" t="s">
        <v>51</v>
      </c>
      <c r="K7" s="48" t="s">
        <v>51</v>
      </c>
    </row>
    <row r="8" spans="1:11" s="1" customFormat="1" ht="15.75" x14ac:dyDescent="0.2">
      <c r="A8" s="92" t="s">
        <v>69</v>
      </c>
      <c r="B8" s="50"/>
      <c r="C8" s="51"/>
      <c r="D8" s="51"/>
      <c r="E8" s="52"/>
      <c r="F8" s="51"/>
      <c r="G8" s="51"/>
      <c r="H8" s="107"/>
      <c r="I8" s="51"/>
      <c r="J8" s="260"/>
      <c r="K8" s="55"/>
    </row>
    <row r="9" spans="1:11" s="1" customFormat="1" ht="12.75" x14ac:dyDescent="0.2">
      <c r="A9" s="56" t="s">
        <v>68</v>
      </c>
      <c r="B9" s="57">
        <v>0.5</v>
      </c>
      <c r="C9" s="57">
        <v>0.25</v>
      </c>
      <c r="D9" s="58">
        <v>0.25</v>
      </c>
      <c r="E9" s="58">
        <v>0</v>
      </c>
      <c r="F9" s="59">
        <f>+E9+D9+C9+B9</f>
        <v>1</v>
      </c>
      <c r="G9" s="283">
        <f>B$6*B9+C$6*C9+D$6*D9+E$6*E9</f>
        <v>126.48925799999999</v>
      </c>
      <c r="H9" s="109">
        <v>0</v>
      </c>
      <c r="I9" s="110">
        <f>PartnerCounts!C4+PartnerCounts!C6</f>
        <v>4</v>
      </c>
      <c r="J9" s="261">
        <f>+I9*F9</f>
        <v>4</v>
      </c>
      <c r="K9" s="285">
        <f>+I9*(G9+H9)</f>
        <v>505.95703199999997</v>
      </c>
    </row>
    <row r="10" spans="1:11" s="1" customFormat="1" ht="12.75" x14ac:dyDescent="0.2">
      <c r="A10" s="62" t="s">
        <v>59</v>
      </c>
      <c r="B10" s="121">
        <v>0</v>
      </c>
      <c r="C10" s="63">
        <v>0.25</v>
      </c>
      <c r="D10" s="63">
        <v>0.25</v>
      </c>
      <c r="E10" s="63">
        <v>0</v>
      </c>
      <c r="F10" s="93">
        <f>+E10+D10+C10+B10</f>
        <v>0.5</v>
      </c>
      <c r="G10" s="283">
        <f>B$6*B10+C$6*C10+D$6*D10+E$6*E10</f>
        <v>55.150252500000008</v>
      </c>
      <c r="H10" s="122">
        <v>0</v>
      </c>
      <c r="I10" s="123">
        <f>I9</f>
        <v>4</v>
      </c>
      <c r="J10" s="265">
        <f>+I10*F10</f>
        <v>2</v>
      </c>
      <c r="K10" s="287">
        <f>+I10*(G10+H10)</f>
        <v>220.60101000000003</v>
      </c>
    </row>
    <row r="11" spans="1:11" s="1" customFormat="1" ht="13.5" thickBot="1" x14ac:dyDescent="0.25">
      <c r="A11" s="124" t="s">
        <v>63</v>
      </c>
      <c r="B11" s="125">
        <v>0</v>
      </c>
      <c r="C11" s="125">
        <v>0</v>
      </c>
      <c r="D11" s="125">
        <v>0</v>
      </c>
      <c r="E11" s="125">
        <v>0.5</v>
      </c>
      <c r="F11" s="126">
        <f>+E11+D11+C11+B11</f>
        <v>0.5</v>
      </c>
      <c r="G11" s="291">
        <f>B$6*B11+C$6*C11+D$6*D11+E$6*E11</f>
        <v>29.207829</v>
      </c>
      <c r="H11" s="122">
        <v>0</v>
      </c>
      <c r="I11" s="127">
        <f>I9</f>
        <v>4</v>
      </c>
      <c r="J11" s="269">
        <f>+I11*F11</f>
        <v>2</v>
      </c>
      <c r="K11" s="296">
        <f>+I11*(G11+H11)</f>
        <v>116.831316</v>
      </c>
    </row>
    <row r="12" spans="1:11" s="1" customFormat="1" ht="15.75" customHeight="1" thickBot="1" x14ac:dyDescent="0.25">
      <c r="A12" s="166" t="s">
        <v>52</v>
      </c>
      <c r="B12" s="129"/>
      <c r="C12" s="130"/>
      <c r="D12" s="130"/>
      <c r="E12" s="131"/>
      <c r="F12" s="130"/>
      <c r="G12" s="132"/>
      <c r="H12" s="133"/>
      <c r="I12" s="130"/>
      <c r="J12" s="268">
        <f>SUM(J9:J11)</f>
        <v>8</v>
      </c>
      <c r="K12" s="297">
        <f>SUM(K9:K11)</f>
        <v>843.38935800000002</v>
      </c>
    </row>
    <row r="13" spans="1:11" s="1" customFormat="1" ht="28.5" x14ac:dyDescent="0.2">
      <c r="A13" s="75" t="s">
        <v>89</v>
      </c>
      <c r="B13" s="50"/>
      <c r="C13" s="51"/>
      <c r="D13" s="51"/>
      <c r="E13" s="52"/>
      <c r="F13" s="51"/>
      <c r="G13" s="51"/>
      <c r="H13" s="76"/>
      <c r="I13" s="77"/>
      <c r="J13" s="260"/>
      <c r="K13" s="55"/>
    </row>
    <row r="14" spans="1:11" s="1" customFormat="1" ht="12.75" x14ac:dyDescent="0.2">
      <c r="A14" s="160" t="s">
        <v>24</v>
      </c>
      <c r="B14" s="57">
        <v>0</v>
      </c>
      <c r="C14" s="57">
        <v>0</v>
      </c>
      <c r="D14" s="57">
        <v>0.5</v>
      </c>
      <c r="E14" s="58">
        <v>0</v>
      </c>
      <c r="F14" s="59">
        <f>+E14+D14+C14+B14</f>
        <v>0.5</v>
      </c>
      <c r="G14" s="283">
        <f>B$6*B14+C$6*C14+D$6*D14+E$6*E14</f>
        <v>44.737119</v>
      </c>
      <c r="H14" s="60">
        <v>0</v>
      </c>
      <c r="I14" s="61">
        <f>PartnerCounts!C4+PartnerCounts!C6</f>
        <v>4</v>
      </c>
      <c r="J14" s="261">
        <f>+I14*F14</f>
        <v>2</v>
      </c>
      <c r="K14" s="285">
        <f>+I14*(G14+H14)</f>
        <v>178.948476</v>
      </c>
    </row>
    <row r="15" spans="1:11" s="1" customFormat="1" ht="12.75" x14ac:dyDescent="0.2">
      <c r="A15" s="160" t="s">
        <v>55</v>
      </c>
      <c r="B15" s="57">
        <v>0</v>
      </c>
      <c r="C15" s="57">
        <v>0</v>
      </c>
      <c r="D15" s="57">
        <v>3</v>
      </c>
      <c r="E15" s="57">
        <v>0</v>
      </c>
      <c r="F15" s="59">
        <f>+E15+D15+C15+B15</f>
        <v>3</v>
      </c>
      <c r="G15" s="283">
        <f>B$6*B15+C$6*C15+D$6*D15+E$6*E15</f>
        <v>268.42271399999998</v>
      </c>
      <c r="H15" s="60">
        <v>0</v>
      </c>
      <c r="I15" s="61">
        <f>I14</f>
        <v>4</v>
      </c>
      <c r="J15" s="261">
        <f>+I15*F15</f>
        <v>12</v>
      </c>
      <c r="K15" s="285">
        <f>+I15*(G15+H15)</f>
        <v>1073.6908559999999</v>
      </c>
    </row>
    <row r="16" spans="1:11" s="1" customFormat="1" ht="12.75" x14ac:dyDescent="0.2">
      <c r="A16" s="161" t="s">
        <v>22</v>
      </c>
      <c r="B16" s="58">
        <v>0</v>
      </c>
      <c r="C16" s="57">
        <v>0.5</v>
      </c>
      <c r="D16" s="57">
        <v>1.5</v>
      </c>
      <c r="E16" s="58">
        <v>0.5</v>
      </c>
      <c r="F16" s="59">
        <f>+E16+D16+C16+B16</f>
        <v>2.5</v>
      </c>
      <c r="G16" s="283">
        <f>B$6*B16+C$6*C16+D$6*D16+E$6*E16</f>
        <v>228.982572</v>
      </c>
      <c r="H16" s="60">
        <v>0</v>
      </c>
      <c r="I16" s="61">
        <f>I14</f>
        <v>4</v>
      </c>
      <c r="J16" s="261">
        <f>+I16*F16</f>
        <v>10</v>
      </c>
      <c r="K16" s="285">
        <f>+I16*(G16+H16)</f>
        <v>915.93028800000002</v>
      </c>
    </row>
    <row r="17" spans="1:11" s="1" customFormat="1" ht="16.5" customHeight="1" thickBot="1" x14ac:dyDescent="0.25">
      <c r="A17" s="162" t="s">
        <v>23</v>
      </c>
      <c r="B17" s="63">
        <v>0</v>
      </c>
      <c r="C17" s="121">
        <v>0</v>
      </c>
      <c r="D17" s="121">
        <v>0</v>
      </c>
      <c r="E17" s="63">
        <v>0.5</v>
      </c>
      <c r="F17" s="93">
        <f>+E17+D17+C17+B17</f>
        <v>0.5</v>
      </c>
      <c r="G17" s="291">
        <f>B$6*B17+C$6*C17+D$6*D17+E$6*E17</f>
        <v>29.207829</v>
      </c>
      <c r="H17" s="6">
        <v>0</v>
      </c>
      <c r="I17" s="64">
        <f>I14</f>
        <v>4</v>
      </c>
      <c r="J17" s="265">
        <f>+I17*F17</f>
        <v>2</v>
      </c>
      <c r="K17" s="287">
        <f>+I17*(G17+H17)</f>
        <v>116.831316</v>
      </c>
    </row>
    <row r="18" spans="1:11" s="1" customFormat="1" ht="15.75" customHeight="1" thickBot="1" x14ac:dyDescent="0.25">
      <c r="A18" s="96" t="s">
        <v>52</v>
      </c>
      <c r="B18" s="129"/>
      <c r="C18" s="130"/>
      <c r="D18" s="130"/>
      <c r="E18" s="131"/>
      <c r="F18" s="130"/>
      <c r="G18" s="132"/>
      <c r="H18" s="163"/>
      <c r="I18" s="164"/>
      <c r="J18" s="268">
        <f>SUM(J14:J17)</f>
        <v>26</v>
      </c>
      <c r="K18" s="292">
        <f>SUM(K14:K17)</f>
        <v>2285.400936</v>
      </c>
    </row>
    <row r="19" spans="1:11" ht="15.75" customHeight="1" x14ac:dyDescent="0.2">
      <c r="A19" s="134" t="s">
        <v>66</v>
      </c>
      <c r="B19" s="135"/>
      <c r="C19" s="135"/>
      <c r="D19" s="135"/>
      <c r="E19" s="135"/>
      <c r="F19" s="135"/>
      <c r="G19" s="135"/>
      <c r="H19" s="136"/>
      <c r="I19" s="135"/>
      <c r="J19" s="270"/>
      <c r="K19" s="137"/>
    </row>
    <row r="20" spans="1:11" ht="12.75" x14ac:dyDescent="0.2">
      <c r="A20" s="138" t="s">
        <v>55</v>
      </c>
      <c r="B20" s="3">
        <v>0</v>
      </c>
      <c r="C20" s="3">
        <v>0</v>
      </c>
      <c r="D20" s="3">
        <v>1.5</v>
      </c>
      <c r="E20" s="3">
        <v>0</v>
      </c>
      <c r="F20" s="139">
        <f>+E20+D20+C20+B20</f>
        <v>1.5</v>
      </c>
      <c r="G20" s="294">
        <f>B$6*B20+C$6*C20+D$6*D20+E$6*E20</f>
        <v>134.21135699999999</v>
      </c>
      <c r="H20" s="140">
        <v>0</v>
      </c>
      <c r="I20" s="141">
        <f>ROUND(I9/4,0)</f>
        <v>1</v>
      </c>
      <c r="J20" s="271">
        <f>+I20*F20</f>
        <v>1.5</v>
      </c>
      <c r="K20" s="294">
        <f>+I20*(G20+H20)</f>
        <v>134.21135699999999</v>
      </c>
    </row>
    <row r="21" spans="1:11" ht="25.5" x14ac:dyDescent="0.2">
      <c r="A21" s="138" t="s">
        <v>83</v>
      </c>
      <c r="B21" s="3">
        <v>0</v>
      </c>
      <c r="C21" s="3">
        <v>0</v>
      </c>
      <c r="D21" s="3">
        <v>1</v>
      </c>
      <c r="E21" s="3">
        <v>0</v>
      </c>
      <c r="F21" s="139">
        <f>+E21+D21+C21+B21</f>
        <v>1</v>
      </c>
      <c r="G21" s="294">
        <f>B$6*B21+C$6*C21+D$6*D21+E$6*E21</f>
        <v>89.474238</v>
      </c>
      <c r="H21" s="140">
        <v>0</v>
      </c>
      <c r="I21" s="141">
        <f>ROUND(I20/2,0)</f>
        <v>1</v>
      </c>
      <c r="J21" s="271">
        <f>+I21*F21</f>
        <v>1</v>
      </c>
      <c r="K21" s="294">
        <f>+I21*(G21+H21)</f>
        <v>89.474238</v>
      </c>
    </row>
    <row r="22" spans="1:11" ht="26.25" thickBot="1" x14ac:dyDescent="0.25">
      <c r="A22" s="142" t="s">
        <v>56</v>
      </c>
      <c r="B22" s="4">
        <v>0</v>
      </c>
      <c r="C22" s="4">
        <v>0</v>
      </c>
      <c r="D22" s="4">
        <v>1</v>
      </c>
      <c r="E22" s="4">
        <v>0</v>
      </c>
      <c r="F22" s="143">
        <f>+E22+D22+C22+B22</f>
        <v>1</v>
      </c>
      <c r="G22" s="295">
        <f>B$6*B22+C$6*C22+D$6*D22+E$6*E22</f>
        <v>89.474238</v>
      </c>
      <c r="H22" s="144">
        <v>0</v>
      </c>
      <c r="I22" s="145">
        <f>I20-I21</f>
        <v>0</v>
      </c>
      <c r="J22" s="272">
        <f>+I22*F22</f>
        <v>0</v>
      </c>
      <c r="K22" s="295">
        <f>+I22*(G22+H22)</f>
        <v>0</v>
      </c>
    </row>
    <row r="23" spans="1:11" ht="15.75" customHeight="1" thickBot="1" x14ac:dyDescent="0.25">
      <c r="A23" s="146" t="s">
        <v>52</v>
      </c>
      <c r="B23" s="147"/>
      <c r="C23" s="148"/>
      <c r="D23" s="148"/>
      <c r="E23" s="149"/>
      <c r="F23" s="148"/>
      <c r="G23" s="150"/>
      <c r="H23" s="151"/>
      <c r="I23" s="152"/>
      <c r="J23" s="273">
        <f>SUM(J20:J22)</f>
        <v>2.5</v>
      </c>
      <c r="K23" s="298">
        <f>SUM(K20:K22)</f>
        <v>223.68559499999998</v>
      </c>
    </row>
    <row r="24" spans="1:11" ht="15.75" customHeight="1" x14ac:dyDescent="0.2">
      <c r="A24" s="153" t="s">
        <v>54</v>
      </c>
      <c r="B24" s="154"/>
      <c r="C24" s="155"/>
      <c r="D24" s="155"/>
      <c r="E24" s="156"/>
      <c r="F24" s="155"/>
      <c r="G24" s="157"/>
      <c r="H24" s="158"/>
      <c r="I24" s="159"/>
      <c r="J24" s="274">
        <f>J12+J18+J23</f>
        <v>36.5</v>
      </c>
      <c r="K24" s="299">
        <f>K12+K18+K23</f>
        <v>3352.4758889999998</v>
      </c>
    </row>
    <row r="25" spans="1:11" ht="12.75" x14ac:dyDescent="0.2">
      <c r="A25" s="102"/>
      <c r="B25" s="1"/>
      <c r="C25" s="1"/>
      <c r="D25" s="1"/>
      <c r="E25" s="1"/>
      <c r="F25" s="33"/>
      <c r="G25" s="33"/>
      <c r="H25" s="1"/>
      <c r="I25" s="34"/>
      <c r="J25" s="34"/>
      <c r="K25" s="1"/>
    </row>
    <row r="26" spans="1:11" ht="107.45" customHeight="1" x14ac:dyDescent="0.2">
      <c r="A26" s="367" t="s">
        <v>136</v>
      </c>
      <c r="B26" s="367"/>
      <c r="C26" s="367"/>
      <c r="D26" s="367"/>
      <c r="E26" s="367"/>
      <c r="F26" s="367"/>
      <c r="G26" s="367"/>
      <c r="H26" s="367"/>
      <c r="I26" s="367"/>
      <c r="J26" s="367"/>
      <c r="K26" s="367"/>
    </row>
    <row r="27" spans="1:11" ht="30.75" customHeight="1" x14ac:dyDescent="0.2">
      <c r="A27" s="367" t="s">
        <v>175</v>
      </c>
      <c r="B27" s="367"/>
      <c r="C27" s="367"/>
      <c r="D27" s="367"/>
      <c r="E27" s="367"/>
      <c r="F27" s="367"/>
      <c r="G27" s="367"/>
      <c r="H27" s="367"/>
      <c r="I27" s="367"/>
      <c r="J27" s="367"/>
      <c r="K27" s="367"/>
    </row>
    <row r="28" spans="1:11" s="1" customFormat="1" ht="39.950000000000003" customHeight="1" x14ac:dyDescent="0.2">
      <c r="A28" s="367" t="s">
        <v>196</v>
      </c>
      <c r="B28" s="367"/>
      <c r="C28" s="367"/>
      <c r="D28" s="367"/>
      <c r="E28" s="367"/>
      <c r="F28" s="367"/>
      <c r="G28" s="367"/>
      <c r="H28" s="367"/>
      <c r="I28" s="367"/>
      <c r="J28" s="367"/>
      <c r="K28" s="367"/>
    </row>
    <row r="29" spans="1:11" ht="69" customHeight="1" x14ac:dyDescent="0.2">
      <c r="A29" s="367" t="s">
        <v>211</v>
      </c>
      <c r="B29" s="367"/>
      <c r="C29" s="367"/>
      <c r="D29" s="367"/>
      <c r="E29" s="367"/>
      <c r="F29" s="367"/>
      <c r="G29" s="367"/>
      <c r="H29" s="367"/>
      <c r="I29" s="367"/>
      <c r="J29" s="367"/>
      <c r="K29" s="367"/>
    </row>
  </sheetData>
  <mergeCells count="7">
    <mergeCell ref="A27:K27"/>
    <mergeCell ref="A29:K29"/>
    <mergeCell ref="A28:K28"/>
    <mergeCell ref="A2:J2"/>
    <mergeCell ref="A4:A7"/>
    <mergeCell ref="B4:H4"/>
    <mergeCell ref="A26:K26"/>
  </mergeCells>
  <phoneticPr fontId="0" type="noConversion"/>
  <pageMargins left="0.28999999999999998" right="0.19" top="0.19" bottom="0.4" header="0.17" footer="0.19"/>
  <pageSetup scale="8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zoomScaleNormal="100" workbookViewId="0"/>
  </sheetViews>
  <sheetFormatPr defaultColWidth="9.33203125" defaultRowHeight="10.5" x14ac:dyDescent="0.15"/>
  <cols>
    <col min="1" max="1" width="55.83203125" style="24" customWidth="1"/>
    <col min="2" max="2" width="10.5" style="9" bestFit="1" customWidth="1"/>
    <col min="3" max="3" width="10.6640625" style="9" bestFit="1" customWidth="1"/>
    <col min="4" max="4" width="10.5" style="9" bestFit="1" customWidth="1"/>
    <col min="5" max="5" width="10.33203125" style="9" customWidth="1"/>
    <col min="6" max="6" width="10" style="9" customWidth="1"/>
    <col min="7" max="7" width="9.5" style="9" bestFit="1" customWidth="1"/>
    <col min="8" max="8" width="13.6640625" style="9" customWidth="1"/>
    <col min="9" max="9" width="10.6640625" style="263" customWidth="1"/>
    <col min="10" max="10" width="14.83203125" style="9" customWidth="1"/>
    <col min="11" max="16384" width="9.33203125" style="9"/>
  </cols>
  <sheetData>
    <row r="1" spans="1:11" ht="12.75" x14ac:dyDescent="0.2">
      <c r="A1" s="30" t="s">
        <v>99</v>
      </c>
      <c r="B1" s="31"/>
      <c r="C1" s="31"/>
      <c r="D1" s="31"/>
      <c r="E1" s="31"/>
      <c r="F1" s="31"/>
      <c r="G1" s="32"/>
      <c r="H1" s="33"/>
      <c r="I1" s="34"/>
      <c r="J1" s="34"/>
      <c r="K1" s="33"/>
    </row>
    <row r="2" spans="1:11" ht="12.75" x14ac:dyDescent="0.2">
      <c r="A2" s="370" t="s">
        <v>176</v>
      </c>
      <c r="B2" s="370"/>
      <c r="C2" s="370"/>
      <c r="D2" s="370"/>
      <c r="E2" s="370"/>
      <c r="F2" s="370"/>
      <c r="G2" s="370"/>
      <c r="H2" s="370"/>
      <c r="I2" s="370"/>
      <c r="J2" s="370"/>
      <c r="K2" s="33"/>
    </row>
    <row r="3" spans="1:11" ht="12.75" x14ac:dyDescent="0.2">
      <c r="A3" s="30"/>
      <c r="B3" s="31"/>
      <c r="C3" s="31"/>
      <c r="D3" s="31"/>
      <c r="E3" s="31"/>
      <c r="F3" s="31"/>
      <c r="G3" s="32"/>
      <c r="H3" s="33"/>
      <c r="I3" s="34"/>
      <c r="J3" s="34"/>
      <c r="K3" s="33"/>
    </row>
    <row r="4" spans="1:11" ht="15.75" x14ac:dyDescent="0.2">
      <c r="A4" s="383" t="s">
        <v>47</v>
      </c>
      <c r="B4" s="390" t="s">
        <v>65</v>
      </c>
      <c r="C4" s="379"/>
      <c r="D4" s="379"/>
      <c r="E4" s="379"/>
      <c r="F4" s="379"/>
      <c r="G4" s="380"/>
      <c r="H4" s="379" t="s">
        <v>37</v>
      </c>
      <c r="I4" s="379"/>
      <c r="J4" s="391"/>
      <c r="K4" s="1"/>
    </row>
    <row r="5" spans="1:11" ht="12.75" x14ac:dyDescent="0.2">
      <c r="A5" s="368"/>
      <c r="B5" s="169"/>
      <c r="C5" s="31"/>
      <c r="D5" s="31"/>
      <c r="E5" s="31"/>
      <c r="F5" s="32"/>
      <c r="G5" s="104"/>
      <c r="H5" s="31"/>
      <c r="I5" s="42"/>
      <c r="J5" s="170"/>
      <c r="K5" s="8"/>
    </row>
    <row r="6" spans="1:11" ht="12.75" x14ac:dyDescent="0.2">
      <c r="A6" s="368"/>
      <c r="B6" s="171" t="s">
        <v>38</v>
      </c>
      <c r="C6" s="40" t="s">
        <v>39</v>
      </c>
      <c r="D6" s="40" t="s">
        <v>40</v>
      </c>
      <c r="E6" s="40" t="s">
        <v>41</v>
      </c>
      <c r="F6" s="41" t="s">
        <v>42</v>
      </c>
      <c r="G6" s="104"/>
      <c r="H6" s="40" t="s">
        <v>60</v>
      </c>
      <c r="I6" s="42" t="s">
        <v>43</v>
      </c>
      <c r="J6" s="43" t="s">
        <v>43</v>
      </c>
      <c r="K6" s="8"/>
    </row>
    <row r="7" spans="1:11" ht="12.75" x14ac:dyDescent="0.2">
      <c r="A7" s="368"/>
      <c r="B7" s="337">
        <f>48.7*1.6</f>
        <v>77.920000000000016</v>
      </c>
      <c r="C7" s="338">
        <f>33.39*1.6</f>
        <v>53.424000000000007</v>
      </c>
      <c r="D7" s="338">
        <f>13.41*1.6</f>
        <v>21.456000000000003</v>
      </c>
      <c r="E7" s="40" t="s">
        <v>44</v>
      </c>
      <c r="F7" s="41" t="s">
        <v>45</v>
      </c>
      <c r="G7" s="105" t="s">
        <v>46</v>
      </c>
      <c r="H7" s="40" t="s">
        <v>61</v>
      </c>
      <c r="I7" s="42" t="s">
        <v>44</v>
      </c>
      <c r="J7" s="43" t="s">
        <v>45</v>
      </c>
      <c r="K7" s="8"/>
    </row>
    <row r="8" spans="1:11" ht="13.5" thickBot="1" x14ac:dyDescent="0.25">
      <c r="A8" s="369"/>
      <c r="B8" s="172" t="s">
        <v>48</v>
      </c>
      <c r="C8" s="44" t="s">
        <v>48</v>
      </c>
      <c r="D8" s="44" t="s">
        <v>48</v>
      </c>
      <c r="E8" s="44" t="s">
        <v>49</v>
      </c>
      <c r="F8" s="44" t="s">
        <v>49</v>
      </c>
      <c r="G8" s="106" t="s">
        <v>50</v>
      </c>
      <c r="H8" s="46" t="s">
        <v>62</v>
      </c>
      <c r="I8" s="47" t="s">
        <v>51</v>
      </c>
      <c r="J8" s="48" t="s">
        <v>51</v>
      </c>
      <c r="K8" s="8"/>
    </row>
    <row r="9" spans="1:11" ht="15.75" customHeight="1" x14ac:dyDescent="0.2">
      <c r="A9" s="392" t="s">
        <v>69</v>
      </c>
      <c r="B9" s="393"/>
      <c r="C9" s="393"/>
      <c r="D9" s="393"/>
      <c r="E9" s="393"/>
      <c r="F9" s="393"/>
      <c r="G9" s="393"/>
      <c r="H9" s="393"/>
      <c r="I9" s="393"/>
      <c r="J9" s="394"/>
      <c r="K9" s="8"/>
    </row>
    <row r="10" spans="1:11" ht="12.75" x14ac:dyDescent="0.2">
      <c r="A10" s="173" t="s">
        <v>64</v>
      </c>
      <c r="B10" s="174">
        <v>0.25</v>
      </c>
      <c r="C10" s="174">
        <v>0.5</v>
      </c>
      <c r="D10" s="174">
        <v>0</v>
      </c>
      <c r="E10" s="174">
        <f>SUM(B10:D10)</f>
        <v>0.75</v>
      </c>
      <c r="F10" s="303">
        <f>B$7*B10+C$7*C10+D$7*D10</f>
        <v>46.192000000000007</v>
      </c>
      <c r="G10" s="176">
        <v>0</v>
      </c>
      <c r="H10" s="177">
        <f>SUM(PartnerCounts!C2:C7)</f>
        <v>25</v>
      </c>
      <c r="I10" s="309">
        <f>E10*H10</f>
        <v>18.75</v>
      </c>
      <c r="J10" s="305">
        <f>(SUM(F10:G10))*H10</f>
        <v>1154.8000000000002</v>
      </c>
      <c r="K10" s="8"/>
    </row>
    <row r="11" spans="1:11" ht="12.75" x14ac:dyDescent="0.2">
      <c r="A11" s="178" t="s">
        <v>0</v>
      </c>
      <c r="B11" s="179">
        <v>0</v>
      </c>
      <c r="C11" s="179">
        <v>0</v>
      </c>
      <c r="D11" s="179">
        <v>0.5</v>
      </c>
      <c r="E11" s="174">
        <f>SUM(B11:D11)</f>
        <v>0.5</v>
      </c>
      <c r="F11" s="303">
        <f>B$7*B11+C$7*C11+D$7*D11</f>
        <v>10.728000000000002</v>
      </c>
      <c r="G11" s="175">
        <v>0</v>
      </c>
      <c r="H11" s="177">
        <f>H10</f>
        <v>25</v>
      </c>
      <c r="I11" s="309">
        <f>E11*H11</f>
        <v>12.5</v>
      </c>
      <c r="J11" s="305">
        <f>(SUM(F11:G11))*H11</f>
        <v>268.20000000000005</v>
      </c>
      <c r="K11" s="180" t="s">
        <v>53</v>
      </c>
    </row>
    <row r="12" spans="1:11" ht="13.5" thickBot="1" x14ac:dyDescent="0.25">
      <c r="A12" s="178" t="s">
        <v>67</v>
      </c>
      <c r="B12" s="181">
        <v>0</v>
      </c>
      <c r="C12" s="181">
        <v>0.5</v>
      </c>
      <c r="D12" s="181">
        <v>0</v>
      </c>
      <c r="E12" s="181">
        <f>SUM(B12:D12)</f>
        <v>0.5</v>
      </c>
      <c r="F12" s="304">
        <f>B$7*B12+C$7*C12+D$7*D12</f>
        <v>26.712000000000003</v>
      </c>
      <c r="G12" s="182">
        <v>0</v>
      </c>
      <c r="H12" s="183">
        <f>H10</f>
        <v>25</v>
      </c>
      <c r="I12" s="310">
        <f>E12*H12</f>
        <v>12.5</v>
      </c>
      <c r="J12" s="306">
        <f>(SUM(F12:G12))*H12</f>
        <v>667.80000000000007</v>
      </c>
      <c r="K12" s="8"/>
    </row>
    <row r="13" spans="1:11" ht="13.5" thickBot="1" x14ac:dyDescent="0.25">
      <c r="A13" s="184" t="s">
        <v>52</v>
      </c>
      <c r="B13" s="185"/>
      <c r="C13" s="185"/>
      <c r="D13" s="185"/>
      <c r="E13" s="185"/>
      <c r="F13" s="99"/>
      <c r="G13" s="99"/>
      <c r="H13" s="186"/>
      <c r="I13" s="311">
        <f>SUM(I10:I12)</f>
        <v>43.75</v>
      </c>
      <c r="J13" s="307">
        <f>SUM(J10:J12)</f>
        <v>2090.8000000000002</v>
      </c>
      <c r="K13" s="8"/>
    </row>
    <row r="14" spans="1:11" ht="15.75" customHeight="1" x14ac:dyDescent="0.2">
      <c r="A14" s="387" t="s">
        <v>89</v>
      </c>
      <c r="B14" s="388"/>
      <c r="C14" s="388"/>
      <c r="D14" s="388"/>
      <c r="E14" s="388"/>
      <c r="F14" s="388"/>
      <c r="G14" s="388"/>
      <c r="H14" s="388"/>
      <c r="I14" s="388"/>
      <c r="J14" s="389"/>
      <c r="K14" s="8"/>
    </row>
    <row r="15" spans="1:11" ht="12.75" x14ac:dyDescent="0.2">
      <c r="A15" s="173" t="s">
        <v>76</v>
      </c>
      <c r="B15" s="174">
        <v>0</v>
      </c>
      <c r="C15" s="174">
        <v>0.25</v>
      </c>
      <c r="D15" s="174">
        <v>0</v>
      </c>
      <c r="E15" s="174">
        <f>SUM(B15:D15)</f>
        <v>0.25</v>
      </c>
      <c r="F15" s="303">
        <f>B$7*B15+C$7*C15+D$7*D15</f>
        <v>13.356000000000002</v>
      </c>
      <c r="G15" s="175">
        <v>0</v>
      </c>
      <c r="H15" s="177">
        <f>PartnerCounts!C4+PartnerCounts!C6+PartnerCounts!C7</f>
        <v>7</v>
      </c>
      <c r="I15" s="309">
        <f>E15*H15</f>
        <v>1.75</v>
      </c>
      <c r="J15" s="305">
        <f>(SUM(F15:G15))*H15</f>
        <v>93.492000000000019</v>
      </c>
      <c r="K15" s="8"/>
    </row>
    <row r="16" spans="1:11" ht="12.75" x14ac:dyDescent="0.2">
      <c r="A16" s="173" t="s">
        <v>77</v>
      </c>
      <c r="B16" s="174">
        <v>0</v>
      </c>
      <c r="C16" s="174">
        <v>0.5</v>
      </c>
      <c r="D16" s="174">
        <v>0</v>
      </c>
      <c r="E16" s="174">
        <f>SUM(B16:D16)</f>
        <v>0.5</v>
      </c>
      <c r="F16" s="303">
        <f>B$7*B16+C$7*C16+D$7*D16</f>
        <v>26.712000000000003</v>
      </c>
      <c r="G16" s="175">
        <v>0</v>
      </c>
      <c r="H16" s="177">
        <f>PartnerCounts!E4+PartnerCounts!E6+PartnerCounts!E7</f>
        <v>320</v>
      </c>
      <c r="I16" s="309">
        <f>E16*H16</f>
        <v>160</v>
      </c>
      <c r="J16" s="305">
        <f>(SUM(F16:G16))*H16</f>
        <v>8547.84</v>
      </c>
      <c r="K16" s="8"/>
    </row>
    <row r="17" spans="1:11" ht="12.75" x14ac:dyDescent="0.2">
      <c r="A17" s="173" t="s">
        <v>5</v>
      </c>
      <c r="B17" s="174">
        <v>0</v>
      </c>
      <c r="C17" s="174">
        <v>1</v>
      </c>
      <c r="D17" s="174">
        <v>0</v>
      </c>
      <c r="E17" s="174">
        <f>SUM(B17:D17)</f>
        <v>1</v>
      </c>
      <c r="F17" s="303">
        <f>B$7*B17+C$7*C17+D$7*D17</f>
        <v>53.424000000000007</v>
      </c>
      <c r="G17" s="175">
        <v>0</v>
      </c>
      <c r="H17" s="177">
        <f>SUM(H15:H16)</f>
        <v>327</v>
      </c>
      <c r="I17" s="309">
        <f>E17*H17</f>
        <v>327</v>
      </c>
      <c r="J17" s="305">
        <f>(SUM(F17:G17))*H17</f>
        <v>17469.648000000001</v>
      </c>
      <c r="K17" s="8"/>
    </row>
    <row r="18" spans="1:11" ht="26.25" thickBot="1" x14ac:dyDescent="0.25">
      <c r="A18" s="178" t="s">
        <v>6</v>
      </c>
      <c r="B18" s="181">
        <v>0</v>
      </c>
      <c r="C18" s="181">
        <v>1</v>
      </c>
      <c r="D18" s="181">
        <v>0</v>
      </c>
      <c r="E18" s="181">
        <f>SUM(B18:D18)</f>
        <v>1</v>
      </c>
      <c r="F18" s="304">
        <f>B$7*B18+C$7*C18+D$7*D18</f>
        <v>53.424000000000007</v>
      </c>
      <c r="G18" s="182">
        <v>0</v>
      </c>
      <c r="H18" s="183">
        <f>H17</f>
        <v>327</v>
      </c>
      <c r="I18" s="309">
        <f>E18*H18</f>
        <v>327</v>
      </c>
      <c r="J18" s="305">
        <f>(SUM(F18:G18))*H18</f>
        <v>17469.648000000001</v>
      </c>
      <c r="K18" s="8"/>
    </row>
    <row r="19" spans="1:11" ht="13.5" thickBot="1" x14ac:dyDescent="0.25">
      <c r="A19" s="184" t="s">
        <v>52</v>
      </c>
      <c r="B19" s="185"/>
      <c r="C19" s="185"/>
      <c r="D19" s="185"/>
      <c r="E19" s="185"/>
      <c r="F19" s="99"/>
      <c r="G19" s="99"/>
      <c r="H19" s="186"/>
      <c r="I19" s="311">
        <f>SUM(I15:I18)</f>
        <v>815.75</v>
      </c>
      <c r="J19" s="307">
        <f>SUM(J15:J18)</f>
        <v>43580.628000000004</v>
      </c>
      <c r="K19" s="8"/>
    </row>
    <row r="20" spans="1:11" ht="15.75" customHeight="1" x14ac:dyDescent="0.2">
      <c r="A20" s="384" t="s">
        <v>94</v>
      </c>
      <c r="B20" s="385"/>
      <c r="C20" s="385"/>
      <c r="D20" s="385"/>
      <c r="E20" s="385"/>
      <c r="F20" s="385"/>
      <c r="G20" s="385"/>
      <c r="H20" s="385"/>
      <c r="I20" s="385"/>
      <c r="J20" s="386"/>
      <c r="K20" s="8"/>
    </row>
    <row r="21" spans="1:11" ht="25.5" x14ac:dyDescent="0.2">
      <c r="A21" s="173" t="s">
        <v>96</v>
      </c>
      <c r="B21" s="187">
        <v>0</v>
      </c>
      <c r="C21" s="187">
        <v>0.25</v>
      </c>
      <c r="D21" s="187">
        <v>0</v>
      </c>
      <c r="E21" s="174">
        <f>SUM(B21:D21)</f>
        <v>0.25</v>
      </c>
      <c r="F21" s="303">
        <f>B$7*B21+C$7*C21+D$7*D21</f>
        <v>13.356000000000002</v>
      </c>
      <c r="G21" s="188">
        <v>0</v>
      </c>
      <c r="H21" s="177">
        <f>ROUND(((SUM(PartnerCounts!E2:E7)+SUM(PartnerCounts!C2:C7))/4)/2,0)</f>
        <v>143</v>
      </c>
      <c r="I21" s="309">
        <f>E21*H21</f>
        <v>35.75</v>
      </c>
      <c r="J21" s="305">
        <f>(SUM(F21:G21))*H21</f>
        <v>1909.9080000000001</v>
      </c>
      <c r="K21" s="8"/>
    </row>
    <row r="22" spans="1:11" ht="13.5" thickBot="1" x14ac:dyDescent="0.25">
      <c r="A22" s="189" t="s">
        <v>58</v>
      </c>
      <c r="B22" s="93">
        <v>0</v>
      </c>
      <c r="C22" s="93">
        <v>0.5</v>
      </c>
      <c r="D22" s="93">
        <v>0</v>
      </c>
      <c r="E22" s="181">
        <f>SUM(B22:D22)</f>
        <v>0.5</v>
      </c>
      <c r="F22" s="304">
        <f>B$7*B22+C$7*C22+D$7*D22</f>
        <v>26.712000000000003</v>
      </c>
      <c r="G22" s="94">
        <v>0</v>
      </c>
      <c r="H22" s="183">
        <f>H21</f>
        <v>143</v>
      </c>
      <c r="I22" s="310">
        <f>E22*H22</f>
        <v>71.5</v>
      </c>
      <c r="J22" s="306">
        <f>(SUM(F22:G22))*H22</f>
        <v>3819.8160000000003</v>
      </c>
      <c r="K22" s="8"/>
    </row>
    <row r="23" spans="1:11" ht="13.5" thickBot="1" x14ac:dyDescent="0.25">
      <c r="A23" s="184" t="s">
        <v>52</v>
      </c>
      <c r="B23" s="185"/>
      <c r="C23" s="185"/>
      <c r="D23" s="185"/>
      <c r="E23" s="185"/>
      <c r="F23" s="99"/>
      <c r="G23" s="99"/>
      <c r="H23" s="186"/>
      <c r="I23" s="311">
        <f>SUM(I21:I22)</f>
        <v>107.25</v>
      </c>
      <c r="J23" s="307">
        <f>SUM(J21:J22)</f>
        <v>5729.7240000000002</v>
      </c>
      <c r="K23" s="8"/>
    </row>
    <row r="24" spans="1:11" ht="15.75" customHeight="1" x14ac:dyDescent="0.2">
      <c r="A24" s="384" t="s">
        <v>95</v>
      </c>
      <c r="B24" s="385"/>
      <c r="C24" s="385"/>
      <c r="D24" s="385"/>
      <c r="E24" s="385"/>
      <c r="F24" s="385"/>
      <c r="G24" s="385"/>
      <c r="H24" s="385"/>
      <c r="I24" s="385"/>
      <c r="J24" s="386"/>
      <c r="K24" s="8"/>
    </row>
    <row r="25" spans="1:11" ht="12.75" x14ac:dyDescent="0.2">
      <c r="A25" s="190" t="s">
        <v>78</v>
      </c>
      <c r="B25" s="191">
        <v>0</v>
      </c>
      <c r="C25" s="191">
        <v>0.5</v>
      </c>
      <c r="D25" s="191">
        <v>0</v>
      </c>
      <c r="E25" s="174">
        <f>SUM(B25:D25)</f>
        <v>0.5</v>
      </c>
      <c r="F25" s="303">
        <f>B$7*B25+C$7*C25+D$7*D25</f>
        <v>26.712000000000003</v>
      </c>
      <c r="G25" s="192">
        <v>0</v>
      </c>
      <c r="H25" s="250">
        <f>((SUM(PartnerCounts!E2:E7)+SUM(PartnerCounts!C2:C7))/4)-H21</f>
        <v>143.25</v>
      </c>
      <c r="I25" s="309">
        <f>E25*H25</f>
        <v>71.625</v>
      </c>
      <c r="J25" s="305">
        <f>(SUM(F25:G25))*H25</f>
        <v>3826.4940000000006</v>
      </c>
      <c r="K25" s="8"/>
    </row>
    <row r="26" spans="1:11" ht="13.5" thickBot="1" x14ac:dyDescent="0.25">
      <c r="A26" s="189" t="s">
        <v>57</v>
      </c>
      <c r="B26" s="93">
        <v>0</v>
      </c>
      <c r="C26" s="93">
        <v>0.5</v>
      </c>
      <c r="D26" s="93">
        <v>0</v>
      </c>
      <c r="E26" s="181">
        <f>SUM(B26:D26)</f>
        <v>0.5</v>
      </c>
      <c r="F26" s="304">
        <f>B$7*B26+C$7*C26+D$7*D26</f>
        <v>26.712000000000003</v>
      </c>
      <c r="G26" s="94">
        <v>0</v>
      </c>
      <c r="H26" s="193">
        <f>H25</f>
        <v>143.25</v>
      </c>
      <c r="I26" s="310">
        <f>E26*H26</f>
        <v>71.625</v>
      </c>
      <c r="J26" s="306">
        <f>(SUM(F26:G26))*H26</f>
        <v>3826.4940000000006</v>
      </c>
      <c r="K26" s="8"/>
    </row>
    <row r="27" spans="1:11" ht="13.5" thickBot="1" x14ac:dyDescent="0.25">
      <c r="A27" s="184" t="s">
        <v>52</v>
      </c>
      <c r="B27" s="185"/>
      <c r="C27" s="185"/>
      <c r="D27" s="185"/>
      <c r="E27" s="185"/>
      <c r="F27" s="99"/>
      <c r="G27" s="99"/>
      <c r="H27" s="186"/>
      <c r="I27" s="311">
        <f>SUM(I25:I26)</f>
        <v>143.25</v>
      </c>
      <c r="J27" s="307">
        <f>SUM(J25:J26)</f>
        <v>7652.9880000000012</v>
      </c>
      <c r="K27" s="8"/>
    </row>
    <row r="28" spans="1:11" ht="12.75" x14ac:dyDescent="0.2">
      <c r="A28" s="194" t="s">
        <v>54</v>
      </c>
      <c r="B28" s="195"/>
      <c r="C28" s="195"/>
      <c r="D28" s="195"/>
      <c r="E28" s="195"/>
      <c r="F28" s="196"/>
      <c r="G28" s="196"/>
      <c r="H28" s="197"/>
      <c r="I28" s="312">
        <f>I13+I19+I27+I23</f>
        <v>1110</v>
      </c>
      <c r="J28" s="308">
        <f>J13+J19+J27+J23</f>
        <v>59054.140000000014</v>
      </c>
      <c r="K28" s="8"/>
    </row>
    <row r="29" spans="1:11" ht="12.75" x14ac:dyDescent="0.2">
      <c r="A29" s="102"/>
      <c r="B29" s="1"/>
      <c r="C29" s="1"/>
      <c r="D29" s="1"/>
      <c r="E29" s="1"/>
      <c r="F29" s="1"/>
      <c r="G29" s="33"/>
      <c r="H29" s="33"/>
      <c r="I29" s="34"/>
      <c r="J29" s="34"/>
      <c r="K29" s="33"/>
    </row>
    <row r="30" spans="1:11" ht="51" customHeight="1" x14ac:dyDescent="0.2">
      <c r="A30" s="382" t="s">
        <v>133</v>
      </c>
      <c r="B30" s="382"/>
      <c r="C30" s="382"/>
      <c r="D30" s="382"/>
      <c r="E30" s="382"/>
      <c r="F30" s="382"/>
      <c r="G30" s="382"/>
      <c r="H30" s="382"/>
      <c r="I30" s="382"/>
      <c r="J30" s="382"/>
      <c r="K30" s="33"/>
    </row>
    <row r="31" spans="1:11" ht="12.75" x14ac:dyDescent="0.2">
      <c r="A31" s="367" t="s">
        <v>183</v>
      </c>
      <c r="B31" s="367"/>
      <c r="C31" s="367"/>
      <c r="D31" s="367"/>
      <c r="E31" s="367"/>
      <c r="F31" s="367"/>
      <c r="G31" s="367"/>
      <c r="H31" s="367"/>
      <c r="I31" s="367"/>
      <c r="J31" s="367"/>
      <c r="K31" s="33"/>
    </row>
    <row r="32" spans="1:11" ht="75" customHeight="1" x14ac:dyDescent="0.2">
      <c r="A32" s="367" t="s">
        <v>179</v>
      </c>
      <c r="B32" s="367"/>
      <c r="C32" s="367"/>
      <c r="D32" s="367"/>
      <c r="E32" s="367"/>
      <c r="F32" s="367"/>
      <c r="G32" s="367"/>
      <c r="H32" s="367"/>
      <c r="I32" s="367"/>
      <c r="J32" s="367"/>
      <c r="K32" s="33"/>
    </row>
    <row r="33" spans="1:11" ht="57" customHeight="1" x14ac:dyDescent="0.2">
      <c r="A33" s="367" t="s">
        <v>212</v>
      </c>
      <c r="B33" s="367"/>
      <c r="C33" s="367"/>
      <c r="D33" s="367"/>
      <c r="E33" s="367"/>
      <c r="F33" s="367"/>
      <c r="G33" s="367"/>
      <c r="H33" s="367"/>
      <c r="I33" s="367"/>
      <c r="J33" s="367"/>
      <c r="K33" s="33"/>
    </row>
  </sheetData>
  <mergeCells count="12">
    <mergeCell ref="A2:J2"/>
    <mergeCell ref="A33:J33"/>
    <mergeCell ref="A4:A8"/>
    <mergeCell ref="A32:J32"/>
    <mergeCell ref="A24:J24"/>
    <mergeCell ref="A20:J20"/>
    <mergeCell ref="A14:J14"/>
    <mergeCell ref="B4:G4"/>
    <mergeCell ref="H4:J4"/>
    <mergeCell ref="A30:J30"/>
    <mergeCell ref="A31:J31"/>
    <mergeCell ref="A9:J9"/>
  </mergeCells>
  <phoneticPr fontId="0" type="noConversion"/>
  <pageMargins left="0.75" right="0.75" top="0.5" bottom="0.5" header="0.5" footer="0.5"/>
  <pageSetup scale="98" fitToHeight="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heetViews>
  <sheetFormatPr defaultColWidth="9.33203125" defaultRowHeight="10.5" x14ac:dyDescent="0.15"/>
  <cols>
    <col min="1" max="1" width="55.83203125" style="24" customWidth="1"/>
    <col min="2" max="5" width="9.33203125" style="9"/>
    <col min="6" max="6" width="9" style="9" customWidth="1"/>
    <col min="7" max="7" width="9.33203125" style="9"/>
    <col min="8" max="8" width="12.5" style="9" customWidth="1"/>
    <col min="9" max="9" width="10.6640625" style="263" customWidth="1"/>
    <col min="10" max="10" width="15" style="9" customWidth="1"/>
    <col min="11" max="16384" width="9.33203125" style="9"/>
  </cols>
  <sheetData>
    <row r="1" spans="1:10" ht="12.75" x14ac:dyDescent="0.2">
      <c r="A1" s="30" t="s">
        <v>100</v>
      </c>
      <c r="B1" s="31"/>
      <c r="C1" s="31"/>
      <c r="D1" s="31"/>
      <c r="E1" s="31"/>
      <c r="F1" s="31"/>
      <c r="G1" s="32"/>
      <c r="H1" s="33"/>
      <c r="I1" s="34"/>
      <c r="J1" s="34"/>
    </row>
    <row r="2" spans="1:10" ht="12.75" x14ac:dyDescent="0.2">
      <c r="A2" s="370" t="s">
        <v>177</v>
      </c>
      <c r="B2" s="370"/>
      <c r="C2" s="370"/>
      <c r="D2" s="370"/>
      <c r="E2" s="370"/>
      <c r="F2" s="370"/>
      <c r="G2" s="370"/>
      <c r="H2" s="370"/>
      <c r="I2" s="370"/>
      <c r="J2" s="370"/>
    </row>
    <row r="3" spans="1:10" ht="12.75" x14ac:dyDescent="0.2">
      <c r="A3" s="30"/>
      <c r="B3" s="31"/>
      <c r="C3" s="31"/>
      <c r="D3" s="31"/>
      <c r="E3" s="31"/>
      <c r="F3" s="31"/>
      <c r="G3" s="32"/>
      <c r="H3" s="33"/>
      <c r="I3" s="34"/>
      <c r="J3" s="34"/>
    </row>
    <row r="4" spans="1:10" ht="15.75" x14ac:dyDescent="0.2">
      <c r="A4" s="383" t="s">
        <v>47</v>
      </c>
      <c r="B4" s="390" t="s">
        <v>65</v>
      </c>
      <c r="C4" s="379"/>
      <c r="D4" s="379"/>
      <c r="E4" s="379"/>
      <c r="F4" s="379"/>
      <c r="G4" s="380"/>
      <c r="H4" s="379" t="s">
        <v>37</v>
      </c>
      <c r="I4" s="379"/>
      <c r="J4" s="391"/>
    </row>
    <row r="5" spans="1:10" ht="12.75" x14ac:dyDescent="0.2">
      <c r="A5" s="368"/>
      <c r="B5" s="169"/>
      <c r="C5" s="31"/>
      <c r="D5" s="31"/>
      <c r="E5" s="31"/>
      <c r="F5" s="32"/>
      <c r="G5" s="104"/>
      <c r="H5" s="31"/>
      <c r="I5" s="42"/>
      <c r="J5" s="170"/>
    </row>
    <row r="6" spans="1:10" ht="12.75" x14ac:dyDescent="0.2">
      <c r="A6" s="368"/>
      <c r="B6" s="171" t="s">
        <v>38</v>
      </c>
      <c r="C6" s="40" t="s">
        <v>39</v>
      </c>
      <c r="D6" s="40" t="s">
        <v>40</v>
      </c>
      <c r="E6" s="40" t="s">
        <v>41</v>
      </c>
      <c r="F6" s="41" t="s">
        <v>42</v>
      </c>
      <c r="G6" s="104"/>
      <c r="H6" s="40" t="s">
        <v>60</v>
      </c>
      <c r="I6" s="42" t="s">
        <v>43</v>
      </c>
      <c r="J6" s="43" t="s">
        <v>43</v>
      </c>
    </row>
    <row r="7" spans="1:10" ht="12.75" x14ac:dyDescent="0.2">
      <c r="A7" s="368"/>
      <c r="B7" s="337">
        <f>48.7*1.6</f>
        <v>77.920000000000016</v>
      </c>
      <c r="C7" s="338">
        <f>33.39*1.6</f>
        <v>53.424000000000007</v>
      </c>
      <c r="D7" s="338">
        <f>13.41*1.6</f>
        <v>21.456000000000003</v>
      </c>
      <c r="E7" s="40" t="s">
        <v>44</v>
      </c>
      <c r="F7" s="41" t="s">
        <v>45</v>
      </c>
      <c r="G7" s="105" t="s">
        <v>46</v>
      </c>
      <c r="H7" s="40" t="s">
        <v>61</v>
      </c>
      <c r="I7" s="42" t="s">
        <v>44</v>
      </c>
      <c r="J7" s="43" t="s">
        <v>45</v>
      </c>
    </row>
    <row r="8" spans="1:10" ht="13.5" thickBot="1" x14ac:dyDescent="0.25">
      <c r="A8" s="369"/>
      <c r="B8" s="172" t="s">
        <v>48</v>
      </c>
      <c r="C8" s="44" t="s">
        <v>48</v>
      </c>
      <c r="D8" s="44" t="s">
        <v>48</v>
      </c>
      <c r="E8" s="44" t="s">
        <v>49</v>
      </c>
      <c r="F8" s="44" t="s">
        <v>49</v>
      </c>
      <c r="G8" s="106" t="s">
        <v>50</v>
      </c>
      <c r="H8" s="46" t="s">
        <v>62</v>
      </c>
      <c r="I8" s="47" t="s">
        <v>51</v>
      </c>
      <c r="J8" s="48" t="s">
        <v>51</v>
      </c>
    </row>
    <row r="9" spans="1:10" ht="15.75" customHeight="1" x14ac:dyDescent="0.2">
      <c r="A9" s="392" t="s">
        <v>69</v>
      </c>
      <c r="B9" s="393"/>
      <c r="C9" s="393"/>
      <c r="D9" s="393"/>
      <c r="E9" s="393"/>
      <c r="F9" s="393"/>
      <c r="G9" s="393"/>
      <c r="H9" s="393"/>
      <c r="I9" s="393"/>
      <c r="J9" s="394"/>
    </row>
    <row r="10" spans="1:10" ht="12.75" x14ac:dyDescent="0.2">
      <c r="A10" s="173" t="s">
        <v>64</v>
      </c>
      <c r="B10" s="174">
        <v>0.25</v>
      </c>
      <c r="C10" s="174">
        <v>0.5</v>
      </c>
      <c r="D10" s="174">
        <v>0</v>
      </c>
      <c r="E10" s="174">
        <f>SUM(B10:D10)</f>
        <v>0.75</v>
      </c>
      <c r="F10" s="303">
        <f>B$7*B10+C$7*C10+D$7*D10</f>
        <v>46.192000000000007</v>
      </c>
      <c r="G10" s="176">
        <v>0</v>
      </c>
      <c r="H10" s="177">
        <f>SUM(PartnerCounts!C2:C7)</f>
        <v>25</v>
      </c>
      <c r="I10" s="309">
        <f>E10*H10</f>
        <v>18.75</v>
      </c>
      <c r="J10" s="305">
        <f>(SUM(F10:G10))*H10</f>
        <v>1154.8000000000002</v>
      </c>
    </row>
    <row r="11" spans="1:10" ht="12.75" x14ac:dyDescent="0.2">
      <c r="A11" s="178" t="s">
        <v>0</v>
      </c>
      <c r="B11" s="179">
        <v>0</v>
      </c>
      <c r="C11" s="179">
        <v>0</v>
      </c>
      <c r="D11" s="179">
        <v>0.5</v>
      </c>
      <c r="E11" s="174">
        <f>SUM(B11:D11)</f>
        <v>0.5</v>
      </c>
      <c r="F11" s="303">
        <f>B$7*B11+C$7*C11+D$7*D11</f>
        <v>10.728000000000002</v>
      </c>
      <c r="G11" s="175">
        <v>0</v>
      </c>
      <c r="H11" s="177">
        <f>H10</f>
        <v>25</v>
      </c>
      <c r="I11" s="309">
        <f>E11*H11</f>
        <v>12.5</v>
      </c>
      <c r="J11" s="305">
        <f>(SUM(F11:G11))*H11</f>
        <v>268.20000000000005</v>
      </c>
    </row>
    <row r="12" spans="1:10" ht="13.5" thickBot="1" x14ac:dyDescent="0.25">
      <c r="A12" s="178" t="s">
        <v>67</v>
      </c>
      <c r="B12" s="181">
        <v>0</v>
      </c>
      <c r="C12" s="181">
        <v>0.5</v>
      </c>
      <c r="D12" s="181">
        <v>0</v>
      </c>
      <c r="E12" s="181">
        <f>SUM(B12:D12)</f>
        <v>0.5</v>
      </c>
      <c r="F12" s="304">
        <f>B$7*B12+C$7*C12+D$7*D12</f>
        <v>26.712000000000003</v>
      </c>
      <c r="G12" s="182">
        <v>0</v>
      </c>
      <c r="H12" s="183">
        <f>H10</f>
        <v>25</v>
      </c>
      <c r="I12" s="310">
        <f>E12*H12</f>
        <v>12.5</v>
      </c>
      <c r="J12" s="306">
        <f>(SUM(F12:G12))*H12</f>
        <v>667.80000000000007</v>
      </c>
    </row>
    <row r="13" spans="1:10" ht="13.5" thickBot="1" x14ac:dyDescent="0.25">
      <c r="A13" s="184" t="s">
        <v>52</v>
      </c>
      <c r="B13" s="185"/>
      <c r="C13" s="185"/>
      <c r="D13" s="185"/>
      <c r="E13" s="185"/>
      <c r="F13" s="99"/>
      <c r="G13" s="99"/>
      <c r="H13" s="186"/>
      <c r="I13" s="311">
        <f>SUM(I10:I12)</f>
        <v>43.75</v>
      </c>
      <c r="J13" s="307">
        <f>SUM(J10:J12)</f>
        <v>2090.8000000000002</v>
      </c>
    </row>
    <row r="14" spans="1:10" ht="15.75" customHeight="1" x14ac:dyDescent="0.2">
      <c r="A14" s="387" t="s">
        <v>89</v>
      </c>
      <c r="B14" s="388"/>
      <c r="C14" s="388"/>
      <c r="D14" s="388"/>
      <c r="E14" s="388"/>
      <c r="F14" s="388"/>
      <c r="G14" s="388"/>
      <c r="H14" s="388"/>
      <c r="I14" s="388"/>
      <c r="J14" s="389"/>
    </row>
    <row r="15" spans="1:10" ht="12.75" x14ac:dyDescent="0.2">
      <c r="A15" s="173" t="s">
        <v>76</v>
      </c>
      <c r="B15" s="174">
        <v>0</v>
      </c>
      <c r="C15" s="174">
        <v>0.25</v>
      </c>
      <c r="D15" s="174">
        <v>0</v>
      </c>
      <c r="E15" s="174">
        <f>SUM(B15:D15)</f>
        <v>0.25</v>
      </c>
      <c r="F15" s="303">
        <f>B$7*B15+C$7*C15+D$7*D15</f>
        <v>13.356000000000002</v>
      </c>
      <c r="G15" s="175">
        <v>0</v>
      </c>
      <c r="H15" s="177">
        <f>PartnerCounts!C4+PartnerCounts!C6+PartnerCounts!C7</f>
        <v>7</v>
      </c>
      <c r="I15" s="309">
        <f>E15*H15</f>
        <v>1.75</v>
      </c>
      <c r="J15" s="305">
        <f>(SUM(F15:G15))*H15</f>
        <v>93.492000000000019</v>
      </c>
    </row>
    <row r="16" spans="1:10" ht="12.75" x14ac:dyDescent="0.2">
      <c r="A16" s="173" t="s">
        <v>77</v>
      </c>
      <c r="B16" s="174">
        <v>0</v>
      </c>
      <c r="C16" s="174">
        <v>0.5</v>
      </c>
      <c r="D16" s="174">
        <v>0</v>
      </c>
      <c r="E16" s="174">
        <f>SUM(B16:D16)</f>
        <v>0.5</v>
      </c>
      <c r="F16" s="303">
        <f>B$7*B16+C$7*C16+D$7*D16</f>
        <v>26.712000000000003</v>
      </c>
      <c r="G16" s="175">
        <v>0</v>
      </c>
      <c r="H16" s="177">
        <f>PartnerCounts!F4+PartnerCounts!F6+PartnerCounts!F7</f>
        <v>324</v>
      </c>
      <c r="I16" s="309">
        <f>E16*H16</f>
        <v>162</v>
      </c>
      <c r="J16" s="305">
        <f>(SUM(F16:G16))*H16</f>
        <v>8654.6880000000019</v>
      </c>
    </row>
    <row r="17" spans="1:10" ht="12.75" x14ac:dyDescent="0.2">
      <c r="A17" s="173" t="s">
        <v>5</v>
      </c>
      <c r="B17" s="174">
        <v>0</v>
      </c>
      <c r="C17" s="174">
        <v>1</v>
      </c>
      <c r="D17" s="174">
        <v>0</v>
      </c>
      <c r="E17" s="174">
        <f>SUM(B17:D17)</f>
        <v>1</v>
      </c>
      <c r="F17" s="303">
        <f>B$7*B17+C$7*C17+D$7*D17</f>
        <v>53.424000000000007</v>
      </c>
      <c r="G17" s="175">
        <v>0</v>
      </c>
      <c r="H17" s="177">
        <f>SUM(H15:H16)</f>
        <v>331</v>
      </c>
      <c r="I17" s="309">
        <f>E17*H17</f>
        <v>331</v>
      </c>
      <c r="J17" s="305">
        <f>(SUM(F17:G17))*H17</f>
        <v>17683.344000000001</v>
      </c>
    </row>
    <row r="18" spans="1:10" ht="26.25" thickBot="1" x14ac:dyDescent="0.25">
      <c r="A18" s="178" t="s">
        <v>6</v>
      </c>
      <c r="B18" s="181">
        <v>0</v>
      </c>
      <c r="C18" s="181">
        <v>1</v>
      </c>
      <c r="D18" s="181">
        <v>0</v>
      </c>
      <c r="E18" s="181">
        <f>SUM(B18:D18)</f>
        <v>1</v>
      </c>
      <c r="F18" s="304">
        <f>B$7*B18+C$7*C18+D$7*D18</f>
        <v>53.424000000000007</v>
      </c>
      <c r="G18" s="182">
        <v>0</v>
      </c>
      <c r="H18" s="183">
        <f>H17</f>
        <v>331</v>
      </c>
      <c r="I18" s="309">
        <f>E18*H18</f>
        <v>331</v>
      </c>
      <c r="J18" s="305">
        <f>(SUM(F18:G18))*H18</f>
        <v>17683.344000000001</v>
      </c>
    </row>
    <row r="19" spans="1:10" ht="13.5" thickBot="1" x14ac:dyDescent="0.25">
      <c r="A19" s="184" t="s">
        <v>52</v>
      </c>
      <c r="B19" s="185"/>
      <c r="C19" s="185"/>
      <c r="D19" s="185"/>
      <c r="E19" s="185"/>
      <c r="F19" s="99"/>
      <c r="G19" s="99"/>
      <c r="H19" s="186"/>
      <c r="I19" s="311">
        <f>SUM(I15:I18)</f>
        <v>825.75</v>
      </c>
      <c r="J19" s="307">
        <f>SUM(J15:J18)</f>
        <v>44114.868000000002</v>
      </c>
    </row>
    <row r="20" spans="1:10" ht="15.75" customHeight="1" x14ac:dyDescent="0.2">
      <c r="A20" s="384" t="s">
        <v>94</v>
      </c>
      <c r="B20" s="385"/>
      <c r="C20" s="385"/>
      <c r="D20" s="385"/>
      <c r="E20" s="385"/>
      <c r="F20" s="385"/>
      <c r="G20" s="385"/>
      <c r="H20" s="385"/>
      <c r="I20" s="385"/>
      <c r="J20" s="386"/>
    </row>
    <row r="21" spans="1:10" ht="25.5" x14ac:dyDescent="0.2">
      <c r="A21" s="173" t="s">
        <v>96</v>
      </c>
      <c r="B21" s="187">
        <v>0</v>
      </c>
      <c r="C21" s="187">
        <v>0.25</v>
      </c>
      <c r="D21" s="187">
        <v>0</v>
      </c>
      <c r="E21" s="174">
        <f>SUM(B21:D21)</f>
        <v>0.25</v>
      </c>
      <c r="F21" s="303">
        <f>B$7*B21+C$7*C21+D$7*D21</f>
        <v>13.356000000000002</v>
      </c>
      <c r="G21" s="188">
        <v>0</v>
      </c>
      <c r="H21" s="177">
        <f>ROUND(((SUM(PartnerCounts!F2:F7)+SUM(PartnerCounts!C2:C7))/4)/2,0)</f>
        <v>145</v>
      </c>
      <c r="I21" s="309">
        <f>E21*H21</f>
        <v>36.25</v>
      </c>
      <c r="J21" s="305">
        <f>(SUM(F21:G21))*H21</f>
        <v>1936.6200000000003</v>
      </c>
    </row>
    <row r="22" spans="1:10" ht="13.5" thickBot="1" x14ac:dyDescent="0.25">
      <c r="A22" s="189" t="s">
        <v>58</v>
      </c>
      <c r="B22" s="93">
        <v>0</v>
      </c>
      <c r="C22" s="93">
        <v>0.5</v>
      </c>
      <c r="D22" s="93">
        <v>0</v>
      </c>
      <c r="E22" s="181">
        <f>SUM(B22:D22)</f>
        <v>0.5</v>
      </c>
      <c r="F22" s="304">
        <f>B$7*B22+C$7*C22+D$7*D22</f>
        <v>26.712000000000003</v>
      </c>
      <c r="G22" s="94">
        <v>0</v>
      </c>
      <c r="H22" s="183">
        <f>H21</f>
        <v>145</v>
      </c>
      <c r="I22" s="310">
        <f>E22*H22</f>
        <v>72.5</v>
      </c>
      <c r="J22" s="306">
        <f>(SUM(F22:G22))*H22</f>
        <v>3873.2400000000007</v>
      </c>
    </row>
    <row r="23" spans="1:10" ht="13.5" thickBot="1" x14ac:dyDescent="0.25">
      <c r="A23" s="184" t="s">
        <v>52</v>
      </c>
      <c r="B23" s="185"/>
      <c r="C23" s="185"/>
      <c r="D23" s="185"/>
      <c r="E23" s="185"/>
      <c r="F23" s="99"/>
      <c r="G23" s="99"/>
      <c r="H23" s="186"/>
      <c r="I23" s="311">
        <f>SUM(I21:I22)</f>
        <v>108.75</v>
      </c>
      <c r="J23" s="307">
        <f>SUM(J21:J22)</f>
        <v>5809.8600000000006</v>
      </c>
    </row>
    <row r="24" spans="1:10" ht="15.75" customHeight="1" x14ac:dyDescent="0.2">
      <c r="A24" s="384" t="s">
        <v>95</v>
      </c>
      <c r="B24" s="385"/>
      <c r="C24" s="385"/>
      <c r="D24" s="385"/>
      <c r="E24" s="385"/>
      <c r="F24" s="385"/>
      <c r="G24" s="385"/>
      <c r="H24" s="385"/>
      <c r="I24" s="385"/>
      <c r="J24" s="386"/>
    </row>
    <row r="25" spans="1:10" ht="12.75" x14ac:dyDescent="0.2">
      <c r="A25" s="190" t="s">
        <v>78</v>
      </c>
      <c r="B25" s="191">
        <v>0</v>
      </c>
      <c r="C25" s="191">
        <v>0.5</v>
      </c>
      <c r="D25" s="191">
        <v>0</v>
      </c>
      <c r="E25" s="174">
        <f>SUM(B25:D25)</f>
        <v>0.5</v>
      </c>
      <c r="F25" s="303">
        <f>B$7*B25+C$7*C25+D$7*D25</f>
        <v>26.712000000000003</v>
      </c>
      <c r="G25" s="192">
        <v>0</v>
      </c>
      <c r="H25" s="250">
        <f>((SUM(PartnerCounts!F2:F7)+SUM(PartnerCounts!C2:C7))/4)-H21</f>
        <v>145</v>
      </c>
      <c r="I25" s="309">
        <f>E25*H25</f>
        <v>72.5</v>
      </c>
      <c r="J25" s="305">
        <f>(SUM(F25:G25))*H25</f>
        <v>3873.2400000000007</v>
      </c>
    </row>
    <row r="26" spans="1:10" ht="13.5" thickBot="1" x14ac:dyDescent="0.25">
      <c r="A26" s="189" t="s">
        <v>57</v>
      </c>
      <c r="B26" s="93">
        <v>0</v>
      </c>
      <c r="C26" s="93">
        <v>0.5</v>
      </c>
      <c r="D26" s="93">
        <v>0</v>
      </c>
      <c r="E26" s="181">
        <f>SUM(B26:D26)</f>
        <v>0.5</v>
      </c>
      <c r="F26" s="304">
        <f>B$7*B26+C$7*C26+D$7*D26</f>
        <v>26.712000000000003</v>
      </c>
      <c r="G26" s="94">
        <v>0</v>
      </c>
      <c r="H26" s="193">
        <f>H25</f>
        <v>145</v>
      </c>
      <c r="I26" s="310">
        <f>E26*H26</f>
        <v>72.5</v>
      </c>
      <c r="J26" s="306">
        <f>(SUM(F26:G26))*H26</f>
        <v>3873.2400000000007</v>
      </c>
    </row>
    <row r="27" spans="1:10" ht="13.5" thickBot="1" x14ac:dyDescent="0.25">
      <c r="A27" s="184" t="s">
        <v>52</v>
      </c>
      <c r="B27" s="185"/>
      <c r="C27" s="185"/>
      <c r="D27" s="185"/>
      <c r="E27" s="185"/>
      <c r="F27" s="99"/>
      <c r="G27" s="99"/>
      <c r="H27" s="186"/>
      <c r="I27" s="311">
        <f>SUM(I25:I26)</f>
        <v>145</v>
      </c>
      <c r="J27" s="307">
        <f>SUM(J25:J26)</f>
        <v>7746.4800000000014</v>
      </c>
    </row>
    <row r="28" spans="1:10" ht="12.75" x14ac:dyDescent="0.2">
      <c r="A28" s="194" t="s">
        <v>54</v>
      </c>
      <c r="B28" s="195"/>
      <c r="C28" s="195"/>
      <c r="D28" s="195"/>
      <c r="E28" s="195"/>
      <c r="F28" s="196"/>
      <c r="G28" s="196"/>
      <c r="H28" s="197"/>
      <c r="I28" s="312">
        <f>I13+I19+I27+I23</f>
        <v>1123.25</v>
      </c>
      <c r="J28" s="308">
        <f>J13+J19+J27+J23</f>
        <v>59762.008000000009</v>
      </c>
    </row>
    <row r="29" spans="1:10" ht="12.75" x14ac:dyDescent="0.2">
      <c r="A29" s="102"/>
      <c r="B29" s="1"/>
      <c r="C29" s="1"/>
      <c r="D29" s="1"/>
      <c r="E29" s="1"/>
      <c r="F29" s="1"/>
      <c r="G29" s="33"/>
      <c r="H29" s="33"/>
      <c r="I29" s="34"/>
      <c r="J29" s="34"/>
    </row>
    <row r="30" spans="1:10" ht="51" customHeight="1" x14ac:dyDescent="0.2">
      <c r="A30" s="382" t="s">
        <v>133</v>
      </c>
      <c r="B30" s="382"/>
      <c r="C30" s="382"/>
      <c r="D30" s="382"/>
      <c r="E30" s="382"/>
      <c r="F30" s="382"/>
      <c r="G30" s="382"/>
      <c r="H30" s="382"/>
      <c r="I30" s="382"/>
      <c r="J30" s="382"/>
    </row>
    <row r="31" spans="1:10" ht="12.75" x14ac:dyDescent="0.2">
      <c r="A31" s="367" t="s">
        <v>182</v>
      </c>
      <c r="B31" s="367"/>
      <c r="C31" s="367"/>
      <c r="D31" s="367"/>
      <c r="E31" s="367"/>
      <c r="F31" s="367"/>
      <c r="G31" s="367"/>
      <c r="H31" s="367"/>
      <c r="I31" s="367"/>
      <c r="J31" s="367"/>
    </row>
    <row r="32" spans="1:10" ht="67.900000000000006" customHeight="1" x14ac:dyDescent="0.2">
      <c r="A32" s="367" t="s">
        <v>180</v>
      </c>
      <c r="B32" s="367"/>
      <c r="C32" s="367"/>
      <c r="D32" s="367"/>
      <c r="E32" s="367"/>
      <c r="F32" s="367"/>
      <c r="G32" s="367"/>
      <c r="H32" s="367"/>
      <c r="I32" s="367"/>
      <c r="J32" s="367"/>
    </row>
    <row r="33" spans="1:10" ht="53.25" customHeight="1" x14ac:dyDescent="0.2">
      <c r="A33" s="367" t="s">
        <v>213</v>
      </c>
      <c r="B33" s="367"/>
      <c r="C33" s="367"/>
      <c r="D33" s="367"/>
      <c r="E33" s="367"/>
      <c r="F33" s="367"/>
      <c r="G33" s="367"/>
      <c r="H33" s="367"/>
      <c r="I33" s="367"/>
      <c r="J33" s="367"/>
    </row>
  </sheetData>
  <mergeCells count="12">
    <mergeCell ref="A32:J32"/>
    <mergeCell ref="A33:J33"/>
    <mergeCell ref="A14:J14"/>
    <mergeCell ref="A20:J20"/>
    <mergeCell ref="A24:J24"/>
    <mergeCell ref="A30:J30"/>
    <mergeCell ref="A31:J31"/>
    <mergeCell ref="A2:J2"/>
    <mergeCell ref="A4:A8"/>
    <mergeCell ref="B4:G4"/>
    <mergeCell ref="H4:J4"/>
    <mergeCell ref="A9:J9"/>
  </mergeCells>
  <phoneticPr fontId="0" type="noConversion"/>
  <pageMargins left="0.75" right="0.75" top="0.6" bottom="0.6" header="0.5" footer="0.5"/>
  <pageSetup fitToHeight="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heetViews>
  <sheetFormatPr defaultColWidth="9.33203125" defaultRowHeight="10.5" x14ac:dyDescent="0.15"/>
  <cols>
    <col min="1" max="1" width="55.83203125" style="24" customWidth="1"/>
    <col min="2" max="5" width="9.33203125" style="9"/>
    <col min="6" max="6" width="10.5" style="9" customWidth="1"/>
    <col min="7" max="7" width="9.33203125" style="9"/>
    <col min="8" max="8" width="12.5" style="9" customWidth="1"/>
    <col min="9" max="9" width="11.1640625" style="263" customWidth="1"/>
    <col min="10" max="10" width="14.83203125" style="9" customWidth="1"/>
    <col min="11" max="16384" width="9.33203125" style="9"/>
  </cols>
  <sheetData>
    <row r="1" spans="1:10" ht="12.75" x14ac:dyDescent="0.2">
      <c r="A1" s="30" t="s">
        <v>101</v>
      </c>
      <c r="B1" s="31"/>
      <c r="C1" s="31"/>
      <c r="D1" s="31"/>
      <c r="E1" s="31"/>
      <c r="F1" s="31"/>
      <c r="G1" s="32"/>
      <c r="H1" s="33"/>
      <c r="I1" s="34"/>
      <c r="J1" s="34"/>
    </row>
    <row r="2" spans="1:10" ht="12.75" x14ac:dyDescent="0.2">
      <c r="A2" s="370" t="s">
        <v>178</v>
      </c>
      <c r="B2" s="370"/>
      <c r="C2" s="370"/>
      <c r="D2" s="370"/>
      <c r="E2" s="370"/>
      <c r="F2" s="370"/>
      <c r="G2" s="370"/>
      <c r="H2" s="370"/>
      <c r="I2" s="370"/>
      <c r="J2" s="370"/>
    </row>
    <row r="3" spans="1:10" ht="12.75" x14ac:dyDescent="0.2">
      <c r="A3" s="30"/>
      <c r="B3" s="31"/>
      <c r="C3" s="31"/>
      <c r="D3" s="31"/>
      <c r="E3" s="31"/>
      <c r="F3" s="31"/>
      <c r="G3" s="32"/>
      <c r="H3" s="33"/>
      <c r="I3" s="34"/>
      <c r="J3" s="34"/>
    </row>
    <row r="4" spans="1:10" ht="15.75" x14ac:dyDescent="0.2">
      <c r="A4" s="383" t="s">
        <v>47</v>
      </c>
      <c r="B4" s="390" t="s">
        <v>65</v>
      </c>
      <c r="C4" s="379"/>
      <c r="D4" s="379"/>
      <c r="E4" s="379"/>
      <c r="F4" s="379"/>
      <c r="G4" s="380"/>
      <c r="H4" s="379" t="s">
        <v>37</v>
      </c>
      <c r="I4" s="379"/>
      <c r="J4" s="391"/>
    </row>
    <row r="5" spans="1:10" ht="12.75" x14ac:dyDescent="0.2">
      <c r="A5" s="368"/>
      <c r="B5" s="169"/>
      <c r="C5" s="31"/>
      <c r="D5" s="31"/>
      <c r="E5" s="31"/>
      <c r="F5" s="32"/>
      <c r="G5" s="104"/>
      <c r="H5" s="31"/>
      <c r="I5" s="42"/>
      <c r="J5" s="170"/>
    </row>
    <row r="6" spans="1:10" ht="12.75" x14ac:dyDescent="0.2">
      <c r="A6" s="368"/>
      <c r="B6" s="171" t="s">
        <v>38</v>
      </c>
      <c r="C6" s="40" t="s">
        <v>39</v>
      </c>
      <c r="D6" s="40" t="s">
        <v>40</v>
      </c>
      <c r="E6" s="40" t="s">
        <v>41</v>
      </c>
      <c r="F6" s="41" t="s">
        <v>42</v>
      </c>
      <c r="G6" s="104"/>
      <c r="H6" s="40" t="s">
        <v>60</v>
      </c>
      <c r="I6" s="42" t="s">
        <v>43</v>
      </c>
      <c r="J6" s="43" t="s">
        <v>43</v>
      </c>
    </row>
    <row r="7" spans="1:10" ht="12.75" x14ac:dyDescent="0.2">
      <c r="A7" s="368"/>
      <c r="B7" s="337">
        <f>48.7*1.6</f>
        <v>77.920000000000016</v>
      </c>
      <c r="C7" s="338">
        <f>33.39*1.6</f>
        <v>53.424000000000007</v>
      </c>
      <c r="D7" s="338">
        <f>13.41*1.6</f>
        <v>21.456000000000003</v>
      </c>
      <c r="E7" s="40" t="s">
        <v>44</v>
      </c>
      <c r="F7" s="41" t="s">
        <v>45</v>
      </c>
      <c r="G7" s="105" t="s">
        <v>46</v>
      </c>
      <c r="H7" s="40" t="s">
        <v>61</v>
      </c>
      <c r="I7" s="42" t="s">
        <v>44</v>
      </c>
      <c r="J7" s="43" t="s">
        <v>45</v>
      </c>
    </row>
    <row r="8" spans="1:10" ht="13.5" thickBot="1" x14ac:dyDescent="0.25">
      <c r="A8" s="369"/>
      <c r="B8" s="172" t="s">
        <v>48</v>
      </c>
      <c r="C8" s="44" t="s">
        <v>48</v>
      </c>
      <c r="D8" s="44" t="s">
        <v>48</v>
      </c>
      <c r="E8" s="44" t="s">
        <v>49</v>
      </c>
      <c r="F8" s="44" t="s">
        <v>49</v>
      </c>
      <c r="G8" s="106" t="s">
        <v>50</v>
      </c>
      <c r="H8" s="46" t="s">
        <v>62</v>
      </c>
      <c r="I8" s="47" t="s">
        <v>51</v>
      </c>
      <c r="J8" s="48" t="s">
        <v>51</v>
      </c>
    </row>
    <row r="9" spans="1:10" ht="15.75" customHeight="1" x14ac:dyDescent="0.2">
      <c r="A9" s="392" t="s">
        <v>69</v>
      </c>
      <c r="B9" s="393"/>
      <c r="C9" s="393"/>
      <c r="D9" s="393"/>
      <c r="E9" s="393"/>
      <c r="F9" s="393"/>
      <c r="G9" s="393"/>
      <c r="H9" s="393"/>
      <c r="I9" s="393"/>
      <c r="J9" s="394"/>
    </row>
    <row r="10" spans="1:10" ht="12.75" x14ac:dyDescent="0.2">
      <c r="A10" s="173" t="s">
        <v>64</v>
      </c>
      <c r="B10" s="174">
        <v>0.25</v>
      </c>
      <c r="C10" s="174">
        <v>0.5</v>
      </c>
      <c r="D10" s="174">
        <v>0</v>
      </c>
      <c r="E10" s="174">
        <f>SUM(B10:D10)</f>
        <v>0.75</v>
      </c>
      <c r="F10" s="303">
        <f>B$7*B10+C$7*C10+D$7*D10</f>
        <v>46.192000000000007</v>
      </c>
      <c r="G10" s="176">
        <v>0</v>
      </c>
      <c r="H10" s="177">
        <f>SUM(PartnerCounts!C2:C7)</f>
        <v>25</v>
      </c>
      <c r="I10" s="309">
        <f>E10*H10</f>
        <v>18.75</v>
      </c>
      <c r="J10" s="305">
        <f>(SUM(F10:G10))*H10</f>
        <v>1154.8000000000002</v>
      </c>
    </row>
    <row r="11" spans="1:10" ht="12.75" x14ac:dyDescent="0.2">
      <c r="A11" s="178" t="s">
        <v>0</v>
      </c>
      <c r="B11" s="179">
        <v>0</v>
      </c>
      <c r="C11" s="179">
        <v>0</v>
      </c>
      <c r="D11" s="179">
        <v>0.5</v>
      </c>
      <c r="E11" s="174">
        <f>SUM(B11:D11)</f>
        <v>0.5</v>
      </c>
      <c r="F11" s="303">
        <f>B$7*B11+C$7*C11+D$7*D11</f>
        <v>10.728000000000002</v>
      </c>
      <c r="G11" s="175">
        <v>0</v>
      </c>
      <c r="H11" s="177">
        <f>H10</f>
        <v>25</v>
      </c>
      <c r="I11" s="309">
        <f>E11*H11</f>
        <v>12.5</v>
      </c>
      <c r="J11" s="305">
        <f>(SUM(F11:G11))*H11</f>
        <v>268.20000000000005</v>
      </c>
    </row>
    <row r="12" spans="1:10" ht="13.5" thickBot="1" x14ac:dyDescent="0.25">
      <c r="A12" s="178" t="s">
        <v>67</v>
      </c>
      <c r="B12" s="181">
        <v>0</v>
      </c>
      <c r="C12" s="181">
        <v>0.5</v>
      </c>
      <c r="D12" s="181">
        <v>0</v>
      </c>
      <c r="E12" s="181">
        <f>SUM(B12:D12)</f>
        <v>0.5</v>
      </c>
      <c r="F12" s="304">
        <f>B$7*B12+C$7*C12+D$7*D12</f>
        <v>26.712000000000003</v>
      </c>
      <c r="G12" s="182">
        <v>0</v>
      </c>
      <c r="H12" s="183">
        <f>H10</f>
        <v>25</v>
      </c>
      <c r="I12" s="310">
        <f>E12*H12</f>
        <v>12.5</v>
      </c>
      <c r="J12" s="306">
        <f>(SUM(F12:G12))*H12</f>
        <v>667.80000000000007</v>
      </c>
    </row>
    <row r="13" spans="1:10" ht="13.5" thickBot="1" x14ac:dyDescent="0.25">
      <c r="A13" s="184" t="s">
        <v>52</v>
      </c>
      <c r="B13" s="185"/>
      <c r="C13" s="185"/>
      <c r="D13" s="185"/>
      <c r="E13" s="185"/>
      <c r="F13" s="99"/>
      <c r="G13" s="99"/>
      <c r="H13" s="186"/>
      <c r="I13" s="311">
        <f>SUM(I10:I12)</f>
        <v>43.75</v>
      </c>
      <c r="J13" s="307">
        <f>SUM(J10:J12)</f>
        <v>2090.8000000000002</v>
      </c>
    </row>
    <row r="14" spans="1:10" ht="15.75" customHeight="1" x14ac:dyDescent="0.2">
      <c r="A14" s="387" t="s">
        <v>89</v>
      </c>
      <c r="B14" s="388"/>
      <c r="C14" s="388"/>
      <c r="D14" s="388"/>
      <c r="E14" s="388"/>
      <c r="F14" s="388"/>
      <c r="G14" s="388"/>
      <c r="H14" s="388"/>
      <c r="I14" s="388"/>
      <c r="J14" s="389"/>
    </row>
    <row r="15" spans="1:10" ht="12.75" x14ac:dyDescent="0.2">
      <c r="A15" s="173" t="s">
        <v>76</v>
      </c>
      <c r="B15" s="174">
        <v>0</v>
      </c>
      <c r="C15" s="174">
        <v>0.25</v>
      </c>
      <c r="D15" s="174">
        <v>0</v>
      </c>
      <c r="E15" s="174">
        <f>SUM(B15:D15)</f>
        <v>0.25</v>
      </c>
      <c r="F15" s="303">
        <f>B$7*B15+C$7*C15+D$7*D15</f>
        <v>13.356000000000002</v>
      </c>
      <c r="G15" s="175">
        <v>0</v>
      </c>
      <c r="H15" s="177">
        <f>PartnerCounts!C4+PartnerCounts!C6+PartnerCounts!C7</f>
        <v>7</v>
      </c>
      <c r="I15" s="309">
        <f>E15*H15</f>
        <v>1.75</v>
      </c>
      <c r="J15" s="305">
        <f>(SUM(F15:G15))*H15</f>
        <v>93.492000000000019</v>
      </c>
    </row>
    <row r="16" spans="1:10" ht="12.75" x14ac:dyDescent="0.2">
      <c r="A16" s="173" t="s">
        <v>77</v>
      </c>
      <c r="B16" s="174">
        <v>0</v>
      </c>
      <c r="C16" s="174">
        <v>0.5</v>
      </c>
      <c r="D16" s="174">
        <v>0</v>
      </c>
      <c r="E16" s="174">
        <f>SUM(B16:D16)</f>
        <v>0.5</v>
      </c>
      <c r="F16" s="303">
        <f>B$7*B16+C$7*C16+D$7*D16</f>
        <v>26.712000000000003</v>
      </c>
      <c r="G16" s="175">
        <v>0</v>
      </c>
      <c r="H16" s="177">
        <f>PartnerCounts!G4+PartnerCounts!G6+PartnerCounts!G7</f>
        <v>328</v>
      </c>
      <c r="I16" s="309">
        <f>E16*H16</f>
        <v>164</v>
      </c>
      <c r="J16" s="305">
        <f>(SUM(F16:G16))*H16</f>
        <v>8761.5360000000019</v>
      </c>
    </row>
    <row r="17" spans="1:10" ht="14.25" customHeight="1" x14ac:dyDescent="0.2">
      <c r="A17" s="173" t="s">
        <v>5</v>
      </c>
      <c r="B17" s="174">
        <v>0</v>
      </c>
      <c r="C17" s="174">
        <v>1</v>
      </c>
      <c r="D17" s="174">
        <v>0</v>
      </c>
      <c r="E17" s="174">
        <f>SUM(B17:D17)</f>
        <v>1</v>
      </c>
      <c r="F17" s="303">
        <f>B$7*B17+C$7*C17+D$7*D17</f>
        <v>53.424000000000007</v>
      </c>
      <c r="G17" s="175">
        <v>0</v>
      </c>
      <c r="H17" s="177">
        <f>SUM(H15:H16)</f>
        <v>335</v>
      </c>
      <c r="I17" s="309">
        <f>E17*H17</f>
        <v>335</v>
      </c>
      <c r="J17" s="305">
        <f>(SUM(F17:G17))*H17</f>
        <v>17897.04</v>
      </c>
    </row>
    <row r="18" spans="1:10" ht="26.25" thickBot="1" x14ac:dyDescent="0.25">
      <c r="A18" s="178" t="s">
        <v>6</v>
      </c>
      <c r="B18" s="181">
        <v>0</v>
      </c>
      <c r="C18" s="181">
        <v>1</v>
      </c>
      <c r="D18" s="181">
        <v>0</v>
      </c>
      <c r="E18" s="181">
        <f>SUM(B18:D18)</f>
        <v>1</v>
      </c>
      <c r="F18" s="304">
        <f>B$7*B18+C$7*C18+D$7*D18</f>
        <v>53.424000000000007</v>
      </c>
      <c r="G18" s="182">
        <v>0</v>
      </c>
      <c r="H18" s="183">
        <f>H17</f>
        <v>335</v>
      </c>
      <c r="I18" s="309">
        <f>E18*H18</f>
        <v>335</v>
      </c>
      <c r="J18" s="305">
        <f>(SUM(F18:G18))*H18</f>
        <v>17897.04</v>
      </c>
    </row>
    <row r="19" spans="1:10" ht="13.5" thickBot="1" x14ac:dyDescent="0.25">
      <c r="A19" s="184" t="s">
        <v>52</v>
      </c>
      <c r="B19" s="185"/>
      <c r="C19" s="185"/>
      <c r="D19" s="185"/>
      <c r="E19" s="185"/>
      <c r="F19" s="99"/>
      <c r="G19" s="99"/>
      <c r="H19" s="186"/>
      <c r="I19" s="311">
        <f>SUM(I15:I18)</f>
        <v>835.75</v>
      </c>
      <c r="J19" s="307">
        <f>SUM(J15:J18)</f>
        <v>44649.108000000007</v>
      </c>
    </row>
    <row r="20" spans="1:10" ht="15.75" customHeight="1" x14ac:dyDescent="0.2">
      <c r="A20" s="384" t="s">
        <v>94</v>
      </c>
      <c r="B20" s="385"/>
      <c r="C20" s="385"/>
      <c r="D20" s="385"/>
      <c r="E20" s="385"/>
      <c r="F20" s="385"/>
      <c r="G20" s="385"/>
      <c r="H20" s="385"/>
      <c r="I20" s="385"/>
      <c r="J20" s="386"/>
    </row>
    <row r="21" spans="1:10" ht="25.5" x14ac:dyDescent="0.2">
      <c r="A21" s="173" t="s">
        <v>96</v>
      </c>
      <c r="B21" s="187">
        <v>0</v>
      </c>
      <c r="C21" s="187">
        <v>0.25</v>
      </c>
      <c r="D21" s="187">
        <v>0</v>
      </c>
      <c r="E21" s="174">
        <f>SUM(B21:D21)</f>
        <v>0.25</v>
      </c>
      <c r="F21" s="303">
        <f>B$7*B21+C$7*C21+D$7*D21</f>
        <v>13.356000000000002</v>
      </c>
      <c r="G21" s="188">
        <v>0</v>
      </c>
      <c r="H21" s="177">
        <f>ROUND(((SUM(PartnerCounts!G2:G7)+SUM(PartnerCounts!C2:C7))/4)/2,0)</f>
        <v>147</v>
      </c>
      <c r="I21" s="309">
        <f>E21*H21</f>
        <v>36.75</v>
      </c>
      <c r="J21" s="305">
        <f>(SUM(F21:G21))*H21</f>
        <v>1963.3320000000003</v>
      </c>
    </row>
    <row r="22" spans="1:10" ht="13.5" thickBot="1" x14ac:dyDescent="0.25">
      <c r="A22" s="189" t="s">
        <v>58</v>
      </c>
      <c r="B22" s="93">
        <v>0</v>
      </c>
      <c r="C22" s="93">
        <v>0.5</v>
      </c>
      <c r="D22" s="93">
        <v>0</v>
      </c>
      <c r="E22" s="181">
        <f>SUM(B22:D22)</f>
        <v>0.5</v>
      </c>
      <c r="F22" s="304">
        <f>B$7*B22+C$7*C22+D$7*D22</f>
        <v>26.712000000000003</v>
      </c>
      <c r="G22" s="94">
        <v>0</v>
      </c>
      <c r="H22" s="183">
        <f>H21</f>
        <v>147</v>
      </c>
      <c r="I22" s="310">
        <f>E22*H22</f>
        <v>73.5</v>
      </c>
      <c r="J22" s="306">
        <f>(SUM(F22:G22))*H22</f>
        <v>3926.6640000000007</v>
      </c>
    </row>
    <row r="23" spans="1:10" ht="13.5" thickBot="1" x14ac:dyDescent="0.25">
      <c r="A23" s="184" t="s">
        <v>52</v>
      </c>
      <c r="B23" s="185"/>
      <c r="C23" s="185"/>
      <c r="D23" s="185"/>
      <c r="E23" s="185"/>
      <c r="F23" s="99"/>
      <c r="G23" s="99"/>
      <c r="H23" s="186"/>
      <c r="I23" s="311">
        <f>SUM(I21:I22)</f>
        <v>110.25</v>
      </c>
      <c r="J23" s="307">
        <f>SUM(J21:J22)</f>
        <v>5889.996000000001</v>
      </c>
    </row>
    <row r="24" spans="1:10" ht="15.75" customHeight="1" x14ac:dyDescent="0.2">
      <c r="A24" s="384" t="s">
        <v>95</v>
      </c>
      <c r="B24" s="385"/>
      <c r="C24" s="385"/>
      <c r="D24" s="385"/>
      <c r="E24" s="385"/>
      <c r="F24" s="385"/>
      <c r="G24" s="385"/>
      <c r="H24" s="385"/>
      <c r="I24" s="385"/>
      <c r="J24" s="386"/>
    </row>
    <row r="25" spans="1:10" ht="12.75" x14ac:dyDescent="0.2">
      <c r="A25" s="190" t="s">
        <v>78</v>
      </c>
      <c r="B25" s="191">
        <v>0</v>
      </c>
      <c r="C25" s="191">
        <v>0.5</v>
      </c>
      <c r="D25" s="191">
        <v>0</v>
      </c>
      <c r="E25" s="174">
        <f>SUM(B25:D25)</f>
        <v>0.5</v>
      </c>
      <c r="F25" s="303">
        <f>B$7*B25+C$7*C25+D$7*D25</f>
        <v>26.712000000000003</v>
      </c>
      <c r="G25" s="192">
        <v>0</v>
      </c>
      <c r="H25" s="250">
        <f>((SUM(PartnerCounts!G2:G7)+SUM(PartnerCounts!C2:C7))/4)-H21</f>
        <v>146.75</v>
      </c>
      <c r="I25" s="309">
        <f>E25*H25</f>
        <v>73.375</v>
      </c>
      <c r="J25" s="305">
        <f>(SUM(F25:G25))*H25</f>
        <v>3919.9860000000003</v>
      </c>
    </row>
    <row r="26" spans="1:10" ht="13.5" thickBot="1" x14ac:dyDescent="0.25">
      <c r="A26" s="189" t="s">
        <v>57</v>
      </c>
      <c r="B26" s="93">
        <v>0</v>
      </c>
      <c r="C26" s="93">
        <v>0.5</v>
      </c>
      <c r="D26" s="93">
        <v>0</v>
      </c>
      <c r="E26" s="181">
        <f>SUM(B26:D26)</f>
        <v>0.5</v>
      </c>
      <c r="F26" s="304">
        <f>B$7*B26+C$7*C26+D$7*D26</f>
        <v>26.712000000000003</v>
      </c>
      <c r="G26" s="94">
        <v>0</v>
      </c>
      <c r="H26" s="193">
        <f>H25</f>
        <v>146.75</v>
      </c>
      <c r="I26" s="310">
        <f>E26*H26</f>
        <v>73.375</v>
      </c>
      <c r="J26" s="306">
        <f>(SUM(F26:G26))*H26</f>
        <v>3919.9860000000003</v>
      </c>
    </row>
    <row r="27" spans="1:10" ht="13.5" thickBot="1" x14ac:dyDescent="0.25">
      <c r="A27" s="184" t="s">
        <v>52</v>
      </c>
      <c r="B27" s="185"/>
      <c r="C27" s="185"/>
      <c r="D27" s="185"/>
      <c r="E27" s="185"/>
      <c r="F27" s="99"/>
      <c r="G27" s="99"/>
      <c r="H27" s="186"/>
      <c r="I27" s="311">
        <f>SUM(I25:I26)</f>
        <v>146.75</v>
      </c>
      <c r="J27" s="307">
        <f>SUM(J25:J26)</f>
        <v>7839.9720000000007</v>
      </c>
    </row>
    <row r="28" spans="1:10" ht="12.75" x14ac:dyDescent="0.2">
      <c r="A28" s="194" t="s">
        <v>54</v>
      </c>
      <c r="B28" s="195"/>
      <c r="C28" s="195"/>
      <c r="D28" s="195"/>
      <c r="E28" s="195"/>
      <c r="F28" s="196"/>
      <c r="G28" s="196"/>
      <c r="H28" s="197"/>
      <c r="I28" s="312">
        <f>I13+I19+I27+I23</f>
        <v>1136.5</v>
      </c>
      <c r="J28" s="308">
        <f>J13+J19+J27+J23</f>
        <v>60469.876000000011</v>
      </c>
    </row>
    <row r="29" spans="1:10" ht="12.75" x14ac:dyDescent="0.2">
      <c r="A29" s="102"/>
      <c r="B29" s="1"/>
      <c r="C29" s="1"/>
      <c r="D29" s="1"/>
      <c r="E29" s="1"/>
      <c r="F29" s="1"/>
      <c r="G29" s="33"/>
      <c r="H29" s="33"/>
      <c r="I29" s="34"/>
      <c r="J29" s="34"/>
    </row>
    <row r="30" spans="1:10" ht="51" customHeight="1" x14ac:dyDescent="0.2">
      <c r="A30" s="382" t="s">
        <v>133</v>
      </c>
      <c r="B30" s="382"/>
      <c r="C30" s="382"/>
      <c r="D30" s="382"/>
      <c r="E30" s="382"/>
      <c r="F30" s="382"/>
      <c r="G30" s="382"/>
      <c r="H30" s="382"/>
      <c r="I30" s="382"/>
      <c r="J30" s="382"/>
    </row>
    <row r="31" spans="1:10" ht="12.75" x14ac:dyDescent="0.2">
      <c r="A31" s="367" t="s">
        <v>181</v>
      </c>
      <c r="B31" s="367"/>
      <c r="C31" s="367"/>
      <c r="D31" s="367"/>
      <c r="E31" s="367"/>
      <c r="F31" s="367"/>
      <c r="G31" s="367"/>
      <c r="H31" s="367"/>
      <c r="I31" s="367"/>
      <c r="J31" s="367"/>
    </row>
    <row r="32" spans="1:10" ht="69.599999999999994" customHeight="1" x14ac:dyDescent="0.2">
      <c r="A32" s="367" t="s">
        <v>184</v>
      </c>
      <c r="B32" s="367"/>
      <c r="C32" s="367"/>
      <c r="D32" s="367"/>
      <c r="E32" s="367"/>
      <c r="F32" s="367"/>
      <c r="G32" s="367"/>
      <c r="H32" s="367"/>
      <c r="I32" s="367"/>
      <c r="J32" s="367"/>
    </row>
    <row r="33" spans="1:10" ht="54.75" customHeight="1" x14ac:dyDescent="0.2">
      <c r="A33" s="367" t="s">
        <v>214</v>
      </c>
      <c r="B33" s="367"/>
      <c r="C33" s="367"/>
      <c r="D33" s="367"/>
      <c r="E33" s="367"/>
      <c r="F33" s="367"/>
      <c r="G33" s="367"/>
      <c r="H33" s="367"/>
      <c r="I33" s="367"/>
      <c r="J33" s="367"/>
    </row>
  </sheetData>
  <mergeCells count="12">
    <mergeCell ref="A32:J32"/>
    <mergeCell ref="A33:J33"/>
    <mergeCell ref="A14:J14"/>
    <mergeCell ref="A20:J20"/>
    <mergeCell ref="A24:J24"/>
    <mergeCell ref="A30:J30"/>
    <mergeCell ref="A31:J31"/>
    <mergeCell ref="A2:J2"/>
    <mergeCell ref="A4:A8"/>
    <mergeCell ref="B4:G4"/>
    <mergeCell ref="H4:J4"/>
    <mergeCell ref="A9:J9"/>
  </mergeCells>
  <phoneticPr fontId="0" type="noConversion"/>
  <pageMargins left="0.75" right="0.75" top="0.6" bottom="0.6" header="0.5" footer="0.5"/>
  <pageSetup fitToHeight="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activeCell="A29" sqref="A29"/>
    </sheetView>
  </sheetViews>
  <sheetFormatPr defaultColWidth="9.1640625" defaultRowHeight="12.75" x14ac:dyDescent="0.2"/>
  <cols>
    <col min="1" max="1" width="15.6640625" style="315" customWidth="1"/>
    <col min="2" max="2" width="41.5" style="315" customWidth="1"/>
    <col min="3" max="3" width="48.5" style="315" customWidth="1"/>
    <col min="4" max="4" width="42.33203125" style="315" customWidth="1"/>
    <col min="5" max="16384" width="9.1640625" style="315"/>
  </cols>
  <sheetData>
    <row r="1" spans="1:5" x14ac:dyDescent="0.2">
      <c r="A1" s="316" t="s">
        <v>141</v>
      </c>
    </row>
    <row r="2" spans="1:5" x14ac:dyDescent="0.2">
      <c r="B2" s="318" t="s">
        <v>151</v>
      </c>
      <c r="C2" s="318" t="s">
        <v>142</v>
      </c>
      <c r="D2" s="321" t="s">
        <v>146</v>
      </c>
    </row>
    <row r="3" spans="1:5" x14ac:dyDescent="0.2">
      <c r="A3" s="317" t="s">
        <v>137</v>
      </c>
      <c r="B3" s="320">
        <v>48.7</v>
      </c>
      <c r="C3" s="322" t="s">
        <v>143</v>
      </c>
    </row>
    <row r="4" spans="1:5" x14ac:dyDescent="0.2">
      <c r="A4" s="317" t="s">
        <v>138</v>
      </c>
      <c r="B4" s="320">
        <v>33.39</v>
      </c>
      <c r="C4" s="322" t="s">
        <v>144</v>
      </c>
    </row>
    <row r="5" spans="1:5" x14ac:dyDescent="0.2">
      <c r="A5" s="317" t="s">
        <v>139</v>
      </c>
      <c r="B5" s="320">
        <v>13.41</v>
      </c>
      <c r="C5" s="322" t="s">
        <v>145</v>
      </c>
    </row>
    <row r="8" spans="1:5" x14ac:dyDescent="0.2">
      <c r="A8" s="316" t="s">
        <v>8</v>
      </c>
    </row>
    <row r="9" spans="1:5" x14ac:dyDescent="0.2">
      <c r="B9" s="318" t="s">
        <v>150</v>
      </c>
      <c r="C9" s="318" t="s">
        <v>148</v>
      </c>
      <c r="D9" s="321" t="s">
        <v>147</v>
      </c>
    </row>
    <row r="10" spans="1:5" x14ac:dyDescent="0.2">
      <c r="A10" s="317" t="s">
        <v>137</v>
      </c>
      <c r="B10" s="320">
        <v>51.78</v>
      </c>
      <c r="C10" s="322" t="s">
        <v>154</v>
      </c>
    </row>
    <row r="11" spans="1:5" x14ac:dyDescent="0.2">
      <c r="A11" s="317" t="s">
        <v>138</v>
      </c>
      <c r="B11" s="320">
        <v>45.42</v>
      </c>
      <c r="C11" s="322" t="s">
        <v>153</v>
      </c>
    </row>
    <row r="12" spans="1:5" x14ac:dyDescent="0.2">
      <c r="A12" s="317" t="s">
        <v>139</v>
      </c>
      <c r="B12" s="320">
        <v>26.45</v>
      </c>
      <c r="C12" s="322" t="s">
        <v>149</v>
      </c>
    </row>
    <row r="14" spans="1:5" x14ac:dyDescent="0.2">
      <c r="A14" s="323" t="s">
        <v>157</v>
      </c>
      <c r="C14" s="318" t="s">
        <v>161</v>
      </c>
      <c r="D14" s="321" t="s">
        <v>158</v>
      </c>
    </row>
    <row r="15" spans="1:5" x14ac:dyDescent="0.2">
      <c r="C15" s="315" t="s">
        <v>160</v>
      </c>
    </row>
    <row r="16" spans="1:5" x14ac:dyDescent="0.2">
      <c r="A16" s="324" t="s">
        <v>162</v>
      </c>
      <c r="B16" s="324" t="s">
        <v>163</v>
      </c>
      <c r="C16" s="324" t="s">
        <v>164</v>
      </c>
      <c r="D16" s="324" t="s">
        <v>165</v>
      </c>
      <c r="E16" s="318" t="s">
        <v>129</v>
      </c>
    </row>
    <row r="17" spans="1:5" x14ac:dyDescent="0.2">
      <c r="A17" s="319">
        <v>0.7</v>
      </c>
      <c r="B17" s="319">
        <v>0.4</v>
      </c>
      <c r="C17" s="319">
        <v>0.5</v>
      </c>
      <c r="D17" s="319">
        <v>0.4</v>
      </c>
      <c r="E17" s="325">
        <f>SUM(A17:D17)</f>
        <v>2</v>
      </c>
    </row>
    <row r="20" spans="1:5" x14ac:dyDescent="0.2">
      <c r="A20" s="316" t="s">
        <v>140</v>
      </c>
    </row>
    <row r="21" spans="1:5" x14ac:dyDescent="0.2">
      <c r="B21" s="318" t="s">
        <v>150</v>
      </c>
      <c r="C21" s="318" t="s">
        <v>148</v>
      </c>
      <c r="D21" s="321" t="s">
        <v>152</v>
      </c>
    </row>
    <row r="22" spans="1:5" x14ac:dyDescent="0.2">
      <c r="A22" s="317" t="s">
        <v>36</v>
      </c>
      <c r="B22" s="320">
        <v>67.069999999999993</v>
      </c>
      <c r="C22" s="322" t="s">
        <v>156</v>
      </c>
    </row>
    <row r="23" spans="1:5" x14ac:dyDescent="0.2">
      <c r="A23" s="317" t="s">
        <v>137</v>
      </c>
      <c r="B23" s="320">
        <v>61.64</v>
      </c>
      <c r="C23" s="322" t="s">
        <v>154</v>
      </c>
    </row>
    <row r="24" spans="1:5" x14ac:dyDescent="0.2">
      <c r="A24" s="317" t="s">
        <v>138</v>
      </c>
      <c r="B24" s="320">
        <v>42.06</v>
      </c>
      <c r="C24" s="322" t="s">
        <v>155</v>
      </c>
    </row>
    <row r="25" spans="1:5" x14ac:dyDescent="0.2">
      <c r="A25" s="317" t="s">
        <v>139</v>
      </c>
      <c r="B25" s="320">
        <v>27.46</v>
      </c>
      <c r="C25" s="322" t="s">
        <v>149</v>
      </c>
    </row>
    <row r="27" spans="1:5" x14ac:dyDescent="0.2">
      <c r="A27" s="323" t="s">
        <v>159</v>
      </c>
      <c r="C27" s="318" t="s">
        <v>161</v>
      </c>
      <c r="D27" s="321" t="s">
        <v>158</v>
      </c>
    </row>
    <row r="28" spans="1:5" x14ac:dyDescent="0.2">
      <c r="C28" s="315" t="s">
        <v>166</v>
      </c>
    </row>
    <row r="29" spans="1:5" x14ac:dyDescent="0.2">
      <c r="A29" s="324" t="s">
        <v>162</v>
      </c>
      <c r="B29" s="324" t="s">
        <v>163</v>
      </c>
      <c r="C29" s="324" t="s">
        <v>164</v>
      </c>
      <c r="D29" s="324" t="s">
        <v>165</v>
      </c>
      <c r="E29" s="318" t="s">
        <v>129</v>
      </c>
    </row>
    <row r="30" spans="1:5" x14ac:dyDescent="0.2">
      <c r="A30" s="319">
        <v>0.6</v>
      </c>
      <c r="B30" s="319">
        <v>0.4</v>
      </c>
      <c r="C30" s="319">
        <v>2.8</v>
      </c>
      <c r="D30" s="319">
        <v>-2.5</v>
      </c>
      <c r="E30" s="325">
        <f>SUM(A30:D30)</f>
        <v>1.2999999999999998</v>
      </c>
    </row>
  </sheetData>
  <hyperlinks>
    <hyperlink ref="D2" r:id="rId1"/>
    <hyperlink ref="D9" r:id="rId2"/>
    <hyperlink ref="D21" r:id="rId3"/>
    <hyperlink ref="D14" r:id="rId4"/>
    <hyperlink ref="D27" r:id="rId5"/>
  </hyperlinks>
  <pageMargins left="0.7" right="0.7" top="0.75" bottom="0.75" header="0.3" footer="0.3"/>
  <pageSetup scale="80" orientation="landscape"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topLeftCell="A22" zoomScaleNormal="100" zoomScaleSheetLayoutView="100" workbookViewId="0">
      <selection activeCell="O26" sqref="O26"/>
    </sheetView>
  </sheetViews>
  <sheetFormatPr defaultColWidth="9.33203125" defaultRowHeight="10.5" x14ac:dyDescent="0.15"/>
  <cols>
    <col min="1" max="1" width="21.5" style="9" customWidth="1"/>
    <col min="2" max="7" width="11.33203125" style="9" customWidth="1"/>
    <col min="8" max="8" width="13.83203125" style="9" customWidth="1"/>
    <col min="9" max="9" width="11.33203125" style="9" customWidth="1"/>
    <col min="10" max="10" width="9.83203125" style="9" bestFit="1" customWidth="1"/>
    <col min="11" max="11" width="9.33203125" style="9"/>
    <col min="12" max="12" width="24.33203125" style="9" customWidth="1"/>
    <col min="13" max="13" width="20.6640625" style="9" customWidth="1"/>
    <col min="14" max="14" width="17.33203125" style="9" customWidth="1"/>
    <col min="15" max="15" width="18.1640625" style="9" customWidth="1"/>
    <col min="16" max="17" width="18.5" style="9" customWidth="1"/>
    <col min="18" max="16384" width="9.33203125" style="9"/>
  </cols>
  <sheetData>
    <row r="1" spans="1:13" ht="12.75" x14ac:dyDescent="0.2">
      <c r="A1" s="198"/>
    </row>
    <row r="2" spans="1:13" ht="12.75" x14ac:dyDescent="0.2">
      <c r="A2" s="198" t="s">
        <v>25</v>
      </c>
      <c r="J2" s="5"/>
      <c r="K2" s="5"/>
    </row>
    <row r="3" spans="1:13" ht="11.25" thickBot="1" x14ac:dyDescent="0.2">
      <c r="J3" s="5"/>
      <c r="K3" s="5"/>
    </row>
    <row r="4" spans="1:13" ht="15" customHeight="1" x14ac:dyDescent="0.2">
      <c r="A4" s="199"/>
      <c r="B4" s="421">
        <v>2016</v>
      </c>
      <c r="C4" s="422"/>
      <c r="D4" s="402">
        <v>2017</v>
      </c>
      <c r="E4" s="423"/>
      <c r="F4" s="402">
        <v>2018</v>
      </c>
      <c r="G4" s="403"/>
      <c r="H4" s="404" t="s">
        <v>7</v>
      </c>
      <c r="I4" s="405"/>
      <c r="J4" s="12"/>
      <c r="K4" s="5"/>
    </row>
    <row r="5" spans="1:13" ht="15" customHeight="1" x14ac:dyDescent="0.15">
      <c r="A5" s="200" t="s">
        <v>26</v>
      </c>
      <c r="B5" s="201" t="s">
        <v>27</v>
      </c>
      <c r="C5" s="202" t="s">
        <v>90</v>
      </c>
      <c r="D5" s="15" t="s">
        <v>27</v>
      </c>
      <c r="E5" s="202" t="s">
        <v>90</v>
      </c>
      <c r="F5" s="15" t="s">
        <v>27</v>
      </c>
      <c r="G5" s="202" t="s">
        <v>90</v>
      </c>
      <c r="H5" s="15" t="s">
        <v>27</v>
      </c>
      <c r="I5" s="202" t="s">
        <v>90</v>
      </c>
      <c r="J5" s="5"/>
      <c r="K5" s="5"/>
    </row>
    <row r="6" spans="1:13" ht="15" customHeight="1" x14ac:dyDescent="0.15">
      <c r="A6" s="203" t="s">
        <v>29</v>
      </c>
      <c r="B6" s="204">
        <f>PartnerCounts!E7</f>
        <v>143</v>
      </c>
      <c r="C6" s="17">
        <f>PartnerCounts!C7</f>
        <v>3</v>
      </c>
      <c r="D6" s="205">
        <f>PartnerCounts!F7</f>
        <v>145</v>
      </c>
      <c r="E6" s="17">
        <f>PartnerCounts!C7</f>
        <v>3</v>
      </c>
      <c r="F6" s="205">
        <f>PartnerCounts!G7</f>
        <v>147</v>
      </c>
      <c r="G6" s="18">
        <f>PartnerCounts!C7</f>
        <v>3</v>
      </c>
      <c r="H6" s="206">
        <f t="shared" ref="H6:I8" si="0">AVERAGE(B6,D6,F6)</f>
        <v>145</v>
      </c>
      <c r="I6" s="17">
        <f t="shared" si="0"/>
        <v>3</v>
      </c>
      <c r="J6" s="5"/>
      <c r="K6" s="5"/>
    </row>
    <row r="7" spans="1:13" ht="15" customHeight="1" x14ac:dyDescent="0.15">
      <c r="A7" s="203" t="s">
        <v>8</v>
      </c>
      <c r="B7" s="204">
        <f>PartnerCounts!E3</f>
        <v>39</v>
      </c>
      <c r="C7" s="17">
        <f>PartnerCounts!C3</f>
        <v>1</v>
      </c>
      <c r="D7" s="205">
        <f>PartnerCounts!F3</f>
        <v>39</v>
      </c>
      <c r="E7" s="17">
        <f>PartnerCounts!C3</f>
        <v>1</v>
      </c>
      <c r="F7" s="205">
        <f>PartnerCounts!G3</f>
        <v>39</v>
      </c>
      <c r="G7" s="18">
        <f>PartnerCounts!C3</f>
        <v>1</v>
      </c>
      <c r="H7" s="206">
        <f t="shared" si="0"/>
        <v>39</v>
      </c>
      <c r="I7" s="17">
        <f t="shared" si="0"/>
        <v>1</v>
      </c>
      <c r="J7" s="5"/>
      <c r="K7" s="5"/>
    </row>
    <row r="8" spans="1:13" ht="15" customHeight="1" x14ac:dyDescent="0.15">
      <c r="A8" s="207" t="s">
        <v>79</v>
      </c>
      <c r="B8" s="204">
        <f>PartnerCounts!E4</f>
        <v>112</v>
      </c>
      <c r="C8" s="17">
        <f>PartnerCounts!C4</f>
        <v>2</v>
      </c>
      <c r="D8" s="205">
        <f>PartnerCounts!F4</f>
        <v>113</v>
      </c>
      <c r="E8" s="17">
        <f>PartnerCounts!C4</f>
        <v>2</v>
      </c>
      <c r="F8" s="205">
        <f>PartnerCounts!G4</f>
        <v>114</v>
      </c>
      <c r="G8" s="18">
        <f>PartnerCounts!C4</f>
        <v>2</v>
      </c>
      <c r="H8" s="206">
        <f t="shared" si="0"/>
        <v>113</v>
      </c>
      <c r="I8" s="17">
        <f t="shared" si="0"/>
        <v>2</v>
      </c>
    </row>
    <row r="9" spans="1:13" ht="15" customHeight="1" x14ac:dyDescent="0.15">
      <c r="A9" s="208" t="s">
        <v>91</v>
      </c>
      <c r="B9" s="209"/>
      <c r="C9" s="19"/>
      <c r="D9" s="209"/>
      <c r="E9" s="19"/>
      <c r="F9" s="209"/>
      <c r="G9" s="19"/>
      <c r="H9" s="210"/>
      <c r="I9" s="211"/>
    </row>
    <row r="10" spans="1:13" ht="15" customHeight="1" x14ac:dyDescent="0.15">
      <c r="A10" s="212" t="s">
        <v>97</v>
      </c>
      <c r="B10" s="213">
        <f>PartnerCounts!E5</f>
        <v>721</v>
      </c>
      <c r="C10" s="22">
        <f>PartnerCounts!C5</f>
        <v>16</v>
      </c>
      <c r="D10" s="214">
        <f>PartnerCounts!F5</f>
        <v>731</v>
      </c>
      <c r="E10" s="22">
        <f>PartnerCounts!C5</f>
        <v>16</v>
      </c>
      <c r="F10" s="214">
        <f>PartnerCounts!G5</f>
        <v>741</v>
      </c>
      <c r="G10" s="23">
        <f>PartnerCounts!C5</f>
        <v>16</v>
      </c>
      <c r="H10" s="215">
        <f t="shared" ref="H10:I12" si="1">AVERAGE(B10,D10,F10)</f>
        <v>731</v>
      </c>
      <c r="I10" s="22">
        <f t="shared" si="1"/>
        <v>16</v>
      </c>
    </row>
    <row r="11" spans="1:13" ht="15" customHeight="1" x14ac:dyDescent="0.15">
      <c r="A11" s="216" t="s">
        <v>98</v>
      </c>
      <c r="B11" s="217">
        <f>PartnerCounts!E6</f>
        <v>65</v>
      </c>
      <c r="C11" s="20">
        <f>PartnerCounts!C6</f>
        <v>2</v>
      </c>
      <c r="D11" s="218">
        <f>PartnerCounts!F6</f>
        <v>66</v>
      </c>
      <c r="E11" s="20">
        <f>PartnerCounts!C6</f>
        <v>2</v>
      </c>
      <c r="F11" s="218">
        <f>PartnerCounts!G6</f>
        <v>67</v>
      </c>
      <c r="G11" s="21">
        <f>PartnerCounts!C6</f>
        <v>2</v>
      </c>
      <c r="H11" s="219">
        <f t="shared" si="1"/>
        <v>66</v>
      </c>
      <c r="I11" s="20">
        <f t="shared" si="1"/>
        <v>2</v>
      </c>
    </row>
    <row r="12" spans="1:13" ht="15" customHeight="1" thickBot="1" x14ac:dyDescent="0.2">
      <c r="A12" s="203" t="s">
        <v>30</v>
      </c>
      <c r="B12" s="204">
        <f>PartnerCounts!E2</f>
        <v>40</v>
      </c>
      <c r="C12" s="17">
        <f>PartnerCounts!C2</f>
        <v>1</v>
      </c>
      <c r="D12" s="205">
        <f>PartnerCounts!F2</f>
        <v>41</v>
      </c>
      <c r="E12" s="17">
        <f>PartnerCounts!C2</f>
        <v>1</v>
      </c>
      <c r="F12" s="205">
        <f>PartnerCounts!G2</f>
        <v>42</v>
      </c>
      <c r="G12" s="18">
        <f>PartnerCounts!C2</f>
        <v>1</v>
      </c>
      <c r="H12" s="206">
        <f t="shared" si="1"/>
        <v>41</v>
      </c>
      <c r="I12" s="17">
        <f t="shared" si="1"/>
        <v>1</v>
      </c>
    </row>
    <row r="13" spans="1:13" ht="13.5" thickBot="1" x14ac:dyDescent="0.2">
      <c r="A13" s="220" t="s">
        <v>54</v>
      </c>
      <c r="B13" s="221">
        <f>SUM(B6:B8)+SUM(B10:B12)</f>
        <v>1120</v>
      </c>
      <c r="C13" s="222">
        <f t="shared" ref="C13:I13" si="2">SUM(C6:C8)+SUM(C10:C12)</f>
        <v>25</v>
      </c>
      <c r="D13" s="223">
        <f t="shared" si="2"/>
        <v>1135</v>
      </c>
      <c r="E13" s="222">
        <f t="shared" si="2"/>
        <v>25</v>
      </c>
      <c r="F13" s="223">
        <f t="shared" si="2"/>
        <v>1150</v>
      </c>
      <c r="G13" s="224">
        <f t="shared" si="2"/>
        <v>25</v>
      </c>
      <c r="H13" s="225">
        <f t="shared" si="2"/>
        <v>1135</v>
      </c>
      <c r="I13" s="226">
        <f t="shared" si="2"/>
        <v>25</v>
      </c>
    </row>
    <row r="14" spans="1:13" x14ac:dyDescent="0.15">
      <c r="A14" s="5"/>
      <c r="B14" s="5"/>
      <c r="C14" s="5"/>
      <c r="D14" s="5"/>
      <c r="E14" s="5"/>
      <c r="F14" s="5"/>
      <c r="G14" s="5"/>
      <c r="H14" s="5"/>
      <c r="I14" s="5"/>
      <c r="J14" s="10"/>
    </row>
    <row r="15" spans="1:13" ht="45.6" customHeight="1" x14ac:dyDescent="0.15">
      <c r="A15" s="415" t="s">
        <v>215</v>
      </c>
      <c r="B15" s="415"/>
      <c r="C15" s="415"/>
      <c r="D15" s="415"/>
      <c r="E15" s="415"/>
      <c r="F15" s="415"/>
      <c r="G15" s="415"/>
      <c r="H15" s="415"/>
      <c r="I15" s="415"/>
      <c r="J15" s="25"/>
      <c r="K15" s="25"/>
      <c r="L15" s="25"/>
      <c r="M15" s="25"/>
    </row>
    <row r="16" spans="1:13" ht="18" customHeight="1" x14ac:dyDescent="0.15">
      <c r="A16" s="26"/>
      <c r="B16" s="26"/>
      <c r="C16" s="26"/>
      <c r="D16" s="26"/>
      <c r="E16" s="26"/>
      <c r="F16" s="26"/>
      <c r="G16" s="26"/>
      <c r="H16" s="26"/>
      <c r="I16" s="26"/>
      <c r="J16" s="26"/>
      <c r="K16" s="26"/>
      <c r="L16" s="26"/>
      <c r="M16" s="26"/>
    </row>
    <row r="17" spans="1:17" ht="15" customHeight="1" x14ac:dyDescent="0.2">
      <c r="A17" s="198"/>
    </row>
    <row r="18" spans="1:17" ht="15" customHeight="1" x14ac:dyDescent="0.2">
      <c r="A18" s="198" t="s">
        <v>34</v>
      </c>
      <c r="L18" s="341" t="s">
        <v>219</v>
      </c>
      <c r="N18" s="341"/>
      <c r="O18" s="341"/>
    </row>
    <row r="19" spans="1:17" ht="15" customHeight="1" x14ac:dyDescent="0.2">
      <c r="A19" s="227"/>
      <c r="B19" s="227"/>
      <c r="C19" s="227"/>
      <c r="D19" s="227"/>
      <c r="E19" s="227"/>
      <c r="F19" s="228" t="s">
        <v>27</v>
      </c>
      <c r="G19" s="228" t="s">
        <v>28</v>
      </c>
      <c r="H19" s="227"/>
      <c r="I19" s="5"/>
      <c r="J19" s="5"/>
      <c r="M19" s="424"/>
      <c r="N19" s="424"/>
    </row>
    <row r="20" spans="1:17" s="24" customFormat="1" ht="23.45" customHeight="1" x14ac:dyDescent="0.2">
      <c r="A20" s="14"/>
      <c r="B20" s="412" t="s">
        <v>26</v>
      </c>
      <c r="C20" s="413"/>
      <c r="D20" s="413"/>
      <c r="E20" s="413"/>
      <c r="F20" s="414" t="s">
        <v>9</v>
      </c>
      <c r="G20" s="414"/>
      <c r="H20" s="230" t="s">
        <v>43</v>
      </c>
      <c r="L20" s="342" t="s">
        <v>220</v>
      </c>
      <c r="M20" s="358" t="s">
        <v>237</v>
      </c>
      <c r="N20" s="358" t="s">
        <v>238</v>
      </c>
      <c r="O20" s="343" t="s">
        <v>218</v>
      </c>
    </row>
    <row r="21" spans="1:17" ht="12.75" x14ac:dyDescent="0.2">
      <c r="A21" s="406" t="s">
        <v>31</v>
      </c>
      <c r="B21" s="407" t="s">
        <v>29</v>
      </c>
      <c r="C21" s="408"/>
      <c r="D21" s="408"/>
      <c r="E21" s="409"/>
      <c r="F21" s="333">
        <f>'Existing Comm'!$I$19</f>
        <v>670</v>
      </c>
      <c r="G21" s="333">
        <f>'New Comm'!$I$24</f>
        <v>22</v>
      </c>
      <c r="H21" s="232">
        <f>(F21+G21)*3</f>
        <v>2076</v>
      </c>
      <c r="L21" s="344" t="s">
        <v>29</v>
      </c>
      <c r="M21" s="344">
        <f>'Existing Comm'!H9+'Existing Comm'!H15</f>
        <v>181</v>
      </c>
      <c r="N21" s="344">
        <f>'New Comm'!H9+'New Comm'!H14+'New Comm'!H20</f>
        <v>7</v>
      </c>
      <c r="O21" s="344">
        <f>SUM(M21:N21)</f>
        <v>188</v>
      </c>
    </row>
    <row r="22" spans="1:17" ht="12.75" x14ac:dyDescent="0.2">
      <c r="A22" s="406"/>
      <c r="B22" s="407" t="s">
        <v>8</v>
      </c>
      <c r="C22" s="408"/>
      <c r="D22" s="408"/>
      <c r="E22" s="409"/>
      <c r="F22" s="333">
        <f>'Existing Endorser'!$I$12</f>
        <v>7.5</v>
      </c>
      <c r="G22" s="333">
        <f>'New Endorser'!$I$18</f>
        <v>1.5</v>
      </c>
      <c r="H22" s="232">
        <f>(F22+G22)*3</f>
        <v>27</v>
      </c>
      <c r="L22" s="344" t="s">
        <v>8</v>
      </c>
      <c r="M22" s="344">
        <f>'Existing Endorser'!H9</f>
        <v>10</v>
      </c>
      <c r="N22" s="344">
        <f>'New Endorser'!H9</f>
        <v>1</v>
      </c>
      <c r="O22" s="344">
        <f>SUM(M22:N22)</f>
        <v>11</v>
      </c>
    </row>
    <row r="23" spans="1:17" ht="12.75" x14ac:dyDescent="0.2">
      <c r="A23" s="406"/>
      <c r="B23" s="407" t="s">
        <v>93</v>
      </c>
      <c r="C23" s="410"/>
      <c r="D23" s="410"/>
      <c r="E23" s="411"/>
      <c r="F23" s="333">
        <f>'Existing Ind Non-Dev'!$J$12</f>
        <v>457.5</v>
      </c>
      <c r="G23" s="333">
        <f>'New Ind Non-Dev'!$J$18</f>
        <v>42</v>
      </c>
      <c r="H23" s="232">
        <f>(F23+G23)*3</f>
        <v>1498.5</v>
      </c>
      <c r="L23" s="344" t="s">
        <v>93</v>
      </c>
      <c r="M23" s="345">
        <f>'Existing Ind Non-Dev'!I9</f>
        <v>183</v>
      </c>
      <c r="N23" s="345">
        <f>'New Ind Non-Dev'!I9+'New Ind Non-Dev'!I14</f>
        <v>20</v>
      </c>
      <c r="O23" s="344">
        <f>SUM(M23:N23)</f>
        <v>203</v>
      </c>
    </row>
    <row r="24" spans="1:17" ht="12.75" x14ac:dyDescent="0.2">
      <c r="A24" s="406"/>
      <c r="B24" s="407" t="s">
        <v>92</v>
      </c>
      <c r="C24" s="408"/>
      <c r="D24" s="408"/>
      <c r="E24" s="409"/>
      <c r="F24" s="333">
        <f>'Existing Energy &amp; Dev'!$J$19</f>
        <v>1276</v>
      </c>
      <c r="G24" s="333">
        <f>'New Energy &amp; Dev'!$J$24</f>
        <v>36.5</v>
      </c>
      <c r="H24" s="232">
        <f>(F24+G24)*3</f>
        <v>3937.5</v>
      </c>
      <c r="L24" s="344" t="s">
        <v>92</v>
      </c>
      <c r="M24" s="344">
        <f>'Existing Energy &amp; Dev'!I9+'Existing Energy &amp; Dev'!I15</f>
        <v>224</v>
      </c>
      <c r="N24" s="344">
        <f>'New Energy &amp; Dev'!I9+'New Energy &amp; Dev'!I14+'New Energy &amp; Dev'!I20</f>
        <v>9</v>
      </c>
      <c r="O24" s="344">
        <f>SUM(M24:N24)</f>
        <v>233</v>
      </c>
    </row>
    <row r="25" spans="1:17" ht="12.75" x14ac:dyDescent="0.2">
      <c r="A25" s="406"/>
      <c r="B25" s="407" t="s">
        <v>30</v>
      </c>
      <c r="C25" s="408"/>
      <c r="D25" s="408"/>
      <c r="E25" s="409"/>
      <c r="F25" s="333">
        <f>'Existing State'!$I$12</f>
        <v>7.5</v>
      </c>
      <c r="G25" s="333">
        <f>'New State'!$I$18</f>
        <v>1.5</v>
      </c>
      <c r="H25" s="232">
        <f>(F25+G25)*3</f>
        <v>27</v>
      </c>
      <c r="L25" s="344" t="s">
        <v>30</v>
      </c>
      <c r="M25" s="344">
        <f>'Existing State'!H9</f>
        <v>10</v>
      </c>
      <c r="N25" s="344">
        <f>'New State'!H9</f>
        <v>1</v>
      </c>
      <c r="O25" s="344">
        <f>SUM(M25:N25)</f>
        <v>11</v>
      </c>
    </row>
    <row r="26" spans="1:17" ht="13.5" x14ac:dyDescent="0.2">
      <c r="A26" s="406"/>
      <c r="B26" s="418" t="s">
        <v>32</v>
      </c>
      <c r="C26" s="419"/>
      <c r="D26" s="419"/>
      <c r="E26" s="420"/>
      <c r="F26" s="333">
        <f>SUM(F21:F25)</f>
        <v>2418.5</v>
      </c>
      <c r="G26" s="333">
        <f>SUM(G21:G25)</f>
        <v>103.5</v>
      </c>
      <c r="H26" s="232">
        <f>SUM(F26:G26)*3</f>
        <v>7566</v>
      </c>
      <c r="L26" s="344" t="s">
        <v>216</v>
      </c>
      <c r="M26" s="342">
        <f>SUM(M21:M25)</f>
        <v>608</v>
      </c>
      <c r="N26" s="342">
        <f>SUM(N21:N25)</f>
        <v>38</v>
      </c>
      <c r="O26" s="342">
        <f>SUM(O21:O25)</f>
        <v>646</v>
      </c>
    </row>
    <row r="27" spans="1:17" ht="13.5" x14ac:dyDescent="0.2">
      <c r="A27" s="406"/>
      <c r="B27" s="416" t="s">
        <v>2</v>
      </c>
      <c r="C27" s="417"/>
      <c r="D27" s="417"/>
      <c r="E27" s="417"/>
      <c r="F27" s="333">
        <f>F26/H13</f>
        <v>2.1308370044052865</v>
      </c>
      <c r="G27" s="333">
        <f>G26/I13</f>
        <v>4.1399999999999997</v>
      </c>
      <c r="H27" s="232" t="s">
        <v>3</v>
      </c>
      <c r="L27" s="344" t="s">
        <v>217</v>
      </c>
      <c r="M27" s="346">
        <f>F26/M26</f>
        <v>3.9777960526315788</v>
      </c>
      <c r="N27" s="346">
        <f>G26/N26</f>
        <v>2.7236842105263159</v>
      </c>
      <c r="O27" s="359">
        <f>SUM(F26:G26)/O26</f>
        <v>3.9040247678018574</v>
      </c>
    </row>
    <row r="28" spans="1:17" ht="12.75" x14ac:dyDescent="0.15">
      <c r="A28" s="406" t="s">
        <v>50</v>
      </c>
      <c r="B28" s="434" t="s">
        <v>26</v>
      </c>
      <c r="C28" s="435"/>
      <c r="D28" s="435"/>
      <c r="E28" s="435"/>
      <c r="F28" s="435"/>
      <c r="G28" s="435"/>
      <c r="H28" s="436"/>
    </row>
    <row r="29" spans="1:17" ht="12.75" x14ac:dyDescent="0.15">
      <c r="A29" s="406"/>
      <c r="B29" s="407" t="s">
        <v>29</v>
      </c>
      <c r="C29" s="408"/>
      <c r="D29" s="408"/>
      <c r="E29" s="409"/>
      <c r="F29" s="11">
        <f>'Existing Comm'!$J$19</f>
        <v>32934.680000000008</v>
      </c>
      <c r="G29" s="11">
        <f>'New Comm'!$J$24</f>
        <v>1104.96</v>
      </c>
      <c r="H29" s="11">
        <f t="shared" ref="H29:H34" si="3">SUM(F29:G29)*3</f>
        <v>102118.92000000001</v>
      </c>
      <c r="I29" s="13"/>
      <c r="J29" s="5"/>
    </row>
    <row r="30" spans="1:17" ht="13.5" thickBot="1" x14ac:dyDescent="0.2">
      <c r="A30" s="406"/>
      <c r="B30" s="407" t="s">
        <v>8</v>
      </c>
      <c r="C30" s="408"/>
      <c r="D30" s="408"/>
      <c r="E30" s="409"/>
      <c r="F30" s="11">
        <f>'Existing Endorser'!$J$12</f>
        <v>729.67229999999995</v>
      </c>
      <c r="G30" s="11">
        <f>'New Endorser'!$J$18</f>
        <v>132.42914999999999</v>
      </c>
      <c r="H30" s="11">
        <f t="shared" si="3"/>
        <v>2586.3043499999994</v>
      </c>
      <c r="I30" s="13"/>
      <c r="J30" s="5"/>
    </row>
    <row r="31" spans="1:17" ht="15.75" x14ac:dyDescent="0.15">
      <c r="A31" s="406"/>
      <c r="B31" s="407" t="s">
        <v>93</v>
      </c>
      <c r="C31" s="410"/>
      <c r="D31" s="410"/>
      <c r="E31" s="411"/>
      <c r="F31" s="11">
        <f>'Existing Ind Non-Dev'!$K$12</f>
        <v>40934.463885000005</v>
      </c>
      <c r="G31" s="11">
        <f>'New Ind Non-Dev'!$K$18</f>
        <v>4268.2998120000002</v>
      </c>
      <c r="H31" s="11">
        <f t="shared" si="3"/>
        <v>135608.29109100002</v>
      </c>
      <c r="I31" s="13"/>
      <c r="J31" s="5"/>
      <c r="M31" s="425"/>
      <c r="N31" s="426"/>
      <c r="O31" s="426"/>
      <c r="P31" s="426"/>
      <c r="Q31" s="427"/>
    </row>
    <row r="32" spans="1:17" ht="16.5" customHeight="1" x14ac:dyDescent="0.15">
      <c r="A32" s="406"/>
      <c r="B32" s="407" t="s">
        <v>92</v>
      </c>
      <c r="C32" s="408"/>
      <c r="D32" s="408"/>
      <c r="E32" s="409"/>
      <c r="F32" s="11">
        <f>'Existing Energy &amp; Dev'!$K$19</f>
        <v>112337.543661</v>
      </c>
      <c r="G32" s="11">
        <f>'New Energy &amp; Dev'!$K$24</f>
        <v>3352.4758889999998</v>
      </c>
      <c r="H32" s="11">
        <f t="shared" si="3"/>
        <v>347070.05865000002</v>
      </c>
      <c r="I32" s="13"/>
      <c r="J32" s="5"/>
      <c r="M32" s="438" t="s">
        <v>222</v>
      </c>
      <c r="N32" s="439"/>
      <c r="O32" s="439"/>
      <c r="P32" s="439"/>
      <c r="Q32" s="440"/>
    </row>
    <row r="33" spans="1:17" ht="12.75" x14ac:dyDescent="0.15">
      <c r="A33" s="406"/>
      <c r="B33" s="433" t="s">
        <v>30</v>
      </c>
      <c r="C33" s="433"/>
      <c r="D33" s="433"/>
      <c r="E33" s="433"/>
      <c r="F33" s="11">
        <f>'Existing State'!$J$12</f>
        <v>400.67999999999995</v>
      </c>
      <c r="G33" s="11">
        <f>'New State'!$J$18</f>
        <v>76.400000000000006</v>
      </c>
      <c r="H33" s="11">
        <f t="shared" si="3"/>
        <v>1431.2399999999998</v>
      </c>
      <c r="I33" s="13"/>
      <c r="J33" s="5"/>
      <c r="M33" s="441"/>
      <c r="N33" s="442"/>
      <c r="O33" s="442"/>
      <c r="P33" s="442"/>
      <c r="Q33" s="443"/>
    </row>
    <row r="34" spans="1:17" ht="13.5" x14ac:dyDescent="0.2">
      <c r="A34" s="406"/>
      <c r="B34" s="418" t="s">
        <v>33</v>
      </c>
      <c r="C34" s="431"/>
      <c r="D34" s="431"/>
      <c r="E34" s="432"/>
      <c r="F34" s="11">
        <f>SUM(F29:F33)</f>
        <v>187337.039846</v>
      </c>
      <c r="G34" s="11">
        <f>SUM(G29:G33)</f>
        <v>8934.5648509999992</v>
      </c>
      <c r="H34" s="233">
        <f t="shared" si="3"/>
        <v>588814.81409100001</v>
      </c>
      <c r="M34" s="352" t="s">
        <v>223</v>
      </c>
      <c r="N34" s="350" t="s">
        <v>225</v>
      </c>
      <c r="O34" s="350" t="s">
        <v>227</v>
      </c>
      <c r="P34" s="350" t="s">
        <v>228</v>
      </c>
      <c r="Q34" s="353" t="s">
        <v>230</v>
      </c>
    </row>
    <row r="35" spans="1:17" ht="60" x14ac:dyDescent="0.2">
      <c r="A35" s="406"/>
      <c r="B35" s="430" t="s">
        <v>4</v>
      </c>
      <c r="C35" s="430"/>
      <c r="D35" s="430"/>
      <c r="E35" s="430"/>
      <c r="F35" s="11">
        <f>F34/H13</f>
        <v>165.05466065726873</v>
      </c>
      <c r="G35" s="11">
        <f>G34/I13</f>
        <v>357.38259403999996</v>
      </c>
      <c r="H35" s="233" t="s">
        <v>3</v>
      </c>
      <c r="M35" s="352"/>
      <c r="N35" s="350"/>
      <c r="O35" s="350"/>
      <c r="P35" s="349" t="s">
        <v>229</v>
      </c>
      <c r="Q35" s="353" t="s">
        <v>231</v>
      </c>
    </row>
    <row r="36" spans="1:17" ht="24" x14ac:dyDescent="0.2">
      <c r="B36" s="418" t="s">
        <v>125</v>
      </c>
      <c r="C36" s="431"/>
      <c r="D36" s="431"/>
      <c r="E36" s="432"/>
      <c r="F36" s="11"/>
      <c r="G36" s="11"/>
      <c r="H36" s="233">
        <f>3*(('New State'!G11*'New State'!H11)+('New Endorser'!G11*'New Endorser'!H11)+('New Ind Non-Dev'!H11*'New Ind Non-Dev'!I11)+('New Comm'!G11*'New Comm'!H11)+('New Energy &amp; Dev'!H11*'New Energy &amp; Dev'!I11)+('New Comm'!G11*'New Comm'!H11)+('New Energy &amp; Dev'!H11*'New Energy &amp; Dev'!I11))</f>
        <v>0</v>
      </c>
      <c r="I36" s="5"/>
      <c r="J36" s="5"/>
      <c r="M36" s="352" t="s">
        <v>224</v>
      </c>
      <c r="N36" s="350" t="s">
        <v>226</v>
      </c>
      <c r="O36" s="350" t="s">
        <v>221</v>
      </c>
      <c r="P36" s="351"/>
      <c r="Q36" s="353" t="s">
        <v>232</v>
      </c>
    </row>
    <row r="37" spans="1:17" ht="24.75" customHeight="1" x14ac:dyDescent="0.15">
      <c r="A37" s="429"/>
      <c r="B37" s="429"/>
      <c r="C37" s="429"/>
      <c r="D37" s="429"/>
      <c r="E37" s="429"/>
      <c r="F37" s="429"/>
      <c r="G37" s="429"/>
      <c r="H37" s="429"/>
      <c r="I37" s="429"/>
      <c r="J37" s="5"/>
      <c r="M37" s="401" t="s">
        <v>234</v>
      </c>
      <c r="N37" s="399">
        <v>25</v>
      </c>
      <c r="O37" s="395">
        <v>1</v>
      </c>
      <c r="P37" s="395" t="s">
        <v>233</v>
      </c>
      <c r="Q37" s="397">
        <f>N37*O37</f>
        <v>25</v>
      </c>
    </row>
    <row r="38" spans="1:17" x14ac:dyDescent="0.15">
      <c r="M38" s="401"/>
      <c r="N38" s="400"/>
      <c r="O38" s="396"/>
      <c r="P38" s="396"/>
      <c r="Q38" s="398"/>
    </row>
    <row r="39" spans="1:17" ht="12.75" x14ac:dyDescent="0.2">
      <c r="A39" s="198"/>
      <c r="M39" s="401" t="s">
        <v>235</v>
      </c>
      <c r="N39" s="395">
        <f>'Existing State'!H9+'New State'!H14+'Existing Endorser'!H9+'New Endorser'!H14+'Existing Ind Non-Dev'!I9+'New Ind Non-Dev'!I14+'Existing Comm'!H15+'New Comm'!H20+'Existing Energy &amp; Dev'!I15+'New Energy &amp; Dev'!I20</f>
        <v>290</v>
      </c>
      <c r="O39" s="399">
        <v>1</v>
      </c>
      <c r="P39" s="395" t="s">
        <v>233</v>
      </c>
      <c r="Q39" s="397">
        <f>N39*O39</f>
        <v>290</v>
      </c>
    </row>
    <row r="40" spans="1:17" ht="12.75" x14ac:dyDescent="0.2">
      <c r="A40" s="198" t="s">
        <v>35</v>
      </c>
      <c r="H40" s="5"/>
      <c r="I40" s="5"/>
      <c r="J40" s="5"/>
      <c r="K40" s="5"/>
      <c r="L40" s="5"/>
      <c r="M40" s="401"/>
      <c r="N40" s="396"/>
      <c r="O40" s="400"/>
      <c r="P40" s="396"/>
      <c r="Q40" s="398"/>
    </row>
    <row r="41" spans="1:17" x14ac:dyDescent="0.15">
      <c r="H41" s="5"/>
      <c r="I41" s="5"/>
      <c r="J41" s="5"/>
      <c r="K41" s="5"/>
      <c r="L41" s="5"/>
      <c r="M41" s="437" t="s">
        <v>236</v>
      </c>
      <c r="N41" s="395">
        <f>'Existing Comm'!H9+'New Comm'!H14+'Existing Energy &amp; Dev'!I9+'New Energy &amp; Dev'!I14</f>
        <v>331</v>
      </c>
      <c r="O41" s="399">
        <v>1</v>
      </c>
      <c r="P41" s="395" t="s">
        <v>233</v>
      </c>
      <c r="Q41" s="397">
        <f>N41*O41</f>
        <v>331</v>
      </c>
    </row>
    <row r="42" spans="1:17" ht="12.75" x14ac:dyDescent="0.15">
      <c r="A42" s="27"/>
      <c r="B42" s="234">
        <v>2016</v>
      </c>
      <c r="C42" s="235">
        <v>2017</v>
      </c>
      <c r="D42" s="235">
        <v>2018</v>
      </c>
      <c r="E42" s="235" t="s">
        <v>7</v>
      </c>
      <c r="F42" s="235" t="s">
        <v>43</v>
      </c>
      <c r="H42" s="5"/>
      <c r="I42" s="5"/>
      <c r="J42" s="16"/>
      <c r="K42" s="5"/>
      <c r="L42" s="5"/>
      <c r="M42" s="437"/>
      <c r="N42" s="396"/>
      <c r="O42" s="400"/>
      <c r="P42" s="396"/>
      <c r="Q42" s="398"/>
    </row>
    <row r="43" spans="1:17" ht="13.5" thickBot="1" x14ac:dyDescent="0.2">
      <c r="A43" s="229" t="s">
        <v>31</v>
      </c>
      <c r="B43" s="236">
        <f>'Agency-1'!I28</f>
        <v>1110</v>
      </c>
      <c r="C43" s="236">
        <f>'Agency-2'!I28</f>
        <v>1123.25</v>
      </c>
      <c r="D43" s="236">
        <f>'Agency-3'!I28</f>
        <v>1136.5</v>
      </c>
      <c r="E43" s="231">
        <f>AVERAGE(B43:D43)</f>
        <v>1123.25</v>
      </c>
      <c r="F43" s="237">
        <f>SUM(B43:D43)</f>
        <v>3369.75</v>
      </c>
      <c r="H43" s="5"/>
      <c r="I43" s="5"/>
      <c r="J43" s="16"/>
      <c r="K43" s="5"/>
      <c r="L43" s="5"/>
      <c r="M43" s="354"/>
      <c r="N43" s="355"/>
      <c r="O43" s="355"/>
      <c r="P43" s="355" t="s">
        <v>43</v>
      </c>
      <c r="Q43" s="356">
        <f>SUM(Q37:Q41)</f>
        <v>646</v>
      </c>
    </row>
    <row r="44" spans="1:17" ht="12.75" x14ac:dyDescent="0.15">
      <c r="A44" s="229" t="s">
        <v>50</v>
      </c>
      <c r="B44" s="238">
        <f>'Agency-1'!J28</f>
        <v>59054.140000000014</v>
      </c>
      <c r="C44" s="238">
        <f>'Agency-2'!J28</f>
        <v>59762.008000000009</v>
      </c>
      <c r="D44" s="238">
        <f>'Agency-3'!J28</f>
        <v>60469.876000000011</v>
      </c>
      <c r="E44" s="11">
        <f>AVERAGE(B44:D44)</f>
        <v>59762.008000000009</v>
      </c>
      <c r="F44" s="239">
        <f>SUM(B44:D44)</f>
        <v>179286.02400000003</v>
      </c>
      <c r="H44" s="5"/>
      <c r="I44" s="5"/>
      <c r="J44" s="16"/>
      <c r="K44" s="5"/>
      <c r="L44" s="5"/>
    </row>
    <row r="45" spans="1:17" ht="12" x14ac:dyDescent="0.15">
      <c r="H45" s="5"/>
      <c r="I45" s="5"/>
      <c r="J45" s="5"/>
      <c r="K45" s="5"/>
      <c r="L45" s="5"/>
      <c r="M45" s="428"/>
      <c r="N45" s="428"/>
      <c r="O45" s="428"/>
      <c r="P45" s="348"/>
      <c r="Q45" s="348"/>
    </row>
    <row r="46" spans="1:17" ht="12" x14ac:dyDescent="0.15">
      <c r="H46" s="5"/>
      <c r="I46" s="5"/>
      <c r="J46" s="5"/>
      <c r="K46" s="5"/>
      <c r="L46" s="5"/>
      <c r="M46" s="428"/>
      <c r="N46" s="428"/>
      <c r="O46" s="428"/>
      <c r="P46" s="347"/>
      <c r="Q46" s="347"/>
    </row>
    <row r="47" spans="1:17" x14ac:dyDescent="0.15">
      <c r="G47" s="9" t="s">
        <v>197</v>
      </c>
      <c r="I47" s="5"/>
      <c r="J47" s="5"/>
      <c r="K47" s="5"/>
      <c r="L47" s="5"/>
      <c r="M47" s="5"/>
      <c r="N47" s="5"/>
      <c r="O47" s="5"/>
      <c r="P47" s="5"/>
    </row>
    <row r="48" spans="1:17" x14ac:dyDescent="0.15">
      <c r="A48" s="9" t="s">
        <v>126</v>
      </c>
      <c r="B48" s="9" t="s">
        <v>30</v>
      </c>
      <c r="C48" s="9" t="s">
        <v>127</v>
      </c>
      <c r="D48" s="9" t="s">
        <v>29</v>
      </c>
      <c r="E48" s="9" t="s">
        <v>128</v>
      </c>
      <c r="F48" s="9" t="s">
        <v>8</v>
      </c>
      <c r="G48" s="9" t="s">
        <v>129</v>
      </c>
      <c r="H48" s="9" t="s">
        <v>7</v>
      </c>
      <c r="I48" s="5"/>
      <c r="J48" s="5"/>
      <c r="K48" s="5"/>
      <c r="L48" s="5"/>
      <c r="M48" s="5"/>
      <c r="N48" s="5"/>
      <c r="O48" s="5"/>
      <c r="P48" s="5"/>
    </row>
    <row r="49" spans="1:16" x14ac:dyDescent="0.15">
      <c r="A49" s="9" t="s">
        <v>186</v>
      </c>
      <c r="B49" s="9">
        <f>'New State'!I12</f>
        <v>1.5</v>
      </c>
      <c r="C49" s="9">
        <f>'New Energy &amp; Dev'!J12</f>
        <v>8</v>
      </c>
      <c r="D49" s="9">
        <f>'New Comm'!I12</f>
        <v>4.5</v>
      </c>
      <c r="E49" s="9">
        <f>'New Ind Non-Dev'!J12</f>
        <v>32</v>
      </c>
      <c r="F49" s="9">
        <f>'New Endorser'!I12</f>
        <v>1.5</v>
      </c>
      <c r="G49" s="9">
        <f>SUM(B49:F49)</f>
        <v>47.5</v>
      </c>
      <c r="I49" s="5"/>
      <c r="J49" s="5"/>
      <c r="K49" s="5"/>
      <c r="L49" s="5"/>
      <c r="M49" s="5"/>
      <c r="N49" s="5"/>
      <c r="O49" s="5"/>
      <c r="P49" s="5"/>
    </row>
    <row r="50" spans="1:16" x14ac:dyDescent="0.15">
      <c r="A50" s="9" t="s">
        <v>187</v>
      </c>
      <c r="B50" s="9">
        <f>'New State'!H11</f>
        <v>1</v>
      </c>
      <c r="C50" s="9">
        <f>'New Energy &amp; Dev'!I11</f>
        <v>4</v>
      </c>
      <c r="D50" s="9">
        <f>'New Comm'!H11</f>
        <v>3</v>
      </c>
      <c r="E50" s="9">
        <f>'New Ind Non-Dev'!I11</f>
        <v>16</v>
      </c>
      <c r="F50" s="9">
        <f>'New Endorser'!H11</f>
        <v>1</v>
      </c>
      <c r="G50" s="9">
        <f>SUM(B50:F50)</f>
        <v>25</v>
      </c>
      <c r="H50" s="335">
        <f>G49/G50</f>
        <v>1.9</v>
      </c>
      <c r="I50" s="5"/>
      <c r="J50" s="5"/>
      <c r="K50" s="5"/>
      <c r="L50" s="5"/>
      <c r="M50" s="5"/>
      <c r="N50" s="5"/>
      <c r="O50" s="5"/>
      <c r="P50" s="5"/>
    </row>
    <row r="51" spans="1:16" x14ac:dyDescent="0.15">
      <c r="A51" s="9" t="s">
        <v>185</v>
      </c>
      <c r="B51" s="9">
        <f>'New State'!I12/'New State'!H11</f>
        <v>1.5</v>
      </c>
      <c r="C51" s="9">
        <f>'New Energy &amp; Dev'!J12/'New Energy &amp; Dev'!I11</f>
        <v>2</v>
      </c>
      <c r="D51" s="9">
        <f>'New Comm'!I12/'New Comm'!H11</f>
        <v>1.5</v>
      </c>
      <c r="E51" s="9">
        <f>'New Ind Non-Dev'!J12/'New Ind Non-Dev'!I11</f>
        <v>2</v>
      </c>
      <c r="F51" s="9">
        <f>'New Endorser'!I12/'New Endorser'!H11</f>
        <v>1.5</v>
      </c>
      <c r="H51" s="314">
        <f>AVERAGE(B51:F51)</f>
        <v>1.7</v>
      </c>
      <c r="I51" s="5"/>
      <c r="J51" s="5"/>
      <c r="K51" s="5"/>
      <c r="L51" s="5"/>
      <c r="M51" s="5"/>
      <c r="N51" s="5"/>
      <c r="O51" s="5"/>
      <c r="P51" s="5"/>
    </row>
    <row r="52" spans="1:16" x14ac:dyDescent="0.15">
      <c r="H52" s="5"/>
      <c r="I52" s="5"/>
      <c r="J52" s="5"/>
      <c r="K52" s="5"/>
      <c r="L52" s="5"/>
      <c r="M52" s="5"/>
      <c r="N52" s="5"/>
      <c r="O52" s="5"/>
      <c r="P52" s="5"/>
    </row>
    <row r="54" spans="1:16" x14ac:dyDescent="0.15">
      <c r="A54" s="9" t="s">
        <v>130</v>
      </c>
      <c r="G54" s="9" t="s">
        <v>197</v>
      </c>
    </row>
    <row r="55" spans="1:16" x14ac:dyDescent="0.15">
      <c r="A55" s="9" t="s">
        <v>188</v>
      </c>
      <c r="C55" s="9">
        <f>'New Energy &amp; Dev'!J18</f>
        <v>26</v>
      </c>
      <c r="D55" s="9">
        <f>'New Comm'!I18</f>
        <v>15</v>
      </c>
      <c r="G55" s="9">
        <f>SUM(C55:D55,C58:D58)</f>
        <v>1784.5</v>
      </c>
      <c r="H55" s="335">
        <f>G55/G56</f>
        <v>5.3912386706948636</v>
      </c>
    </row>
    <row r="56" spans="1:16" x14ac:dyDescent="0.15">
      <c r="A56" s="9" t="s">
        <v>189</v>
      </c>
      <c r="C56" s="9">
        <f>'New Energy &amp; Dev'!I17</f>
        <v>4</v>
      </c>
      <c r="D56" s="9">
        <f>'New Comm'!H17</f>
        <v>3</v>
      </c>
      <c r="G56" s="9">
        <f>SUM(C56:D56,C59:D59)</f>
        <v>331</v>
      </c>
    </row>
    <row r="57" spans="1:16" x14ac:dyDescent="0.15">
      <c r="A57" s="9" t="s">
        <v>185</v>
      </c>
      <c r="C57" s="9">
        <f>C55/C56</f>
        <v>6.5</v>
      </c>
      <c r="D57" s="9">
        <f>D55/D56</f>
        <v>5</v>
      </c>
    </row>
    <row r="58" spans="1:16" x14ac:dyDescent="0.15">
      <c r="A58" s="9" t="s">
        <v>190</v>
      </c>
      <c r="C58" s="9">
        <f>'Existing Energy &amp; Dev'!J13</f>
        <v>1163.5</v>
      </c>
      <c r="D58" s="9">
        <f>'Existing Comm'!I13</f>
        <v>580</v>
      </c>
    </row>
    <row r="59" spans="1:16" x14ac:dyDescent="0.15">
      <c r="A59" s="9" t="s">
        <v>191</v>
      </c>
      <c r="C59" s="9">
        <f>'Existing Energy &amp; Dev'!I12</f>
        <v>179</v>
      </c>
      <c r="D59" s="9">
        <f>'Existing Comm'!H12</f>
        <v>145</v>
      </c>
    </row>
    <row r="60" spans="1:16" x14ac:dyDescent="0.15">
      <c r="A60" s="9" t="s">
        <v>185</v>
      </c>
      <c r="C60" s="9">
        <f>C58/C59</f>
        <v>6.5</v>
      </c>
      <c r="D60" s="9">
        <f>D58/D59</f>
        <v>4</v>
      </c>
    </row>
    <row r="63" spans="1:16" x14ac:dyDescent="0.15">
      <c r="A63" s="9" t="s">
        <v>198</v>
      </c>
    </row>
    <row r="64" spans="1:16" x14ac:dyDescent="0.15">
      <c r="A64" s="9" t="s">
        <v>199</v>
      </c>
      <c r="C64" s="336">
        <f>SUM('Existing State'!E9:E10)</f>
        <v>0.75</v>
      </c>
      <c r="D64" s="9" t="s">
        <v>201</v>
      </c>
    </row>
    <row r="65" spans="1:4" x14ac:dyDescent="0.15">
      <c r="A65" s="9" t="s">
        <v>200</v>
      </c>
      <c r="C65" s="336">
        <f>SUM('Existing Ind Non-Dev'!F9:F10)</f>
        <v>2.5</v>
      </c>
      <c r="D65" s="9" t="s">
        <v>201</v>
      </c>
    </row>
  </sheetData>
  <mergeCells count="45">
    <mergeCell ref="M19:N19"/>
    <mergeCell ref="M31:Q31"/>
    <mergeCell ref="M45:O46"/>
    <mergeCell ref="A37:I37"/>
    <mergeCell ref="A28:A35"/>
    <mergeCell ref="B32:E32"/>
    <mergeCell ref="B31:E31"/>
    <mergeCell ref="B30:E30"/>
    <mergeCell ref="B29:E29"/>
    <mergeCell ref="B35:E35"/>
    <mergeCell ref="B34:E34"/>
    <mergeCell ref="B33:E33"/>
    <mergeCell ref="B36:E36"/>
    <mergeCell ref="B28:H28"/>
    <mergeCell ref="M41:M42"/>
    <mergeCell ref="M32:Q33"/>
    <mergeCell ref="F4:G4"/>
    <mergeCell ref="H4:I4"/>
    <mergeCell ref="A21:A27"/>
    <mergeCell ref="B21:E21"/>
    <mergeCell ref="B23:E23"/>
    <mergeCell ref="B25:E25"/>
    <mergeCell ref="B20:E20"/>
    <mergeCell ref="F20:G20"/>
    <mergeCell ref="A15:I15"/>
    <mergeCell ref="B22:E22"/>
    <mergeCell ref="B24:E24"/>
    <mergeCell ref="B27:E27"/>
    <mergeCell ref="B26:E26"/>
    <mergeCell ref="B4:C4"/>
    <mergeCell ref="D4:E4"/>
    <mergeCell ref="P41:P42"/>
    <mergeCell ref="Q41:Q42"/>
    <mergeCell ref="O41:O42"/>
    <mergeCell ref="N41:N42"/>
    <mergeCell ref="M37:M38"/>
    <mergeCell ref="M39:M40"/>
    <mergeCell ref="Q37:Q38"/>
    <mergeCell ref="O37:O38"/>
    <mergeCell ref="N37:N38"/>
    <mergeCell ref="Q39:Q40"/>
    <mergeCell ref="O39:O40"/>
    <mergeCell ref="N39:N40"/>
    <mergeCell ref="P37:P38"/>
    <mergeCell ref="P39:P40"/>
  </mergeCells>
  <phoneticPr fontId="0" type="noConversion"/>
  <printOptions horizontalCentered="1"/>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workbookViewId="0"/>
  </sheetViews>
  <sheetFormatPr defaultColWidth="9.33203125" defaultRowHeight="12.75" x14ac:dyDescent="0.2"/>
  <cols>
    <col min="1" max="1" width="14.1640625" style="251" customWidth="1"/>
    <col min="2" max="16384" width="9.33203125" style="251"/>
  </cols>
  <sheetData>
    <row r="1" spans="1:2" x14ac:dyDescent="0.2">
      <c r="A1" s="251" t="s">
        <v>113</v>
      </c>
    </row>
    <row r="2" spans="1:2" x14ac:dyDescent="0.2">
      <c r="A2" s="252">
        <f>('totals &amp; avgs'!F26+'totals &amp; avgs'!G26)/('totals &amp; avgs'!H13+'totals &amp; avgs'!I13)</f>
        <v>2.1741379310344828</v>
      </c>
      <c r="B2" s="251" t="s">
        <v>102</v>
      </c>
    </row>
    <row r="6" spans="1:2" x14ac:dyDescent="0.2">
      <c r="A6" s="251" t="s">
        <v>103</v>
      </c>
    </row>
    <row r="7" spans="1:2" x14ac:dyDescent="0.2">
      <c r="A7" s="256">
        <f>'totals &amp; avgs'!H13</f>
        <v>1135</v>
      </c>
      <c r="B7" s="251" t="s">
        <v>104</v>
      </c>
    </row>
    <row r="8" spans="1:2" x14ac:dyDescent="0.2">
      <c r="A8" s="254">
        <f>'totals &amp; avgs'!I13</f>
        <v>25</v>
      </c>
      <c r="B8" s="251" t="s">
        <v>105</v>
      </c>
    </row>
    <row r="11" spans="1:2" x14ac:dyDescent="0.2">
      <c r="A11" s="251" t="s">
        <v>106</v>
      </c>
    </row>
    <row r="12" spans="1:2" x14ac:dyDescent="0.2">
      <c r="A12" s="252">
        <f>('totals &amp; avgs'!F26+'totals &amp; avgs'!G26)/('totals &amp; avgs'!H13+'totals &amp; avgs'!I13)</f>
        <v>2.1741379310344828</v>
      </c>
      <c r="B12" s="251" t="s">
        <v>107</v>
      </c>
    </row>
    <row r="13" spans="1:2" x14ac:dyDescent="0.2">
      <c r="A13" s="255">
        <f>('totals &amp; avgs'!F34+'totals &amp; avgs'!G34)/('totals &amp; avgs'!H13+'totals &amp; avgs'!I13)</f>
        <v>169.19965922155171</v>
      </c>
      <c r="B13" s="251" t="s">
        <v>108</v>
      </c>
    </row>
    <row r="16" spans="1:2" x14ac:dyDescent="0.2">
      <c r="A16" s="251" t="s">
        <v>109</v>
      </c>
    </row>
    <row r="17" spans="1:2" x14ac:dyDescent="0.2">
      <c r="A17" s="256">
        <f>'totals &amp; avgs'!H26/3</f>
        <v>2522</v>
      </c>
      <c r="B17" s="251" t="s">
        <v>107</v>
      </c>
    </row>
    <row r="18" spans="1:2" x14ac:dyDescent="0.2">
      <c r="A18" s="255">
        <f>'totals &amp; avgs'!H34/3</f>
        <v>196271.604697</v>
      </c>
      <c r="B18" s="251" t="s">
        <v>108</v>
      </c>
    </row>
    <row r="21" spans="1:2" x14ac:dyDescent="0.2">
      <c r="A21" s="251" t="s">
        <v>110</v>
      </c>
    </row>
    <row r="22" spans="1:2" x14ac:dyDescent="0.2">
      <c r="A22" s="255">
        <f>A18-A23</f>
        <v>196271.604697</v>
      </c>
      <c r="B22" s="251" t="s">
        <v>111</v>
      </c>
    </row>
    <row r="23" spans="1:2" x14ac:dyDescent="0.2">
      <c r="A23" s="255">
        <f>B35</f>
        <v>0</v>
      </c>
      <c r="B23" s="251" t="s">
        <v>112</v>
      </c>
    </row>
    <row r="28" spans="1:2" x14ac:dyDescent="0.2">
      <c r="A28" s="253" t="s">
        <v>117</v>
      </c>
    </row>
    <row r="29" spans="1:2" x14ac:dyDescent="0.2">
      <c r="B29" s="257" t="s">
        <v>28</v>
      </c>
    </row>
    <row r="30" spans="1:2" x14ac:dyDescent="0.2">
      <c r="A30" s="251" t="s">
        <v>30</v>
      </c>
      <c r="B30" s="258">
        <f>'New State'!G11*'New State'!H11</f>
        <v>0</v>
      </c>
    </row>
    <row r="31" spans="1:2" x14ac:dyDescent="0.2">
      <c r="A31" s="251" t="s">
        <v>8</v>
      </c>
      <c r="B31" s="258">
        <f>'New Endorser'!G11*'New Endorser'!H11</f>
        <v>0</v>
      </c>
    </row>
    <row r="32" spans="1:2" x14ac:dyDescent="0.2">
      <c r="A32" s="251" t="s">
        <v>114</v>
      </c>
      <c r="B32" s="258">
        <f>'New Ind Non-Dev'!H11*'New Ind Non-Dev'!I11</f>
        <v>0</v>
      </c>
    </row>
    <row r="33" spans="1:2" x14ac:dyDescent="0.2">
      <c r="A33" s="251" t="s">
        <v>115</v>
      </c>
      <c r="B33" s="258">
        <f>'New Comm'!G11*'New Comm'!H11</f>
        <v>0</v>
      </c>
    </row>
    <row r="34" spans="1:2" x14ac:dyDescent="0.2">
      <c r="A34" s="251" t="s">
        <v>116</v>
      </c>
      <c r="B34" s="258">
        <f>'New Energy &amp; Dev'!H11*'New Energy &amp; Dev'!I11</f>
        <v>0</v>
      </c>
    </row>
    <row r="35" spans="1:2" x14ac:dyDescent="0.2">
      <c r="A35" s="251" t="s">
        <v>43</v>
      </c>
      <c r="B35" s="258">
        <f>SUM(B30:B34)</f>
        <v>0</v>
      </c>
    </row>
    <row r="38" spans="1:2" x14ac:dyDescent="0.2">
      <c r="A38" s="251" t="s">
        <v>118</v>
      </c>
    </row>
    <row r="39" spans="1:2" x14ac:dyDescent="0.2">
      <c r="A39" s="251">
        <f>'New State'!H11+'New State'!H15+'New Endorser'!H11+'New Endorser'!H14+'New Ind Non-Dev'!I11+'New Ind Non-Dev'!I14+'New Comm'!H11+'New Comm'!H17+'New Comm'!H20+'New Energy &amp; Dev'!I11+'New Energy &amp; Dev'!I17+'New Energy &amp; Dev'!I20</f>
        <v>38</v>
      </c>
      <c r="B39" s="251" t="s">
        <v>120</v>
      </c>
    </row>
    <row r="40" spans="1:2" x14ac:dyDescent="0.2">
      <c r="A40" s="251">
        <f>'Existing State'!H9+'Existing Endorser'!H9+'Existing Ind Non-Dev'!I9+'Existing Comm'!H12+'Existing Comm'!H15+'Existing Energy &amp; Dev'!I12+'Existing Energy &amp; Dev'!I15</f>
        <v>608</v>
      </c>
      <c r="B40" s="251" t="s">
        <v>119</v>
      </c>
    </row>
    <row r="42" spans="1:2" x14ac:dyDescent="0.2">
      <c r="A42" s="251" t="s">
        <v>121</v>
      </c>
    </row>
    <row r="43" spans="1:2" x14ac:dyDescent="0.2">
      <c r="A43" s="251">
        <f>A39/'totals &amp; avgs'!I13</f>
        <v>1.52</v>
      </c>
      <c r="B43" s="251" t="s">
        <v>120</v>
      </c>
    </row>
    <row r="44" spans="1:2" x14ac:dyDescent="0.2">
      <c r="A44" s="251">
        <f>A40/'totals &amp; avgs'!H13</f>
        <v>0.5356828193832599</v>
      </c>
      <c r="B44" s="251" t="s">
        <v>119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P23" sqref="P23"/>
    </sheetView>
  </sheetViews>
  <sheetFormatPr defaultRowHeight="10.5" x14ac:dyDescent="0.15"/>
  <cols>
    <col min="4" max="4" width="15.5" customWidth="1"/>
    <col min="5" max="5" width="14.6640625" customWidth="1"/>
    <col min="7" max="7" width="14.6640625" customWidth="1"/>
    <col min="15" max="15" width="14.6640625" customWidth="1"/>
    <col min="17" max="17" width="14.6640625" customWidth="1"/>
  </cols>
  <sheetData>
    <row r="1" spans="1:20" ht="12.75" x14ac:dyDescent="0.2">
      <c r="A1" s="316" t="s">
        <v>122</v>
      </c>
      <c r="E1" s="316" t="s">
        <v>239</v>
      </c>
      <c r="O1" s="316" t="s">
        <v>240</v>
      </c>
    </row>
    <row r="2" spans="1:20" ht="12.75" x14ac:dyDescent="0.2">
      <c r="E2" s="444" t="s">
        <v>27</v>
      </c>
      <c r="F2" s="445"/>
      <c r="G2" s="444" t="s">
        <v>28</v>
      </c>
      <c r="H2" s="446"/>
      <c r="O2" s="444" t="s">
        <v>27</v>
      </c>
      <c r="P2" s="445"/>
      <c r="Q2" s="444" t="s">
        <v>28</v>
      </c>
      <c r="R2" s="446"/>
    </row>
    <row r="3" spans="1:20" ht="38.25" x14ac:dyDescent="0.2">
      <c r="A3" s="227"/>
      <c r="B3" s="227"/>
      <c r="C3" s="227"/>
      <c r="D3" s="227"/>
      <c r="E3" s="313" t="s">
        <v>123</v>
      </c>
      <c r="F3" s="313" t="s">
        <v>124</v>
      </c>
      <c r="G3" s="313" t="s">
        <v>123</v>
      </c>
      <c r="H3" s="313" t="s">
        <v>124</v>
      </c>
      <c r="K3" s="227"/>
      <c r="L3" s="227"/>
      <c r="M3" s="227"/>
      <c r="N3" s="227"/>
      <c r="O3" s="313" t="s">
        <v>123</v>
      </c>
      <c r="P3" s="313" t="s">
        <v>124</v>
      </c>
      <c r="Q3" s="313" t="s">
        <v>123</v>
      </c>
      <c r="R3" s="313" t="s">
        <v>124</v>
      </c>
    </row>
    <row r="4" spans="1:20" ht="12.75" x14ac:dyDescent="0.2">
      <c r="A4" s="412" t="s">
        <v>26</v>
      </c>
      <c r="B4" s="413"/>
      <c r="C4" s="413"/>
      <c r="D4" s="413"/>
      <c r="E4" s="414"/>
      <c r="F4" s="414"/>
      <c r="G4" s="414"/>
      <c r="H4" s="357"/>
      <c r="K4" s="412" t="s">
        <v>26</v>
      </c>
      <c r="L4" s="413"/>
      <c r="M4" s="413"/>
      <c r="N4" s="413"/>
      <c r="O4" s="414"/>
      <c r="P4" s="414"/>
      <c r="Q4" s="414"/>
      <c r="R4" s="357"/>
      <c r="S4" t="s">
        <v>241</v>
      </c>
    </row>
    <row r="5" spans="1:20" ht="12.75" x14ac:dyDescent="0.15">
      <c r="A5" s="407" t="s">
        <v>29</v>
      </c>
      <c r="B5" s="408"/>
      <c r="C5" s="408"/>
      <c r="D5" s="409"/>
      <c r="E5" s="231">
        <v>136</v>
      </c>
      <c r="F5" s="231">
        <v>21</v>
      </c>
      <c r="G5" s="231">
        <v>7</v>
      </c>
      <c r="H5" s="231">
        <v>1</v>
      </c>
      <c r="I5" s="360">
        <f>H5/G5</f>
        <v>0.14285714285714285</v>
      </c>
      <c r="J5" s="360">
        <f>F5/E5</f>
        <v>0.15441176470588236</v>
      </c>
      <c r="K5" s="407" t="s">
        <v>29</v>
      </c>
      <c r="L5" s="408"/>
      <c r="M5" s="408"/>
      <c r="N5" s="409"/>
      <c r="O5" s="231">
        <v>136</v>
      </c>
      <c r="P5" s="231">
        <v>19</v>
      </c>
      <c r="Q5" s="231">
        <v>7</v>
      </c>
      <c r="R5" s="361">
        <f>ROUND(3/3,0)</f>
        <v>1</v>
      </c>
      <c r="S5" s="360">
        <f>R5/Q5</f>
        <v>0.14285714285714285</v>
      </c>
      <c r="T5" s="360">
        <f>P5/O5</f>
        <v>0.13970588235294118</v>
      </c>
    </row>
    <row r="6" spans="1:20" ht="12.75" x14ac:dyDescent="0.15">
      <c r="A6" s="407" t="s">
        <v>8</v>
      </c>
      <c r="B6" s="408"/>
      <c r="C6" s="408"/>
      <c r="D6" s="409"/>
      <c r="E6" s="231">
        <v>39</v>
      </c>
      <c r="F6" s="231">
        <v>39</v>
      </c>
      <c r="G6" s="231">
        <v>3</v>
      </c>
      <c r="H6" s="231">
        <v>3</v>
      </c>
      <c r="I6" s="360">
        <f t="shared" ref="I6:I9" si="0">H6/G6</f>
        <v>1</v>
      </c>
      <c r="J6" s="362">
        <f t="shared" ref="J6:J9" si="1">F6/E6</f>
        <v>1</v>
      </c>
      <c r="K6" s="407" t="s">
        <v>8</v>
      </c>
      <c r="L6" s="408"/>
      <c r="M6" s="408"/>
      <c r="N6" s="409"/>
      <c r="O6" s="231">
        <v>39</v>
      </c>
      <c r="P6" s="231">
        <v>33</v>
      </c>
      <c r="Q6" s="231">
        <v>3</v>
      </c>
      <c r="R6" s="361">
        <f>ROUND(9/3,0)</f>
        <v>3</v>
      </c>
      <c r="S6" s="360">
        <f t="shared" ref="S6:S10" si="2">R6/Q6</f>
        <v>1</v>
      </c>
      <c r="T6" s="362">
        <f>P6/O6</f>
        <v>0.84615384615384615</v>
      </c>
    </row>
    <row r="7" spans="1:20" ht="12.75" x14ac:dyDescent="0.15">
      <c r="A7" s="407" t="s">
        <v>93</v>
      </c>
      <c r="B7" s="410"/>
      <c r="C7" s="410"/>
      <c r="D7" s="411"/>
      <c r="E7" s="231">
        <v>744</v>
      </c>
      <c r="F7" s="231">
        <v>345</v>
      </c>
      <c r="G7" s="231">
        <v>82</v>
      </c>
      <c r="H7" s="231">
        <v>53</v>
      </c>
      <c r="I7" s="363">
        <f t="shared" si="0"/>
        <v>0.64634146341463417</v>
      </c>
      <c r="J7" s="363">
        <f>F7/E7</f>
        <v>0.46370967741935482</v>
      </c>
      <c r="K7" s="407" t="s">
        <v>79</v>
      </c>
      <c r="L7" s="410"/>
      <c r="M7" s="410"/>
      <c r="N7" s="411"/>
      <c r="O7" s="231">
        <v>128</v>
      </c>
      <c r="P7" s="231">
        <v>31</v>
      </c>
      <c r="Q7" s="231">
        <v>8</v>
      </c>
      <c r="R7" s="361">
        <f>ROUND(7/3,0)</f>
        <v>2</v>
      </c>
      <c r="S7" s="364">
        <f t="shared" si="2"/>
        <v>0.25</v>
      </c>
      <c r="T7" s="364">
        <f t="shared" ref="T7:T10" si="3">P7/O7</f>
        <v>0.2421875</v>
      </c>
    </row>
    <row r="8" spans="1:20" ht="12.75" x14ac:dyDescent="0.15">
      <c r="A8" s="407" t="s">
        <v>92</v>
      </c>
      <c r="B8" s="408"/>
      <c r="C8" s="408"/>
      <c r="D8" s="409"/>
      <c r="E8" s="231">
        <v>260</v>
      </c>
      <c r="F8" s="231">
        <v>104</v>
      </c>
      <c r="G8" s="231">
        <v>20</v>
      </c>
      <c r="H8" s="231">
        <v>14</v>
      </c>
      <c r="I8" s="363">
        <f t="shared" si="0"/>
        <v>0.7</v>
      </c>
      <c r="J8" s="363">
        <f t="shared" si="1"/>
        <v>0.4</v>
      </c>
      <c r="K8" s="407" t="s">
        <v>242</v>
      </c>
      <c r="L8" s="408"/>
      <c r="M8" s="408"/>
      <c r="N8" s="409"/>
      <c r="O8" s="231">
        <v>132</v>
      </c>
      <c r="P8" s="231">
        <v>87</v>
      </c>
      <c r="Q8" s="231">
        <v>12</v>
      </c>
      <c r="R8" s="361">
        <f>ROUND(24/3,0)</f>
        <v>8</v>
      </c>
      <c r="S8" s="364">
        <f t="shared" si="2"/>
        <v>0.66666666666666663</v>
      </c>
      <c r="T8" s="364">
        <f t="shared" si="3"/>
        <v>0.65909090909090906</v>
      </c>
    </row>
    <row r="9" spans="1:20" ht="12.75" x14ac:dyDescent="0.15">
      <c r="A9" s="407" t="s">
        <v>30</v>
      </c>
      <c r="B9" s="408"/>
      <c r="C9" s="408"/>
      <c r="D9" s="409"/>
      <c r="E9" s="231">
        <v>41</v>
      </c>
      <c r="F9" s="231">
        <v>0</v>
      </c>
      <c r="G9" s="231">
        <v>1</v>
      </c>
      <c r="H9" s="231">
        <v>0</v>
      </c>
      <c r="I9" s="363">
        <f t="shared" si="0"/>
        <v>0</v>
      </c>
      <c r="J9" s="363">
        <f t="shared" si="1"/>
        <v>0</v>
      </c>
      <c r="K9" s="407" t="s">
        <v>93</v>
      </c>
      <c r="L9" s="410"/>
      <c r="M9" s="410"/>
      <c r="N9" s="411"/>
      <c r="O9" s="231">
        <v>744</v>
      </c>
      <c r="P9" s="231">
        <v>232</v>
      </c>
      <c r="Q9" s="231">
        <v>82</v>
      </c>
      <c r="R9" s="361">
        <f>ROUND(132/3,0)</f>
        <v>44</v>
      </c>
      <c r="S9" s="364">
        <f t="shared" si="2"/>
        <v>0.53658536585365857</v>
      </c>
      <c r="T9" s="364">
        <f t="shared" si="3"/>
        <v>0.31182795698924731</v>
      </c>
    </row>
    <row r="10" spans="1:20" ht="12.75" x14ac:dyDescent="0.15">
      <c r="E10" s="365">
        <f>SUM(E5:E9)</f>
        <v>1220</v>
      </c>
      <c r="F10" s="365">
        <f>SUM(F5:F9)</f>
        <v>509</v>
      </c>
      <c r="G10" s="365">
        <f>SUM(G5:G9)</f>
        <v>113</v>
      </c>
      <c r="H10" s="365">
        <f>SUM(H5:H9)</f>
        <v>71</v>
      </c>
      <c r="I10" s="360"/>
      <c r="J10" s="360"/>
      <c r="K10" s="407" t="s">
        <v>30</v>
      </c>
      <c r="L10" s="408"/>
      <c r="M10" s="408"/>
      <c r="N10" s="409"/>
      <c r="O10" s="231">
        <v>41</v>
      </c>
      <c r="P10" s="231">
        <v>0</v>
      </c>
      <c r="Q10" s="231">
        <v>1</v>
      </c>
      <c r="R10" s="361">
        <f>ROUND(0/3,0)</f>
        <v>0</v>
      </c>
      <c r="S10" s="360">
        <f t="shared" si="2"/>
        <v>0</v>
      </c>
      <c r="T10" s="360">
        <f t="shared" si="3"/>
        <v>0</v>
      </c>
    </row>
    <row r="11" spans="1:20" x14ac:dyDescent="0.15">
      <c r="O11" s="365">
        <f>SUM(O5:O10)</f>
        <v>1220</v>
      </c>
      <c r="P11" s="365">
        <f>SUM(P5:P10)</f>
        <v>402</v>
      </c>
      <c r="Q11" s="365">
        <f>SUM(Q5:Q10)</f>
        <v>113</v>
      </c>
      <c r="R11" s="365">
        <f>SUM(R5:R10)</f>
        <v>58</v>
      </c>
      <c r="T11" s="365">
        <f>R11*3</f>
        <v>174</v>
      </c>
    </row>
    <row r="12" spans="1:20" x14ac:dyDescent="0.15">
      <c r="O12" s="365"/>
      <c r="P12" s="365"/>
      <c r="Q12" s="365"/>
      <c r="R12" s="365"/>
    </row>
    <row r="13" spans="1:20" ht="12.75" x14ac:dyDescent="0.2">
      <c r="E13" s="316" t="s">
        <v>192</v>
      </c>
      <c r="O13" s="316" t="s">
        <v>192</v>
      </c>
    </row>
    <row r="14" spans="1:20" ht="12.75" x14ac:dyDescent="0.2">
      <c r="E14" s="444" t="s">
        <v>27</v>
      </c>
      <c r="F14" s="445"/>
      <c r="G14" s="444" t="s">
        <v>28</v>
      </c>
      <c r="H14" s="446"/>
      <c r="O14" s="444" t="s">
        <v>27</v>
      </c>
      <c r="P14" s="445"/>
      <c r="Q14" s="444" t="s">
        <v>28</v>
      </c>
      <c r="R14" s="446"/>
    </row>
    <row r="15" spans="1:20" ht="38.25" x14ac:dyDescent="0.2">
      <c r="A15" s="227"/>
      <c r="B15" s="227"/>
      <c r="C15" s="227"/>
      <c r="D15" s="227"/>
      <c r="E15" s="313" t="s">
        <v>123</v>
      </c>
      <c r="F15" s="313" t="s">
        <v>124</v>
      </c>
      <c r="G15" s="313" t="s">
        <v>123</v>
      </c>
      <c r="H15" s="313" t="s">
        <v>124</v>
      </c>
      <c r="K15" s="227"/>
      <c r="L15" s="227"/>
      <c r="M15" s="227"/>
      <c r="N15" s="227"/>
      <c r="O15" s="313" t="s">
        <v>123</v>
      </c>
      <c r="P15" s="313" t="s">
        <v>124</v>
      </c>
      <c r="Q15" s="313" t="s">
        <v>123</v>
      </c>
      <c r="R15" s="313" t="s">
        <v>124</v>
      </c>
    </row>
    <row r="16" spans="1:20" ht="12.75" x14ac:dyDescent="0.2">
      <c r="A16" s="412" t="s">
        <v>26</v>
      </c>
      <c r="B16" s="413"/>
      <c r="C16" s="413"/>
      <c r="D16" s="413"/>
      <c r="E16" s="414"/>
      <c r="F16" s="414"/>
      <c r="G16" s="414"/>
      <c r="H16" s="357"/>
      <c r="K16" s="412" t="s">
        <v>26</v>
      </c>
      <c r="L16" s="413"/>
      <c r="M16" s="413"/>
      <c r="N16" s="413"/>
      <c r="O16" s="414"/>
      <c r="P16" s="414"/>
      <c r="Q16" s="414"/>
      <c r="R16" s="357"/>
    </row>
    <row r="17" spans="1:18" ht="12.75" x14ac:dyDescent="0.15">
      <c r="A17" s="407" t="s">
        <v>29</v>
      </c>
      <c r="B17" s="408"/>
      <c r="C17" s="408"/>
      <c r="D17" s="409"/>
      <c r="E17" s="231">
        <f>[1]PartnerCounts!$F$7</f>
        <v>145</v>
      </c>
      <c r="F17" s="231">
        <f>ROUND(E17*(F5/E5),0)</f>
        <v>22</v>
      </c>
      <c r="G17" s="231">
        <f>[1]PartnerCounts!$C$7</f>
        <v>3</v>
      </c>
      <c r="H17" s="231">
        <f>ROUND(G17*(H5/G5),0)</f>
        <v>0</v>
      </c>
      <c r="K17" s="407" t="s">
        <v>29</v>
      </c>
      <c r="L17" s="408"/>
      <c r="M17" s="408"/>
      <c r="N17" s="409"/>
      <c r="O17" s="231">
        <f>[1]PartnerCounts!$F$7</f>
        <v>145</v>
      </c>
      <c r="P17" s="332">
        <f>ROUND(O17*(P5/O5),0)</f>
        <v>20</v>
      </c>
      <c r="Q17" s="231">
        <f>[1]PartnerCounts!$C$7</f>
        <v>3</v>
      </c>
      <c r="R17" s="332">
        <f>ROUND(Q17*(R5/Q5),0)</f>
        <v>0</v>
      </c>
    </row>
    <row r="18" spans="1:18" ht="12.75" x14ac:dyDescent="0.15">
      <c r="A18" s="407" t="s">
        <v>8</v>
      </c>
      <c r="B18" s="408"/>
      <c r="C18" s="408"/>
      <c r="D18" s="409"/>
      <c r="E18" s="231">
        <f>[1]PartnerCounts!$F$3</f>
        <v>39</v>
      </c>
      <c r="F18" s="231">
        <f>ROUND(E18*(F6/E6),0)</f>
        <v>39</v>
      </c>
      <c r="G18" s="231">
        <f>[1]PartnerCounts!$C$3</f>
        <v>1</v>
      </c>
      <c r="H18" s="231">
        <f>ROUND(G18*(H6/G6),0)</f>
        <v>1</v>
      </c>
      <c r="K18" s="407" t="s">
        <v>8</v>
      </c>
      <c r="L18" s="408"/>
      <c r="M18" s="408"/>
      <c r="N18" s="409"/>
      <c r="O18" s="231">
        <f>[1]PartnerCounts!$F$3</f>
        <v>39</v>
      </c>
      <c r="P18" s="332">
        <f>ROUND(O18*(P6/O6),0)</f>
        <v>33</v>
      </c>
      <c r="Q18" s="231">
        <f>[1]PartnerCounts!$C$3</f>
        <v>1</v>
      </c>
      <c r="R18" s="332">
        <f>ROUND(Q18*(R6/Q6),0)</f>
        <v>1</v>
      </c>
    </row>
    <row r="19" spans="1:18" ht="12.75" x14ac:dyDescent="0.15">
      <c r="A19" s="407" t="s">
        <v>93</v>
      </c>
      <c r="B19" s="410"/>
      <c r="C19" s="410"/>
      <c r="D19" s="411"/>
      <c r="E19" s="231">
        <f>[1]PartnerCounts!$F$5</f>
        <v>731</v>
      </c>
      <c r="F19" s="231">
        <f>ROUND(E19*(F7/E7),0)</f>
        <v>339</v>
      </c>
      <c r="G19" s="231">
        <f>[1]PartnerCounts!$C$5</f>
        <v>16</v>
      </c>
      <c r="H19" s="231">
        <f>ROUND(G19*(H7/G7),0)</f>
        <v>10</v>
      </c>
      <c r="K19" s="407" t="s">
        <v>79</v>
      </c>
      <c r="L19" s="410"/>
      <c r="M19" s="410"/>
      <c r="N19" s="411"/>
      <c r="O19" s="231">
        <f>[1]PartnerCounts!$F$4</f>
        <v>113</v>
      </c>
      <c r="P19" s="332">
        <f>ROUND(O19*(P7/O7),0)</f>
        <v>27</v>
      </c>
      <c r="Q19" s="231">
        <f>[1]PartnerCounts!$C$4</f>
        <v>2</v>
      </c>
      <c r="R19" s="332">
        <f>ROUND(Q19*(R7/Q7),0)</f>
        <v>1</v>
      </c>
    </row>
    <row r="20" spans="1:18" ht="12.75" x14ac:dyDescent="0.15">
      <c r="A20" s="407" t="s">
        <v>92</v>
      </c>
      <c r="B20" s="408"/>
      <c r="C20" s="408"/>
      <c r="D20" s="409"/>
      <c r="E20" s="231">
        <f>[1]PartnerCounts!$F$6+[1]PartnerCounts!$F$4</f>
        <v>179</v>
      </c>
      <c r="F20" s="231">
        <f>ROUND(E20*(F8/E8),0)</f>
        <v>72</v>
      </c>
      <c r="G20" s="231">
        <f>[1]PartnerCounts!$C$4+[1]PartnerCounts!$C$6</f>
        <v>4</v>
      </c>
      <c r="H20" s="231">
        <f>ROUND(G20*(H8/G8),0)</f>
        <v>3</v>
      </c>
      <c r="K20" s="407" t="s">
        <v>242</v>
      </c>
      <c r="L20" s="408"/>
      <c r="M20" s="408"/>
      <c r="N20" s="409"/>
      <c r="O20" s="231">
        <f>[1]PartnerCounts!$F$6</f>
        <v>66</v>
      </c>
      <c r="P20" s="332">
        <f>ROUND(O20*(P8/O8),0)</f>
        <v>44</v>
      </c>
      <c r="Q20" s="231">
        <f>[1]PartnerCounts!$C$6</f>
        <v>2</v>
      </c>
      <c r="R20" s="332">
        <f>ROUND(Q20*(R8/Q8),0)</f>
        <v>1</v>
      </c>
    </row>
    <row r="21" spans="1:18" ht="12.75" x14ac:dyDescent="0.15">
      <c r="A21" s="407" t="s">
        <v>30</v>
      </c>
      <c r="B21" s="408"/>
      <c r="C21" s="408"/>
      <c r="D21" s="409"/>
      <c r="E21" s="231">
        <f>[1]PartnerCounts!$F$2</f>
        <v>41</v>
      </c>
      <c r="F21" s="231">
        <f>ROUND(E21*(F9/E9),0)</f>
        <v>0</v>
      </c>
      <c r="G21" s="231">
        <f>[1]PartnerCounts!$C$2</f>
        <v>1</v>
      </c>
      <c r="H21" s="231">
        <f>ROUND(G21*(H9/G9),0)</f>
        <v>0</v>
      </c>
      <c r="K21" s="407" t="s">
        <v>93</v>
      </c>
      <c r="L21" s="410"/>
      <c r="M21" s="410"/>
      <c r="N21" s="411"/>
      <c r="O21" s="231">
        <f>[1]PartnerCounts!$F$5</f>
        <v>731</v>
      </c>
      <c r="P21" s="332">
        <f>ROUND(O21*(P9/O9),0)</f>
        <v>228</v>
      </c>
      <c r="Q21" s="231">
        <f>[1]PartnerCounts!$C$5</f>
        <v>16</v>
      </c>
      <c r="R21" s="332">
        <f>ROUND(Q21*(R9/Q9),0)</f>
        <v>9</v>
      </c>
    </row>
    <row r="22" spans="1:18" ht="12.75" x14ac:dyDescent="0.15">
      <c r="E22" s="365">
        <f>SUM(E17:E21)</f>
        <v>1135</v>
      </c>
      <c r="F22" s="365">
        <f>SUM(F17:F21)</f>
        <v>472</v>
      </c>
      <c r="G22" s="365">
        <f>SUM(G17:G21)</f>
        <v>25</v>
      </c>
      <c r="H22" s="365">
        <f>SUM(H17:H21)</f>
        <v>14</v>
      </c>
      <c r="K22" s="407" t="s">
        <v>30</v>
      </c>
      <c r="L22" s="408"/>
      <c r="M22" s="408"/>
      <c r="N22" s="409"/>
      <c r="O22" s="231">
        <f>[1]PartnerCounts!$F$2</f>
        <v>41</v>
      </c>
      <c r="P22" s="332">
        <v>0</v>
      </c>
      <c r="Q22" s="231">
        <f>[1]PartnerCounts!$C$2</f>
        <v>1</v>
      </c>
      <c r="R22" s="332">
        <v>0</v>
      </c>
    </row>
    <row r="23" spans="1:18" x14ac:dyDescent="0.15">
      <c r="O23" s="365">
        <f>SUM(O17:O22)</f>
        <v>1135</v>
      </c>
      <c r="P23" s="366">
        <f>SUM(P17:P22)</f>
        <v>352</v>
      </c>
      <c r="Q23" s="365">
        <f>SUM(Q17:Q22)</f>
        <v>25</v>
      </c>
      <c r="R23" s="365">
        <f>SUM(R17:R22)</f>
        <v>12</v>
      </c>
    </row>
  </sheetData>
  <mergeCells count="38">
    <mergeCell ref="A20:D20"/>
    <mergeCell ref="K20:N20"/>
    <mergeCell ref="A21:D21"/>
    <mergeCell ref="K21:N21"/>
    <mergeCell ref="K22:N22"/>
    <mergeCell ref="A17:D17"/>
    <mergeCell ref="K17:N17"/>
    <mergeCell ref="A18:D18"/>
    <mergeCell ref="K18:N18"/>
    <mergeCell ref="A19:D19"/>
    <mergeCell ref="K19:N19"/>
    <mergeCell ref="O14:P14"/>
    <mergeCell ref="Q14:R14"/>
    <mergeCell ref="A16:D16"/>
    <mergeCell ref="E16:G16"/>
    <mergeCell ref="K16:N16"/>
    <mergeCell ref="O16:Q16"/>
    <mergeCell ref="E14:F14"/>
    <mergeCell ref="G14:H14"/>
    <mergeCell ref="A8:D8"/>
    <mergeCell ref="K8:N8"/>
    <mergeCell ref="A9:D9"/>
    <mergeCell ref="K9:N9"/>
    <mergeCell ref="K10:N10"/>
    <mergeCell ref="A5:D5"/>
    <mergeCell ref="K5:N5"/>
    <mergeCell ref="A6:D6"/>
    <mergeCell ref="K6:N6"/>
    <mergeCell ref="A7:D7"/>
    <mergeCell ref="K7:N7"/>
    <mergeCell ref="E2:F2"/>
    <mergeCell ref="G2:H2"/>
    <mergeCell ref="O2:P2"/>
    <mergeCell ref="Q2:R2"/>
    <mergeCell ref="A4:D4"/>
    <mergeCell ref="E4:G4"/>
    <mergeCell ref="K4:N4"/>
    <mergeCell ref="O4:Q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0.5" x14ac:dyDescent="0.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tabSelected="1" workbookViewId="0">
      <selection activeCell="A2" sqref="A2:J2"/>
    </sheetView>
  </sheetViews>
  <sheetFormatPr defaultColWidth="9.33203125" defaultRowHeight="10.5" x14ac:dyDescent="0.15"/>
  <cols>
    <col min="1" max="1" width="32.83203125" style="24" customWidth="1"/>
    <col min="2" max="7" width="9.33203125" style="9"/>
    <col min="8" max="8" width="12.33203125" style="9" customWidth="1"/>
    <col min="9" max="9" width="9.33203125" style="263"/>
    <col min="10" max="10" width="10.83203125" style="9" customWidth="1"/>
    <col min="11" max="16384" width="9.33203125" style="9"/>
  </cols>
  <sheetData>
    <row r="1" spans="1:11" ht="12.75" x14ac:dyDescent="0.2">
      <c r="A1" s="30" t="s">
        <v>70</v>
      </c>
      <c r="B1" s="31"/>
      <c r="C1" s="31"/>
      <c r="D1" s="31"/>
      <c r="E1" s="31"/>
      <c r="F1" s="32"/>
      <c r="G1" s="33"/>
      <c r="H1" s="1"/>
      <c r="I1" s="34"/>
      <c r="J1" s="33"/>
      <c r="K1" s="1"/>
    </row>
    <row r="2" spans="1:11" ht="12.75" x14ac:dyDescent="0.2">
      <c r="A2" s="370" t="s">
        <v>72</v>
      </c>
      <c r="B2" s="370"/>
      <c r="C2" s="370"/>
      <c r="D2" s="370"/>
      <c r="E2" s="370"/>
      <c r="F2" s="370"/>
      <c r="G2" s="370"/>
      <c r="H2" s="370"/>
      <c r="I2" s="370"/>
      <c r="J2" s="370"/>
      <c r="K2" s="1"/>
    </row>
    <row r="3" spans="1:11" ht="12.75" x14ac:dyDescent="0.2">
      <c r="A3" s="30"/>
      <c r="B3" s="30"/>
      <c r="C3" s="30"/>
      <c r="D3" s="30"/>
      <c r="E3" s="30"/>
      <c r="F3" s="30"/>
      <c r="G3" s="30"/>
      <c r="H3" s="30"/>
      <c r="I3" s="259"/>
      <c r="J3" s="30"/>
      <c r="K3" s="1"/>
    </row>
    <row r="4" spans="1:11" ht="15.75" x14ac:dyDescent="0.2">
      <c r="A4" s="241"/>
      <c r="B4" s="242" t="s">
        <v>65</v>
      </c>
      <c r="C4" s="36"/>
      <c r="D4" s="36"/>
      <c r="E4" s="36"/>
      <c r="F4" s="37"/>
      <c r="G4" s="243"/>
      <c r="H4" s="35" t="s">
        <v>37</v>
      </c>
      <c r="I4" s="38"/>
      <c r="J4" s="39"/>
      <c r="K4" s="1"/>
    </row>
    <row r="5" spans="1:11" ht="12.75" customHeight="1" x14ac:dyDescent="0.2">
      <c r="A5" s="368" t="s">
        <v>47</v>
      </c>
      <c r="B5" s="171" t="s">
        <v>38</v>
      </c>
      <c r="C5" s="40" t="s">
        <v>39</v>
      </c>
      <c r="D5" s="40" t="s">
        <v>40</v>
      </c>
      <c r="E5" s="40" t="s">
        <v>41</v>
      </c>
      <c r="F5" s="41" t="s">
        <v>42</v>
      </c>
      <c r="G5" s="104"/>
      <c r="H5" s="40" t="s">
        <v>60</v>
      </c>
      <c r="I5" s="42" t="s">
        <v>43</v>
      </c>
      <c r="J5" s="43" t="s">
        <v>43</v>
      </c>
      <c r="K5" s="1"/>
    </row>
    <row r="6" spans="1:11" ht="12.75" x14ac:dyDescent="0.2">
      <c r="A6" s="368"/>
      <c r="B6" s="337">
        <f>48.7*1.6</f>
        <v>77.920000000000016</v>
      </c>
      <c r="C6" s="338">
        <f>33.39*1.6</f>
        <v>53.424000000000007</v>
      </c>
      <c r="D6" s="338">
        <f>13.41*1.6</f>
        <v>21.456000000000003</v>
      </c>
      <c r="E6" s="40" t="s">
        <v>44</v>
      </c>
      <c r="F6" s="41" t="s">
        <v>45</v>
      </c>
      <c r="G6" s="105" t="s">
        <v>46</v>
      </c>
      <c r="H6" s="40" t="s">
        <v>61</v>
      </c>
      <c r="I6" s="42" t="s">
        <v>44</v>
      </c>
      <c r="J6" s="43" t="s">
        <v>45</v>
      </c>
      <c r="K6" s="1"/>
    </row>
    <row r="7" spans="1:11" ht="13.5" thickBot="1" x14ac:dyDescent="0.25">
      <c r="A7" s="369"/>
      <c r="B7" s="172" t="s">
        <v>71</v>
      </c>
      <c r="C7" s="44" t="s">
        <v>71</v>
      </c>
      <c r="D7" s="44" t="s">
        <v>71</v>
      </c>
      <c r="E7" s="44" t="s">
        <v>49</v>
      </c>
      <c r="F7" s="44" t="s">
        <v>49</v>
      </c>
      <c r="G7" s="106" t="s">
        <v>50</v>
      </c>
      <c r="H7" s="46" t="s">
        <v>62</v>
      </c>
      <c r="I7" s="47" t="s">
        <v>51</v>
      </c>
      <c r="J7" s="48" t="s">
        <v>51</v>
      </c>
      <c r="K7" s="1"/>
    </row>
    <row r="8" spans="1:11" ht="15.75" x14ac:dyDescent="0.2">
      <c r="A8" s="75" t="s">
        <v>73</v>
      </c>
      <c r="B8" s="77"/>
      <c r="C8" s="51"/>
      <c r="D8" s="52"/>
      <c r="E8" s="51"/>
      <c r="F8" s="51"/>
      <c r="G8" s="107"/>
      <c r="H8" s="51"/>
      <c r="I8" s="260"/>
      <c r="J8" s="55"/>
      <c r="K8" s="1"/>
    </row>
    <row r="9" spans="1:11" ht="12.75" x14ac:dyDescent="0.2">
      <c r="A9" s="29" t="s">
        <v>55</v>
      </c>
      <c r="B9" s="108">
        <v>0</v>
      </c>
      <c r="C9" s="57">
        <v>0.5</v>
      </c>
      <c r="D9" s="58">
        <v>0</v>
      </c>
      <c r="E9" s="59">
        <f>SUM(B9:D9)</f>
        <v>0.5</v>
      </c>
      <c r="F9" s="283">
        <f>B9*B$6+C9*C$6+D9*D$6</f>
        <v>26.712000000000003</v>
      </c>
      <c r="G9" s="109">
        <v>0</v>
      </c>
      <c r="H9" s="110">
        <f>ROUND(AVERAGE(PartnerCounts!E2:G2)/4,0)</f>
        <v>10</v>
      </c>
      <c r="I9" s="261">
        <f>+H9*E9</f>
        <v>5</v>
      </c>
      <c r="J9" s="285">
        <f>+H9*(F9+G9)</f>
        <v>267.12</v>
      </c>
      <c r="K9" s="1"/>
    </row>
    <row r="10" spans="1:11" ht="25.5" customHeight="1" x14ac:dyDescent="0.2">
      <c r="A10" s="29" t="s">
        <v>83</v>
      </c>
      <c r="B10" s="108">
        <v>0</v>
      </c>
      <c r="C10" s="57">
        <v>0.25</v>
      </c>
      <c r="D10" s="58">
        <v>0</v>
      </c>
      <c r="E10" s="59">
        <f>SUM(B10:D10)</f>
        <v>0.25</v>
      </c>
      <c r="F10" s="283">
        <f>B10*B$6+C10*C$6+D10*D$6</f>
        <v>13.356000000000002</v>
      </c>
      <c r="G10" s="109">
        <v>0</v>
      </c>
      <c r="H10" s="110">
        <f>ROUND(H9/2,0)</f>
        <v>5</v>
      </c>
      <c r="I10" s="261">
        <f>+H10*E10</f>
        <v>1.25</v>
      </c>
      <c r="J10" s="285">
        <f>+H10*(F10+G10)</f>
        <v>66.78</v>
      </c>
      <c r="K10" s="1"/>
    </row>
    <row r="11" spans="1:11" ht="25.5" customHeight="1" thickBot="1" x14ac:dyDescent="0.25">
      <c r="A11" s="111" t="s">
        <v>56</v>
      </c>
      <c r="B11" s="112">
        <v>0</v>
      </c>
      <c r="C11" s="79">
        <v>0.25</v>
      </c>
      <c r="D11" s="79">
        <v>0</v>
      </c>
      <c r="E11" s="80">
        <f>SUM(B11:D11)</f>
        <v>0.25</v>
      </c>
      <c r="F11" s="284">
        <f>B11*B$6+C11*C$6+D11*D$6</f>
        <v>13.356000000000002</v>
      </c>
      <c r="G11" s="115">
        <v>0</v>
      </c>
      <c r="H11" s="244">
        <f>H9-H10</f>
        <v>5</v>
      </c>
      <c r="I11" s="262">
        <f>+H11*E11</f>
        <v>1.25</v>
      </c>
      <c r="J11" s="286">
        <f>+H11*(F11+G11)</f>
        <v>66.78</v>
      </c>
      <c r="K11" s="1"/>
    </row>
    <row r="12" spans="1:11" ht="13.5" customHeight="1" x14ac:dyDescent="0.2">
      <c r="A12" s="116" t="s">
        <v>54</v>
      </c>
      <c r="B12" s="87"/>
      <c r="C12" s="83"/>
      <c r="D12" s="84"/>
      <c r="E12" s="83"/>
      <c r="F12" s="85"/>
      <c r="G12" s="117"/>
      <c r="H12" s="83"/>
      <c r="I12" s="261">
        <f>SUM(I9:I11)</f>
        <v>7.5</v>
      </c>
      <c r="J12" s="246">
        <f>SUM(J9:J11)</f>
        <v>400.67999999999995</v>
      </c>
      <c r="K12" s="1"/>
    </row>
    <row r="13" spans="1:11" ht="12.75" x14ac:dyDescent="0.2">
      <c r="A13" s="102"/>
      <c r="B13" s="1"/>
      <c r="C13" s="1"/>
      <c r="D13" s="1"/>
      <c r="E13" s="1"/>
      <c r="F13" s="33"/>
      <c r="G13" s="33"/>
      <c r="H13" s="1"/>
      <c r="I13" s="34"/>
      <c r="J13" s="33"/>
      <c r="K13" s="1"/>
    </row>
    <row r="14" spans="1:11" ht="67.5" customHeight="1" x14ac:dyDescent="0.2">
      <c r="A14" s="367" t="s">
        <v>131</v>
      </c>
      <c r="B14" s="367"/>
      <c r="C14" s="367"/>
      <c r="D14" s="367"/>
      <c r="E14" s="367"/>
      <c r="F14" s="367"/>
      <c r="G14" s="367"/>
      <c r="H14" s="367"/>
      <c r="I14" s="367"/>
      <c r="J14" s="367"/>
      <c r="K14" s="1"/>
    </row>
    <row r="15" spans="1:11" ht="69" customHeight="1" x14ac:dyDescent="0.2">
      <c r="A15" s="367" t="s">
        <v>202</v>
      </c>
      <c r="B15" s="367"/>
      <c r="C15" s="367"/>
      <c r="D15" s="367"/>
      <c r="E15" s="367"/>
      <c r="F15" s="367"/>
      <c r="G15" s="367"/>
      <c r="H15" s="367"/>
      <c r="I15" s="367"/>
      <c r="J15" s="367"/>
      <c r="K15" s="1"/>
    </row>
    <row r="16" spans="1:11" x14ac:dyDescent="0.15">
      <c r="A16" s="371"/>
      <c r="B16" s="371"/>
      <c r="C16" s="371"/>
      <c r="D16" s="371"/>
      <c r="E16" s="371"/>
      <c r="F16" s="371"/>
      <c r="G16" s="371"/>
      <c r="H16" s="371"/>
      <c r="I16" s="371"/>
      <c r="J16" s="371"/>
    </row>
  </sheetData>
  <mergeCells count="4">
    <mergeCell ref="A14:J14"/>
    <mergeCell ref="A5:A7"/>
    <mergeCell ref="A2:J2"/>
    <mergeCell ref="A15:J16"/>
  </mergeCells>
  <phoneticPr fontId="0" type="noConversion"/>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heetViews>
  <sheetFormatPr defaultColWidth="9.33203125" defaultRowHeight="10.5" x14ac:dyDescent="0.15"/>
  <cols>
    <col min="1" max="1" width="26.1640625" style="24" customWidth="1"/>
    <col min="2" max="7" width="9.33203125" style="9"/>
    <col min="8" max="8" width="12.33203125" style="9" customWidth="1"/>
    <col min="9" max="9" width="9.33203125" style="263"/>
    <col min="10" max="10" width="10.83203125" style="9" customWidth="1"/>
    <col min="11" max="16384" width="9.33203125" style="9"/>
  </cols>
  <sheetData>
    <row r="1" spans="1:12" ht="12.75" x14ac:dyDescent="0.2">
      <c r="A1" s="30" t="s">
        <v>74</v>
      </c>
      <c r="B1" s="31"/>
      <c r="C1" s="31"/>
      <c r="D1" s="31"/>
      <c r="E1" s="31"/>
      <c r="F1" s="32"/>
      <c r="G1" s="33"/>
      <c r="H1" s="1"/>
      <c r="I1" s="34"/>
      <c r="J1" s="33"/>
      <c r="K1" s="1"/>
    </row>
    <row r="2" spans="1:12" ht="12.75" x14ac:dyDescent="0.2">
      <c r="A2" s="370" t="s">
        <v>12</v>
      </c>
      <c r="B2" s="370"/>
      <c r="C2" s="370"/>
      <c r="D2" s="370"/>
      <c r="E2" s="370"/>
      <c r="F2" s="370"/>
      <c r="G2" s="370"/>
      <c r="H2" s="370"/>
      <c r="I2" s="370"/>
      <c r="J2" s="370"/>
      <c r="K2" s="1"/>
    </row>
    <row r="3" spans="1:12" ht="12.75" x14ac:dyDescent="0.2">
      <c r="A3" s="30"/>
      <c r="B3" s="30"/>
      <c r="C3" s="30"/>
      <c r="D3" s="30"/>
      <c r="E3" s="30"/>
      <c r="F3" s="30"/>
      <c r="G3" s="30"/>
      <c r="H3" s="30"/>
      <c r="I3" s="259"/>
      <c r="J3" s="30"/>
      <c r="K3" s="1"/>
    </row>
    <row r="4" spans="1:12" ht="15.75" x14ac:dyDescent="0.2">
      <c r="A4" s="372" t="s">
        <v>47</v>
      </c>
      <c r="B4" s="35" t="s">
        <v>65</v>
      </c>
      <c r="C4" s="36"/>
      <c r="D4" s="36"/>
      <c r="E4" s="36"/>
      <c r="F4" s="37"/>
      <c r="G4" s="37"/>
      <c r="H4" s="35" t="s">
        <v>37</v>
      </c>
      <c r="I4" s="38"/>
      <c r="J4" s="39"/>
      <c r="K4" s="1"/>
    </row>
    <row r="5" spans="1:12" ht="12.75" x14ac:dyDescent="0.2">
      <c r="A5" s="373"/>
      <c r="B5" s="40" t="s">
        <v>38</v>
      </c>
      <c r="C5" s="40" t="s">
        <v>39</v>
      </c>
      <c r="D5" s="40" t="s">
        <v>40</v>
      </c>
      <c r="E5" s="40" t="s">
        <v>41</v>
      </c>
      <c r="F5" s="41" t="s">
        <v>42</v>
      </c>
      <c r="G5" s="32"/>
      <c r="H5" s="40" t="s">
        <v>60</v>
      </c>
      <c r="I5" s="42" t="s">
        <v>43</v>
      </c>
      <c r="J5" s="43" t="s">
        <v>43</v>
      </c>
      <c r="K5" s="1"/>
      <c r="L5" s="5"/>
    </row>
    <row r="6" spans="1:12" ht="12.75" x14ac:dyDescent="0.2">
      <c r="A6" s="368"/>
      <c r="B6" s="339">
        <f>48.7*1.6</f>
        <v>77.920000000000016</v>
      </c>
      <c r="C6" s="338">
        <f>33.39*1.6</f>
        <v>53.424000000000007</v>
      </c>
      <c r="D6" s="338">
        <f>13.41*1.6</f>
        <v>21.456000000000003</v>
      </c>
      <c r="E6" s="40" t="s">
        <v>44</v>
      </c>
      <c r="F6" s="41" t="s">
        <v>45</v>
      </c>
      <c r="G6" s="41" t="s">
        <v>46</v>
      </c>
      <c r="H6" s="40" t="s">
        <v>61</v>
      </c>
      <c r="I6" s="42" t="s">
        <v>44</v>
      </c>
      <c r="J6" s="43" t="s">
        <v>45</v>
      </c>
      <c r="K6" s="1"/>
      <c r="L6" s="5"/>
    </row>
    <row r="7" spans="1:12" ht="13.5" thickBot="1" x14ac:dyDescent="0.25">
      <c r="A7" s="374"/>
      <c r="B7" s="44" t="s">
        <v>71</v>
      </c>
      <c r="C7" s="44" t="s">
        <v>71</v>
      </c>
      <c r="D7" s="44" t="s">
        <v>71</v>
      </c>
      <c r="E7" s="44" t="s">
        <v>49</v>
      </c>
      <c r="F7" s="44" t="s">
        <v>49</v>
      </c>
      <c r="G7" s="45" t="s">
        <v>50</v>
      </c>
      <c r="H7" s="46" t="s">
        <v>62</v>
      </c>
      <c r="I7" s="47" t="s">
        <v>51</v>
      </c>
      <c r="J7" s="48" t="s">
        <v>51</v>
      </c>
      <c r="K7" s="1"/>
      <c r="L7" s="5"/>
    </row>
    <row r="8" spans="1:12" s="1" customFormat="1" ht="15.75" x14ac:dyDescent="0.2">
      <c r="A8" s="49" t="s">
        <v>69</v>
      </c>
      <c r="B8" s="50"/>
      <c r="C8" s="51"/>
      <c r="D8" s="51"/>
      <c r="E8" s="52"/>
      <c r="F8" s="51"/>
      <c r="G8" s="53"/>
      <c r="H8" s="54"/>
      <c r="I8" s="264"/>
      <c r="J8" s="55"/>
      <c r="K8" s="2"/>
    </row>
    <row r="9" spans="1:12" s="1" customFormat="1" ht="12.75" x14ac:dyDescent="0.2">
      <c r="A9" s="56" t="s">
        <v>68</v>
      </c>
      <c r="B9" s="57">
        <v>0.25</v>
      </c>
      <c r="C9" s="58">
        <v>0.25</v>
      </c>
      <c r="D9" s="58">
        <v>0</v>
      </c>
      <c r="E9" s="59">
        <f>SUM(B9:D9)</f>
        <v>0.5</v>
      </c>
      <c r="F9" s="283">
        <f>B$6*B9+C$6*C9+D$6*D9</f>
        <v>32.836000000000006</v>
      </c>
      <c r="G9" s="60">
        <v>0</v>
      </c>
      <c r="H9" s="61">
        <f>PartnerCounts!C2</f>
        <v>1</v>
      </c>
      <c r="I9" s="261">
        <f>+H9*E9</f>
        <v>0.5</v>
      </c>
      <c r="J9" s="285">
        <f>+H9*(F9+G9)</f>
        <v>32.836000000000006</v>
      </c>
    </row>
    <row r="10" spans="1:12" s="1" customFormat="1" ht="12.75" x14ac:dyDescent="0.2">
      <c r="A10" s="62" t="s">
        <v>59</v>
      </c>
      <c r="B10" s="63">
        <v>0.25</v>
      </c>
      <c r="C10" s="63">
        <v>0.25</v>
      </c>
      <c r="D10" s="63">
        <v>0</v>
      </c>
      <c r="E10" s="59">
        <f>SUM(B10:D10)</f>
        <v>0.5</v>
      </c>
      <c r="F10" s="283">
        <f>B$6*B10+C$6*C10+D$6*D10</f>
        <v>32.836000000000006</v>
      </c>
      <c r="G10" s="6">
        <v>0</v>
      </c>
      <c r="H10" s="64">
        <f>H9</f>
        <v>1</v>
      </c>
      <c r="I10" s="265">
        <f>+H10*E10</f>
        <v>0.5</v>
      </c>
      <c r="J10" s="287">
        <f>+H10*(F10+G10)</f>
        <v>32.836000000000006</v>
      </c>
    </row>
    <row r="11" spans="1:12" s="1" customFormat="1" ht="25.5" x14ac:dyDescent="0.2">
      <c r="A11" s="65" t="s">
        <v>63</v>
      </c>
      <c r="B11" s="66">
        <v>0</v>
      </c>
      <c r="C11" s="66">
        <v>0</v>
      </c>
      <c r="D11" s="66">
        <v>0.5</v>
      </c>
      <c r="E11" s="59">
        <f>SUM(B11:D11)</f>
        <v>0.5</v>
      </c>
      <c r="F11" s="283">
        <f>B$6*B11+C$6*C11+D$6*D11</f>
        <v>10.728000000000002</v>
      </c>
      <c r="G11" s="67">
        <v>0</v>
      </c>
      <c r="H11" s="68">
        <f>H9</f>
        <v>1</v>
      </c>
      <c r="I11" s="266">
        <f>+H11*E11</f>
        <v>0.5</v>
      </c>
      <c r="J11" s="288">
        <f>+H11*(F11+G11)</f>
        <v>10.728000000000002</v>
      </c>
    </row>
    <row r="12" spans="1:12" s="1" customFormat="1" ht="13.5" thickBot="1" x14ac:dyDescent="0.25">
      <c r="A12" s="69" t="s">
        <v>52</v>
      </c>
      <c r="B12" s="70"/>
      <c r="C12" s="70"/>
      <c r="D12" s="71"/>
      <c r="E12" s="70"/>
      <c r="F12" s="72"/>
      <c r="G12" s="73"/>
      <c r="H12" s="74"/>
      <c r="I12" s="262">
        <f>SUM(I9:I11)</f>
        <v>1.5</v>
      </c>
      <c r="J12" s="289">
        <f>SUM(J9:J11)</f>
        <v>76.400000000000006</v>
      </c>
    </row>
    <row r="13" spans="1:12" ht="15.75" x14ac:dyDescent="0.2">
      <c r="A13" s="75" t="s">
        <v>13</v>
      </c>
      <c r="B13" s="51"/>
      <c r="C13" s="51"/>
      <c r="D13" s="52"/>
      <c r="E13" s="51"/>
      <c r="F13" s="51"/>
      <c r="G13" s="76"/>
      <c r="H13" s="77"/>
      <c r="I13" s="260"/>
      <c r="J13" s="55"/>
      <c r="K13" s="1"/>
    </row>
    <row r="14" spans="1:12" ht="12.75" x14ac:dyDescent="0.2">
      <c r="A14" s="56" t="s">
        <v>55</v>
      </c>
      <c r="B14" s="57">
        <v>0</v>
      </c>
      <c r="C14" s="57">
        <v>0.5</v>
      </c>
      <c r="D14" s="58">
        <v>0</v>
      </c>
      <c r="E14" s="59">
        <f>SUM(B14:D14)</f>
        <v>0.5</v>
      </c>
      <c r="F14" s="283">
        <f>B14*B$6+C14*C$6+D14*D$6</f>
        <v>26.712000000000003</v>
      </c>
      <c r="G14" s="60">
        <v>0</v>
      </c>
      <c r="H14" s="61">
        <f>ROUND(H9/4,0)</f>
        <v>0</v>
      </c>
      <c r="I14" s="261">
        <f>+H14*E14</f>
        <v>0</v>
      </c>
      <c r="J14" s="285">
        <f>+H14*(F14+G14)</f>
        <v>0</v>
      </c>
      <c r="K14" s="1"/>
    </row>
    <row r="15" spans="1:12" ht="25.5" customHeight="1" x14ac:dyDescent="0.2">
      <c r="A15" s="56" t="s">
        <v>83</v>
      </c>
      <c r="B15" s="57">
        <v>0</v>
      </c>
      <c r="C15" s="57">
        <v>0.25</v>
      </c>
      <c r="D15" s="58">
        <v>0</v>
      </c>
      <c r="E15" s="59">
        <f>SUM(B15:D15)</f>
        <v>0.25</v>
      </c>
      <c r="F15" s="283">
        <f>B15*B$6+C15*C$6+D15*D$6</f>
        <v>13.356000000000002</v>
      </c>
      <c r="G15" s="60">
        <v>0</v>
      </c>
      <c r="H15" s="61">
        <f>ROUND(H14/2,0)</f>
        <v>0</v>
      </c>
      <c r="I15" s="261">
        <f>+H15*E15</f>
        <v>0</v>
      </c>
      <c r="J15" s="285">
        <f>+H15*(F15+G15)</f>
        <v>0</v>
      </c>
      <c r="K15" s="1"/>
    </row>
    <row r="16" spans="1:12" ht="25.5" customHeight="1" thickBot="1" x14ac:dyDescent="0.25">
      <c r="A16" s="78" t="s">
        <v>56</v>
      </c>
      <c r="B16" s="79">
        <v>0</v>
      </c>
      <c r="C16" s="79">
        <v>0.25</v>
      </c>
      <c r="D16" s="79">
        <v>0</v>
      </c>
      <c r="E16" s="80">
        <f>SUM(B16:D16)</f>
        <v>0.25</v>
      </c>
      <c r="F16" s="284">
        <f>B16*B$6+C16*C$6+D16*D$6</f>
        <v>13.356000000000002</v>
      </c>
      <c r="G16" s="81">
        <v>0</v>
      </c>
      <c r="H16" s="245">
        <f>H14-H15</f>
        <v>0</v>
      </c>
      <c r="I16" s="262">
        <f>+H16*E16</f>
        <v>0</v>
      </c>
      <c r="J16" s="286">
        <f>+H16*(F16+G16)</f>
        <v>0</v>
      </c>
      <c r="K16" s="1"/>
    </row>
    <row r="17" spans="1:11" ht="15.75" customHeight="1" thickBot="1" x14ac:dyDescent="0.25">
      <c r="A17" s="69" t="s">
        <v>52</v>
      </c>
      <c r="B17" s="70"/>
      <c r="C17" s="70"/>
      <c r="D17" s="71"/>
      <c r="E17" s="70"/>
      <c r="F17" s="72"/>
      <c r="G17" s="73"/>
      <c r="H17" s="74"/>
      <c r="I17" s="262">
        <f>SUM(I14:I16)</f>
        <v>0</v>
      </c>
      <c r="J17" s="289">
        <f>SUM(J14:J16)</f>
        <v>0</v>
      </c>
      <c r="K17" s="1"/>
    </row>
    <row r="18" spans="1:11" ht="13.5" customHeight="1" x14ac:dyDescent="0.2">
      <c r="A18" s="82" t="s">
        <v>54</v>
      </c>
      <c r="B18" s="83"/>
      <c r="C18" s="83"/>
      <c r="D18" s="84"/>
      <c r="E18" s="83"/>
      <c r="F18" s="85"/>
      <c r="G18" s="86"/>
      <c r="H18" s="87"/>
      <c r="I18" s="261">
        <f>SUM(I12,I17)</f>
        <v>1.5</v>
      </c>
      <c r="J18" s="246">
        <f>SUM(J12,J17)</f>
        <v>76.400000000000006</v>
      </c>
      <c r="K18" s="1"/>
    </row>
    <row r="19" spans="1:11" ht="12.75" x14ac:dyDescent="0.2">
      <c r="A19" s="88"/>
      <c r="B19" s="89"/>
      <c r="C19" s="89"/>
      <c r="D19" s="90"/>
      <c r="E19" s="89"/>
      <c r="F19" s="91"/>
      <c r="G19" s="91"/>
      <c r="H19" s="89"/>
      <c r="I19" s="267"/>
      <c r="J19" s="7"/>
      <c r="K19" s="1"/>
    </row>
    <row r="20" spans="1:11" ht="79.150000000000006" customHeight="1" x14ac:dyDescent="0.2">
      <c r="A20" s="367" t="s">
        <v>131</v>
      </c>
      <c r="B20" s="367"/>
      <c r="C20" s="367"/>
      <c r="D20" s="367"/>
      <c r="E20" s="367"/>
      <c r="F20" s="367"/>
      <c r="G20" s="367"/>
      <c r="H20" s="367"/>
      <c r="I20" s="367"/>
      <c r="J20" s="367"/>
      <c r="K20" s="1"/>
    </row>
    <row r="21" spans="1:11" ht="33.6" customHeight="1" x14ac:dyDescent="0.2">
      <c r="A21" s="367" t="s">
        <v>170</v>
      </c>
      <c r="B21" s="367"/>
      <c r="C21" s="367"/>
      <c r="D21" s="367"/>
      <c r="E21" s="367"/>
      <c r="F21" s="367"/>
      <c r="G21" s="367"/>
      <c r="H21" s="367"/>
      <c r="I21" s="367"/>
      <c r="J21" s="367"/>
      <c r="K21" s="1"/>
    </row>
    <row r="22" spans="1:11" ht="69" customHeight="1" x14ac:dyDescent="0.2">
      <c r="A22" s="367" t="s">
        <v>203</v>
      </c>
      <c r="B22" s="367"/>
      <c r="C22" s="367"/>
      <c r="D22" s="367"/>
      <c r="E22" s="367"/>
      <c r="F22" s="367"/>
      <c r="G22" s="367"/>
      <c r="H22" s="367"/>
      <c r="I22" s="367"/>
      <c r="J22" s="367"/>
      <c r="K22" s="1"/>
    </row>
  </sheetData>
  <mergeCells count="5">
    <mergeCell ref="A2:J2"/>
    <mergeCell ref="A20:J20"/>
    <mergeCell ref="A22:J22"/>
    <mergeCell ref="A21:J21"/>
    <mergeCell ref="A4:A7"/>
  </mergeCells>
  <phoneticPr fontId="0" type="noConversion"/>
  <pageMargins left="0.75" right="0.75" top="0.8" bottom="0.8"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workbookViewId="0"/>
  </sheetViews>
  <sheetFormatPr defaultColWidth="9.33203125" defaultRowHeight="10.5" x14ac:dyDescent="0.15"/>
  <cols>
    <col min="1" max="1" width="32.83203125" style="24" customWidth="1"/>
    <col min="2" max="7" width="9.33203125" style="9"/>
    <col min="8" max="8" width="12.33203125" style="9" customWidth="1"/>
    <col min="9" max="9" width="9.33203125" style="263"/>
    <col min="10" max="10" width="10.83203125" style="9" customWidth="1"/>
    <col min="11" max="16384" width="9.33203125" style="9"/>
  </cols>
  <sheetData>
    <row r="1" spans="1:11" ht="12.75" x14ac:dyDescent="0.2">
      <c r="A1" s="30" t="s">
        <v>10</v>
      </c>
      <c r="B1" s="31"/>
      <c r="C1" s="31"/>
      <c r="D1" s="31"/>
      <c r="E1" s="31"/>
      <c r="F1" s="32"/>
      <c r="G1" s="33"/>
      <c r="H1" s="1"/>
      <c r="I1" s="34"/>
      <c r="J1" s="33"/>
      <c r="K1" s="1"/>
    </row>
    <row r="2" spans="1:11" ht="12.75" x14ac:dyDescent="0.2">
      <c r="A2" s="370" t="s">
        <v>75</v>
      </c>
      <c r="B2" s="370"/>
      <c r="C2" s="370"/>
      <c r="D2" s="370"/>
      <c r="E2" s="370"/>
      <c r="F2" s="370"/>
      <c r="G2" s="370"/>
      <c r="H2" s="370"/>
      <c r="I2" s="370"/>
      <c r="J2" s="370"/>
      <c r="K2" s="1"/>
    </row>
    <row r="3" spans="1:11" ht="12.75" x14ac:dyDescent="0.2">
      <c r="A3" s="30"/>
      <c r="B3" s="30"/>
      <c r="C3" s="30"/>
      <c r="D3" s="30"/>
      <c r="E3" s="30"/>
      <c r="F3" s="30"/>
      <c r="G3" s="30"/>
      <c r="H3" s="30"/>
      <c r="I3" s="259"/>
      <c r="J3" s="30"/>
      <c r="K3" s="1"/>
    </row>
    <row r="4" spans="1:11" ht="15.75" x14ac:dyDescent="0.2">
      <c r="A4" s="372" t="s">
        <v>47</v>
      </c>
      <c r="B4" s="35" t="s">
        <v>65</v>
      </c>
      <c r="C4" s="36"/>
      <c r="D4" s="36"/>
      <c r="E4" s="36"/>
      <c r="F4" s="37"/>
      <c r="G4" s="37"/>
      <c r="H4" s="35" t="s">
        <v>37</v>
      </c>
      <c r="I4" s="38"/>
      <c r="J4" s="39"/>
      <c r="K4" s="1"/>
    </row>
    <row r="5" spans="1:11" ht="12.75" x14ac:dyDescent="0.2">
      <c r="A5" s="373"/>
      <c r="B5" s="40" t="s">
        <v>38</v>
      </c>
      <c r="C5" s="40" t="s">
        <v>39</v>
      </c>
      <c r="D5" s="40" t="s">
        <v>40</v>
      </c>
      <c r="E5" s="40" t="s">
        <v>41</v>
      </c>
      <c r="F5" s="41" t="s">
        <v>42</v>
      </c>
      <c r="G5" s="32"/>
      <c r="H5" s="40" t="s">
        <v>60</v>
      </c>
      <c r="I5" s="42" t="s">
        <v>43</v>
      </c>
      <c r="J5" s="43" t="s">
        <v>43</v>
      </c>
      <c r="K5" s="1"/>
    </row>
    <row r="6" spans="1:11" ht="12.75" x14ac:dyDescent="0.2">
      <c r="A6" s="373"/>
      <c r="B6" s="340">
        <f>(51.78+(51.78*1.1))*1.02</f>
        <v>110.91276000000001</v>
      </c>
      <c r="C6" s="338">
        <f>(45.42+(45.42*1.1))*1.02</f>
        <v>97.289640000000006</v>
      </c>
      <c r="D6" s="338">
        <f>(26.45+(26.45*1.1))*1.02</f>
        <v>56.655900000000003</v>
      </c>
      <c r="E6" s="40" t="s">
        <v>44</v>
      </c>
      <c r="F6" s="41" t="s">
        <v>45</v>
      </c>
      <c r="G6" s="41" t="s">
        <v>46</v>
      </c>
      <c r="H6" s="40" t="s">
        <v>61</v>
      </c>
      <c r="I6" s="42" t="s">
        <v>44</v>
      </c>
      <c r="J6" s="43" t="s">
        <v>45</v>
      </c>
      <c r="K6" s="1"/>
    </row>
    <row r="7" spans="1:11" ht="13.5" thickBot="1" x14ac:dyDescent="0.25">
      <c r="A7" s="374"/>
      <c r="B7" s="44" t="s">
        <v>71</v>
      </c>
      <c r="C7" s="44" t="s">
        <v>71</v>
      </c>
      <c r="D7" s="44" t="s">
        <v>71</v>
      </c>
      <c r="E7" s="44" t="s">
        <v>49</v>
      </c>
      <c r="F7" s="44" t="s">
        <v>49</v>
      </c>
      <c r="G7" s="45" t="s">
        <v>50</v>
      </c>
      <c r="H7" s="46" t="s">
        <v>62</v>
      </c>
      <c r="I7" s="47" t="s">
        <v>51</v>
      </c>
      <c r="J7" s="48" t="s">
        <v>51</v>
      </c>
      <c r="K7" s="1"/>
    </row>
    <row r="8" spans="1:11" ht="15.75" x14ac:dyDescent="0.2">
      <c r="A8" s="92" t="s">
        <v>73</v>
      </c>
      <c r="B8" s="51"/>
      <c r="C8" s="51"/>
      <c r="D8" s="52"/>
      <c r="E8" s="51"/>
      <c r="F8" s="51"/>
      <c r="G8" s="76"/>
      <c r="H8" s="77"/>
      <c r="I8" s="260"/>
      <c r="J8" s="55"/>
      <c r="K8" s="1"/>
    </row>
    <row r="9" spans="1:11" ht="12.75" x14ac:dyDescent="0.2">
      <c r="A9" s="56" t="s">
        <v>55</v>
      </c>
      <c r="B9" s="57">
        <v>0</v>
      </c>
      <c r="C9" s="57">
        <v>0.5</v>
      </c>
      <c r="D9" s="58">
        <v>0</v>
      </c>
      <c r="E9" s="59">
        <f>SUM(B9:D9)</f>
        <v>0.5</v>
      </c>
      <c r="F9" s="283">
        <f>B9*B$6+C9*C$6+D9*D$6</f>
        <v>48.644820000000003</v>
      </c>
      <c r="G9" s="60">
        <v>0</v>
      </c>
      <c r="H9" s="61">
        <f>ROUND(AVERAGE(PartnerCounts!E3:G3)/4,0)</f>
        <v>10</v>
      </c>
      <c r="I9" s="261">
        <f>+H9*E9</f>
        <v>5</v>
      </c>
      <c r="J9" s="285">
        <f>+H9*(F9+G9)</f>
        <v>486.44820000000004</v>
      </c>
      <c r="K9" s="1"/>
    </row>
    <row r="10" spans="1:11" ht="25.5" customHeight="1" x14ac:dyDescent="0.2">
      <c r="A10" s="56" t="s">
        <v>83</v>
      </c>
      <c r="B10" s="57">
        <v>0</v>
      </c>
      <c r="C10" s="57">
        <v>0.25</v>
      </c>
      <c r="D10" s="58">
        <v>0</v>
      </c>
      <c r="E10" s="59">
        <f>SUM(B10:D10)</f>
        <v>0.25</v>
      </c>
      <c r="F10" s="283">
        <f>B10*B$6+C10*C$6+D10*D$6</f>
        <v>24.322410000000001</v>
      </c>
      <c r="G10" s="60">
        <v>0</v>
      </c>
      <c r="H10" s="61">
        <f>ROUND(H9/2,0)</f>
        <v>5</v>
      </c>
      <c r="I10" s="261">
        <f>+H10*E10</f>
        <v>1.25</v>
      </c>
      <c r="J10" s="285">
        <f>+H10*(F10+G10)</f>
        <v>121.61205000000001</v>
      </c>
      <c r="K10" s="1"/>
    </row>
    <row r="11" spans="1:11" ht="25.5" customHeight="1" thickBot="1" x14ac:dyDescent="0.25">
      <c r="A11" s="78" t="s">
        <v>56</v>
      </c>
      <c r="B11" s="79">
        <v>0</v>
      </c>
      <c r="C11" s="79">
        <v>0.25</v>
      </c>
      <c r="D11" s="79">
        <v>0</v>
      </c>
      <c r="E11" s="247">
        <f>SUM(B11:D11)</f>
        <v>0.25</v>
      </c>
      <c r="F11" s="290">
        <f>B11*B$6+C11*C$6+D11*D$6</f>
        <v>24.322410000000001</v>
      </c>
      <c r="G11" s="115">
        <v>0</v>
      </c>
      <c r="H11" s="245">
        <f>H9-H10</f>
        <v>5</v>
      </c>
      <c r="I11" s="262">
        <f>+H11*E11</f>
        <v>1.25</v>
      </c>
      <c r="J11" s="286">
        <f>+H11*(F11+G11)</f>
        <v>121.61205000000001</v>
      </c>
      <c r="K11" s="1"/>
    </row>
    <row r="12" spans="1:11" ht="12.75" x14ac:dyDescent="0.2">
      <c r="A12" s="82" t="s">
        <v>54</v>
      </c>
      <c r="B12" s="83"/>
      <c r="C12" s="83"/>
      <c r="D12" s="84"/>
      <c r="E12" s="83"/>
      <c r="F12" s="85"/>
      <c r="G12" s="86"/>
      <c r="H12" s="87"/>
      <c r="I12" s="261">
        <f>SUM(I9:I11)</f>
        <v>7.5</v>
      </c>
      <c r="J12" s="246">
        <f>SUM(J9:J11)</f>
        <v>729.67229999999995</v>
      </c>
      <c r="K12" s="1"/>
    </row>
    <row r="13" spans="1:11" ht="12.75" x14ac:dyDescent="0.2">
      <c r="A13" s="102"/>
      <c r="B13" s="1"/>
      <c r="C13" s="1"/>
      <c r="D13" s="1"/>
      <c r="E13" s="1"/>
      <c r="F13" s="33"/>
      <c r="G13" s="33"/>
      <c r="H13" s="1"/>
      <c r="I13" s="34"/>
      <c r="J13" s="33"/>
      <c r="K13" s="1"/>
    </row>
    <row r="14" spans="1:11" ht="127.15" customHeight="1" x14ac:dyDescent="0.2">
      <c r="A14" s="367" t="s">
        <v>134</v>
      </c>
      <c r="B14" s="367"/>
      <c r="C14" s="367"/>
      <c r="D14" s="367"/>
      <c r="E14" s="367"/>
      <c r="F14" s="367"/>
      <c r="G14" s="367"/>
      <c r="H14" s="367"/>
      <c r="I14" s="367"/>
      <c r="J14" s="367"/>
      <c r="K14" s="248"/>
    </row>
    <row r="15" spans="1:11" ht="80.45" customHeight="1" x14ac:dyDescent="0.2">
      <c r="A15" s="367" t="s">
        <v>204</v>
      </c>
      <c r="B15" s="367"/>
      <c r="C15" s="367"/>
      <c r="D15" s="367"/>
      <c r="E15" s="367"/>
      <c r="F15" s="367"/>
      <c r="G15" s="367"/>
      <c r="H15" s="367"/>
      <c r="I15" s="367"/>
      <c r="J15" s="367"/>
      <c r="K15" s="248"/>
    </row>
  </sheetData>
  <mergeCells count="4">
    <mergeCell ref="A2:J2"/>
    <mergeCell ref="A14:J14"/>
    <mergeCell ref="A15:J15"/>
    <mergeCell ref="A4:A7"/>
  </mergeCells>
  <phoneticPr fontId="0" type="noConversion"/>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heetViews>
  <sheetFormatPr defaultColWidth="9.33203125" defaultRowHeight="10.5" x14ac:dyDescent="0.15"/>
  <cols>
    <col min="1" max="1" width="26.33203125" style="24" customWidth="1"/>
    <col min="2" max="7" width="9.33203125" style="9"/>
    <col min="8" max="8" width="12.33203125" style="9" customWidth="1"/>
    <col min="9" max="9" width="9.33203125" style="263"/>
    <col min="10" max="10" width="10.83203125" style="9" customWidth="1"/>
    <col min="11" max="16384" width="9.33203125" style="9"/>
  </cols>
  <sheetData>
    <row r="1" spans="1:11" ht="12.75" x14ac:dyDescent="0.2">
      <c r="A1" s="30" t="s">
        <v>17</v>
      </c>
      <c r="B1" s="31"/>
      <c r="C1" s="31"/>
      <c r="D1" s="31"/>
      <c r="E1" s="31"/>
      <c r="F1" s="32"/>
      <c r="G1" s="33"/>
      <c r="H1" s="1"/>
      <c r="I1" s="34"/>
      <c r="J1" s="33"/>
      <c r="K1" s="1"/>
    </row>
    <row r="2" spans="1:11" ht="12.75" x14ac:dyDescent="0.2">
      <c r="A2" s="370" t="s">
        <v>1</v>
      </c>
      <c r="B2" s="370"/>
      <c r="C2" s="370"/>
      <c r="D2" s="370"/>
      <c r="E2" s="370"/>
      <c r="F2" s="370"/>
      <c r="G2" s="370"/>
      <c r="H2" s="370"/>
      <c r="I2" s="370"/>
      <c r="J2" s="370"/>
      <c r="K2" s="1"/>
    </row>
    <row r="3" spans="1:11" ht="12.75" x14ac:dyDescent="0.2">
      <c r="A3" s="30"/>
      <c r="B3" s="30"/>
      <c r="C3" s="30"/>
      <c r="D3" s="30"/>
      <c r="E3" s="30"/>
      <c r="F3" s="30"/>
      <c r="G3" s="30"/>
      <c r="H3" s="30"/>
      <c r="I3" s="259"/>
      <c r="J3" s="30"/>
      <c r="K3" s="1"/>
    </row>
    <row r="4" spans="1:11" ht="15.75" x14ac:dyDescent="0.2">
      <c r="A4" s="372" t="s">
        <v>47</v>
      </c>
      <c r="B4" s="35" t="s">
        <v>65</v>
      </c>
      <c r="C4" s="36"/>
      <c r="D4" s="36"/>
      <c r="E4" s="36"/>
      <c r="F4" s="37"/>
      <c r="G4" s="37"/>
      <c r="H4" s="35" t="s">
        <v>37</v>
      </c>
      <c r="I4" s="38"/>
      <c r="J4" s="39"/>
      <c r="K4" s="1"/>
    </row>
    <row r="5" spans="1:11" ht="12.75" x14ac:dyDescent="0.2">
      <c r="A5" s="373"/>
      <c r="B5" s="40" t="s">
        <v>38</v>
      </c>
      <c r="C5" s="40" t="s">
        <v>39</v>
      </c>
      <c r="D5" s="40" t="s">
        <v>40</v>
      </c>
      <c r="E5" s="40" t="s">
        <v>41</v>
      </c>
      <c r="F5" s="41" t="s">
        <v>42</v>
      </c>
      <c r="G5" s="32"/>
      <c r="H5" s="40" t="s">
        <v>60</v>
      </c>
      <c r="I5" s="42" t="s">
        <v>43</v>
      </c>
      <c r="J5" s="43" t="s">
        <v>43</v>
      </c>
      <c r="K5" s="1"/>
    </row>
    <row r="6" spans="1:11" ht="12.75" x14ac:dyDescent="0.2">
      <c r="A6" s="373"/>
      <c r="B6" s="340">
        <f>(51.78+(51.78*1.1))*1.02</f>
        <v>110.91276000000001</v>
      </c>
      <c r="C6" s="338">
        <f>(45.42+(45.42*1.1))*1.02</f>
        <v>97.289640000000006</v>
      </c>
      <c r="D6" s="338">
        <f>(26.45+(26.45*1.1))*1.02</f>
        <v>56.655900000000003</v>
      </c>
      <c r="E6" s="40" t="s">
        <v>44</v>
      </c>
      <c r="F6" s="41" t="s">
        <v>45</v>
      </c>
      <c r="G6" s="41" t="s">
        <v>46</v>
      </c>
      <c r="H6" s="40" t="s">
        <v>61</v>
      </c>
      <c r="I6" s="42" t="s">
        <v>44</v>
      </c>
      <c r="J6" s="43" t="s">
        <v>45</v>
      </c>
      <c r="K6" s="1"/>
    </row>
    <row r="7" spans="1:11" ht="13.5" thickBot="1" x14ac:dyDescent="0.25">
      <c r="A7" s="374"/>
      <c r="B7" s="44" t="s">
        <v>71</v>
      </c>
      <c r="C7" s="44" t="s">
        <v>71</v>
      </c>
      <c r="D7" s="44" t="s">
        <v>71</v>
      </c>
      <c r="E7" s="44" t="s">
        <v>49</v>
      </c>
      <c r="F7" s="44" t="s">
        <v>49</v>
      </c>
      <c r="G7" s="45" t="s">
        <v>50</v>
      </c>
      <c r="H7" s="46" t="s">
        <v>62</v>
      </c>
      <c r="I7" s="47" t="s">
        <v>51</v>
      </c>
      <c r="J7" s="48" t="s">
        <v>51</v>
      </c>
      <c r="K7" s="1"/>
    </row>
    <row r="8" spans="1:11" s="1" customFormat="1" ht="15.75" x14ac:dyDescent="0.2">
      <c r="A8" s="49" t="s">
        <v>69</v>
      </c>
      <c r="B8" s="50"/>
      <c r="C8" s="51"/>
      <c r="D8" s="51"/>
      <c r="E8" s="52"/>
      <c r="F8" s="51"/>
      <c r="G8" s="53"/>
      <c r="H8" s="54"/>
      <c r="I8" s="264"/>
      <c r="J8" s="55"/>
      <c r="K8" s="2"/>
    </row>
    <row r="9" spans="1:11" s="1" customFormat="1" ht="12.75" x14ac:dyDescent="0.2">
      <c r="A9" s="56" t="s">
        <v>68</v>
      </c>
      <c r="B9" s="57">
        <v>0.25</v>
      </c>
      <c r="C9" s="58">
        <v>0.25</v>
      </c>
      <c r="D9" s="58">
        <v>0</v>
      </c>
      <c r="E9" s="59">
        <f>SUM(B9:D9)</f>
        <v>0.5</v>
      </c>
      <c r="F9" s="283">
        <f>B$6*B9+C$6*C9+D$6*D9</f>
        <v>52.050600000000003</v>
      </c>
      <c r="G9" s="60">
        <v>0</v>
      </c>
      <c r="H9" s="61">
        <f>PartnerCounts!C3</f>
        <v>1</v>
      </c>
      <c r="I9" s="261">
        <f>+H9*E9</f>
        <v>0.5</v>
      </c>
      <c r="J9" s="285">
        <f>+H9*(F9+G9)</f>
        <v>52.050600000000003</v>
      </c>
    </row>
    <row r="10" spans="1:11" s="1" customFormat="1" ht="12.75" x14ac:dyDescent="0.2">
      <c r="A10" s="62" t="s">
        <v>59</v>
      </c>
      <c r="B10" s="63">
        <v>0.25</v>
      </c>
      <c r="C10" s="63">
        <v>0.25</v>
      </c>
      <c r="D10" s="63">
        <v>0</v>
      </c>
      <c r="E10" s="59">
        <f>SUM(B10:D10)</f>
        <v>0.5</v>
      </c>
      <c r="F10" s="283">
        <f>B$6*B10+C$6*C10+D$6*D10</f>
        <v>52.050600000000003</v>
      </c>
      <c r="G10" s="6">
        <v>0</v>
      </c>
      <c r="H10" s="64">
        <f>H9</f>
        <v>1</v>
      </c>
      <c r="I10" s="265">
        <f>+H10*E10</f>
        <v>0.5</v>
      </c>
      <c r="J10" s="287">
        <f>+H10*(F10+G10)</f>
        <v>52.050600000000003</v>
      </c>
    </row>
    <row r="11" spans="1:11" s="1" customFormat="1" ht="25.5" x14ac:dyDescent="0.2">
      <c r="A11" s="65" t="s">
        <v>63</v>
      </c>
      <c r="B11" s="66">
        <v>0</v>
      </c>
      <c r="C11" s="66">
        <v>0</v>
      </c>
      <c r="D11" s="66">
        <v>0.5</v>
      </c>
      <c r="E11" s="59">
        <f>SUM(B11:D11)</f>
        <v>0.5</v>
      </c>
      <c r="F11" s="283">
        <f>B$6*B11+C$6*C11+D$6*D11</f>
        <v>28.327950000000001</v>
      </c>
      <c r="G11" s="67">
        <v>0</v>
      </c>
      <c r="H11" s="68">
        <f>H9</f>
        <v>1</v>
      </c>
      <c r="I11" s="266">
        <f>+H11*E11</f>
        <v>0.5</v>
      </c>
      <c r="J11" s="288">
        <f>+H11*(F11+G11)</f>
        <v>28.327950000000001</v>
      </c>
    </row>
    <row r="12" spans="1:11" s="1" customFormat="1" ht="15.75" customHeight="1" thickBot="1" x14ac:dyDescent="0.25">
      <c r="A12" s="69" t="s">
        <v>52</v>
      </c>
      <c r="B12" s="70"/>
      <c r="C12" s="70"/>
      <c r="D12" s="71"/>
      <c r="E12" s="70"/>
      <c r="F12" s="72"/>
      <c r="G12" s="73"/>
      <c r="H12" s="74"/>
      <c r="I12" s="262">
        <f>SUM(I9:I11)</f>
        <v>1.5</v>
      </c>
      <c r="J12" s="289">
        <f>SUM(J9:J11)</f>
        <v>132.42914999999999</v>
      </c>
    </row>
    <row r="13" spans="1:11" ht="15.75" x14ac:dyDescent="0.2">
      <c r="A13" s="92" t="s">
        <v>13</v>
      </c>
      <c r="B13" s="51"/>
      <c r="C13" s="51"/>
      <c r="D13" s="52"/>
      <c r="E13" s="51"/>
      <c r="F13" s="51"/>
      <c r="G13" s="76"/>
      <c r="H13" s="77"/>
      <c r="I13" s="260"/>
      <c r="J13" s="55"/>
      <c r="K13" s="1"/>
    </row>
    <row r="14" spans="1:11" ht="12.75" x14ac:dyDescent="0.2">
      <c r="A14" s="56" t="s">
        <v>55</v>
      </c>
      <c r="B14" s="57">
        <v>0</v>
      </c>
      <c r="C14" s="57">
        <v>0.5</v>
      </c>
      <c r="D14" s="58">
        <v>0</v>
      </c>
      <c r="E14" s="59">
        <f>SUM(B14:D14)</f>
        <v>0.5</v>
      </c>
      <c r="F14" s="283">
        <f>B14*B$6+C14*C$6+D14*D$6</f>
        <v>48.644820000000003</v>
      </c>
      <c r="G14" s="60">
        <v>0</v>
      </c>
      <c r="H14" s="61">
        <f>ROUND(H9/4,0)</f>
        <v>0</v>
      </c>
      <c r="I14" s="261">
        <f>+H14*E14</f>
        <v>0</v>
      </c>
      <c r="J14" s="285">
        <f>+H14*(F14+G14)</f>
        <v>0</v>
      </c>
      <c r="K14" s="1"/>
    </row>
    <row r="15" spans="1:11" ht="25.5" customHeight="1" x14ac:dyDescent="0.2">
      <c r="A15" s="56" t="s">
        <v>83</v>
      </c>
      <c r="B15" s="57">
        <v>0</v>
      </c>
      <c r="C15" s="57">
        <v>0.25</v>
      </c>
      <c r="D15" s="58">
        <v>0</v>
      </c>
      <c r="E15" s="59">
        <f>SUM(B15:D15)</f>
        <v>0.25</v>
      </c>
      <c r="F15" s="283">
        <f>B15*B$6+C15*C$6+D15*D$6</f>
        <v>24.322410000000001</v>
      </c>
      <c r="G15" s="60">
        <v>0</v>
      </c>
      <c r="H15" s="61">
        <f>ROUND(H14/2,0)</f>
        <v>0</v>
      </c>
      <c r="I15" s="261">
        <f>+H15*E15</f>
        <v>0</v>
      </c>
      <c r="J15" s="285">
        <f>+H15*(F15+G15)</f>
        <v>0</v>
      </c>
      <c r="K15" s="1"/>
    </row>
    <row r="16" spans="1:11" ht="25.5" customHeight="1" thickBot="1" x14ac:dyDescent="0.25">
      <c r="A16" s="62" t="s">
        <v>56</v>
      </c>
      <c r="B16" s="63">
        <v>0</v>
      </c>
      <c r="C16" s="63">
        <v>0.25</v>
      </c>
      <c r="D16" s="63">
        <v>0</v>
      </c>
      <c r="E16" s="93">
        <f>SUM(B16:D16)</f>
        <v>0.25</v>
      </c>
      <c r="F16" s="291">
        <f>B16*B$6+C16*C$6+D16*D$6</f>
        <v>24.322410000000001</v>
      </c>
      <c r="G16" s="95">
        <v>0</v>
      </c>
      <c r="H16" s="64">
        <f>H14-H15</f>
        <v>0</v>
      </c>
      <c r="I16" s="265">
        <f>+H16*E16</f>
        <v>0</v>
      </c>
      <c r="J16" s="287">
        <f>+H16*(F16+G16)</f>
        <v>0</v>
      </c>
      <c r="K16" s="1"/>
    </row>
    <row r="17" spans="1:11" ht="15.75" customHeight="1" thickBot="1" x14ac:dyDescent="0.25">
      <c r="A17" s="96" t="s">
        <v>52</v>
      </c>
      <c r="B17" s="97"/>
      <c r="C17" s="97"/>
      <c r="D17" s="97"/>
      <c r="E17" s="98"/>
      <c r="F17" s="99"/>
      <c r="G17" s="100"/>
      <c r="H17" s="101"/>
      <c r="I17" s="268">
        <f>SUM(I14:I16)</f>
        <v>0</v>
      </c>
      <c r="J17" s="292">
        <f>SUM(J14:J16)</f>
        <v>0</v>
      </c>
      <c r="K17" s="1"/>
    </row>
    <row r="18" spans="1:11" ht="12.75" x14ac:dyDescent="0.2">
      <c r="A18" s="82" t="s">
        <v>54</v>
      </c>
      <c r="B18" s="83"/>
      <c r="C18" s="83"/>
      <c r="D18" s="84"/>
      <c r="E18" s="83"/>
      <c r="F18" s="85"/>
      <c r="G18" s="86"/>
      <c r="H18" s="87"/>
      <c r="I18" s="261">
        <f>I12+I17</f>
        <v>1.5</v>
      </c>
      <c r="J18" s="293">
        <f>J12+J17</f>
        <v>132.42914999999999</v>
      </c>
      <c r="K18" s="1"/>
    </row>
    <row r="19" spans="1:11" ht="12.75" x14ac:dyDescent="0.2">
      <c r="A19" s="102"/>
      <c r="B19" s="1"/>
      <c r="C19" s="1"/>
      <c r="D19" s="1"/>
      <c r="E19" s="1"/>
      <c r="F19" s="33"/>
      <c r="G19" s="33"/>
      <c r="H19" s="1"/>
      <c r="I19" s="34"/>
      <c r="J19" s="33"/>
      <c r="K19" s="1"/>
    </row>
    <row r="20" spans="1:11" ht="136.9" customHeight="1" x14ac:dyDescent="0.2">
      <c r="A20" s="367" t="s">
        <v>134</v>
      </c>
      <c r="B20" s="367"/>
      <c r="C20" s="367"/>
      <c r="D20" s="367"/>
      <c r="E20" s="367"/>
      <c r="F20" s="367"/>
      <c r="G20" s="367"/>
      <c r="H20" s="367"/>
      <c r="I20" s="367"/>
      <c r="J20" s="367"/>
      <c r="K20" s="1"/>
    </row>
    <row r="21" spans="1:11" ht="30.75" customHeight="1" x14ac:dyDescent="0.2">
      <c r="A21" s="367" t="s">
        <v>172</v>
      </c>
      <c r="B21" s="367"/>
      <c r="C21" s="367"/>
      <c r="D21" s="367"/>
      <c r="E21" s="367"/>
      <c r="F21" s="367"/>
      <c r="G21" s="367"/>
      <c r="H21" s="367"/>
      <c r="I21" s="367"/>
      <c r="J21" s="367"/>
      <c r="K21" s="1"/>
    </row>
    <row r="22" spans="1:11" ht="69" customHeight="1" x14ac:dyDescent="0.2">
      <c r="A22" s="367" t="s">
        <v>205</v>
      </c>
      <c r="B22" s="367"/>
      <c r="C22" s="367"/>
      <c r="D22" s="367"/>
      <c r="E22" s="367"/>
      <c r="F22" s="367"/>
      <c r="G22" s="367"/>
      <c r="H22" s="367"/>
      <c r="I22" s="367"/>
      <c r="J22" s="367"/>
      <c r="K22" s="1"/>
    </row>
  </sheetData>
  <mergeCells count="5">
    <mergeCell ref="A2:J2"/>
    <mergeCell ref="A4:A7"/>
    <mergeCell ref="A20:J20"/>
    <mergeCell ref="A22:J22"/>
    <mergeCell ref="A21:J21"/>
  </mergeCells>
  <phoneticPr fontId="0" type="noConversion"/>
  <pageMargins left="0.75" right="0.75" top="0.38" bottom="0.33" header="0.33" footer="0.2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workbookViewId="0"/>
  </sheetViews>
  <sheetFormatPr defaultColWidth="9.33203125" defaultRowHeight="10.5" x14ac:dyDescent="0.15"/>
  <cols>
    <col min="1" max="1" width="32.83203125" style="24" customWidth="1"/>
    <col min="2" max="2" width="9.33203125" style="24" customWidth="1"/>
    <col min="3" max="6" width="9.33203125" style="9"/>
    <col min="7" max="7" width="10.5" style="9" customWidth="1"/>
    <col min="8" max="8" width="9.33203125" style="9"/>
    <col min="9" max="9" width="14.33203125" style="9" customWidth="1"/>
    <col min="10" max="10" width="9.33203125" style="263"/>
    <col min="11" max="11" width="15.1640625" style="9" customWidth="1"/>
    <col min="12" max="16384" width="9.33203125" style="9"/>
  </cols>
  <sheetData>
    <row r="1" spans="1:12" ht="12.75" x14ac:dyDescent="0.2">
      <c r="A1" s="30" t="s">
        <v>16</v>
      </c>
      <c r="B1" s="30"/>
      <c r="C1" s="31"/>
      <c r="D1" s="31"/>
      <c r="E1" s="31"/>
      <c r="F1" s="31"/>
      <c r="G1" s="32"/>
      <c r="H1" s="33"/>
      <c r="I1" s="1"/>
      <c r="J1" s="34"/>
      <c r="K1" s="33"/>
      <c r="L1" s="1"/>
    </row>
    <row r="2" spans="1:12" ht="12.75" x14ac:dyDescent="0.2">
      <c r="A2" s="370" t="s">
        <v>86</v>
      </c>
      <c r="B2" s="370"/>
      <c r="C2" s="370"/>
      <c r="D2" s="370"/>
      <c r="E2" s="370"/>
      <c r="F2" s="370"/>
      <c r="G2" s="370"/>
      <c r="H2" s="370"/>
      <c r="I2" s="370"/>
      <c r="J2" s="370"/>
      <c r="K2" s="370"/>
      <c r="L2" s="1"/>
    </row>
    <row r="3" spans="1:12" ht="12.75" x14ac:dyDescent="0.2">
      <c r="A3" s="30"/>
      <c r="B3" s="30"/>
      <c r="C3" s="30"/>
      <c r="D3" s="30"/>
      <c r="E3" s="30"/>
      <c r="F3" s="30"/>
      <c r="G3" s="30"/>
      <c r="H3" s="30"/>
      <c r="I3" s="30"/>
      <c r="J3" s="259"/>
      <c r="K3" s="30"/>
      <c r="L3" s="1"/>
    </row>
    <row r="4" spans="1:12" ht="15.75" x14ac:dyDescent="0.2">
      <c r="A4" s="375" t="s">
        <v>47</v>
      </c>
      <c r="B4" s="378" t="s">
        <v>65</v>
      </c>
      <c r="C4" s="379"/>
      <c r="D4" s="379"/>
      <c r="E4" s="379"/>
      <c r="F4" s="379"/>
      <c r="G4" s="379"/>
      <c r="H4" s="380"/>
      <c r="I4" s="35" t="s">
        <v>37</v>
      </c>
      <c r="J4" s="38"/>
      <c r="K4" s="39"/>
      <c r="L4" s="1"/>
    </row>
    <row r="5" spans="1:12" ht="12.75" x14ac:dyDescent="0.2">
      <c r="A5" s="376"/>
      <c r="B5" s="103" t="s">
        <v>36</v>
      </c>
      <c r="C5" s="40" t="s">
        <v>38</v>
      </c>
      <c r="D5" s="40" t="s">
        <v>39</v>
      </c>
      <c r="E5" s="40" t="s">
        <v>40</v>
      </c>
      <c r="F5" s="40" t="s">
        <v>41</v>
      </c>
      <c r="G5" s="41" t="s">
        <v>42</v>
      </c>
      <c r="H5" s="104"/>
      <c r="I5" s="40" t="s">
        <v>60</v>
      </c>
      <c r="J5" s="42" t="s">
        <v>43</v>
      </c>
      <c r="K5" s="43" t="s">
        <v>43</v>
      </c>
      <c r="L5" s="1"/>
    </row>
    <row r="6" spans="1:12" ht="12.75" x14ac:dyDescent="0.2">
      <c r="A6" s="376"/>
      <c r="B6" s="340">
        <f>(67.07+(67.07*1.1))*1.013</f>
        <v>142.67801099999997</v>
      </c>
      <c r="C6" s="338">
        <f>(61.64+(61.64*1.1))*1.013</f>
        <v>131.12677200000002</v>
      </c>
      <c r="D6" s="338">
        <f>(42.06+(42.06*1.1))*1.013</f>
        <v>89.474238</v>
      </c>
      <c r="E6" s="338">
        <f>(27.46+(27.46*1.1))*1.013</f>
        <v>58.415658000000001</v>
      </c>
      <c r="F6" s="40" t="s">
        <v>44</v>
      </c>
      <c r="G6" s="41" t="s">
        <v>45</v>
      </c>
      <c r="H6" s="105" t="s">
        <v>46</v>
      </c>
      <c r="I6" s="40" t="s">
        <v>61</v>
      </c>
      <c r="J6" s="42" t="s">
        <v>44</v>
      </c>
      <c r="K6" s="43" t="s">
        <v>45</v>
      </c>
      <c r="L6" s="1"/>
    </row>
    <row r="7" spans="1:12" ht="13.5" thickBot="1" x14ac:dyDescent="0.25">
      <c r="A7" s="377"/>
      <c r="B7" s="44" t="s">
        <v>71</v>
      </c>
      <c r="C7" s="44" t="s">
        <v>71</v>
      </c>
      <c r="D7" s="44" t="s">
        <v>71</v>
      </c>
      <c r="E7" s="44" t="s">
        <v>71</v>
      </c>
      <c r="F7" s="44" t="s">
        <v>49</v>
      </c>
      <c r="G7" s="44" t="s">
        <v>49</v>
      </c>
      <c r="H7" s="106" t="s">
        <v>50</v>
      </c>
      <c r="I7" s="46" t="s">
        <v>62</v>
      </c>
      <c r="J7" s="47" t="s">
        <v>51</v>
      </c>
      <c r="K7" s="48" t="s">
        <v>51</v>
      </c>
      <c r="L7" s="1"/>
    </row>
    <row r="8" spans="1:12" ht="15.75" x14ac:dyDescent="0.2">
      <c r="A8" s="92" t="s">
        <v>73</v>
      </c>
      <c r="B8" s="77"/>
      <c r="C8" s="51"/>
      <c r="D8" s="51"/>
      <c r="E8" s="52"/>
      <c r="F8" s="51"/>
      <c r="G8" s="51"/>
      <c r="H8" s="107"/>
      <c r="I8" s="51"/>
      <c r="J8" s="260"/>
      <c r="K8" s="55"/>
      <c r="L8" s="1"/>
    </row>
    <row r="9" spans="1:12" ht="12.75" x14ac:dyDescent="0.2">
      <c r="A9" s="29" t="s">
        <v>55</v>
      </c>
      <c r="B9" s="108">
        <v>0</v>
      </c>
      <c r="C9" s="57">
        <v>0</v>
      </c>
      <c r="D9" s="57">
        <v>1.5</v>
      </c>
      <c r="E9" s="58">
        <v>0</v>
      </c>
      <c r="F9" s="59">
        <f>SUM(B9:E9)</f>
        <v>1.5</v>
      </c>
      <c r="G9" s="283">
        <f>B9*B$6+C9*C$6+D9*D$6+E9*E$6</f>
        <v>134.21135699999999</v>
      </c>
      <c r="H9" s="109">
        <v>0</v>
      </c>
      <c r="I9" s="110">
        <f>ROUND(AVERAGE(PartnerCounts!E5:G5)/4,0)</f>
        <v>183</v>
      </c>
      <c r="J9" s="261">
        <f>+I9*F9</f>
        <v>274.5</v>
      </c>
      <c r="K9" s="285">
        <f>+I9*(G9+H9)</f>
        <v>24560.678330999999</v>
      </c>
      <c r="L9" s="1"/>
    </row>
    <row r="10" spans="1:12" ht="25.5" customHeight="1" x14ac:dyDescent="0.2">
      <c r="A10" s="29" t="s">
        <v>83</v>
      </c>
      <c r="B10" s="108">
        <v>0</v>
      </c>
      <c r="C10" s="57">
        <v>0</v>
      </c>
      <c r="D10" s="57">
        <v>1</v>
      </c>
      <c r="E10" s="58">
        <v>0</v>
      </c>
      <c r="F10" s="59">
        <f>SUM(B10:E10)</f>
        <v>1</v>
      </c>
      <c r="G10" s="283">
        <f>B10*B$6+C10*C$6+D10*D$6+E10*E$6</f>
        <v>89.474238</v>
      </c>
      <c r="H10" s="109">
        <v>0</v>
      </c>
      <c r="I10" s="110">
        <f>ROUND(I9/2,0)</f>
        <v>92</v>
      </c>
      <c r="J10" s="261">
        <f>+I10*F10</f>
        <v>92</v>
      </c>
      <c r="K10" s="285">
        <f>+I10*(G10+H10)</f>
        <v>8231.6298960000004</v>
      </c>
      <c r="L10" s="1"/>
    </row>
    <row r="11" spans="1:12" ht="25.5" customHeight="1" thickBot="1" x14ac:dyDescent="0.25">
      <c r="A11" s="111" t="s">
        <v>56</v>
      </c>
      <c r="B11" s="112">
        <v>0</v>
      </c>
      <c r="C11" s="113">
        <v>0</v>
      </c>
      <c r="D11" s="113">
        <v>1</v>
      </c>
      <c r="E11" s="114">
        <v>0</v>
      </c>
      <c r="F11" s="249">
        <f>SUM(B11:E11)</f>
        <v>1</v>
      </c>
      <c r="G11" s="284">
        <f>B11*B$6+C11*C$6+D11*D$6+E11*E$6</f>
        <v>89.474238</v>
      </c>
      <c r="H11" s="115">
        <v>0</v>
      </c>
      <c r="I11" s="244">
        <f>I9-I10</f>
        <v>91</v>
      </c>
      <c r="J11" s="262">
        <f>+I11*F11</f>
        <v>91</v>
      </c>
      <c r="K11" s="286">
        <f>+I11*(G11+H11)</f>
        <v>8142.1556579999997</v>
      </c>
      <c r="L11" s="1"/>
    </row>
    <row r="12" spans="1:12" ht="12.75" x14ac:dyDescent="0.2">
      <c r="A12" s="116" t="s">
        <v>54</v>
      </c>
      <c r="B12" s="87"/>
      <c r="C12" s="83"/>
      <c r="D12" s="83"/>
      <c r="E12" s="84"/>
      <c r="F12" s="83"/>
      <c r="G12" s="85"/>
      <c r="H12" s="117"/>
      <c r="I12" s="83"/>
      <c r="J12" s="261">
        <f>SUM(J9:J11)</f>
        <v>457.5</v>
      </c>
      <c r="K12" s="246">
        <f>SUM(K9:K11)</f>
        <v>40934.463885000005</v>
      </c>
      <c r="L12" s="1"/>
    </row>
    <row r="13" spans="1:12" ht="12.75" x14ac:dyDescent="0.2">
      <c r="A13" s="102"/>
      <c r="B13" s="102"/>
      <c r="C13" s="1"/>
      <c r="D13" s="1"/>
      <c r="E13" s="1"/>
      <c r="F13" s="1"/>
      <c r="G13" s="33"/>
      <c r="H13" s="33"/>
      <c r="I13" s="1"/>
      <c r="J13" s="34"/>
      <c r="K13" s="33"/>
      <c r="L13" s="1"/>
    </row>
    <row r="14" spans="1:12" ht="126" customHeight="1" x14ac:dyDescent="0.2">
      <c r="A14" s="367" t="s">
        <v>135</v>
      </c>
      <c r="B14" s="367"/>
      <c r="C14" s="367"/>
      <c r="D14" s="367"/>
      <c r="E14" s="367"/>
      <c r="F14" s="367"/>
      <c r="G14" s="367"/>
      <c r="H14" s="367"/>
      <c r="I14" s="367"/>
      <c r="J14" s="367"/>
      <c r="K14" s="367"/>
      <c r="L14" s="1"/>
    </row>
    <row r="15" spans="1:12" ht="84.6" customHeight="1" x14ac:dyDescent="0.2">
      <c r="A15" s="367" t="s">
        <v>206</v>
      </c>
      <c r="B15" s="367"/>
      <c r="C15" s="367"/>
      <c r="D15" s="367"/>
      <c r="E15" s="367"/>
      <c r="F15" s="367"/>
      <c r="G15" s="367"/>
      <c r="H15" s="367"/>
      <c r="I15" s="367"/>
      <c r="J15" s="367"/>
      <c r="K15" s="367"/>
      <c r="L15" s="1"/>
    </row>
  </sheetData>
  <mergeCells count="5">
    <mergeCell ref="A2:K2"/>
    <mergeCell ref="A14:K14"/>
    <mergeCell ref="A15:K15"/>
    <mergeCell ref="A4:A7"/>
    <mergeCell ref="B4:H4"/>
  </mergeCells>
  <phoneticPr fontId="0" type="noConversion"/>
  <pageMargins left="0.75" right="0.75"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heetViews>
  <sheetFormatPr defaultColWidth="9.33203125" defaultRowHeight="10.5" x14ac:dyDescent="0.15"/>
  <cols>
    <col min="1" max="1" width="24" style="24" customWidth="1"/>
    <col min="2" max="2" width="10.1640625" style="9" bestFit="1" customWidth="1"/>
    <col min="3" max="6" width="9.33203125" style="9"/>
    <col min="7" max="7" width="11.33203125" style="9" customWidth="1"/>
    <col min="8" max="8" width="12.33203125" style="9" customWidth="1"/>
    <col min="9" max="9" width="14.5" style="9" customWidth="1"/>
    <col min="10" max="10" width="9.33203125" style="263"/>
    <col min="11" max="11" width="12.83203125" style="9" customWidth="1"/>
    <col min="12" max="16384" width="9.33203125" style="9"/>
  </cols>
  <sheetData>
    <row r="1" spans="1:11" ht="12.75" x14ac:dyDescent="0.2">
      <c r="A1" s="30" t="s">
        <v>11</v>
      </c>
      <c r="B1" s="31"/>
      <c r="C1" s="31"/>
      <c r="D1" s="31"/>
      <c r="E1" s="31"/>
      <c r="F1" s="32"/>
      <c r="G1" s="33"/>
      <c r="H1" s="1"/>
      <c r="I1" s="34"/>
      <c r="J1" s="34"/>
      <c r="K1" s="1"/>
    </row>
    <row r="2" spans="1:11" ht="12.75" x14ac:dyDescent="0.2">
      <c r="A2" s="370" t="s">
        <v>87</v>
      </c>
      <c r="B2" s="370"/>
      <c r="C2" s="370"/>
      <c r="D2" s="370"/>
      <c r="E2" s="370"/>
      <c r="F2" s="370"/>
      <c r="G2" s="370"/>
      <c r="H2" s="370"/>
      <c r="I2" s="370"/>
      <c r="J2" s="370"/>
      <c r="K2" s="1"/>
    </row>
    <row r="3" spans="1:11" ht="12.75" x14ac:dyDescent="0.2">
      <c r="A3" s="30"/>
      <c r="B3" s="30"/>
      <c r="C3" s="30"/>
      <c r="D3" s="30"/>
      <c r="E3" s="30"/>
      <c r="F3" s="30"/>
      <c r="G3" s="30"/>
      <c r="H3" s="30"/>
      <c r="I3" s="30"/>
      <c r="J3" s="259"/>
      <c r="K3" s="1"/>
    </row>
    <row r="4" spans="1:11" ht="15.75" x14ac:dyDescent="0.2">
      <c r="A4" s="372" t="s">
        <v>47</v>
      </c>
      <c r="B4" s="378" t="s">
        <v>65</v>
      </c>
      <c r="C4" s="379"/>
      <c r="D4" s="379"/>
      <c r="E4" s="379"/>
      <c r="F4" s="379"/>
      <c r="G4" s="379"/>
      <c r="H4" s="380"/>
      <c r="I4" s="35" t="s">
        <v>37</v>
      </c>
      <c r="J4" s="38"/>
      <c r="K4" s="118"/>
    </row>
    <row r="5" spans="1:11" ht="12.75" x14ac:dyDescent="0.2">
      <c r="A5" s="373"/>
      <c r="B5" s="103" t="s">
        <v>36</v>
      </c>
      <c r="C5" s="40" t="s">
        <v>38</v>
      </c>
      <c r="D5" s="40" t="s">
        <v>39</v>
      </c>
      <c r="E5" s="40" t="s">
        <v>40</v>
      </c>
      <c r="F5" s="40" t="s">
        <v>41</v>
      </c>
      <c r="G5" s="41" t="s">
        <v>42</v>
      </c>
      <c r="H5" s="104"/>
      <c r="I5" s="40" t="s">
        <v>60</v>
      </c>
      <c r="J5" s="42" t="s">
        <v>43</v>
      </c>
      <c r="K5" s="43" t="s">
        <v>43</v>
      </c>
    </row>
    <row r="6" spans="1:11" ht="12.75" x14ac:dyDescent="0.2">
      <c r="A6" s="373"/>
      <c r="B6" s="340">
        <f>(67.07+(67.07*1.1))*1.013</f>
        <v>142.67801099999997</v>
      </c>
      <c r="C6" s="338">
        <f>(61.64+(61.64*1.1))*1.013</f>
        <v>131.12677200000002</v>
      </c>
      <c r="D6" s="338">
        <f>(42.06+(42.06*1.1))*1.013</f>
        <v>89.474238</v>
      </c>
      <c r="E6" s="338">
        <f>(27.46+(27.46*1.1))*1.013</f>
        <v>58.415658000000001</v>
      </c>
      <c r="F6" s="40" t="s">
        <v>44</v>
      </c>
      <c r="G6" s="41" t="s">
        <v>45</v>
      </c>
      <c r="H6" s="105" t="s">
        <v>46</v>
      </c>
      <c r="I6" s="40" t="s">
        <v>61</v>
      </c>
      <c r="J6" s="42" t="s">
        <v>44</v>
      </c>
      <c r="K6" s="43" t="s">
        <v>45</v>
      </c>
    </row>
    <row r="7" spans="1:11" ht="13.5" thickBot="1" x14ac:dyDescent="0.25">
      <c r="A7" s="374"/>
      <c r="B7" s="44" t="s">
        <v>71</v>
      </c>
      <c r="C7" s="44" t="s">
        <v>71</v>
      </c>
      <c r="D7" s="44" t="s">
        <v>71</v>
      </c>
      <c r="E7" s="44" t="s">
        <v>71</v>
      </c>
      <c r="F7" s="44" t="s">
        <v>49</v>
      </c>
      <c r="G7" s="44" t="s">
        <v>49</v>
      </c>
      <c r="H7" s="106" t="s">
        <v>50</v>
      </c>
      <c r="I7" s="46" t="s">
        <v>62</v>
      </c>
      <c r="J7" s="47" t="s">
        <v>51</v>
      </c>
      <c r="K7" s="48" t="s">
        <v>51</v>
      </c>
    </row>
    <row r="8" spans="1:11" s="1" customFormat="1" ht="15.75" x14ac:dyDescent="0.2">
      <c r="A8" s="49" t="s">
        <v>69</v>
      </c>
      <c r="B8" s="50"/>
      <c r="C8" s="51"/>
      <c r="D8" s="51"/>
      <c r="E8" s="52"/>
      <c r="F8" s="51"/>
      <c r="G8" s="51"/>
      <c r="H8" s="107"/>
      <c r="I8" s="51"/>
      <c r="J8" s="260"/>
      <c r="K8" s="55"/>
    </row>
    <row r="9" spans="1:11" s="1" customFormat="1" ht="12.75" x14ac:dyDescent="0.2">
      <c r="A9" s="119" t="s">
        <v>68</v>
      </c>
      <c r="B9" s="57">
        <v>0.5</v>
      </c>
      <c r="C9" s="57">
        <v>0.25</v>
      </c>
      <c r="D9" s="58">
        <v>0.25</v>
      </c>
      <c r="E9" s="58">
        <v>0</v>
      </c>
      <c r="F9" s="59">
        <f>+E9+D9+C9+B9</f>
        <v>1</v>
      </c>
      <c r="G9" s="283">
        <f>B$6*B9+C$6*C9+D$6*D9+E$6*E9</f>
        <v>126.48925799999999</v>
      </c>
      <c r="H9" s="109">
        <v>0</v>
      </c>
      <c r="I9" s="110">
        <f>PartnerCounts!C5</f>
        <v>16</v>
      </c>
      <c r="J9" s="261">
        <f>+I9*F9</f>
        <v>16</v>
      </c>
      <c r="K9" s="285">
        <f>+I9*(G9+H9)</f>
        <v>2023.8281279999999</v>
      </c>
    </row>
    <row r="10" spans="1:11" s="1" customFormat="1" ht="12.75" x14ac:dyDescent="0.2">
      <c r="A10" s="120" t="s">
        <v>59</v>
      </c>
      <c r="B10" s="121">
        <v>0</v>
      </c>
      <c r="C10" s="63">
        <v>0.25</v>
      </c>
      <c r="D10" s="63">
        <v>0.25</v>
      </c>
      <c r="E10" s="63">
        <v>0</v>
      </c>
      <c r="F10" s="93">
        <f>+E10+D10+C10+B10</f>
        <v>0.5</v>
      </c>
      <c r="G10" s="283">
        <f>B$6*B10+C$6*C10+D$6*D10+E$6*E10</f>
        <v>55.150252500000008</v>
      </c>
      <c r="H10" s="334">
        <v>0</v>
      </c>
      <c r="I10" s="123">
        <f>I9</f>
        <v>16</v>
      </c>
      <c r="J10" s="265">
        <f>+I10*F10</f>
        <v>8</v>
      </c>
      <c r="K10" s="287">
        <f>+I10*(G10+H10)</f>
        <v>882.40404000000012</v>
      </c>
    </row>
    <row r="11" spans="1:11" s="1" customFormat="1" ht="26.25" thickBot="1" x14ac:dyDescent="0.25">
      <c r="A11" s="124" t="s">
        <v>63</v>
      </c>
      <c r="B11" s="125">
        <v>0</v>
      </c>
      <c r="C11" s="125">
        <v>0</v>
      </c>
      <c r="D11" s="125">
        <v>0</v>
      </c>
      <c r="E11" s="125">
        <v>0.5</v>
      </c>
      <c r="F11" s="126">
        <f>+E11+D11+C11+B11</f>
        <v>0.5</v>
      </c>
      <c r="G11" s="291">
        <f>B$6*B11+C$6*C11+D$6*D11+E$6*E11</f>
        <v>29.207829</v>
      </c>
      <c r="H11" s="122">
        <v>0</v>
      </c>
      <c r="I11" s="127">
        <f>I9</f>
        <v>16</v>
      </c>
      <c r="J11" s="269">
        <f>+I11*F11</f>
        <v>8</v>
      </c>
      <c r="K11" s="296">
        <f>+I11*(G11+H11)</f>
        <v>467.325264</v>
      </c>
    </row>
    <row r="12" spans="1:11" s="1" customFormat="1" ht="13.5" thickBot="1" x14ac:dyDescent="0.25">
      <c r="A12" s="128" t="s">
        <v>52</v>
      </c>
      <c r="B12" s="129"/>
      <c r="C12" s="130"/>
      <c r="D12" s="130"/>
      <c r="E12" s="131"/>
      <c r="F12" s="130"/>
      <c r="G12" s="132"/>
      <c r="H12" s="133"/>
      <c r="I12" s="130"/>
      <c r="J12" s="268">
        <f>SUM(J9:J11)</f>
        <v>32</v>
      </c>
      <c r="K12" s="297">
        <f>SUM(K9:K11)</f>
        <v>3373.5574320000001</v>
      </c>
    </row>
    <row r="13" spans="1:11" ht="15.75" customHeight="1" x14ac:dyDescent="0.2">
      <c r="A13" s="134" t="s">
        <v>13</v>
      </c>
      <c r="B13" s="135"/>
      <c r="C13" s="135"/>
      <c r="D13" s="135"/>
      <c r="E13" s="135"/>
      <c r="F13" s="135"/>
      <c r="G13" s="135"/>
      <c r="H13" s="136"/>
      <c r="I13" s="135"/>
      <c r="J13" s="270"/>
      <c r="K13" s="137"/>
    </row>
    <row r="14" spans="1:11" ht="12.75" x14ac:dyDescent="0.2">
      <c r="A14" s="138" t="s">
        <v>55</v>
      </c>
      <c r="B14" s="3">
        <v>0</v>
      </c>
      <c r="C14" s="3">
        <v>0</v>
      </c>
      <c r="D14" s="3">
        <v>1.5</v>
      </c>
      <c r="E14" s="3">
        <v>0</v>
      </c>
      <c r="F14" s="139">
        <f>+E14+D14+C14+B14</f>
        <v>1.5</v>
      </c>
      <c r="G14" s="294">
        <f>B$6*B14+C$6*C14+D$6*D14+E$6*E14</f>
        <v>134.21135699999999</v>
      </c>
      <c r="H14" s="140">
        <v>0</v>
      </c>
      <c r="I14" s="141">
        <f>ROUND(I9/4,0)</f>
        <v>4</v>
      </c>
      <c r="J14" s="271">
        <f>+I14*F14</f>
        <v>6</v>
      </c>
      <c r="K14" s="294">
        <f>+I14*(G14+H14)</f>
        <v>536.84542799999997</v>
      </c>
    </row>
    <row r="15" spans="1:11" ht="25.5" customHeight="1" x14ac:dyDescent="0.2">
      <c r="A15" s="138" t="s">
        <v>83</v>
      </c>
      <c r="B15" s="3">
        <v>0</v>
      </c>
      <c r="C15" s="3">
        <v>0</v>
      </c>
      <c r="D15" s="3">
        <v>1</v>
      </c>
      <c r="E15" s="3">
        <v>0</v>
      </c>
      <c r="F15" s="139">
        <f>+E15+D15+C15+B15</f>
        <v>1</v>
      </c>
      <c r="G15" s="294">
        <f>B$6*B15+C$6*C15+D$6*D15+E$6*E15</f>
        <v>89.474238</v>
      </c>
      <c r="H15" s="140">
        <v>0</v>
      </c>
      <c r="I15" s="141">
        <f>ROUND(I14/2,0)</f>
        <v>2</v>
      </c>
      <c r="J15" s="271">
        <f>+I15*F15</f>
        <v>2</v>
      </c>
      <c r="K15" s="294">
        <f>+I15*(G15+H15)</f>
        <v>178.948476</v>
      </c>
    </row>
    <row r="16" spans="1:11" ht="25.5" customHeight="1" thickBot="1" x14ac:dyDescent="0.25">
      <c r="A16" s="142" t="s">
        <v>56</v>
      </c>
      <c r="B16" s="4">
        <v>0</v>
      </c>
      <c r="C16" s="4">
        <v>0</v>
      </c>
      <c r="D16" s="4">
        <v>1</v>
      </c>
      <c r="E16" s="4">
        <v>0</v>
      </c>
      <c r="F16" s="143">
        <f>+E16+D16+C16+B16</f>
        <v>1</v>
      </c>
      <c r="G16" s="295">
        <f>B$6*B16+C$6*C16+D$6*D16+E$6*E16</f>
        <v>89.474238</v>
      </c>
      <c r="H16" s="144">
        <v>0</v>
      </c>
      <c r="I16" s="145">
        <f>I14-I15</f>
        <v>2</v>
      </c>
      <c r="J16" s="272">
        <f>+I16*F16</f>
        <v>2</v>
      </c>
      <c r="K16" s="295">
        <f>+I16*(G16+H16)</f>
        <v>178.948476</v>
      </c>
    </row>
    <row r="17" spans="1:11" ht="15.75" customHeight="1" thickBot="1" x14ac:dyDescent="0.25">
      <c r="A17" s="146" t="s">
        <v>52</v>
      </c>
      <c r="B17" s="147"/>
      <c r="C17" s="148"/>
      <c r="D17" s="148"/>
      <c r="E17" s="149"/>
      <c r="F17" s="148"/>
      <c r="G17" s="150"/>
      <c r="H17" s="151"/>
      <c r="I17" s="152"/>
      <c r="J17" s="273">
        <f>SUM(J14:J16)</f>
        <v>10</v>
      </c>
      <c r="K17" s="298">
        <f>SUM(K14:K16)</f>
        <v>894.74238000000003</v>
      </c>
    </row>
    <row r="18" spans="1:11" ht="13.5" customHeight="1" x14ac:dyDescent="0.2">
      <c r="A18" s="153" t="s">
        <v>54</v>
      </c>
      <c r="B18" s="154"/>
      <c r="C18" s="155"/>
      <c r="D18" s="155"/>
      <c r="E18" s="156"/>
      <c r="F18" s="155"/>
      <c r="G18" s="157"/>
      <c r="H18" s="158"/>
      <c r="I18" s="159"/>
      <c r="J18" s="274">
        <f>J12+J17</f>
        <v>42</v>
      </c>
      <c r="K18" s="299">
        <f>K12+K17</f>
        <v>4268.2998120000002</v>
      </c>
    </row>
    <row r="19" spans="1:11" ht="12.75" x14ac:dyDescent="0.2">
      <c r="A19" s="102"/>
      <c r="B19" s="1"/>
      <c r="C19" s="1"/>
      <c r="D19" s="1"/>
      <c r="E19" s="1"/>
      <c r="F19" s="33"/>
      <c r="G19" s="33"/>
      <c r="H19" s="1"/>
      <c r="I19" s="34"/>
      <c r="J19" s="34"/>
      <c r="K19" s="1"/>
    </row>
    <row r="20" spans="1:11" ht="122.45" customHeight="1" x14ac:dyDescent="0.2">
      <c r="A20" s="367" t="s">
        <v>135</v>
      </c>
      <c r="B20" s="367"/>
      <c r="C20" s="367"/>
      <c r="D20" s="367"/>
      <c r="E20" s="367"/>
      <c r="F20" s="367"/>
      <c r="G20" s="367"/>
      <c r="H20" s="367"/>
      <c r="I20" s="367"/>
      <c r="J20" s="367"/>
      <c r="K20" s="367"/>
    </row>
    <row r="21" spans="1:11" ht="30.75" customHeight="1" x14ac:dyDescent="0.2">
      <c r="A21" s="367" t="s">
        <v>173</v>
      </c>
      <c r="B21" s="367"/>
      <c r="C21" s="367"/>
      <c r="D21" s="367"/>
      <c r="E21" s="367"/>
      <c r="F21" s="367"/>
      <c r="G21" s="367"/>
      <c r="H21" s="367"/>
      <c r="I21" s="367"/>
      <c r="J21" s="367"/>
      <c r="K21" s="367"/>
    </row>
    <row r="22" spans="1:11" ht="73.900000000000006" customHeight="1" x14ac:dyDescent="0.2">
      <c r="A22" s="367" t="s">
        <v>207</v>
      </c>
      <c r="B22" s="367"/>
      <c r="C22" s="367"/>
      <c r="D22" s="367"/>
      <c r="E22" s="367"/>
      <c r="F22" s="367"/>
      <c r="G22" s="367"/>
      <c r="H22" s="367"/>
      <c r="I22" s="367"/>
      <c r="J22" s="367"/>
      <c r="K22" s="367"/>
    </row>
  </sheetData>
  <mergeCells count="6">
    <mergeCell ref="A2:J2"/>
    <mergeCell ref="A4:A7"/>
    <mergeCell ref="A22:K22"/>
    <mergeCell ref="A20:K20"/>
    <mergeCell ref="A21:K21"/>
    <mergeCell ref="B4:H4"/>
  </mergeCells>
  <phoneticPr fontId="0" type="noConversion"/>
  <pageMargins left="0.75" right="0.75" top="0.5" bottom="0.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heetViews>
  <sheetFormatPr defaultColWidth="9.33203125" defaultRowHeight="10.5" x14ac:dyDescent="0.15"/>
  <cols>
    <col min="1" max="1" width="32.83203125" style="24" customWidth="1"/>
    <col min="2" max="5" width="9.6640625" style="9" customWidth="1"/>
    <col min="6" max="6" width="11.33203125" style="9" customWidth="1"/>
    <col min="7" max="7" width="9.5" style="9" customWidth="1"/>
    <col min="8" max="8" width="13.6640625" style="9" customWidth="1"/>
    <col min="9" max="9" width="9.33203125" style="263"/>
    <col min="10" max="10" width="17.1640625" style="9" customWidth="1"/>
    <col min="11" max="16384" width="9.33203125" style="9"/>
  </cols>
  <sheetData>
    <row r="1" spans="1:10" ht="12.75" x14ac:dyDescent="0.2">
      <c r="A1" s="30" t="s">
        <v>14</v>
      </c>
      <c r="B1" s="31"/>
      <c r="C1" s="31"/>
      <c r="D1" s="31"/>
      <c r="E1" s="32"/>
      <c r="F1" s="33"/>
      <c r="G1" s="1"/>
      <c r="H1" s="34"/>
      <c r="I1" s="34"/>
      <c r="J1" s="1"/>
    </row>
    <row r="2" spans="1:10" ht="12.75" x14ac:dyDescent="0.2">
      <c r="A2" s="370" t="s">
        <v>18</v>
      </c>
      <c r="B2" s="370"/>
      <c r="C2" s="370"/>
      <c r="D2" s="370"/>
      <c r="E2" s="370"/>
      <c r="F2" s="370"/>
      <c r="G2" s="370"/>
      <c r="H2" s="370"/>
      <c r="I2" s="370"/>
      <c r="J2" s="1"/>
    </row>
    <row r="3" spans="1:10" ht="12.75" x14ac:dyDescent="0.2">
      <c r="A3" s="30"/>
      <c r="B3" s="30"/>
      <c r="C3" s="30"/>
      <c r="D3" s="30"/>
      <c r="E3" s="30"/>
      <c r="F3" s="30"/>
      <c r="G3" s="30"/>
      <c r="H3" s="30"/>
      <c r="I3" s="259"/>
      <c r="J3" s="1"/>
    </row>
    <row r="4" spans="1:10" ht="29.25" customHeight="1" x14ac:dyDescent="0.2">
      <c r="A4" s="372" t="s">
        <v>47</v>
      </c>
      <c r="B4" s="378" t="s">
        <v>65</v>
      </c>
      <c r="C4" s="379"/>
      <c r="D4" s="379"/>
      <c r="E4" s="379"/>
      <c r="F4" s="379"/>
      <c r="G4" s="380"/>
      <c r="H4" s="35" t="s">
        <v>37</v>
      </c>
      <c r="I4" s="38"/>
      <c r="J4" s="118"/>
    </row>
    <row r="5" spans="1:10" ht="12.75" x14ac:dyDescent="0.2">
      <c r="A5" s="373"/>
      <c r="B5" s="40" t="s">
        <v>38</v>
      </c>
      <c r="C5" s="40" t="s">
        <v>39</v>
      </c>
      <c r="D5" s="40" t="s">
        <v>40</v>
      </c>
      <c r="E5" s="40" t="s">
        <v>41</v>
      </c>
      <c r="F5" s="41" t="s">
        <v>42</v>
      </c>
      <c r="G5" s="104"/>
      <c r="H5" s="40" t="s">
        <v>60</v>
      </c>
      <c r="I5" s="42" t="s">
        <v>43</v>
      </c>
      <c r="J5" s="43" t="s">
        <v>43</v>
      </c>
    </row>
    <row r="6" spans="1:10" ht="12.75" x14ac:dyDescent="0.2">
      <c r="A6" s="368"/>
      <c r="B6" s="339">
        <f>48.7*1.6</f>
        <v>77.920000000000016</v>
      </c>
      <c r="C6" s="338">
        <f>33.39*1.6</f>
        <v>53.424000000000007</v>
      </c>
      <c r="D6" s="338">
        <f>13.41*1.6</f>
        <v>21.456000000000003</v>
      </c>
      <c r="E6" s="40" t="s">
        <v>44</v>
      </c>
      <c r="F6" s="41" t="s">
        <v>45</v>
      </c>
      <c r="G6" s="105" t="s">
        <v>46</v>
      </c>
      <c r="H6" s="40" t="s">
        <v>61</v>
      </c>
      <c r="I6" s="42" t="s">
        <v>44</v>
      </c>
      <c r="J6" s="43" t="s">
        <v>45</v>
      </c>
    </row>
    <row r="7" spans="1:10" ht="13.5" thickBot="1" x14ac:dyDescent="0.25">
      <c r="A7" s="381"/>
      <c r="B7" s="44" t="s">
        <v>71</v>
      </c>
      <c r="C7" s="44" t="s">
        <v>71</v>
      </c>
      <c r="D7" s="44" t="s">
        <v>71</v>
      </c>
      <c r="E7" s="44" t="s">
        <v>49</v>
      </c>
      <c r="F7" s="44" t="s">
        <v>49</v>
      </c>
      <c r="G7" s="106" t="s">
        <v>50</v>
      </c>
      <c r="H7" s="46" t="s">
        <v>62</v>
      </c>
      <c r="I7" s="47" t="s">
        <v>51</v>
      </c>
      <c r="J7" s="48" t="s">
        <v>51</v>
      </c>
    </row>
    <row r="8" spans="1:10" s="1" customFormat="1" ht="28.5" x14ac:dyDescent="0.2">
      <c r="A8" s="75" t="s">
        <v>88</v>
      </c>
      <c r="B8" s="51"/>
      <c r="C8" s="51"/>
      <c r="D8" s="52"/>
      <c r="E8" s="51"/>
      <c r="F8" s="51"/>
      <c r="G8" s="76"/>
      <c r="H8" s="77"/>
      <c r="I8" s="260"/>
      <c r="J8" s="55"/>
    </row>
    <row r="9" spans="1:10" s="1" customFormat="1" ht="25.5" x14ac:dyDescent="0.2">
      <c r="A9" s="160" t="s">
        <v>24</v>
      </c>
      <c r="B9" s="57">
        <v>0</v>
      </c>
      <c r="C9" s="57">
        <v>0.5</v>
      </c>
      <c r="D9" s="58">
        <v>0</v>
      </c>
      <c r="E9" s="59">
        <f>+D9+C9+B9</f>
        <v>0.5</v>
      </c>
      <c r="F9" s="283">
        <f>B$6*B9+C$6*C9+D$6*D9</f>
        <v>26.712000000000003</v>
      </c>
      <c r="G9" s="60">
        <v>0</v>
      </c>
      <c r="H9" s="61">
        <f>ROUND(AVERAGE(PartnerCounts!E7:G7),0)</f>
        <v>145</v>
      </c>
      <c r="I9" s="261">
        <f>+H9*E9</f>
        <v>72.5</v>
      </c>
      <c r="J9" s="285">
        <f>+H9*(F9+G9)</f>
        <v>3873.2400000000007</v>
      </c>
    </row>
    <row r="10" spans="1:10" s="1" customFormat="1" ht="12.75" x14ac:dyDescent="0.2">
      <c r="A10" s="160" t="s">
        <v>55</v>
      </c>
      <c r="B10" s="57">
        <f>0*14</f>
        <v>0</v>
      </c>
      <c r="C10" s="57">
        <v>1</v>
      </c>
      <c r="D10" s="57">
        <f>0*14</f>
        <v>0</v>
      </c>
      <c r="E10" s="59">
        <f>+D10+C10+B10</f>
        <v>1</v>
      </c>
      <c r="F10" s="283">
        <f>B$6*B10+C$6*C10+D$6*D10</f>
        <v>53.424000000000007</v>
      </c>
      <c r="G10" s="60">
        <v>0</v>
      </c>
      <c r="H10" s="61">
        <f>H9</f>
        <v>145</v>
      </c>
      <c r="I10" s="261">
        <f>+H10*E10</f>
        <v>145</v>
      </c>
      <c r="J10" s="285">
        <f>+H10*(F10+G10)</f>
        <v>7746.4800000000014</v>
      </c>
    </row>
    <row r="11" spans="1:10" s="1" customFormat="1" ht="12.75" x14ac:dyDescent="0.2">
      <c r="A11" s="161" t="s">
        <v>22</v>
      </c>
      <c r="B11" s="57">
        <v>0.5</v>
      </c>
      <c r="C11" s="57">
        <v>1</v>
      </c>
      <c r="D11" s="58">
        <v>0.5</v>
      </c>
      <c r="E11" s="59">
        <f>+D11+C11+B11</f>
        <v>2</v>
      </c>
      <c r="F11" s="283">
        <f>B$6*B11+C$6*C11+D$6*D11</f>
        <v>103.11200000000002</v>
      </c>
      <c r="G11" s="60">
        <v>0</v>
      </c>
      <c r="H11" s="61">
        <f>H9</f>
        <v>145</v>
      </c>
      <c r="I11" s="261">
        <f>+H11*E11</f>
        <v>290</v>
      </c>
      <c r="J11" s="285">
        <f>+H11*(F11+G11)</f>
        <v>14951.240000000003</v>
      </c>
    </row>
    <row r="12" spans="1:10" s="1" customFormat="1" ht="29.25" customHeight="1" thickBot="1" x14ac:dyDescent="0.25">
      <c r="A12" s="162" t="s">
        <v>23</v>
      </c>
      <c r="B12" s="121">
        <v>0</v>
      </c>
      <c r="C12" s="121">
        <v>0</v>
      </c>
      <c r="D12" s="63">
        <v>0.5</v>
      </c>
      <c r="E12" s="59">
        <f>+D12+C12+B12</f>
        <v>0.5</v>
      </c>
      <c r="F12" s="283">
        <f>B$6*B12+C$6*C12+D$6*D12</f>
        <v>10.728000000000002</v>
      </c>
      <c r="G12" s="6">
        <v>0</v>
      </c>
      <c r="H12" s="64">
        <f>H9</f>
        <v>145</v>
      </c>
      <c r="I12" s="265">
        <f>+H12*E12</f>
        <v>72.5</v>
      </c>
      <c r="J12" s="287">
        <f>+H12*(F12+G12)</f>
        <v>1555.5600000000002</v>
      </c>
    </row>
    <row r="13" spans="1:10" s="1" customFormat="1" ht="15.75" customHeight="1" thickBot="1" x14ac:dyDescent="0.25">
      <c r="A13" s="96" t="s">
        <v>52</v>
      </c>
      <c r="B13" s="130"/>
      <c r="C13" s="130"/>
      <c r="D13" s="131"/>
      <c r="E13" s="130"/>
      <c r="F13" s="132"/>
      <c r="G13" s="163"/>
      <c r="H13" s="164"/>
      <c r="I13" s="268">
        <f>SUM(I9:I12)</f>
        <v>580</v>
      </c>
      <c r="J13" s="292">
        <f>SUM(J9:J12)</f>
        <v>28126.520000000008</v>
      </c>
    </row>
    <row r="14" spans="1:10" ht="15.75" customHeight="1" x14ac:dyDescent="0.2">
      <c r="A14" s="134" t="s">
        <v>13</v>
      </c>
      <c r="B14" s="135"/>
      <c r="C14" s="135"/>
      <c r="D14" s="135"/>
      <c r="E14" s="135"/>
      <c r="F14" s="135"/>
      <c r="G14" s="136"/>
      <c r="H14" s="135"/>
      <c r="I14" s="270"/>
      <c r="J14" s="137"/>
    </row>
    <row r="15" spans="1:10" ht="12.75" x14ac:dyDescent="0.2">
      <c r="A15" s="138" t="s">
        <v>55</v>
      </c>
      <c r="B15" s="3">
        <v>0</v>
      </c>
      <c r="C15" s="3">
        <v>1.5</v>
      </c>
      <c r="D15" s="3">
        <v>0</v>
      </c>
      <c r="E15" s="139">
        <f>SUM(B15:D15)</f>
        <v>1.5</v>
      </c>
      <c r="F15" s="294">
        <f>B15*B$6+C15*C$6+D15*D$6</f>
        <v>80.13600000000001</v>
      </c>
      <c r="G15" s="140">
        <v>0</v>
      </c>
      <c r="H15" s="141">
        <f>ROUND(H9/4,0)</f>
        <v>36</v>
      </c>
      <c r="I15" s="271">
        <f>+H15*E15</f>
        <v>54</v>
      </c>
      <c r="J15" s="294">
        <f>+H15*(F15+G15)</f>
        <v>2884.8960000000002</v>
      </c>
    </row>
    <row r="16" spans="1:10" ht="25.5" x14ac:dyDescent="0.2">
      <c r="A16" s="138" t="s">
        <v>83</v>
      </c>
      <c r="B16" s="3">
        <v>0</v>
      </c>
      <c r="C16" s="3">
        <v>1</v>
      </c>
      <c r="D16" s="3">
        <v>0</v>
      </c>
      <c r="E16" s="139">
        <f>SUM(B16:D16)</f>
        <v>1</v>
      </c>
      <c r="F16" s="294">
        <f>B16*B$6+C16*C$6+D16*D$6</f>
        <v>53.424000000000007</v>
      </c>
      <c r="G16" s="140">
        <v>0</v>
      </c>
      <c r="H16" s="141">
        <f>ROUND(H15/2,0)</f>
        <v>18</v>
      </c>
      <c r="I16" s="271">
        <f>+H16*E16</f>
        <v>18</v>
      </c>
      <c r="J16" s="294">
        <f>+H16*(F16+G16)</f>
        <v>961.63200000000006</v>
      </c>
    </row>
    <row r="17" spans="1:11" ht="26.25" thickBot="1" x14ac:dyDescent="0.25">
      <c r="A17" s="142" t="s">
        <v>56</v>
      </c>
      <c r="B17" s="4">
        <v>0</v>
      </c>
      <c r="C17" s="4">
        <v>1</v>
      </c>
      <c r="D17" s="4">
        <v>0</v>
      </c>
      <c r="E17" s="143">
        <f>SUM(B17:D17)</f>
        <v>1</v>
      </c>
      <c r="F17" s="295">
        <f>B17*B$6+C17*C$6+D17*D$6</f>
        <v>53.424000000000007</v>
      </c>
      <c r="G17" s="144">
        <v>0</v>
      </c>
      <c r="H17" s="145">
        <f>H15-H16</f>
        <v>18</v>
      </c>
      <c r="I17" s="272">
        <f>+H17*E17</f>
        <v>18</v>
      </c>
      <c r="J17" s="295">
        <f>+H17*(F17+G17)</f>
        <v>961.63200000000006</v>
      </c>
    </row>
    <row r="18" spans="1:11" ht="15.75" customHeight="1" thickBot="1" x14ac:dyDescent="0.25">
      <c r="A18" s="146" t="s">
        <v>52</v>
      </c>
      <c r="B18" s="148"/>
      <c r="C18" s="148"/>
      <c r="D18" s="149"/>
      <c r="E18" s="148"/>
      <c r="F18" s="150"/>
      <c r="G18" s="151"/>
      <c r="H18" s="152"/>
      <c r="I18" s="273">
        <f>SUM(I15:I17)</f>
        <v>90</v>
      </c>
      <c r="J18" s="298">
        <f>SUM(J15:J17)</f>
        <v>4808.16</v>
      </c>
    </row>
    <row r="19" spans="1:11" ht="13.5" customHeight="1" x14ac:dyDescent="0.2">
      <c r="A19" s="153" t="s">
        <v>54</v>
      </c>
      <c r="B19" s="155"/>
      <c r="C19" s="155"/>
      <c r="D19" s="156"/>
      <c r="E19" s="155"/>
      <c r="F19" s="157"/>
      <c r="G19" s="158"/>
      <c r="H19" s="159"/>
      <c r="I19" s="274">
        <f>I13+I18</f>
        <v>670</v>
      </c>
      <c r="J19" s="299">
        <f>J13+J18</f>
        <v>32934.680000000008</v>
      </c>
    </row>
    <row r="20" spans="1:11" ht="12.75" x14ac:dyDescent="0.2">
      <c r="A20" s="102"/>
      <c r="B20" s="1"/>
      <c r="C20" s="1"/>
      <c r="D20" s="1"/>
      <c r="E20" s="33"/>
      <c r="F20" s="33"/>
      <c r="G20" s="1"/>
      <c r="H20" s="34"/>
      <c r="I20" s="34"/>
      <c r="J20" s="1"/>
    </row>
    <row r="21" spans="1:11" ht="66" customHeight="1" x14ac:dyDescent="0.2">
      <c r="A21" s="367" t="s">
        <v>132</v>
      </c>
      <c r="B21" s="367"/>
      <c r="C21" s="367"/>
      <c r="D21" s="367"/>
      <c r="E21" s="367"/>
      <c r="F21" s="367"/>
      <c r="G21" s="367"/>
      <c r="H21" s="367"/>
      <c r="I21" s="367"/>
      <c r="J21" s="367"/>
    </row>
    <row r="22" spans="1:11" s="1" customFormat="1" ht="30" customHeight="1" x14ac:dyDescent="0.2">
      <c r="A22" s="367" t="s">
        <v>194</v>
      </c>
      <c r="B22" s="367"/>
      <c r="C22" s="367"/>
      <c r="D22" s="367"/>
      <c r="E22" s="367"/>
      <c r="F22" s="367"/>
      <c r="G22" s="367"/>
      <c r="H22" s="367"/>
      <c r="I22" s="367"/>
      <c r="J22" s="367"/>
      <c r="K22" s="33"/>
    </row>
    <row r="23" spans="1:11" ht="72" customHeight="1" x14ac:dyDescent="0.2">
      <c r="A23" s="367" t="s">
        <v>208</v>
      </c>
      <c r="B23" s="367"/>
      <c r="C23" s="367"/>
      <c r="D23" s="367"/>
      <c r="E23" s="367"/>
      <c r="F23" s="367"/>
      <c r="G23" s="367"/>
      <c r="H23" s="367"/>
      <c r="I23" s="367"/>
      <c r="J23" s="367"/>
    </row>
  </sheetData>
  <mergeCells count="6">
    <mergeCell ref="A23:J23"/>
    <mergeCell ref="A21:J21"/>
    <mergeCell ref="A22:J22"/>
    <mergeCell ref="A2:I2"/>
    <mergeCell ref="A4:A7"/>
    <mergeCell ref="B4:G4"/>
  </mergeCells>
  <phoneticPr fontId="0" type="noConversion"/>
  <pageMargins left="0.75" right="0.7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heetViews>
  <sheetFormatPr defaultColWidth="9.33203125" defaultRowHeight="10.5" x14ac:dyDescent="0.15"/>
  <cols>
    <col min="1" max="1" width="39.33203125" style="24" customWidth="1"/>
    <col min="2" max="5" width="9.33203125" style="9"/>
    <col min="6" max="6" width="11.33203125" style="9" customWidth="1"/>
    <col min="7" max="7" width="9.5" style="9" customWidth="1"/>
    <col min="8" max="8" width="14.83203125" style="9" customWidth="1"/>
    <col min="9" max="9" width="9.33203125" style="263"/>
    <col min="10" max="10" width="13.33203125" style="9" customWidth="1"/>
    <col min="11" max="16384" width="9.33203125" style="9"/>
  </cols>
  <sheetData>
    <row r="1" spans="1:12" ht="12.75" x14ac:dyDescent="0.2">
      <c r="A1" s="30" t="s">
        <v>15</v>
      </c>
      <c r="B1" s="31"/>
      <c r="C1" s="31"/>
      <c r="D1" s="31"/>
      <c r="E1" s="32"/>
      <c r="F1" s="33"/>
      <c r="G1" s="1"/>
      <c r="H1" s="34"/>
      <c r="I1" s="34"/>
      <c r="J1" s="1"/>
    </row>
    <row r="2" spans="1:12" ht="12.75" x14ac:dyDescent="0.2">
      <c r="A2" s="370" t="s">
        <v>20</v>
      </c>
      <c r="B2" s="370"/>
      <c r="C2" s="370"/>
      <c r="D2" s="370"/>
      <c r="E2" s="370"/>
      <c r="F2" s="370"/>
      <c r="G2" s="370"/>
      <c r="H2" s="370"/>
      <c r="I2" s="370"/>
      <c r="J2" s="1"/>
    </row>
    <row r="3" spans="1:12" ht="12.75" x14ac:dyDescent="0.2">
      <c r="A3" s="30"/>
      <c r="B3" s="30"/>
      <c r="C3" s="30"/>
      <c r="D3" s="30"/>
      <c r="E3" s="30"/>
      <c r="F3" s="30"/>
      <c r="G3" s="30"/>
      <c r="H3" s="30"/>
      <c r="I3" s="259"/>
      <c r="J3" s="1"/>
    </row>
    <row r="4" spans="1:12" ht="15.75" x14ac:dyDescent="0.2">
      <c r="A4" s="372" t="s">
        <v>47</v>
      </c>
      <c r="B4" s="378" t="s">
        <v>65</v>
      </c>
      <c r="C4" s="379"/>
      <c r="D4" s="379"/>
      <c r="E4" s="379"/>
      <c r="F4" s="379"/>
      <c r="G4" s="380"/>
      <c r="H4" s="35" t="s">
        <v>37</v>
      </c>
      <c r="I4" s="38"/>
      <c r="J4" s="118"/>
    </row>
    <row r="5" spans="1:12" ht="12.75" x14ac:dyDescent="0.2">
      <c r="A5" s="373"/>
      <c r="B5" s="40" t="s">
        <v>38</v>
      </c>
      <c r="C5" s="40" t="s">
        <v>39</v>
      </c>
      <c r="D5" s="40" t="s">
        <v>40</v>
      </c>
      <c r="E5" s="40" t="s">
        <v>41</v>
      </c>
      <c r="F5" s="41" t="s">
        <v>42</v>
      </c>
      <c r="G5" s="104"/>
      <c r="H5" s="40" t="s">
        <v>60</v>
      </c>
      <c r="I5" s="42" t="s">
        <v>43</v>
      </c>
      <c r="J5" s="43" t="s">
        <v>43</v>
      </c>
    </row>
    <row r="6" spans="1:12" ht="12.75" x14ac:dyDescent="0.2">
      <c r="A6" s="368"/>
      <c r="B6" s="339">
        <f>48.7*1.6</f>
        <v>77.920000000000016</v>
      </c>
      <c r="C6" s="338">
        <f>33.39*1.6</f>
        <v>53.424000000000007</v>
      </c>
      <c r="D6" s="338">
        <f>13.41*1.6</f>
        <v>21.456000000000003</v>
      </c>
      <c r="E6" s="40" t="s">
        <v>44</v>
      </c>
      <c r="F6" s="41" t="s">
        <v>45</v>
      </c>
      <c r="G6" s="105" t="s">
        <v>46</v>
      </c>
      <c r="H6" s="40" t="s">
        <v>61</v>
      </c>
      <c r="I6" s="42" t="s">
        <v>44</v>
      </c>
      <c r="J6" s="43" t="s">
        <v>45</v>
      </c>
      <c r="K6" s="5"/>
      <c r="L6" s="5"/>
    </row>
    <row r="7" spans="1:12" ht="13.5" thickBot="1" x14ac:dyDescent="0.25">
      <c r="A7" s="374"/>
      <c r="B7" s="44" t="s">
        <v>71</v>
      </c>
      <c r="C7" s="44" t="s">
        <v>71</v>
      </c>
      <c r="D7" s="44" t="s">
        <v>71</v>
      </c>
      <c r="E7" s="44" t="s">
        <v>49</v>
      </c>
      <c r="F7" s="44" t="s">
        <v>49</v>
      </c>
      <c r="G7" s="106" t="s">
        <v>50</v>
      </c>
      <c r="H7" s="46" t="s">
        <v>62</v>
      </c>
      <c r="I7" s="47" t="s">
        <v>51</v>
      </c>
      <c r="J7" s="48" t="s">
        <v>51</v>
      </c>
      <c r="K7" s="5"/>
      <c r="L7" s="5"/>
    </row>
    <row r="8" spans="1:12" s="1" customFormat="1" ht="15.75" x14ac:dyDescent="0.2">
      <c r="A8" s="92" t="s">
        <v>69</v>
      </c>
      <c r="B8" s="50"/>
      <c r="C8" s="51"/>
      <c r="D8" s="51"/>
      <c r="E8" s="52"/>
      <c r="F8" s="51"/>
      <c r="G8" s="53"/>
      <c r="H8" s="76"/>
      <c r="I8" s="264"/>
      <c r="J8" s="55"/>
      <c r="K8" s="2"/>
    </row>
    <row r="9" spans="1:12" s="1" customFormat="1" ht="12.75" x14ac:dyDescent="0.2">
      <c r="A9" s="56" t="s">
        <v>68</v>
      </c>
      <c r="B9" s="57">
        <v>0.25</v>
      </c>
      <c r="C9" s="58">
        <v>0.25</v>
      </c>
      <c r="D9" s="58">
        <v>0</v>
      </c>
      <c r="E9" s="59">
        <f>+D9+C9+B9</f>
        <v>0.5</v>
      </c>
      <c r="F9" s="283">
        <f>B$6*B9+C$6*C9+D$6*D9</f>
        <v>32.836000000000006</v>
      </c>
      <c r="G9" s="109">
        <v>0</v>
      </c>
      <c r="H9" s="141">
        <f>PartnerCounts!C7</f>
        <v>3</v>
      </c>
      <c r="I9" s="275">
        <f>+H9*E9</f>
        <v>1.5</v>
      </c>
      <c r="J9" s="294">
        <f>+H9*(F9+G9)</f>
        <v>98.50800000000001</v>
      </c>
      <c r="K9" s="6"/>
    </row>
    <row r="10" spans="1:12" s="1" customFormat="1" ht="12.75" x14ac:dyDescent="0.2">
      <c r="A10" s="62" t="s">
        <v>59</v>
      </c>
      <c r="B10" s="63">
        <v>0.25</v>
      </c>
      <c r="C10" s="63">
        <v>0.25</v>
      </c>
      <c r="D10" s="63">
        <v>0</v>
      </c>
      <c r="E10" s="59">
        <f>+D10+C10+B10</f>
        <v>0.5</v>
      </c>
      <c r="F10" s="283">
        <f>B$6*B10+C$6*C10+D$6*D10</f>
        <v>32.836000000000006</v>
      </c>
      <c r="G10" s="334">
        <v>0</v>
      </c>
      <c r="H10" s="165">
        <f>H9</f>
        <v>3</v>
      </c>
      <c r="I10" s="276">
        <f>+H10*E10</f>
        <v>1.5</v>
      </c>
      <c r="J10" s="301">
        <f>+H10*(F10+G10)</f>
        <v>98.50800000000001</v>
      </c>
      <c r="K10" s="6"/>
    </row>
    <row r="11" spans="1:12" s="1" customFormat="1" ht="13.5" thickBot="1" x14ac:dyDescent="0.25">
      <c r="A11" s="124" t="s">
        <v>63</v>
      </c>
      <c r="B11" s="66">
        <v>0</v>
      </c>
      <c r="C11" s="66">
        <v>0</v>
      </c>
      <c r="D11" s="66">
        <v>0.5</v>
      </c>
      <c r="E11" s="59">
        <f>+D11+C11+B11</f>
        <v>0.5</v>
      </c>
      <c r="F11" s="283">
        <f>B$6*B11+C$6*C11+D$6*D11</f>
        <v>10.728000000000002</v>
      </c>
      <c r="G11" s="122">
        <v>0</v>
      </c>
      <c r="H11" s="141">
        <f>H9</f>
        <v>3</v>
      </c>
      <c r="I11" s="275">
        <f>+H11*E11</f>
        <v>1.5</v>
      </c>
      <c r="J11" s="294">
        <f>+H11*(F11+G11)</f>
        <v>32.184000000000005</v>
      </c>
      <c r="K11" s="6"/>
    </row>
    <row r="12" spans="1:12" s="1" customFormat="1" ht="13.5" thickBot="1" x14ac:dyDescent="0.25">
      <c r="A12" s="166" t="s">
        <v>52</v>
      </c>
      <c r="B12" s="129"/>
      <c r="C12" s="130"/>
      <c r="D12" s="130"/>
      <c r="E12" s="131"/>
      <c r="F12" s="130"/>
      <c r="G12" s="133"/>
      <c r="H12" s="167"/>
      <c r="I12" s="277">
        <f>SUM(I9:I11)</f>
        <v>4.5</v>
      </c>
      <c r="J12" s="302">
        <f>SUM(J9:J11)</f>
        <v>229.20000000000002</v>
      </c>
      <c r="K12" s="7"/>
    </row>
    <row r="13" spans="1:12" s="1" customFormat="1" ht="28.5" x14ac:dyDescent="0.2">
      <c r="A13" s="75" t="s">
        <v>89</v>
      </c>
      <c r="B13" s="51"/>
      <c r="C13" s="51"/>
      <c r="D13" s="52"/>
      <c r="E13" s="51"/>
      <c r="F13" s="51"/>
      <c r="G13" s="107"/>
      <c r="H13" s="51"/>
      <c r="I13" s="278"/>
      <c r="J13" s="55"/>
    </row>
    <row r="14" spans="1:12" s="1" customFormat="1" ht="12.75" x14ac:dyDescent="0.2">
      <c r="A14" s="160" t="s">
        <v>24</v>
      </c>
      <c r="B14" s="57">
        <v>0</v>
      </c>
      <c r="C14" s="57">
        <v>0.5</v>
      </c>
      <c r="D14" s="58">
        <v>0</v>
      </c>
      <c r="E14" s="59">
        <f>+D14+C14+B14</f>
        <v>0.5</v>
      </c>
      <c r="F14" s="283">
        <f>B$6*B14+C$6*C14+D$6*D14</f>
        <v>26.712000000000003</v>
      </c>
      <c r="G14" s="109">
        <v>0</v>
      </c>
      <c r="H14" s="141">
        <f>PartnerCounts!C7</f>
        <v>3</v>
      </c>
      <c r="I14" s="275">
        <f>+H14*E14</f>
        <v>1.5</v>
      </c>
      <c r="J14" s="294">
        <f>+H14*(F14+G14)</f>
        <v>80.13600000000001</v>
      </c>
    </row>
    <row r="15" spans="1:12" s="1" customFormat="1" ht="12.75" x14ac:dyDescent="0.2">
      <c r="A15" s="160" t="s">
        <v>55</v>
      </c>
      <c r="B15" s="57">
        <f>0*14</f>
        <v>0</v>
      </c>
      <c r="C15" s="57">
        <v>1.5</v>
      </c>
      <c r="D15" s="57">
        <f>0*14</f>
        <v>0</v>
      </c>
      <c r="E15" s="59">
        <f>+D15+C15+B15</f>
        <v>1.5</v>
      </c>
      <c r="F15" s="283">
        <f>B$6*B15+C$6*C15+D$6*D15</f>
        <v>80.13600000000001</v>
      </c>
      <c r="G15" s="109">
        <v>0</v>
      </c>
      <c r="H15" s="168">
        <f>H14</f>
        <v>3</v>
      </c>
      <c r="I15" s="279">
        <f>+H15*E15</f>
        <v>4.5</v>
      </c>
      <c r="J15" s="300">
        <f>+H15*(F15+G15)</f>
        <v>240.40800000000002</v>
      </c>
    </row>
    <row r="16" spans="1:12" s="1" customFormat="1" ht="12.75" x14ac:dyDescent="0.2">
      <c r="A16" s="161" t="s">
        <v>22</v>
      </c>
      <c r="B16" s="57">
        <v>0.5</v>
      </c>
      <c r="C16" s="57">
        <v>1.5</v>
      </c>
      <c r="D16" s="58">
        <v>0.5</v>
      </c>
      <c r="E16" s="59">
        <f>+D16+C16+B16</f>
        <v>2.5</v>
      </c>
      <c r="F16" s="283">
        <f>B$6*B16+C$6*C16+D$6*D16</f>
        <v>129.82400000000001</v>
      </c>
      <c r="G16" s="109">
        <v>0</v>
      </c>
      <c r="H16" s="168">
        <f>H14</f>
        <v>3</v>
      </c>
      <c r="I16" s="279">
        <f>+H16*E16</f>
        <v>7.5</v>
      </c>
      <c r="J16" s="300">
        <f>+H16*(F16+G16)</f>
        <v>389.47200000000004</v>
      </c>
    </row>
    <row r="17" spans="1:11" s="1" customFormat="1" ht="26.25" thickBot="1" x14ac:dyDescent="0.25">
      <c r="A17" s="162" t="s">
        <v>23</v>
      </c>
      <c r="B17" s="121">
        <v>0</v>
      </c>
      <c r="C17" s="121">
        <v>0</v>
      </c>
      <c r="D17" s="63">
        <v>0.5</v>
      </c>
      <c r="E17" s="59">
        <f>+D17+C17+B17</f>
        <v>0.5</v>
      </c>
      <c r="F17" s="283">
        <f>B$6*B17+C$6*C17+D$6*D17</f>
        <v>10.728000000000002</v>
      </c>
      <c r="G17" s="122">
        <v>0</v>
      </c>
      <c r="H17" s="165">
        <f>H14</f>
        <v>3</v>
      </c>
      <c r="I17" s="276">
        <f>+H17*E17</f>
        <v>1.5</v>
      </c>
      <c r="J17" s="301">
        <f>+H17*(F17+G17)</f>
        <v>32.184000000000005</v>
      </c>
    </row>
    <row r="18" spans="1:11" s="1" customFormat="1" ht="15.75" customHeight="1" thickBot="1" x14ac:dyDescent="0.25">
      <c r="A18" s="166" t="s">
        <v>52</v>
      </c>
      <c r="B18" s="130"/>
      <c r="C18" s="130"/>
      <c r="D18" s="131"/>
      <c r="E18" s="130"/>
      <c r="F18" s="132"/>
      <c r="G18" s="133"/>
      <c r="H18" s="152"/>
      <c r="I18" s="280">
        <f>SUM(I14:I17)</f>
        <v>15</v>
      </c>
      <c r="J18" s="298">
        <f>SUM(J14:J17)</f>
        <v>742.2</v>
      </c>
    </row>
    <row r="19" spans="1:11" ht="15.75" customHeight="1" x14ac:dyDescent="0.2">
      <c r="A19" s="134" t="s">
        <v>66</v>
      </c>
      <c r="B19" s="135"/>
      <c r="C19" s="135"/>
      <c r="D19" s="135"/>
      <c r="E19" s="135"/>
      <c r="F19" s="135"/>
      <c r="G19" s="136"/>
      <c r="H19" s="135"/>
      <c r="I19" s="281"/>
      <c r="J19" s="137"/>
    </row>
    <row r="20" spans="1:11" ht="12.75" x14ac:dyDescent="0.2">
      <c r="A20" s="138" t="s">
        <v>55</v>
      </c>
      <c r="B20" s="3">
        <v>0</v>
      </c>
      <c r="C20" s="3">
        <v>1.5</v>
      </c>
      <c r="D20" s="3">
        <v>0</v>
      </c>
      <c r="E20" s="139">
        <f>SUM(B20:D20)</f>
        <v>1.5</v>
      </c>
      <c r="F20" s="294">
        <f>B20*B$6+C20*C$6+D20*D$6</f>
        <v>80.13600000000001</v>
      </c>
      <c r="G20" s="140">
        <v>0</v>
      </c>
      <c r="H20" s="141">
        <f>ROUND(H9/4,0)</f>
        <v>1</v>
      </c>
      <c r="I20" s="275">
        <f>+H20*E20</f>
        <v>1.5</v>
      </c>
      <c r="J20" s="294">
        <f>+H20*(F20+G20)</f>
        <v>80.13600000000001</v>
      </c>
    </row>
    <row r="21" spans="1:11" ht="25.5" x14ac:dyDescent="0.2">
      <c r="A21" s="138" t="s">
        <v>83</v>
      </c>
      <c r="B21" s="3">
        <v>0</v>
      </c>
      <c r="C21" s="3">
        <v>1</v>
      </c>
      <c r="D21" s="3">
        <v>0</v>
      </c>
      <c r="E21" s="139">
        <f>SUM(B21:D21)</f>
        <v>1</v>
      </c>
      <c r="F21" s="294">
        <f>B21*B$6+C21*C$6+D21*D$6</f>
        <v>53.424000000000007</v>
      </c>
      <c r="G21" s="140">
        <v>0</v>
      </c>
      <c r="H21" s="141">
        <f>ROUND(H20/2,0)</f>
        <v>1</v>
      </c>
      <c r="I21" s="275">
        <f>+H21*E21</f>
        <v>1</v>
      </c>
      <c r="J21" s="294">
        <f>+H21*(F21+G21)</f>
        <v>53.424000000000007</v>
      </c>
    </row>
    <row r="22" spans="1:11" ht="26.25" thickBot="1" x14ac:dyDescent="0.25">
      <c r="A22" s="142" t="s">
        <v>56</v>
      </c>
      <c r="B22" s="4">
        <v>0</v>
      </c>
      <c r="C22" s="4">
        <v>1</v>
      </c>
      <c r="D22" s="4">
        <v>0</v>
      </c>
      <c r="E22" s="143">
        <f>SUM(B22:D22)</f>
        <v>1</v>
      </c>
      <c r="F22" s="295">
        <f>B22*B$6+C22*C$6+D22*D$6</f>
        <v>53.424000000000007</v>
      </c>
      <c r="G22" s="144">
        <v>0</v>
      </c>
      <c r="H22" s="145">
        <f>H20-H21</f>
        <v>0</v>
      </c>
      <c r="I22" s="282">
        <f>+H22*E22</f>
        <v>0</v>
      </c>
      <c r="J22" s="295">
        <f>+H22*(F22+G22)</f>
        <v>0</v>
      </c>
    </row>
    <row r="23" spans="1:11" ht="15.75" customHeight="1" thickBot="1" x14ac:dyDescent="0.25">
      <c r="A23" s="146" t="s">
        <v>52</v>
      </c>
      <c r="B23" s="148"/>
      <c r="C23" s="148"/>
      <c r="D23" s="149"/>
      <c r="E23" s="148"/>
      <c r="F23" s="150"/>
      <c r="G23" s="151"/>
      <c r="H23" s="152"/>
      <c r="I23" s="280">
        <f>SUM(I20:I22)</f>
        <v>2.5</v>
      </c>
      <c r="J23" s="298">
        <f>SUM(J20:J22)</f>
        <v>133.56</v>
      </c>
    </row>
    <row r="24" spans="1:11" ht="15.75" customHeight="1" x14ac:dyDescent="0.2">
      <c r="A24" s="153" t="s">
        <v>54</v>
      </c>
      <c r="B24" s="155"/>
      <c r="C24" s="155"/>
      <c r="D24" s="156"/>
      <c r="E24" s="155"/>
      <c r="F24" s="157"/>
      <c r="G24" s="158"/>
      <c r="H24" s="159"/>
      <c r="I24" s="279">
        <f>I18+I23+I12</f>
        <v>22</v>
      </c>
      <c r="J24" s="299">
        <f>J18+J23+J12</f>
        <v>1104.96</v>
      </c>
    </row>
    <row r="25" spans="1:11" ht="12.75" x14ac:dyDescent="0.2">
      <c r="A25" s="102"/>
      <c r="B25" s="1"/>
      <c r="C25" s="1"/>
      <c r="D25" s="1"/>
      <c r="E25" s="33"/>
      <c r="F25" s="33"/>
      <c r="G25" s="1"/>
      <c r="H25" s="34"/>
      <c r="I25" s="34"/>
      <c r="J25" s="1"/>
    </row>
    <row r="26" spans="1:11" ht="64.900000000000006" customHeight="1" x14ac:dyDescent="0.2">
      <c r="A26" s="367" t="s">
        <v>132</v>
      </c>
      <c r="B26" s="367"/>
      <c r="C26" s="367"/>
      <c r="D26" s="367"/>
      <c r="E26" s="367"/>
      <c r="F26" s="367"/>
      <c r="G26" s="367"/>
      <c r="H26" s="367"/>
      <c r="I26" s="367"/>
      <c r="J26" s="367"/>
    </row>
    <row r="27" spans="1:11" ht="30" customHeight="1" x14ac:dyDescent="0.2">
      <c r="A27" s="382" t="s">
        <v>174</v>
      </c>
      <c r="B27" s="382"/>
      <c r="C27" s="382"/>
      <c r="D27" s="382"/>
      <c r="E27" s="382"/>
      <c r="F27" s="382"/>
      <c r="G27" s="382"/>
      <c r="H27" s="382"/>
      <c r="I27" s="382"/>
      <c r="J27" s="382"/>
    </row>
    <row r="28" spans="1:11" s="1" customFormat="1" ht="26.45" customHeight="1" x14ac:dyDescent="0.2">
      <c r="A28" s="367" t="s">
        <v>193</v>
      </c>
      <c r="B28" s="367"/>
      <c r="C28" s="367"/>
      <c r="D28" s="367"/>
      <c r="E28" s="367"/>
      <c r="F28" s="367"/>
      <c r="G28" s="367"/>
      <c r="H28" s="367"/>
      <c r="I28" s="367"/>
      <c r="J28" s="367"/>
      <c r="K28" s="33"/>
    </row>
    <row r="29" spans="1:11" ht="66.599999999999994" customHeight="1" x14ac:dyDescent="0.2">
      <c r="A29" s="367" t="s">
        <v>209</v>
      </c>
      <c r="B29" s="367"/>
      <c r="C29" s="367"/>
      <c r="D29" s="367"/>
      <c r="E29" s="367"/>
      <c r="F29" s="367"/>
      <c r="G29" s="367"/>
      <c r="H29" s="367"/>
      <c r="I29" s="367"/>
      <c r="J29" s="367"/>
    </row>
  </sheetData>
  <mergeCells count="7">
    <mergeCell ref="A28:J28"/>
    <mergeCell ref="A29:J29"/>
    <mergeCell ref="A27:J27"/>
    <mergeCell ref="A2:I2"/>
    <mergeCell ref="A4:A7"/>
    <mergeCell ref="B4:G4"/>
    <mergeCell ref="A26:J26"/>
  </mergeCells>
  <phoneticPr fontId="0" type="noConversion"/>
  <pageMargins left="0.75" right="0.75" top="0.15" bottom="0.15" header="0.5" footer="0.2"/>
  <pageSetup scale="9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PartnerCounts</vt:lpstr>
      <vt:lpstr>Existing State</vt:lpstr>
      <vt:lpstr>New State</vt:lpstr>
      <vt:lpstr>Existing Endorser</vt:lpstr>
      <vt:lpstr>New Endorser</vt:lpstr>
      <vt:lpstr>Existing Ind Non-Dev</vt:lpstr>
      <vt:lpstr>New Ind Non-Dev</vt:lpstr>
      <vt:lpstr>Existing Comm</vt:lpstr>
      <vt:lpstr>New Comm</vt:lpstr>
      <vt:lpstr>Existing Energy &amp; Dev</vt:lpstr>
      <vt:lpstr>New Energy &amp; Dev</vt:lpstr>
      <vt:lpstr>Agency-1</vt:lpstr>
      <vt:lpstr>Agency-2</vt:lpstr>
      <vt:lpstr>Agency-3</vt:lpstr>
      <vt:lpstr>LaborRates</vt:lpstr>
      <vt:lpstr>totals &amp; avgs</vt:lpstr>
      <vt:lpstr>For 2nd FR Notice</vt:lpstr>
      <vt:lpstr>For Small Entity</vt:lpstr>
      <vt:lpstr>'Agency-1'!Print_Area</vt:lpstr>
      <vt:lpstr>'totals &amp; avgs'!Print_Area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End-User Support</dc:creator>
  <cp:lastModifiedBy>Saunders, Katie</cp:lastModifiedBy>
  <cp:lastPrinted>2015-12-11T19:16:22Z</cp:lastPrinted>
  <dcterms:created xsi:type="dcterms:W3CDTF">1998-03-13T18:56:00Z</dcterms:created>
  <dcterms:modified xsi:type="dcterms:W3CDTF">2016-01-27T15:19:50Z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3bad109d-beb1-4e54-8e4e-361a93bd33a1</vt:lpwstr>
  </property>
</Properties>
</file>