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24226"/>
  <mc:AlternateContent xmlns:mc="http://schemas.openxmlformats.org/markup-compatibility/2006">
    <mc:Choice Requires="x15">
      <x15ac:absPath xmlns:x15ac="http://schemas.microsoft.com/office/spreadsheetml/2010/11/ac" url="C:\Users\amagness\Desktop\"/>
    </mc:Choice>
  </mc:AlternateContent>
  <xr:revisionPtr revIDLastSave="0" documentId="13_ncr:1_{2904B059-E2CE-428A-8C28-579997CC49C3}" xr6:coauthVersionLast="34" xr6:coauthVersionMax="34" xr10:uidLastSave="{00000000-0000-0000-0000-000000000000}"/>
  <bookViews>
    <workbookView xWindow="0" yWindow="0" windowWidth="19200" windowHeight="6960" tabRatio="771" firstSheet="1" activeTab="1" xr2:uid="{00000000-000D-0000-FFFF-FFFF00000000}"/>
  </bookViews>
  <sheets>
    <sheet name="NSWP-III Burden Table OMB " sheetId="8" state="hidden" r:id="rId1"/>
    <sheet name="Annualized Cost to Respondents" sheetId="15" r:id="rId2"/>
    <sheet name="Appendices" sheetId="12" state="hidden" r:id="rId3"/>
    <sheet name="BLS Wages" sheetId="10" state="hidden" r:id="rId4"/>
  </sheets>
  <externalReferences>
    <externalReference r:id="rId5"/>
  </externalReferences>
  <calcPr calcId="179017"/>
</workbook>
</file>

<file path=xl/calcChain.xml><?xml version="1.0" encoding="utf-8"?>
<calcChain xmlns="http://schemas.openxmlformats.org/spreadsheetml/2006/main">
  <c r="I67" i="15" l="1"/>
  <c r="I157" i="15" l="1"/>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56" i="15"/>
  <c r="I140" i="15"/>
  <c r="I141" i="15"/>
  <c r="I142" i="15"/>
  <c r="I143" i="15"/>
  <c r="I144" i="15"/>
  <c r="I145" i="15"/>
  <c r="I146" i="15"/>
  <c r="I147" i="15"/>
  <c r="I148" i="15"/>
  <c r="I149" i="15"/>
  <c r="I150" i="15"/>
  <c r="I151" i="15"/>
  <c r="I152" i="15"/>
  <c r="I153" i="15"/>
  <c r="I129" i="15"/>
  <c r="I130" i="15"/>
  <c r="I131" i="15"/>
  <c r="I132" i="15"/>
  <c r="I133" i="15"/>
  <c r="I134" i="15"/>
  <c r="I135" i="15"/>
  <c r="I136" i="15"/>
  <c r="I137" i="15"/>
  <c r="I138" i="15"/>
  <c r="I139" i="15"/>
  <c r="I128" i="15"/>
  <c r="I127" i="15"/>
  <c r="I123" i="15"/>
  <c r="I124" i="15"/>
  <c r="I125" i="15"/>
  <c r="I126" i="15"/>
  <c r="I122"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6" i="15"/>
  <c r="G188" i="15"/>
  <c r="G154" i="15"/>
  <c r="D119" i="15"/>
  <c r="B119" i="15"/>
  <c r="D114" i="15"/>
  <c r="B114" i="15"/>
  <c r="D113" i="15"/>
  <c r="B113" i="15"/>
  <c r="D112" i="15"/>
  <c r="B112" i="15"/>
  <c r="D111" i="15"/>
  <c r="B111" i="15"/>
  <c r="D110" i="15"/>
  <c r="B110" i="15"/>
  <c r="D109" i="15"/>
  <c r="B109" i="15"/>
  <c r="D107" i="15"/>
  <c r="B107" i="15"/>
  <c r="D100" i="15"/>
  <c r="B100" i="15"/>
  <c r="E99" i="15"/>
  <c r="D99" i="15"/>
  <c r="C99" i="15"/>
  <c r="B99" i="15"/>
  <c r="D98" i="15"/>
  <c r="B98" i="15"/>
  <c r="D97" i="15"/>
  <c r="B97" i="15"/>
  <c r="E96" i="15"/>
  <c r="D96" i="15"/>
  <c r="C96" i="15"/>
  <c r="B96" i="15"/>
  <c r="D95" i="15"/>
  <c r="B95" i="15"/>
  <c r="D94" i="15"/>
  <c r="B94" i="15"/>
  <c r="D93" i="15"/>
  <c r="B93" i="15"/>
  <c r="D92" i="15"/>
  <c r="B92" i="15"/>
  <c r="D84" i="15"/>
  <c r="B84" i="15"/>
  <c r="E83" i="15"/>
  <c r="D83" i="15"/>
  <c r="C83" i="15"/>
  <c r="B83" i="15"/>
  <c r="E82" i="15"/>
  <c r="D82" i="15"/>
  <c r="C82" i="15"/>
  <c r="B82" i="15"/>
  <c r="D81" i="15"/>
  <c r="B81" i="15"/>
  <c r="D80" i="15"/>
  <c r="B80" i="15"/>
  <c r="D79" i="15"/>
  <c r="B79" i="15"/>
  <c r="D78" i="15"/>
  <c r="B78" i="15"/>
  <c r="D77" i="15"/>
  <c r="B77" i="15"/>
  <c r="D70" i="15"/>
  <c r="B70" i="15"/>
  <c r="E69" i="15"/>
  <c r="D69" i="15"/>
  <c r="C69" i="15"/>
  <c r="B69" i="15"/>
  <c r="B64" i="15"/>
  <c r="B61" i="15"/>
  <c r="B60" i="15"/>
  <c r="B59" i="15"/>
  <c r="B52" i="15"/>
  <c r="B45" i="15"/>
  <c r="B44" i="15"/>
  <c r="B43" i="15"/>
  <c r="B25" i="15"/>
  <c r="B24" i="15"/>
  <c r="B17" i="15"/>
  <c r="B10" i="15"/>
  <c r="B9" i="15"/>
  <c r="B8" i="15"/>
  <c r="B7" i="15"/>
  <c r="I188" i="15" l="1"/>
  <c r="I154" i="15"/>
  <c r="G189" i="15"/>
  <c r="I120" i="15"/>
  <c r="F102" i="8"/>
  <c r="F97" i="8"/>
  <c r="F96" i="8"/>
  <c r="F95" i="8"/>
  <c r="F178" i="8" s="1"/>
  <c r="F94" i="8"/>
  <c r="F139" i="8" s="1"/>
  <c r="F93" i="8"/>
  <c r="F138" i="8" s="1"/>
  <c r="F92" i="8"/>
  <c r="F175" i="8" s="1"/>
  <c r="F90" i="8"/>
  <c r="F135" i="8" s="1"/>
  <c r="F83" i="8"/>
  <c r="F166" i="8" s="1"/>
  <c r="G82" i="8"/>
  <c r="G165" i="8" s="1"/>
  <c r="F82" i="8"/>
  <c r="F165" i="8" s="1"/>
  <c r="E82" i="8"/>
  <c r="E165" i="8" s="1"/>
  <c r="D102" i="8"/>
  <c r="D97" i="8"/>
  <c r="D96" i="8"/>
  <c r="D95" i="8"/>
  <c r="D178" i="8" s="1"/>
  <c r="D94" i="8"/>
  <c r="D139" i="8" s="1"/>
  <c r="D93" i="8"/>
  <c r="D138" i="8" s="1"/>
  <c r="D92" i="8"/>
  <c r="D137" i="8" s="1"/>
  <c r="D90" i="8"/>
  <c r="D135" i="8" s="1"/>
  <c r="D83" i="8"/>
  <c r="D128" i="8" s="1"/>
  <c r="D82" i="8"/>
  <c r="D165" i="8" s="1"/>
  <c r="F80" i="8"/>
  <c r="G79" i="8"/>
  <c r="F78" i="8"/>
  <c r="F77" i="8"/>
  <c r="F76" i="8"/>
  <c r="F75" i="8"/>
  <c r="F67" i="8"/>
  <c r="G66" i="8"/>
  <c r="F66" i="8"/>
  <c r="E66" i="8"/>
  <c r="D81" i="8"/>
  <c r="D80" i="8"/>
  <c r="D78" i="8"/>
  <c r="D77" i="8"/>
  <c r="D76" i="8"/>
  <c r="D75" i="8"/>
  <c r="D67" i="8"/>
  <c r="D66" i="8"/>
  <c r="G52" i="8"/>
  <c r="G114" i="8" s="1"/>
  <c r="F52" i="8"/>
  <c r="F152" i="8" s="1"/>
  <c r="E52" i="8"/>
  <c r="E152" i="8" s="1"/>
  <c r="F65" i="8"/>
  <c r="F64" i="8"/>
  <c r="F126" i="8" s="1"/>
  <c r="F63" i="8"/>
  <c r="F163" i="8" s="1"/>
  <c r="F62" i="8"/>
  <c r="F162" i="8" s="1"/>
  <c r="F61" i="8"/>
  <c r="F123" i="8" s="1"/>
  <c r="F60" i="8"/>
  <c r="F160" i="8" s="1"/>
  <c r="F53" i="8"/>
  <c r="F115" i="8" s="1"/>
  <c r="D64" i="8"/>
  <c r="D126" i="8" s="1"/>
  <c r="D63" i="8"/>
  <c r="D125" i="8" s="1"/>
  <c r="D62" i="8"/>
  <c r="D162" i="8" s="1"/>
  <c r="D61" i="8"/>
  <c r="D161" i="8" s="1"/>
  <c r="D60" i="8"/>
  <c r="D53" i="8"/>
  <c r="D115" i="8" s="1"/>
  <c r="D52" i="8"/>
  <c r="D114" i="8" s="1"/>
  <c r="D65" i="8"/>
  <c r="D160" i="8"/>
  <c r="L148" i="8"/>
  <c r="L149" i="8"/>
  <c r="L147" i="8"/>
  <c r="L146" i="8"/>
  <c r="L110" i="8"/>
  <c r="L111" i="8"/>
  <c r="L109" i="8"/>
  <c r="L108" i="8"/>
  <c r="L47" i="8"/>
  <c r="L48" i="8"/>
  <c r="L46" i="8"/>
  <c r="L45" i="8"/>
  <c r="E65" i="8"/>
  <c r="F124" i="8"/>
  <c r="F137" i="8" l="1"/>
  <c r="I189" i="15"/>
  <c r="F173" i="8"/>
  <c r="D140" i="8"/>
  <c r="F125" i="8"/>
  <c r="D176" i="8"/>
  <c r="E127" i="8"/>
  <c r="D173" i="8"/>
  <c r="E114" i="8"/>
  <c r="D175" i="8"/>
  <c r="F140" i="8"/>
  <c r="F177" i="8"/>
  <c r="F176" i="8"/>
  <c r="F128" i="8"/>
  <c r="G127" i="8"/>
  <c r="F127" i="8"/>
  <c r="D177" i="8"/>
  <c r="D166" i="8"/>
  <c r="D127" i="8"/>
  <c r="G152" i="8"/>
  <c r="F114" i="8"/>
  <c r="F164" i="8"/>
  <c r="F161" i="8"/>
  <c r="F122" i="8"/>
  <c r="D164" i="8"/>
  <c r="D163" i="8"/>
  <c r="D124" i="8"/>
  <c r="D123" i="8"/>
  <c r="D122" i="8"/>
  <c r="F153" i="8"/>
  <c r="D153" i="8"/>
  <c r="D152" i="8"/>
  <c r="F81" i="8"/>
  <c r="F79" i="8"/>
  <c r="E79" i="8"/>
  <c r="D79" i="8"/>
  <c r="G65" i="8"/>
  <c r="D6" i="8"/>
  <c r="D7" i="8"/>
  <c r="D8" i="8"/>
  <c r="D9" i="8"/>
  <c r="D10" i="8"/>
  <c r="D11" i="8"/>
  <c r="D18" i="8"/>
  <c r="D25" i="8"/>
  <c r="D145" i="8" s="1"/>
  <c r="D26" i="8"/>
  <c r="D27" i="8"/>
  <c r="D28" i="8"/>
  <c r="D29" i="8"/>
  <c r="D30" i="8"/>
  <c r="D37" i="8"/>
  <c r="D44" i="8"/>
  <c r="D107" i="8" s="1"/>
  <c r="D45" i="8"/>
  <c r="D108" i="8" s="1"/>
  <c r="D46" i="8"/>
  <c r="D49" i="8"/>
  <c r="D183" i="8"/>
  <c r="H183" i="8" l="1"/>
  <c r="I183" i="8" s="1"/>
  <c r="N183" i="8" l="1"/>
  <c r="P183" i="8" l="1"/>
  <c r="K183" i="8"/>
  <c r="H27" i="8"/>
  <c r="R183" i="8" l="1"/>
  <c r="M183" i="8"/>
  <c r="H49" i="8"/>
  <c r="I49" i="8" s="1"/>
  <c r="H28" i="8"/>
  <c r="H29" i="8" s="1"/>
  <c r="S183" i="8" l="1"/>
  <c r="D147" i="8"/>
  <c r="D146" i="8"/>
  <c r="D109" i="8"/>
  <c r="I150" i="8"/>
  <c r="I112" i="8"/>
  <c r="I45" i="8"/>
  <c r="I46" i="8"/>
  <c r="R111" i="8"/>
  <c r="I109" i="8"/>
  <c r="K109" i="8" s="1"/>
  <c r="M109" i="8" s="1"/>
  <c r="N108" i="8"/>
  <c r="P108" i="8" s="1"/>
  <c r="R108" i="8" s="1"/>
  <c r="K108" i="8"/>
  <c r="M108" i="8" s="1"/>
  <c r="I147" i="8"/>
  <c r="K147" i="8" s="1"/>
  <c r="M147" i="8" s="1"/>
  <c r="R149" i="8"/>
  <c r="N146" i="8"/>
  <c r="P146" i="8" s="1"/>
  <c r="R146" i="8" s="1"/>
  <c r="S108" i="8" l="1"/>
  <c r="N109" i="8"/>
  <c r="P109" i="8" s="1"/>
  <c r="R109" i="8" s="1"/>
  <c r="S109" i="8" s="1"/>
  <c r="N147" i="8"/>
  <c r="P147" i="8" s="1"/>
  <c r="R147" i="8" s="1"/>
  <c r="S147" i="8" s="1"/>
  <c r="K146" i="8"/>
  <c r="M146" i="8" s="1"/>
  <c r="S146" i="8" s="1"/>
  <c r="H110" i="8" l="1"/>
  <c r="I110" i="8" s="1"/>
  <c r="K110" i="8" s="1"/>
  <c r="M110" i="8" s="1"/>
  <c r="H148" i="8"/>
  <c r="K46" i="8"/>
  <c r="M46" i="8" s="1"/>
  <c r="N46" i="8"/>
  <c r="K45" i="8"/>
  <c r="N110" i="8" l="1"/>
  <c r="H111" i="8" s="1"/>
  <c r="I111" i="8" s="1"/>
  <c r="K111" i="8" s="1"/>
  <c r="M111" i="8" s="1"/>
  <c r="S111" i="8" s="1"/>
  <c r="I148" i="8"/>
  <c r="K148" i="8" s="1"/>
  <c r="M148" i="8" s="1"/>
  <c r="M45" i="8"/>
  <c r="H47" i="8"/>
  <c r="I47" i="8" s="1"/>
  <c r="P46" i="8"/>
  <c r="R46" i="8" s="1"/>
  <c r="S46" i="8" s="1"/>
  <c r="N45" i="8"/>
  <c r="P45" i="8" s="1"/>
  <c r="R87" i="10"/>
  <c r="H82" i="10"/>
  <c r="K33" i="10"/>
  <c r="Y33" i="10" s="1"/>
  <c r="K25" i="10"/>
  <c r="Y25" i="10" s="1"/>
  <c r="Y41" i="10"/>
  <c r="Y42" i="10"/>
  <c r="Y34" i="10"/>
  <c r="Y35" i="10"/>
  <c r="Y36" i="10"/>
  <c r="Y37" i="10"/>
  <c r="Y38" i="10"/>
  <c r="Y39" i="10"/>
  <c r="Y40" i="10"/>
  <c r="Y30" i="10"/>
  <c r="Y29" i="10"/>
  <c r="Y28" i="10"/>
  <c r="Y27" i="10"/>
  <c r="Y26" i="10"/>
  <c r="E43" i="10"/>
  <c r="P110" i="8" l="1"/>
  <c r="R110" i="8" s="1"/>
  <c r="S110" i="8" s="1"/>
  <c r="N148" i="8"/>
  <c r="R45" i="8"/>
  <c r="N111" i="8"/>
  <c r="K47" i="8"/>
  <c r="Y43" i="10"/>
  <c r="P148" i="8" l="1"/>
  <c r="R148" i="8" s="1"/>
  <c r="S148" i="8" s="1"/>
  <c r="H149" i="8"/>
  <c r="M47" i="8"/>
  <c r="S45" i="8"/>
  <c r="N47" i="8"/>
  <c r="I141" i="8"/>
  <c r="I142" i="8" s="1"/>
  <c r="O150" i="8"/>
  <c r="N145" i="8"/>
  <c r="K145" i="8"/>
  <c r="O112" i="8"/>
  <c r="K107" i="8"/>
  <c r="N107" i="8"/>
  <c r="I179" i="8"/>
  <c r="I180" i="8" s="1"/>
  <c r="B107" i="8"/>
  <c r="M145" i="8" l="1"/>
  <c r="P107" i="8"/>
  <c r="N112" i="8"/>
  <c r="M107" i="8"/>
  <c r="I149" i="8"/>
  <c r="K149" i="8" s="1"/>
  <c r="M149" i="8" s="1"/>
  <c r="S149" i="8" s="1"/>
  <c r="P145" i="8"/>
  <c r="N150" i="8"/>
  <c r="H48" i="8"/>
  <c r="I48" i="8" s="1"/>
  <c r="K48" i="8" s="1"/>
  <c r="P47" i="8"/>
  <c r="R107" i="8" l="1"/>
  <c r="N149" i="8"/>
  <c r="R145" i="8"/>
  <c r="R47" i="8"/>
  <c r="M48" i="8"/>
  <c r="N48" i="8"/>
  <c r="P48" i="8" s="1"/>
  <c r="R48" i="8" s="1"/>
  <c r="M150" i="8"/>
  <c r="K112" i="8"/>
  <c r="F97" i="10"/>
  <c r="M114" i="10"/>
  <c r="N114" i="10" s="1"/>
  <c r="E100" i="10"/>
  <c r="E98" i="10"/>
  <c r="E99" i="10"/>
  <c r="F99" i="10" s="1"/>
  <c r="K150" i="8" l="1"/>
  <c r="S145" i="8"/>
  <c r="S107" i="8"/>
  <c r="S48" i="8"/>
  <c r="S47" i="8"/>
  <c r="M112" i="8"/>
  <c r="P150" i="8"/>
  <c r="E102" i="10"/>
  <c r="F102" i="10" s="1"/>
  <c r="G102" i="10" s="1"/>
  <c r="R150" i="8" l="1"/>
  <c r="P112" i="8"/>
  <c r="C140" i="8"/>
  <c r="C178" i="8" s="1"/>
  <c r="C126" i="8"/>
  <c r="C164" i="8" s="1"/>
  <c r="S150" i="8" l="1"/>
  <c r="R112" i="8"/>
  <c r="H44" i="8"/>
  <c r="K25" i="8"/>
  <c r="M25" i="8" s="1"/>
  <c r="H25" i="8"/>
  <c r="K7" i="8"/>
  <c r="M7" i="8" s="1"/>
  <c r="H7" i="8"/>
  <c r="N7" i="8" s="1"/>
  <c r="P7" i="8" s="1"/>
  <c r="R7" i="8" s="1"/>
  <c r="S112" i="8" l="1"/>
  <c r="N25" i="8"/>
  <c r="P25" i="8" s="1"/>
  <c r="R25" i="8" s="1"/>
  <c r="S25" i="8" s="1"/>
  <c r="S7" i="8"/>
  <c r="K163" i="8"/>
  <c r="K164" i="8"/>
  <c r="K139" i="8"/>
  <c r="K140" i="8"/>
  <c r="K125" i="8"/>
  <c r="K126" i="8"/>
  <c r="I103" i="8"/>
  <c r="I115" i="8" l="1"/>
  <c r="N115" i="8" s="1"/>
  <c r="I153" i="8"/>
  <c r="N153" i="8" s="1"/>
  <c r="R178" i="8"/>
  <c r="M178" i="8"/>
  <c r="K178" i="8"/>
  <c r="N177" i="8"/>
  <c r="R177" i="8" s="1"/>
  <c r="M177" i="8"/>
  <c r="K177" i="8"/>
  <c r="I175" i="8"/>
  <c r="K175" i="8" s="1"/>
  <c r="I166" i="8"/>
  <c r="N166" i="8" s="1"/>
  <c r="N165" i="8"/>
  <c r="L165" i="8"/>
  <c r="M165" i="8" s="1"/>
  <c r="K165" i="8"/>
  <c r="N164" i="8"/>
  <c r="R164" i="8" s="1"/>
  <c r="M164" i="8"/>
  <c r="N163" i="8"/>
  <c r="P163" i="8" s="1"/>
  <c r="M163" i="8"/>
  <c r="I162" i="8"/>
  <c r="I161" i="8"/>
  <c r="N152" i="8"/>
  <c r="R152" i="8" s="1"/>
  <c r="L152" i="8"/>
  <c r="M152" i="8" s="1"/>
  <c r="K152" i="8"/>
  <c r="R140" i="8"/>
  <c r="M140" i="8"/>
  <c r="N139" i="8"/>
  <c r="R139" i="8" s="1"/>
  <c r="M139" i="8"/>
  <c r="I137" i="8"/>
  <c r="I128" i="8"/>
  <c r="N128" i="8" s="1"/>
  <c r="N127" i="8"/>
  <c r="L127" i="8"/>
  <c r="M127" i="8" s="1"/>
  <c r="K127" i="8"/>
  <c r="N126" i="8"/>
  <c r="P126" i="8" s="1"/>
  <c r="M126" i="8"/>
  <c r="N125" i="8"/>
  <c r="R125" i="8" s="1"/>
  <c r="M125" i="8"/>
  <c r="I124" i="8"/>
  <c r="I123" i="8"/>
  <c r="N114" i="8"/>
  <c r="R114" i="8" s="1"/>
  <c r="L114" i="8"/>
  <c r="M114" i="8" s="1"/>
  <c r="K114" i="8"/>
  <c r="N179" i="8" l="1"/>
  <c r="N180" i="8" s="1"/>
  <c r="N123" i="8"/>
  <c r="R123" i="8" s="1"/>
  <c r="K123" i="8"/>
  <c r="R127" i="8"/>
  <c r="S127" i="8" s="1"/>
  <c r="N141" i="8"/>
  <c r="N142" i="8" s="1"/>
  <c r="N124" i="8"/>
  <c r="P124" i="8" s="1"/>
  <c r="K124" i="8"/>
  <c r="N137" i="8"/>
  <c r="P137" i="8" s="1"/>
  <c r="K137" i="8"/>
  <c r="M161" i="8"/>
  <c r="K161" i="8"/>
  <c r="P165" i="8"/>
  <c r="M162" i="8"/>
  <c r="K162" i="8"/>
  <c r="N162" i="8"/>
  <c r="P162" i="8" s="1"/>
  <c r="S125" i="8"/>
  <c r="R163" i="8"/>
  <c r="S163" i="8" s="1"/>
  <c r="S139" i="8"/>
  <c r="S152" i="8"/>
  <c r="S164" i="8"/>
  <c r="S177" i="8"/>
  <c r="P152" i="8"/>
  <c r="S178" i="8"/>
  <c r="P166" i="8"/>
  <c r="R166" i="8"/>
  <c r="H167" i="8"/>
  <c r="K166" i="8"/>
  <c r="M175" i="8"/>
  <c r="P177" i="8"/>
  <c r="R165" i="8"/>
  <c r="S165" i="8" s="1"/>
  <c r="M166" i="8"/>
  <c r="N175" i="8"/>
  <c r="R153" i="8"/>
  <c r="H154" i="8"/>
  <c r="I154" i="8" s="1"/>
  <c r="P153" i="8"/>
  <c r="K153" i="8"/>
  <c r="N161" i="8"/>
  <c r="M153" i="8"/>
  <c r="P164" i="8"/>
  <c r="S114" i="8"/>
  <c r="S140" i="8"/>
  <c r="P127" i="8"/>
  <c r="R128" i="8"/>
  <c r="P128" i="8"/>
  <c r="H129" i="8"/>
  <c r="P139" i="8"/>
  <c r="K128" i="8"/>
  <c r="M137" i="8"/>
  <c r="M128" i="8"/>
  <c r="R126" i="8"/>
  <c r="S126" i="8" s="1"/>
  <c r="M123" i="8"/>
  <c r="P114" i="8"/>
  <c r="R115" i="8"/>
  <c r="P115" i="8"/>
  <c r="H116" i="8"/>
  <c r="I116" i="8" s="1"/>
  <c r="K116" i="8" s="1"/>
  <c r="M124" i="8"/>
  <c r="P125" i="8"/>
  <c r="M115" i="8"/>
  <c r="K115" i="8"/>
  <c r="H138" i="8" l="1"/>
  <c r="I138" i="8" s="1"/>
  <c r="P123" i="8"/>
  <c r="S123" i="8"/>
  <c r="R137" i="8"/>
  <c r="S137" i="8" s="1"/>
  <c r="R124" i="8"/>
  <c r="S124" i="8" s="1"/>
  <c r="R162" i="8"/>
  <c r="S162" i="8" s="1"/>
  <c r="S115" i="8"/>
  <c r="S153" i="8"/>
  <c r="S166" i="8"/>
  <c r="P175" i="8"/>
  <c r="H176" i="8"/>
  <c r="R175" i="8"/>
  <c r="S175" i="8" s="1"/>
  <c r="I167" i="8"/>
  <c r="R161" i="8"/>
  <c r="S161" i="8" s="1"/>
  <c r="P161" i="8"/>
  <c r="N154" i="8"/>
  <c r="I129" i="8"/>
  <c r="K129" i="8" s="1"/>
  <c r="S128" i="8"/>
  <c r="I67" i="8"/>
  <c r="N138" i="8" l="1"/>
  <c r="R138" i="8" s="1"/>
  <c r="K138" i="8"/>
  <c r="M167" i="8"/>
  <c r="K167" i="8"/>
  <c r="I176" i="8"/>
  <c r="N167" i="8"/>
  <c r="R154" i="8"/>
  <c r="P154" i="8"/>
  <c r="H155" i="8"/>
  <c r="I155" i="8" s="1"/>
  <c r="M154" i="8"/>
  <c r="K154" i="8"/>
  <c r="M138" i="8"/>
  <c r="M129" i="8"/>
  <c r="N129" i="8"/>
  <c r="M116" i="8"/>
  <c r="N116" i="8"/>
  <c r="P138" i="8" l="1"/>
  <c r="S154" i="8"/>
  <c r="S138" i="8"/>
  <c r="H168" i="8"/>
  <c r="P167" i="8"/>
  <c r="R167" i="8"/>
  <c r="S167" i="8" s="1"/>
  <c r="K176" i="8"/>
  <c r="M176" i="8"/>
  <c r="N176" i="8"/>
  <c r="H130" i="8"/>
  <c r="R129" i="8"/>
  <c r="S129" i="8" s="1"/>
  <c r="P129" i="8"/>
  <c r="P116" i="8"/>
  <c r="H117" i="8"/>
  <c r="I117" i="8" s="1"/>
  <c r="K117" i="8" s="1"/>
  <c r="R116" i="8"/>
  <c r="S116" i="8" l="1"/>
  <c r="I168" i="8"/>
  <c r="P176" i="8"/>
  <c r="R176" i="8"/>
  <c r="M155" i="8"/>
  <c r="K155" i="8"/>
  <c r="N155" i="8"/>
  <c r="I130" i="8"/>
  <c r="N117" i="8"/>
  <c r="N130" i="8" l="1"/>
  <c r="R130" i="8" s="1"/>
  <c r="K130" i="8"/>
  <c r="S176" i="8"/>
  <c r="M168" i="8"/>
  <c r="K168" i="8"/>
  <c r="N168" i="8"/>
  <c r="R155" i="8"/>
  <c r="S155" i="8" s="1"/>
  <c r="P155" i="8"/>
  <c r="H156" i="8"/>
  <c r="I156" i="8" s="1"/>
  <c r="K156" i="8" s="1"/>
  <c r="M130" i="8"/>
  <c r="M117" i="8"/>
  <c r="R117" i="8"/>
  <c r="P117" i="8"/>
  <c r="H118" i="8"/>
  <c r="I118" i="8" s="1"/>
  <c r="K118" i="8" s="1"/>
  <c r="I53" i="8"/>
  <c r="K53" i="8" s="1"/>
  <c r="I61" i="8"/>
  <c r="M61" i="8" s="1"/>
  <c r="I62" i="8"/>
  <c r="N62" i="8" s="1"/>
  <c r="P62" i="8" s="1"/>
  <c r="K63" i="8"/>
  <c r="M63" i="8"/>
  <c r="N63" i="8"/>
  <c r="R63" i="8" s="1"/>
  <c r="K64" i="8"/>
  <c r="M64" i="8"/>
  <c r="N64" i="8"/>
  <c r="K65" i="8"/>
  <c r="L65" i="8"/>
  <c r="M65" i="8" s="1"/>
  <c r="N65" i="8"/>
  <c r="P65" i="8" s="1"/>
  <c r="Q65" i="8"/>
  <c r="K66" i="8"/>
  <c r="L66" i="8"/>
  <c r="M66" i="8" s="1"/>
  <c r="N66" i="8"/>
  <c r="R66" i="8" s="1"/>
  <c r="M67" i="8"/>
  <c r="K67" i="8"/>
  <c r="I83" i="8"/>
  <c r="H131" i="8" l="1"/>
  <c r="I131" i="8" s="1"/>
  <c r="P130" i="8"/>
  <c r="M62" i="8"/>
  <c r="S63" i="8"/>
  <c r="R168" i="8"/>
  <c r="S168" i="8" s="1"/>
  <c r="H169" i="8"/>
  <c r="P168" i="8"/>
  <c r="S130" i="8"/>
  <c r="S117" i="8"/>
  <c r="P64" i="8"/>
  <c r="R64" i="8"/>
  <c r="S64" i="8" s="1"/>
  <c r="P63" i="8"/>
  <c r="N67" i="8"/>
  <c r="P67" i="8" s="1"/>
  <c r="S66" i="8"/>
  <c r="P66" i="8"/>
  <c r="R65" i="8"/>
  <c r="M53" i="8"/>
  <c r="N53" i="8"/>
  <c r="P53" i="8" s="1"/>
  <c r="R62" i="8"/>
  <c r="N61" i="8"/>
  <c r="I29" i="8"/>
  <c r="H37" i="8" s="1"/>
  <c r="I37" i="8" s="1"/>
  <c r="N37" i="8" s="1"/>
  <c r="I28" i="8"/>
  <c r="H30" i="8" s="1"/>
  <c r="I30" i="8" s="1"/>
  <c r="R95" i="8"/>
  <c r="M95" i="8"/>
  <c r="K95" i="8"/>
  <c r="H26" i="8"/>
  <c r="N26" i="8" s="1"/>
  <c r="P26" i="8" s="1"/>
  <c r="R26" i="8" s="1"/>
  <c r="K26" i="8"/>
  <c r="M26" i="8" s="1"/>
  <c r="S65" i="8" l="1"/>
  <c r="N131" i="8"/>
  <c r="K131" i="8"/>
  <c r="S62" i="8"/>
  <c r="I169" i="8"/>
  <c r="M156" i="8"/>
  <c r="N156" i="8"/>
  <c r="M131" i="8"/>
  <c r="M118" i="8"/>
  <c r="N118" i="8"/>
  <c r="R53" i="8"/>
  <c r="S53" i="8" s="1"/>
  <c r="R67" i="8"/>
  <c r="S67" i="8" s="1"/>
  <c r="H54" i="8"/>
  <c r="I54" i="8" s="1"/>
  <c r="N54" i="8" s="1"/>
  <c r="P61" i="8"/>
  <c r="R61" i="8"/>
  <c r="S61" i="8" s="1"/>
  <c r="S95" i="8"/>
  <c r="S26" i="8"/>
  <c r="I92" i="8"/>
  <c r="N92" i="8" s="1"/>
  <c r="R131" i="8" l="1"/>
  <c r="S131" i="8" s="1"/>
  <c r="H93" i="8"/>
  <c r="I93" i="8" s="1"/>
  <c r="N93" i="8" s="1"/>
  <c r="H132" i="8"/>
  <c r="I132" i="8" s="1"/>
  <c r="K132" i="8" s="1"/>
  <c r="P131" i="8"/>
  <c r="M169" i="8"/>
  <c r="K169" i="8"/>
  <c r="N169" i="8"/>
  <c r="R156" i="8"/>
  <c r="P156" i="8"/>
  <c r="H157" i="8"/>
  <c r="I157" i="8" s="1"/>
  <c r="K157" i="8" s="1"/>
  <c r="P118" i="8"/>
  <c r="H119" i="8"/>
  <c r="I119" i="8" s="1"/>
  <c r="K119" i="8" s="1"/>
  <c r="R118" i="8"/>
  <c r="S118" i="8" s="1"/>
  <c r="R54" i="8"/>
  <c r="P54" i="8"/>
  <c r="H55" i="8"/>
  <c r="M54" i="8"/>
  <c r="K54" i="8"/>
  <c r="R92" i="8"/>
  <c r="P92" i="8"/>
  <c r="K92" i="8"/>
  <c r="M92" i="8"/>
  <c r="I77" i="8"/>
  <c r="S156" i="8" l="1"/>
  <c r="R169" i="8"/>
  <c r="S169" i="8" s="1"/>
  <c r="H170" i="8"/>
  <c r="P169" i="8"/>
  <c r="N157" i="8"/>
  <c r="M132" i="8"/>
  <c r="N132" i="8"/>
  <c r="S54" i="8"/>
  <c r="I55" i="8"/>
  <c r="N55" i="8" s="1"/>
  <c r="S92" i="8"/>
  <c r="I170" i="8" l="1"/>
  <c r="R157" i="8"/>
  <c r="H158" i="8"/>
  <c r="I158" i="8" s="1"/>
  <c r="K158" i="8" s="1"/>
  <c r="P157" i="8"/>
  <c r="M157" i="8"/>
  <c r="R132" i="8"/>
  <c r="S132" i="8" s="1"/>
  <c r="H133" i="8"/>
  <c r="P132" i="8"/>
  <c r="M119" i="8"/>
  <c r="N119" i="8"/>
  <c r="R55" i="8"/>
  <c r="H56" i="8"/>
  <c r="P55" i="8"/>
  <c r="M55" i="8"/>
  <c r="K55" i="8"/>
  <c r="M170" i="8" l="1"/>
  <c r="K170" i="8"/>
  <c r="N170" i="8"/>
  <c r="N158" i="8"/>
  <c r="S157" i="8"/>
  <c r="I133" i="8"/>
  <c r="R119" i="8"/>
  <c r="S119" i="8" s="1"/>
  <c r="P119" i="8"/>
  <c r="H120" i="8"/>
  <c r="I120" i="8" s="1"/>
  <c r="K120" i="8" s="1"/>
  <c r="S55" i="8"/>
  <c r="I56" i="8"/>
  <c r="N56" i="8" s="1"/>
  <c r="N133" i="8" l="1"/>
  <c r="R133" i="8" s="1"/>
  <c r="K133" i="8"/>
  <c r="P170" i="8"/>
  <c r="R170" i="8"/>
  <c r="S170" i="8" s="1"/>
  <c r="H171" i="8"/>
  <c r="R158" i="8"/>
  <c r="P158" i="8"/>
  <c r="H159" i="8"/>
  <c r="I159" i="8" s="1"/>
  <c r="K159" i="8" s="1"/>
  <c r="M158" i="8"/>
  <c r="M133" i="8"/>
  <c r="N120" i="8"/>
  <c r="P56" i="8"/>
  <c r="H57" i="8"/>
  <c r="R56" i="8"/>
  <c r="M56" i="8"/>
  <c r="K56" i="8"/>
  <c r="R93" i="8"/>
  <c r="P93" i="8"/>
  <c r="M93" i="8"/>
  <c r="K93" i="8"/>
  <c r="N94" i="8"/>
  <c r="R94" i="8" s="1"/>
  <c r="M94" i="8"/>
  <c r="K94" i="8"/>
  <c r="N83" i="8"/>
  <c r="H84" i="8" s="1"/>
  <c r="I84" i="8" s="1"/>
  <c r="N81" i="8"/>
  <c r="R81" i="8" s="1"/>
  <c r="M81" i="8"/>
  <c r="K81" i="8"/>
  <c r="N80" i="8"/>
  <c r="K80" i="8"/>
  <c r="R78" i="8"/>
  <c r="N77" i="8"/>
  <c r="H134" i="8" l="1"/>
  <c r="I134" i="8" s="1"/>
  <c r="K134" i="8" s="1"/>
  <c r="P133" i="8"/>
  <c r="I171" i="8"/>
  <c r="N159" i="8"/>
  <c r="S158" i="8"/>
  <c r="S133" i="8"/>
  <c r="P120" i="8"/>
  <c r="H121" i="8"/>
  <c r="I121" i="8" s="1"/>
  <c r="K121" i="8" s="1"/>
  <c r="R120" i="8"/>
  <c r="M120" i="8"/>
  <c r="S56" i="8"/>
  <c r="I57" i="8"/>
  <c r="S93" i="8"/>
  <c r="K28" i="8"/>
  <c r="P94" i="8"/>
  <c r="S94" i="8"/>
  <c r="N28" i="8"/>
  <c r="P81" i="8"/>
  <c r="M171" i="8" l="1"/>
  <c r="K171" i="8"/>
  <c r="N171" i="8"/>
  <c r="R159" i="8"/>
  <c r="H160" i="8"/>
  <c r="P159" i="8"/>
  <c r="M159" i="8"/>
  <c r="M134" i="8"/>
  <c r="N134" i="8"/>
  <c r="S120" i="8"/>
  <c r="M57" i="8"/>
  <c r="K57" i="8"/>
  <c r="N57" i="8"/>
  <c r="K84" i="8"/>
  <c r="M84" i="8"/>
  <c r="N84" i="8"/>
  <c r="H85" i="8" s="1"/>
  <c r="I85" i="8" s="1"/>
  <c r="K37" i="8"/>
  <c r="M37" i="8" s="1"/>
  <c r="P28" i="8"/>
  <c r="R171" i="8" l="1"/>
  <c r="S171" i="8" s="1"/>
  <c r="P171" i="8"/>
  <c r="H172" i="8"/>
  <c r="I160" i="8"/>
  <c r="S159" i="8"/>
  <c r="H135" i="8"/>
  <c r="R134" i="8"/>
  <c r="S134" i="8" s="1"/>
  <c r="P134" i="8"/>
  <c r="M121" i="8"/>
  <c r="N121" i="8"/>
  <c r="H58" i="8"/>
  <c r="R57" i="8"/>
  <c r="S57" i="8" s="1"/>
  <c r="P57" i="8"/>
  <c r="N85" i="8"/>
  <c r="P84" i="8"/>
  <c r="R84" i="8"/>
  <c r="S84" i="8" s="1"/>
  <c r="K30" i="8"/>
  <c r="M30" i="8" s="1"/>
  <c r="N160" i="8" l="1"/>
  <c r="R160" i="8" s="1"/>
  <c r="K160" i="8"/>
  <c r="H38" i="8"/>
  <c r="I38" i="8" s="1"/>
  <c r="N38" i="8" s="1"/>
  <c r="I172" i="8"/>
  <c r="M160" i="8"/>
  <c r="I135" i="8"/>
  <c r="K135" i="8" s="1"/>
  <c r="R121" i="8"/>
  <c r="S121" i="8" s="1"/>
  <c r="P121" i="8"/>
  <c r="H122" i="8"/>
  <c r="I122" i="8" s="1"/>
  <c r="K122" i="8" s="1"/>
  <c r="I58" i="8"/>
  <c r="R85" i="8"/>
  <c r="P85" i="8"/>
  <c r="H86" i="8"/>
  <c r="I86" i="8" s="1"/>
  <c r="K85" i="8"/>
  <c r="M85" i="8"/>
  <c r="P37" i="8"/>
  <c r="R37" i="8" s="1"/>
  <c r="S37" i="8" s="1"/>
  <c r="N30" i="8"/>
  <c r="H31" i="8" s="1"/>
  <c r="I31" i="8" s="1"/>
  <c r="K38" i="8" l="1"/>
  <c r="M38" i="8" s="1"/>
  <c r="P160" i="8"/>
  <c r="H39" i="8"/>
  <c r="S160" i="8"/>
  <c r="M172" i="8"/>
  <c r="K172" i="8"/>
  <c r="N172" i="8"/>
  <c r="M135" i="8"/>
  <c r="N135" i="8"/>
  <c r="M58" i="8"/>
  <c r="K58" i="8"/>
  <c r="N58" i="8"/>
  <c r="N86" i="8"/>
  <c r="H87" i="8" s="1"/>
  <c r="I87" i="8" s="1"/>
  <c r="S85" i="8"/>
  <c r="P30" i="8"/>
  <c r="R30" i="8" s="1"/>
  <c r="S30" i="8" s="1"/>
  <c r="N31" i="8"/>
  <c r="R38" i="8"/>
  <c r="I39" i="8" l="1"/>
  <c r="N39" i="8" s="1"/>
  <c r="H40" i="8" s="1"/>
  <c r="S38" i="8"/>
  <c r="P172" i="8"/>
  <c r="R172" i="8"/>
  <c r="S172" i="8" s="1"/>
  <c r="H173" i="8"/>
  <c r="R135" i="8"/>
  <c r="S135" i="8" s="1"/>
  <c r="P135" i="8"/>
  <c r="H136" i="8"/>
  <c r="M122" i="8"/>
  <c r="N122" i="8"/>
  <c r="R58" i="8"/>
  <c r="S58" i="8" s="1"/>
  <c r="P58" i="8"/>
  <c r="H59" i="8"/>
  <c r="M87" i="8"/>
  <c r="K87" i="8"/>
  <c r="N87" i="8"/>
  <c r="P86" i="8"/>
  <c r="R86" i="8"/>
  <c r="K86" i="8"/>
  <c r="M86" i="8"/>
  <c r="K31" i="8"/>
  <c r="M31" i="8" s="1"/>
  <c r="I40" i="8" l="1"/>
  <c r="N40" i="8" s="1"/>
  <c r="K39" i="8"/>
  <c r="M39" i="8" s="1"/>
  <c r="I173" i="8"/>
  <c r="I136" i="8"/>
  <c r="K136" i="8" s="1"/>
  <c r="K141" i="8" s="1"/>
  <c r="K142" i="8" s="1"/>
  <c r="J142" i="8" s="1"/>
  <c r="P122" i="8"/>
  <c r="R122" i="8"/>
  <c r="S122" i="8" s="1"/>
  <c r="I59" i="8"/>
  <c r="H88" i="8"/>
  <c r="I88" i="8" s="1"/>
  <c r="R87" i="8"/>
  <c r="S87" i="8" s="1"/>
  <c r="P87" i="8"/>
  <c r="S86" i="8"/>
  <c r="R39" i="8"/>
  <c r="H32" i="8"/>
  <c r="I32" i="8" s="1"/>
  <c r="P31" i="8"/>
  <c r="R31" i="8" s="1"/>
  <c r="S31" i="8" s="1"/>
  <c r="K40" i="8" l="1"/>
  <c r="M40" i="8" s="1"/>
  <c r="S39" i="8"/>
  <c r="J141" i="8"/>
  <c r="M173" i="8"/>
  <c r="K173" i="8"/>
  <c r="N173" i="8"/>
  <c r="M136" i="8"/>
  <c r="M141" i="8" s="1"/>
  <c r="N136" i="8"/>
  <c r="M59" i="8"/>
  <c r="K59" i="8"/>
  <c r="N59" i="8"/>
  <c r="N88" i="8"/>
  <c r="R88" i="8" s="1"/>
  <c r="N32" i="8"/>
  <c r="H41" i="8"/>
  <c r="I41" i="8" s="1"/>
  <c r="L141" i="8" l="1"/>
  <c r="M142" i="8"/>
  <c r="L142" i="8" s="1"/>
  <c r="N41" i="8"/>
  <c r="H174" i="8"/>
  <c r="R173" i="8"/>
  <c r="S173" i="8" s="1"/>
  <c r="P173" i="8"/>
  <c r="R136" i="8"/>
  <c r="P136" i="8"/>
  <c r="P141" i="8" s="1"/>
  <c r="P142" i="8" s="1"/>
  <c r="P59" i="8"/>
  <c r="R59" i="8"/>
  <c r="S59" i="8" s="1"/>
  <c r="P88" i="8"/>
  <c r="H89" i="8"/>
  <c r="I89" i="8" s="1"/>
  <c r="M88" i="8"/>
  <c r="S88" i="8" s="1"/>
  <c r="K88" i="8"/>
  <c r="K32" i="8"/>
  <c r="M32" i="8" s="1"/>
  <c r="P32" i="8"/>
  <c r="R32" i="8" s="1"/>
  <c r="P40" i="8"/>
  <c r="R40" i="8" s="1"/>
  <c r="S40" i="8" s="1"/>
  <c r="O141" i="8" l="1"/>
  <c r="O142" i="8"/>
  <c r="S136" i="8"/>
  <c r="R141" i="8"/>
  <c r="R142" i="8" s="1"/>
  <c r="I174" i="8"/>
  <c r="N89" i="8"/>
  <c r="R89" i="8" s="1"/>
  <c r="S32" i="8"/>
  <c r="H33" i="8"/>
  <c r="I33" i="8" s="1"/>
  <c r="K41" i="8"/>
  <c r="M41" i="8" s="1"/>
  <c r="Q141" i="8" l="1"/>
  <c r="Q142" i="8"/>
  <c r="S141" i="8"/>
  <c r="S142" i="8" s="1"/>
  <c r="M174" i="8"/>
  <c r="M179" i="8" s="1"/>
  <c r="M180" i="8" s="1"/>
  <c r="K174" i="8"/>
  <c r="K179" i="8" s="1"/>
  <c r="K180" i="8" s="1"/>
  <c r="N174" i="8"/>
  <c r="P89" i="8"/>
  <c r="H90" i="8"/>
  <c r="I90" i="8" s="1"/>
  <c r="K89" i="8"/>
  <c r="M89" i="8"/>
  <c r="S89" i="8" s="1"/>
  <c r="H42" i="8"/>
  <c r="J180" i="8" l="1"/>
  <c r="L180" i="8"/>
  <c r="I42" i="8"/>
  <c r="N42" i="8" s="1"/>
  <c r="L179" i="8"/>
  <c r="J179" i="8"/>
  <c r="R174" i="8"/>
  <c r="R179" i="8" s="1"/>
  <c r="R180" i="8" s="1"/>
  <c r="P174" i="8"/>
  <c r="P179" i="8" s="1"/>
  <c r="P180" i="8" s="1"/>
  <c r="N33" i="8"/>
  <c r="P33" i="8" s="1"/>
  <c r="R33" i="8" s="1"/>
  <c r="K33" i="8"/>
  <c r="M33" i="8" s="1"/>
  <c r="R41" i="8"/>
  <c r="S41" i="8" s="1"/>
  <c r="O179" i="8" l="1"/>
  <c r="O180" i="8"/>
  <c r="K42" i="8"/>
  <c r="M42" i="8" s="1"/>
  <c r="Q179" i="8"/>
  <c r="S174" i="8"/>
  <c r="S179" i="8" s="1"/>
  <c r="S180" i="8" s="1"/>
  <c r="H60" i="8"/>
  <c r="K90" i="8"/>
  <c r="M90" i="8"/>
  <c r="N90" i="8"/>
  <c r="H34" i="8"/>
  <c r="I34" i="8" s="1"/>
  <c r="S33" i="8"/>
  <c r="R42" i="8"/>
  <c r="Q180" i="8" l="1"/>
  <c r="S42" i="8"/>
  <c r="I60" i="8"/>
  <c r="H91" i="8"/>
  <c r="I91" i="8" s="1"/>
  <c r="P90" i="8"/>
  <c r="R90" i="8"/>
  <c r="S90" i="8" s="1"/>
  <c r="N34" i="8"/>
  <c r="H35" i="8" s="1"/>
  <c r="I35" i="8" s="1"/>
  <c r="K34" i="8"/>
  <c r="M34" i="8" s="1"/>
  <c r="H43" i="8"/>
  <c r="I43" i="8" s="1"/>
  <c r="N43" i="8" l="1"/>
  <c r="K60" i="8"/>
  <c r="M60" i="8"/>
  <c r="N60" i="8"/>
  <c r="N91" i="8"/>
  <c r="M91" i="8"/>
  <c r="K91" i="8"/>
  <c r="K43" i="8"/>
  <c r="M43" i="8" s="1"/>
  <c r="P34" i="8"/>
  <c r="R34" i="8" s="1"/>
  <c r="S34" i="8" s="1"/>
  <c r="N35" i="8"/>
  <c r="H36" i="8" s="1"/>
  <c r="I36" i="8" s="1"/>
  <c r="K35" i="8"/>
  <c r="M35" i="8" s="1"/>
  <c r="P43" i="8" l="1"/>
  <c r="R43" i="8" s="1"/>
  <c r="S43" i="8" s="1"/>
  <c r="P60" i="8"/>
  <c r="R60" i="8"/>
  <c r="S60" i="8" s="1"/>
  <c r="R91" i="8"/>
  <c r="S91" i="8" s="1"/>
  <c r="P91" i="8"/>
  <c r="N36" i="8"/>
  <c r="P35" i="8"/>
  <c r="R35" i="8" s="1"/>
  <c r="S35" i="8" s="1"/>
  <c r="K36" i="8"/>
  <c r="M36" i="8" s="1"/>
  <c r="P36" i="8" l="1"/>
  <c r="R36" i="8" s="1"/>
  <c r="S36" i="8" s="1"/>
  <c r="L10" i="8"/>
  <c r="K8" i="8"/>
  <c r="H97" i="8"/>
  <c r="I97" i="8" s="1"/>
  <c r="H68" i="8"/>
  <c r="I68" i="8" s="1"/>
  <c r="H76" i="8"/>
  <c r="N68" i="8" l="1"/>
  <c r="H69" i="8" s="1"/>
  <c r="I69" i="8" s="1"/>
  <c r="I76" i="8"/>
  <c r="K76" i="8" s="1"/>
  <c r="N97" i="8"/>
  <c r="H98" i="8" s="1"/>
  <c r="I98" i="8" l="1"/>
  <c r="N76" i="8"/>
  <c r="R76" i="8" s="1"/>
  <c r="P68" i="8"/>
  <c r="K68" i="8"/>
  <c r="M68" i="8"/>
  <c r="R68" i="8"/>
  <c r="M98" i="8" l="1"/>
  <c r="K98" i="8"/>
  <c r="N98" i="8"/>
  <c r="S68" i="8"/>
  <c r="N69" i="8"/>
  <c r="H70" i="8" s="1"/>
  <c r="I70" i="8" s="1"/>
  <c r="H99" i="8" l="1"/>
  <c r="R98" i="8"/>
  <c r="P98" i="8"/>
  <c r="P69" i="8"/>
  <c r="R69" i="8"/>
  <c r="M69" i="8"/>
  <c r="K69" i="8"/>
  <c r="I99" i="8" l="1"/>
  <c r="S69" i="8"/>
  <c r="N70" i="8"/>
  <c r="H71" i="8" s="1"/>
  <c r="I71" i="8" s="1"/>
  <c r="M99" i="8" l="1"/>
  <c r="K99" i="8"/>
  <c r="N99" i="8"/>
  <c r="P70" i="8"/>
  <c r="R70" i="8"/>
  <c r="M70" i="8"/>
  <c r="K70" i="8"/>
  <c r="R99" i="8" l="1"/>
  <c r="P99" i="8"/>
  <c r="H100" i="8"/>
  <c r="S70" i="8"/>
  <c r="I100" i="8" l="1"/>
  <c r="M71" i="8"/>
  <c r="K71" i="8"/>
  <c r="N71" i="8"/>
  <c r="H72" i="8" s="1"/>
  <c r="I72" i="8" s="1"/>
  <c r="K100" i="8" l="1"/>
  <c r="M100" i="8"/>
  <c r="N100" i="8"/>
  <c r="P71" i="8"/>
  <c r="R71" i="8"/>
  <c r="S71" i="8" s="1"/>
  <c r="P100" i="8" l="1"/>
  <c r="H101" i="8" s="1"/>
  <c r="R100" i="8"/>
  <c r="N72" i="8"/>
  <c r="H73" i="8" s="1"/>
  <c r="I73" i="8" s="1"/>
  <c r="I101" i="8" l="1"/>
  <c r="R72" i="8"/>
  <c r="P72" i="8"/>
  <c r="K72" i="8"/>
  <c r="M72" i="8"/>
  <c r="K101" i="8" l="1"/>
  <c r="M101" i="8"/>
  <c r="N101" i="8"/>
  <c r="S72" i="8"/>
  <c r="P101" i="8" l="1"/>
  <c r="R101" i="8"/>
  <c r="M73" i="8"/>
  <c r="K73" i="8"/>
  <c r="N73" i="8"/>
  <c r="H74" i="8" s="1"/>
  <c r="I74" i="8" s="1"/>
  <c r="R73" i="8" l="1"/>
  <c r="S73" i="8" s="1"/>
  <c r="P73" i="8"/>
  <c r="M74" i="8" l="1"/>
  <c r="K74" i="8"/>
  <c r="N74" i="8"/>
  <c r="H75" i="8" s="1"/>
  <c r="P74" i="8" l="1"/>
  <c r="I75" i="8" s="1"/>
  <c r="R74" i="8"/>
  <c r="S74" i="8" s="1"/>
  <c r="N75" i="8" l="1"/>
  <c r="P75" i="8" l="1"/>
  <c r="R75" i="8"/>
  <c r="M75" i="8"/>
  <c r="K75" i="8"/>
  <c r="S75" i="8" l="1"/>
  <c r="L27" i="8" l="1"/>
  <c r="R28" i="8"/>
  <c r="R49" i="8"/>
  <c r="M8" i="8"/>
  <c r="M28" i="8"/>
  <c r="K49" i="8"/>
  <c r="M49" i="8" s="1"/>
  <c r="L52" i="8"/>
  <c r="M52" i="8" s="1"/>
  <c r="L79" i="8"/>
  <c r="M79" i="8" s="1"/>
  <c r="L82" i="8"/>
  <c r="M82" i="8" s="1"/>
  <c r="P78" i="8"/>
  <c r="S98" i="8"/>
  <c r="S99" i="8"/>
  <c r="S100" i="8"/>
  <c r="S101" i="8"/>
  <c r="L96" i="8"/>
  <c r="M96" i="8" s="1"/>
  <c r="R80" i="8"/>
  <c r="R77" i="8"/>
  <c r="R83" i="8"/>
  <c r="R97" i="8"/>
  <c r="R102" i="8"/>
  <c r="P80" i="8"/>
  <c r="P77" i="8"/>
  <c r="P76" i="8"/>
  <c r="P83" i="8"/>
  <c r="P97" i="8"/>
  <c r="P102" i="8"/>
  <c r="M80" i="8"/>
  <c r="M77" i="8"/>
  <c r="M76" i="8"/>
  <c r="M78" i="8"/>
  <c r="M83" i="8"/>
  <c r="M97" i="8"/>
  <c r="M102" i="8"/>
  <c r="K79" i="8"/>
  <c r="K77" i="8"/>
  <c r="K78" i="8"/>
  <c r="K82" i="8"/>
  <c r="K83" i="8"/>
  <c r="K96" i="8"/>
  <c r="K97" i="8"/>
  <c r="K102" i="8"/>
  <c r="N49" i="8"/>
  <c r="H10" i="8"/>
  <c r="I10" i="8" s="1"/>
  <c r="H9" i="8"/>
  <c r="I9" i="8" s="1"/>
  <c r="H11" i="8" s="1"/>
  <c r="L6" i="8"/>
  <c r="H8" i="8"/>
  <c r="N8" i="8" s="1"/>
  <c r="P8" i="8" s="1"/>
  <c r="R8" i="8" s="1"/>
  <c r="N96" i="8"/>
  <c r="N82" i="8"/>
  <c r="R82" i="8" s="1"/>
  <c r="N52" i="8"/>
  <c r="K52" i="8"/>
  <c r="I44" i="8"/>
  <c r="K6" i="8"/>
  <c r="H6" i="8"/>
  <c r="N6" i="8" s="1"/>
  <c r="K44" i="8" l="1"/>
  <c r="M44" i="8" s="1"/>
  <c r="N44" i="8"/>
  <c r="P44" i="8" s="1"/>
  <c r="R44" i="8" s="1"/>
  <c r="I50" i="8"/>
  <c r="K103" i="8"/>
  <c r="M103" i="8"/>
  <c r="M6" i="8"/>
  <c r="R96" i="8"/>
  <c r="S96" i="8" s="1"/>
  <c r="P6" i="8"/>
  <c r="H79" i="8"/>
  <c r="N79" i="8" s="1"/>
  <c r="S78" i="8"/>
  <c r="P82" i="8"/>
  <c r="S102" i="8"/>
  <c r="P96" i="8"/>
  <c r="S80" i="8"/>
  <c r="K10" i="8"/>
  <c r="S83" i="8"/>
  <c r="K27" i="8"/>
  <c r="M27" i="8" s="1"/>
  <c r="S28" i="8"/>
  <c r="S49" i="8"/>
  <c r="S8" i="8"/>
  <c r="S97" i="8"/>
  <c r="S76" i="8"/>
  <c r="S77" i="8"/>
  <c r="S81" i="8"/>
  <c r="S82" i="8"/>
  <c r="N27" i="8"/>
  <c r="N50" i="8" s="1"/>
  <c r="P52" i="8"/>
  <c r="R52" i="8"/>
  <c r="R6" i="8" l="1"/>
  <c r="S6" i="8" s="1"/>
  <c r="S44" i="8"/>
  <c r="I104" i="8"/>
  <c r="I184" i="8" s="1"/>
  <c r="P79" i="8"/>
  <c r="P103" i="8" s="1"/>
  <c r="N103" i="8"/>
  <c r="L103" i="8"/>
  <c r="J103" i="8"/>
  <c r="M10" i="8"/>
  <c r="R79" i="8"/>
  <c r="S79" i="8" s="1"/>
  <c r="N29" i="8"/>
  <c r="P29" i="8" s="1"/>
  <c r="R29" i="8" s="1"/>
  <c r="K29" i="8"/>
  <c r="M29" i="8" s="1"/>
  <c r="N9" i="8"/>
  <c r="K9" i="8"/>
  <c r="N10" i="8"/>
  <c r="P10" i="8" s="1"/>
  <c r="R10" i="8" s="1"/>
  <c r="P27" i="8"/>
  <c r="R27" i="8" s="1"/>
  <c r="S27" i="8" s="1"/>
  <c r="S52" i="8"/>
  <c r="N104" i="8" l="1"/>
  <c r="N184" i="8" s="1"/>
  <c r="I186" i="8" s="1"/>
  <c r="R103" i="8"/>
  <c r="S103" i="8"/>
  <c r="O103" i="8"/>
  <c r="S10" i="8"/>
  <c r="P9" i="8"/>
  <c r="H18" i="8"/>
  <c r="I18" i="8" s="1"/>
  <c r="K18" i="8" s="1"/>
  <c r="M18" i="8" s="1"/>
  <c r="S29" i="8"/>
  <c r="M9" i="8"/>
  <c r="R9" i="8" l="1"/>
  <c r="S9" i="8" s="1"/>
  <c r="Q103" i="8"/>
  <c r="N18" i="8"/>
  <c r="P18" i="8" s="1"/>
  <c r="I11" i="8"/>
  <c r="K11" i="8" s="1"/>
  <c r="H19" i="8" l="1"/>
  <c r="I19" i="8" s="1"/>
  <c r="K19" i="8" s="1"/>
  <c r="M11" i="8"/>
  <c r="N11" i="8"/>
  <c r="P11" i="8" s="1"/>
  <c r="R18" i="8"/>
  <c r="R11" i="8" l="1"/>
  <c r="S11" i="8" s="1"/>
  <c r="H12" i="8"/>
  <c r="I12" i="8" s="1"/>
  <c r="K12" i="8" s="1"/>
  <c r="N19" i="8"/>
  <c r="H20" i="8" s="1"/>
  <c r="S18" i="8"/>
  <c r="M19" i="8"/>
  <c r="M12" i="8" l="1"/>
  <c r="N12" i="8"/>
  <c r="P12" i="8" s="1"/>
  <c r="P19" i="8"/>
  <c r="R19" i="8" s="1"/>
  <c r="I20" i="8"/>
  <c r="K20" i="8" s="1"/>
  <c r="R12" i="8" l="1"/>
  <c r="S12" i="8" s="1"/>
  <c r="H13" i="8"/>
  <c r="I13" i="8" s="1"/>
  <c r="K13" i="8" s="1"/>
  <c r="N20" i="8"/>
  <c r="H21" i="8" s="1"/>
  <c r="M20" i="8"/>
  <c r="S19" i="8"/>
  <c r="M13" i="8" l="1"/>
  <c r="N13" i="8"/>
  <c r="H14" i="8" s="1"/>
  <c r="P20" i="8"/>
  <c r="R20" i="8" s="1"/>
  <c r="I21" i="8"/>
  <c r="K21" i="8" s="1"/>
  <c r="I14" i="8" l="1"/>
  <c r="K14" i="8" s="1"/>
  <c r="P13" i="8"/>
  <c r="N21" i="8"/>
  <c r="P21" i="8" s="1"/>
  <c r="M21" i="8"/>
  <c r="S20" i="8"/>
  <c r="R13" i="8" l="1"/>
  <c r="S13" i="8" s="1"/>
  <c r="M14" i="8"/>
  <c r="N14" i="8"/>
  <c r="P14" i="8" s="1"/>
  <c r="R14" i="8" s="1"/>
  <c r="H22" i="8"/>
  <c r="I22" i="8" s="1"/>
  <c r="R21" i="8"/>
  <c r="K22" i="8" l="1"/>
  <c r="M22" i="8" s="1"/>
  <c r="S14" i="8"/>
  <c r="H15" i="8"/>
  <c r="I15" i="8" s="1"/>
  <c r="K15" i="8" s="1"/>
  <c r="M15" i="8" s="1"/>
  <c r="N22" i="8"/>
  <c r="S21" i="8"/>
  <c r="H23" i="8" l="1"/>
  <c r="I23" i="8" s="1"/>
  <c r="K23" i="8" s="1"/>
  <c r="N15" i="8"/>
  <c r="P15" i="8" s="1"/>
  <c r="R15" i="8" s="1"/>
  <c r="S15" i="8" s="1"/>
  <c r="P22" i="8"/>
  <c r="R22" i="8" s="1"/>
  <c r="H16" i="8" l="1"/>
  <c r="I16" i="8" s="1"/>
  <c r="K16" i="8" s="1"/>
  <c r="M16" i="8" s="1"/>
  <c r="N23" i="8"/>
  <c r="P23" i="8" s="1"/>
  <c r="R23" i="8" s="1"/>
  <c r="S22" i="8"/>
  <c r="M23" i="8"/>
  <c r="N16" i="8" l="1"/>
  <c r="H24" i="8"/>
  <c r="S23" i="8"/>
  <c r="H17" i="8" l="1"/>
  <c r="P16" i="8"/>
  <c r="R16" i="8" s="1"/>
  <c r="S16" i="8" s="1"/>
  <c r="I24" i="8"/>
  <c r="K24" i="8" s="1"/>
  <c r="I17" i="8" l="1"/>
  <c r="M24" i="8"/>
  <c r="N24" i="8"/>
  <c r="P24" i="8" s="1"/>
  <c r="R24" i="8" l="1"/>
  <c r="S24" i="8" s="1"/>
  <c r="K17" i="8"/>
  <c r="N17" i="8"/>
  <c r="M17" i="8" l="1"/>
  <c r="K50" i="8"/>
  <c r="K104" i="8" s="1"/>
  <c r="P17" i="8"/>
  <c r="K184" i="8" l="1"/>
  <c r="J190" i="8"/>
  <c r="R17" i="8"/>
  <c r="P50" i="8"/>
  <c r="P104" i="8" s="1"/>
  <c r="M50" i="8"/>
  <c r="M104" i="8" s="1"/>
  <c r="J188" i="8" s="1"/>
  <c r="J112" i="8"/>
  <c r="J104" i="8"/>
  <c r="J50" i="8"/>
  <c r="P184" i="8" l="1"/>
  <c r="I191" i="8" s="1"/>
  <c r="K190" i="8"/>
  <c r="I190" i="8"/>
  <c r="M184" i="8"/>
  <c r="J193" i="8" s="1"/>
  <c r="J192" i="8"/>
  <c r="L104" i="8"/>
  <c r="L50" i="8"/>
  <c r="S17" i="8"/>
  <c r="R50" i="8"/>
  <c r="L112" i="8"/>
  <c r="O50" i="8"/>
  <c r="J191" i="8"/>
  <c r="O104" i="8"/>
  <c r="J184" i="8"/>
  <c r="R104" i="8" l="1"/>
  <c r="K188" i="8" s="1"/>
  <c r="L184" i="8"/>
  <c r="I187" i="8"/>
  <c r="K191" i="8"/>
  <c r="S50" i="8"/>
  <c r="Q50" i="8"/>
  <c r="Q112" i="8"/>
  <c r="J150" i="8"/>
  <c r="L150" i="8"/>
  <c r="Q150" i="8"/>
  <c r="O184" i="8"/>
  <c r="R184" i="8" l="1"/>
  <c r="I193" i="8" s="1"/>
  <c r="K192" i="8"/>
  <c r="I192" i="8"/>
  <c r="S104" i="8"/>
  <c r="I188" i="8" s="1"/>
  <c r="Q104" i="8"/>
  <c r="I189" i="8" l="1"/>
  <c r="K193" i="8"/>
  <c r="Q184" i="8"/>
  <c r="S18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Wieczorek, MPH</author>
  </authors>
  <commentList>
    <comment ref="H107" authorId="0" shapeId="0" xr:uid="{00000000-0006-0000-0000-000001000000}">
      <text>
        <r>
          <rPr>
            <b/>
            <sz val="9"/>
            <color indexed="81"/>
            <rFont val="Tahoma"/>
            <family val="2"/>
          </rPr>
          <t>Amy Wieczorek, MPH:</t>
        </r>
        <r>
          <rPr>
            <sz val="9"/>
            <color indexed="81"/>
            <rFont val="Tahoma"/>
            <family val="2"/>
          </rPr>
          <t xml:space="preserve">
States will be allocated in a way that assures that each year’s sample covers three different FNS regions, p. 113 of Final Study Plan</t>
        </r>
      </text>
    </comment>
    <comment ref="H145" authorId="0" shapeId="0" xr:uid="{00000000-0006-0000-0000-000002000000}">
      <text>
        <r>
          <rPr>
            <b/>
            <sz val="9"/>
            <color indexed="81"/>
            <rFont val="Tahoma"/>
            <family val="2"/>
          </rPr>
          <t>Amy Wieczorek, MPH:</t>
        </r>
        <r>
          <rPr>
            <sz val="9"/>
            <color indexed="81"/>
            <rFont val="Tahoma"/>
            <family val="2"/>
          </rPr>
          <t xml:space="preserve">
States will be allocated in a way that assures that each year’s sample covers three different FNS regions, p. 113 of Final Study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Amy Wieczorek, MPH</author>
  </authors>
  <commentList>
    <comment ref="A1" authorId="0" shapeId="0" xr:uid="{00000000-0006-0000-0200-000001000000}">
      <text>
        <r>
          <rPr>
            <b/>
            <sz val="9"/>
            <color indexed="81"/>
            <rFont val="Tahoma"/>
            <family val="2"/>
          </rPr>
          <t>Amy Wieczorek, MPH:</t>
        </r>
        <r>
          <rPr>
            <sz val="9"/>
            <color indexed="81"/>
            <rFont val="Tahoma"/>
            <family val="2"/>
          </rPr>
          <t xml:space="preserve">
Appendix numbering prior to 10-11-16</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Amy Wieczorek, MPH</author>
  </authors>
  <commentList>
    <comment ref="D38" authorId="0" shapeId="0" xr:uid="{00000000-0006-0000-0300-000001000000}">
      <text>
        <r>
          <rPr>
            <b/>
            <sz val="9"/>
            <color indexed="81"/>
            <rFont val="Tahoma"/>
            <family val="2"/>
          </rPr>
          <t>Amy Wieczorek, MPH:</t>
        </r>
        <r>
          <rPr>
            <sz val="9"/>
            <color indexed="81"/>
            <rFont val="Tahoma"/>
            <family val="2"/>
          </rPr>
          <t xml:space="preserve">
37-201X</t>
        </r>
      </text>
    </comment>
    <comment ref="K41" authorId="0" shapeId="0" xr:uid="{00000000-0006-0000-0300-000002000000}">
      <text>
        <r>
          <rPr>
            <b/>
            <sz val="9"/>
            <color indexed="81"/>
            <rFont val="Tahoma"/>
            <family val="2"/>
          </rPr>
          <t>Amy Wieczorek, MPH:</t>
        </r>
        <r>
          <rPr>
            <sz val="9"/>
            <color indexed="81"/>
            <rFont val="Tahoma"/>
            <family val="2"/>
          </rPr>
          <t xml:space="preserve">
*  = indicates that a wage estimate is not available
I used 10.34 from this website
http://www.payscale.com/research/US/Job=Teacher_Aide/Hourly_Rate</t>
        </r>
      </text>
    </comment>
  </commentList>
</comments>
</file>

<file path=xl/sharedStrings.xml><?xml version="1.0" encoding="utf-8"?>
<sst xmlns="http://schemas.openxmlformats.org/spreadsheetml/2006/main" count="1322" uniqueCount="650">
  <si>
    <t>Respondent Category</t>
  </si>
  <si>
    <t>C1</t>
  </si>
  <si>
    <t>C2</t>
  </si>
  <si>
    <t>C3</t>
  </si>
  <si>
    <t>C4</t>
  </si>
  <si>
    <t>Instrument</t>
  </si>
  <si>
    <t>Total Sample Size</t>
  </si>
  <si>
    <t>Respondents</t>
  </si>
  <si>
    <t>Non-Respondents</t>
  </si>
  <si>
    <t>Grand Total Burden Estimate (Hours)</t>
  </si>
  <si>
    <t xml:space="preserve">Estimated Number of Respondents </t>
  </si>
  <si>
    <t>Frequency of Response</t>
  </si>
  <si>
    <t xml:space="preserve">Total Annual Responses </t>
  </si>
  <si>
    <t xml:space="preserve">Average Time Per Response (Hours) </t>
  </si>
  <si>
    <t>Total Annual Burden Estimate (Hours)</t>
  </si>
  <si>
    <t xml:space="preserve">Estimated Number of Non-Respondents </t>
  </si>
  <si>
    <t>Frequency of Non-Response</t>
  </si>
  <si>
    <t>Total Annual Non-Responses</t>
  </si>
  <si>
    <t>Average Time Per Non- Response (Hours)</t>
  </si>
  <si>
    <t>State, Local, and Tribal Government</t>
  </si>
  <si>
    <t>Individuals or Households</t>
  </si>
  <si>
    <t>Total # of respondents (including participants and non-respondents)</t>
  </si>
  <si>
    <t>Estimated total # of annual responses (including participants and non-respondents)</t>
  </si>
  <si>
    <t>Respondent Type</t>
  </si>
  <si>
    <t>State WIC Agency Directors</t>
  </si>
  <si>
    <t>3 min</t>
  </si>
  <si>
    <t>1.2 min</t>
  </si>
  <si>
    <t>door knock</t>
  </si>
  <si>
    <t>5 min</t>
  </si>
  <si>
    <t>KEY:</t>
  </si>
  <si>
    <t>call</t>
  </si>
  <si>
    <t>Former WIC Program Participants</t>
  </si>
  <si>
    <t>State Agency Survey Invitation Email</t>
  </si>
  <si>
    <t>State Agency Survey Invitation Letter with Instrument</t>
  </si>
  <si>
    <t>State Agency Survey Thank You Letter</t>
  </si>
  <si>
    <t>A2</t>
  </si>
  <si>
    <t>B1</t>
  </si>
  <si>
    <t>B2</t>
  </si>
  <si>
    <t>Study Description for State and Local WIC Agencies</t>
  </si>
  <si>
    <t>NSWP-III Extant State Agency Data Overview</t>
  </si>
  <si>
    <t>Recently Denied WIC Program Applicants</t>
  </si>
  <si>
    <t>Program Experiences Survey Thank You Letter and Gift Card</t>
  </si>
  <si>
    <t>Program Experiences Survey Invitation Letter</t>
  </si>
  <si>
    <t>Program Experiences Survey Invitation Email</t>
  </si>
  <si>
    <t>Denied Applicant Survey Information Letter from State Agencies</t>
  </si>
  <si>
    <t>Certification Survey Information Letter from State Agencies</t>
  </si>
  <si>
    <t>voicemail</t>
  </si>
  <si>
    <t>State Agency Survey Reminder Email, 1</t>
  </si>
  <si>
    <t>State Agency Survey Reminder Email, 2</t>
  </si>
  <si>
    <t>State Agency Survey Reminder Email, 3</t>
  </si>
  <si>
    <t>State Agency Survey Reminder Email, 4</t>
  </si>
  <si>
    <t>State Agency Survey Reminder Email, 5</t>
  </si>
  <si>
    <t>State Agency Survey Reminder Email, 6</t>
  </si>
  <si>
    <t>State Agency Survey Reminder Email, 7</t>
  </si>
  <si>
    <t>mail back</t>
  </si>
  <si>
    <t>email, read</t>
  </si>
  <si>
    <t>email, don’t read</t>
  </si>
  <si>
    <t>mail, read</t>
  </si>
  <si>
    <t>mail, don't read</t>
  </si>
  <si>
    <t>email back</t>
  </si>
  <si>
    <t>1.8 min</t>
  </si>
  <si>
    <t>C6</t>
  </si>
  <si>
    <t>C7</t>
  </si>
  <si>
    <t>Local WIC Agency Directors</t>
  </si>
  <si>
    <t>consent form</t>
  </si>
  <si>
    <t>6 min</t>
  </si>
  <si>
    <t>C5</t>
  </si>
  <si>
    <t>Text Message Reminder for Scheduled Denied Applicant Survey</t>
  </si>
  <si>
    <t>Text Message Reminder for Scheduled Certification Survey</t>
  </si>
  <si>
    <t xml:space="preserve">Current WIC Program Participants                                                                                                                                                                                                                                                                                   </t>
  </si>
  <si>
    <t xml:space="preserve">Certification Survey In-Person Invitation Script, Door Knock 1 </t>
  </si>
  <si>
    <t>Program Experiences Survey Invitation In-Person Script, Door Knock 1</t>
  </si>
  <si>
    <t xml:space="preserve">Denied Applicant Survey In-Person Invitation, Door Knock 1 </t>
  </si>
  <si>
    <t>Denied Applicant Survey In-Person Invitation, Door Knock 2</t>
  </si>
  <si>
    <t>http://www.bls.gov/oes/current/oes_nat.htm</t>
  </si>
  <si>
    <t>2018 Data Collection</t>
  </si>
  <si>
    <t>2019 Data Collection</t>
  </si>
  <si>
    <t>Subtotal of State, Local, and Tribal Government (2018)</t>
  </si>
  <si>
    <t>Subtotal of Individuals or Households (2018)</t>
  </si>
  <si>
    <t>2018 Data Collection Total</t>
  </si>
  <si>
    <t>2019 Data Collection Total</t>
  </si>
  <si>
    <t>2020 Data Collection</t>
  </si>
  <si>
    <t>Local Agency Survey Invitation Email</t>
  </si>
  <si>
    <t>Local Agency Survey Invitation Letter with Instrument</t>
  </si>
  <si>
    <t>Local Agency Survey Reminder Email, 1</t>
  </si>
  <si>
    <t>Local Agency Survey Reminder Email, 2</t>
  </si>
  <si>
    <t>Local Agency Survey Reminder Email, 3</t>
  </si>
  <si>
    <t>Local Agency Survey Reminder Email, 4</t>
  </si>
  <si>
    <t>Local Agency Survey Reminder Email, 5</t>
  </si>
  <si>
    <t>Local Agency Survey Reminder Email, 6</t>
  </si>
  <si>
    <t>Local Agency Survey Reminder Email, 7</t>
  </si>
  <si>
    <t>Local Agency Survey Thank You Letter</t>
  </si>
  <si>
    <t>A1</t>
  </si>
  <si>
    <t>Local Agency Survey-Web</t>
  </si>
  <si>
    <t>Program Experiences Survey-Telephone</t>
  </si>
  <si>
    <t>Denied Applicant Survey-In Person</t>
  </si>
  <si>
    <t>Program Experiences Survey-In Person</t>
  </si>
  <si>
    <t>Certification Survey-In Person</t>
  </si>
  <si>
    <t>Letter to State Agencies from Regional Offices</t>
  </si>
  <si>
    <t>Notification Email to Regional and State Offices</t>
  </si>
  <si>
    <t>B7</t>
  </si>
  <si>
    <t>Program Experiences Survey (after complete Certification Survey)-In Person</t>
  </si>
  <si>
    <t>State Agency Survey Reminder Telephone Script, Call 1</t>
  </si>
  <si>
    <t>State Agency Survey Reminder Telephone Script, Call 2</t>
  </si>
  <si>
    <t>State Agency Survey Reminder Telephone Script, Call 3</t>
  </si>
  <si>
    <t>State Agency Survey Reminder Telephone Script, Call 4</t>
  </si>
  <si>
    <t>State Agency Survey Reminder Telephone Script, Call 5</t>
  </si>
  <si>
    <t>State Agency Survey Reminder Telephone Script, Call 6</t>
  </si>
  <si>
    <t>State Agency Survey Reminder Telephone Script, Call 7</t>
  </si>
  <si>
    <t>Local Agency Survey Reminder Telephone Script, Call 1</t>
  </si>
  <si>
    <t>Local Agency Survey Reminder Telephone Script, Call 2</t>
  </si>
  <si>
    <t>Local Agency Survey Reminder Telephone Script, Call 3</t>
  </si>
  <si>
    <t>Local Agency Survey Reminder Telephone Script, Call 4</t>
  </si>
  <si>
    <t>Local Agency Survey Reminder Telephone Script, Call 5</t>
  </si>
  <si>
    <t>Local Agency Survey Reminder Telephone Script, Call 6</t>
  </si>
  <si>
    <t>Local Agency Survey Reminder Telephone Script, Call 7</t>
  </si>
  <si>
    <t>Certification Survey Invitation Telephone Script, Call 1</t>
  </si>
  <si>
    <t>Certification Survey Invitation Telephone Script, Call 2</t>
  </si>
  <si>
    <t>Certification Survey Invitation Telephone Script, Call 3</t>
  </si>
  <si>
    <t xml:space="preserve">Certification Survey Invitation Telephone Script, Call 4 </t>
  </si>
  <si>
    <t>Certification Survey Invitation Telephone Script, Call 5</t>
  </si>
  <si>
    <t>Certification Survey Invitation Telephone Script, Call 6</t>
  </si>
  <si>
    <t xml:space="preserve">Certification Survey Invitation Telephone Script, Call 7 </t>
  </si>
  <si>
    <t>Telephone Reminder for Scheduled Certification Survey</t>
  </si>
  <si>
    <t>Program Experiences Survey Invitation Telephone Script, Call 1</t>
  </si>
  <si>
    <t>Program Experiences Survey Invitation Telephone Script, Call 2</t>
  </si>
  <si>
    <t>Program Experiences Survey Invitation Telephone Script, Call 3</t>
  </si>
  <si>
    <t>Program Experiences Survey Invitation Telephone Script, Call 4</t>
  </si>
  <si>
    <t>Program Experiences Survey Invitation Telephone Script, Call 5</t>
  </si>
  <si>
    <t>Program Experiences Survey Invitation Telephone Script, Call 6</t>
  </si>
  <si>
    <t>Program Experiences Survey Invitation Telephone Script, Call 7</t>
  </si>
  <si>
    <t>Program Experiences Survey Invitation Telephone Script, Call 8</t>
  </si>
  <si>
    <t>Denied Applicant Survey Invitation Telephone Script, Call 1</t>
  </si>
  <si>
    <t>Denied Applicant Survey Invitation Telephone Script, Call 2</t>
  </si>
  <si>
    <t>Denied Applicant Survey Invitation Telephone Script, Call 3</t>
  </si>
  <si>
    <t>Denied Applicant Survey Invitation Telephone Script, Call 4</t>
  </si>
  <si>
    <t>Denied Applicant Survey Invitation Telephone Script, Call 5</t>
  </si>
  <si>
    <t>Denied Applicant Survey Invitation Telephone Script, Call 6</t>
  </si>
  <si>
    <t>Denied Applicant Survey Invitation Telephone Script, Call 7</t>
  </si>
  <si>
    <t>Telephone Reminder for Scheduled Denied Applicant Survey</t>
  </si>
  <si>
    <t>Participant Consent Form-Denied Applicant Survey</t>
  </si>
  <si>
    <t>Participant Consent Form-Certification Survey</t>
  </si>
  <si>
    <t>Hourly Wage</t>
  </si>
  <si>
    <t>State Agency Survey Reminder Email</t>
  </si>
  <si>
    <t>State Agency Survey Reminder Telephone Script</t>
  </si>
  <si>
    <t>State Agency Collection of LA Contact Information Telephone Script</t>
  </si>
  <si>
    <t>broad</t>
  </si>
  <si>
    <t>detailed</t>
  </si>
  <si>
    <t>OCC_CODE</t>
  </si>
  <si>
    <t>OCC_TITLE</t>
  </si>
  <si>
    <t>OCC_GROUP</t>
  </si>
  <si>
    <t>TOT_EMP</t>
  </si>
  <si>
    <t>EMP_PRSE</t>
  </si>
  <si>
    <t>H_MEAN</t>
  </si>
  <si>
    <t>A_MEAN</t>
  </si>
  <si>
    <t>MEAN_PRSE</t>
  </si>
  <si>
    <t>H_PCT10</t>
  </si>
  <si>
    <t>H_PCT25</t>
  </si>
  <si>
    <t>H_MEDIAN</t>
  </si>
  <si>
    <t>H_PCT75</t>
  </si>
  <si>
    <t>H_PCT90</t>
  </si>
  <si>
    <t>A_PCT10</t>
  </si>
  <si>
    <t>A_PCT25</t>
  </si>
  <si>
    <t>A_MEDIAN</t>
  </si>
  <si>
    <t>A_PCT75</t>
  </si>
  <si>
    <t>A_PCT90</t>
  </si>
  <si>
    <t>ANNUAL</t>
  </si>
  <si>
    <t>HOURLY</t>
  </si>
  <si>
    <t>Area</t>
  </si>
  <si>
    <t>All US + DC</t>
  </si>
  <si>
    <t>11-1020</t>
  </si>
  <si>
    <t>General and Operations Managers</t>
  </si>
  <si>
    <t>#</t>
  </si>
  <si>
    <t>11-1021</t>
  </si>
  <si>
    <t>11-9000</t>
  </si>
  <si>
    <t>Other Management Occupations</t>
  </si>
  <si>
    <t>minor</t>
  </si>
  <si>
    <t>11-9150</t>
  </si>
  <si>
    <t>Social and Community Service Managers</t>
  </si>
  <si>
    <t>11-9151</t>
  </si>
  <si>
    <t>11-9190</t>
  </si>
  <si>
    <t>Miscellaneous Managers</t>
  </si>
  <si>
    <t>11-9199</t>
  </si>
  <si>
    <t>Managers, All Other</t>
  </si>
  <si>
    <t>Household size</t>
  </si>
  <si>
    <t>Annual income eligibility level</t>
  </si>
  <si>
    <t>6+</t>
  </si>
  <si>
    <t>Distribution of the Size of Families or Economic Units of WIC Participants by Participant Category</t>
  </si>
  <si>
    <t>Participant and Program Characteristics 2014. Prepared by Insight Policy Research under Contract No. AG‐3198‐C‐</t>
  </si>
  <si>
    <t>11‐0010. Alexandria, VA: U.S. Department of Agriculture, Food and Nutrition Service.</t>
  </si>
  <si>
    <t>[.249 x $21,775 + .315 x $29,471 + .198 x $37,167 + .029% x $44,863]  = $23,365.75 ÷52</t>
  </si>
  <si>
    <t>weeks  ÷ 40 hours = $11.23</t>
  </si>
  <si>
    <t xml:space="preserve">WIC Participant and Program Characteristics Final Report:  http://www.fns.usda.gov/sites/default/files/ops/WICPC2014.pdf </t>
  </si>
  <si>
    <t>48 Contiguous States, D.C., Guam and Territories (Not HI or Alaska)</t>
  </si>
  <si>
    <t>INCOME ELIGIBILITY GUIDELINES (Effective from July 1, 2016 to June 30, 2017): http://www.fns.usda.gov/wic/wic-income-eligibility-guidelines</t>
  </si>
  <si>
    <t>Puerto Rico calculation example: https://www.google.com/search?q=Zika+Emergency+Package+V%3AAssessment+of+Interventions+Intended+to+Protect+Pregnant+Women+in+Puerto+Rico+from+Zika+virus+InfectionsRequest+for+OMB+approval+of+an+Emergency+ICR&amp;sourceid=ie7&amp;rls=com.microsoft:en-US:IE-Address&amp;ie=&amp;oe=#</t>
  </si>
  <si>
    <t>The mean household size of WIC participants in April 2014 was 4.1 persons.</t>
  </si>
  <si>
    <t>Among WIC participants reporting some income, the average annualized income of families/economic units of WIC participants in April 2014 was $17,372.</t>
  </si>
  <si>
    <t xml:space="preserve">FNS's supplemental food and nutrition assistance program, Women, Infants, and Children’s (WIC), bases eligibility on household income. WIC participants come from some of the Nation’s poorest households. In 2014, almost three quarters
(74.2 percent) of all WIC participants reported incomes at or below the Federal poverty guideline, and more than one-third (37.8 percent) reported incomes equal to or less than 50 percent of the Federal poverty guidelines.. According to a report by the USDA’s Food and Nutrition Service examining program characteristics (http://www.fns.usda.gov/sites/default/files/ops/WICPC2014.pdf), most beneficiaries came from households with varying numbers people.  We weighted the annual household income eligibility requirements for WIC by the proportion of households in each category.
</t>
  </si>
  <si>
    <t>State Agency Directors</t>
  </si>
  <si>
    <t>Local Agency Directors</t>
  </si>
  <si>
    <t>Cost to Respondents</t>
  </si>
  <si>
    <t>Local Agency Survey</t>
  </si>
  <si>
    <t>Local Agency Survey Reminder Email</t>
  </si>
  <si>
    <t>Local Agency Survey Reminder Telephone Script</t>
  </si>
  <si>
    <t>Former WIC Participant Case Study Interview Thank You Letter and Gift Card</t>
  </si>
  <si>
    <t>Former WIC Participant Case Study Interview Guide-Telephone</t>
  </si>
  <si>
    <t>Former WIC Participant Case Study Interview Invitation Telephone Script, Call 1</t>
  </si>
  <si>
    <t>Former WIC Participant Case Study Interview Invitation Telephone Script, Call 2</t>
  </si>
  <si>
    <t>Former WIC Participant Case Study Interview Invitation Telephone Script, Call 3</t>
  </si>
  <si>
    <t>Former WIC Participant Case Study Interview Invitation Telephone Script, Call 4</t>
  </si>
  <si>
    <t>Former WIC Participant Case Study Interview Invitation Telephone Script, Call 5</t>
  </si>
  <si>
    <t>Pilot of Alternative Methodology 2019</t>
  </si>
  <si>
    <t>Pilot of Alternative Methodology 2020</t>
  </si>
  <si>
    <t>Subtotal of State, Local, and Tribal Government (2019)</t>
  </si>
  <si>
    <t>Subtotal of Individuals or Households (2019)</t>
  </si>
  <si>
    <t>Subtotal of Individuals or Households (2020)</t>
  </si>
  <si>
    <t>Subtotal of State, Local, and Tribal Government (2020)</t>
  </si>
  <si>
    <t>After reading more about who makes minimum wage, $7.25 might not be the best estimate. It sounds like the majority of minimum wage workers are single teenagers. Instead, it seems like $10 or $10.50 might be closer to accurate. Paul, what do you think? Either way, need more here to justify our decision.</t>
  </si>
  <si>
    <t>http://www.bls.gov/opub/reports/minimum-wage/archive/characteristics-of-minimum-wage-workers-2014.pdf</t>
  </si>
  <si>
    <t>http://www.heritage.org/research/reports/2013/02/who-earns-the-minimum-wage-suburban-teenagers-not-single-parents</t>
  </si>
  <si>
    <t>http://www.pewresearch.org/fact-tank/2014/09/08/who-makes-minimum-wage/</t>
  </si>
  <si>
    <t>http://woman.thenest.com/average-salary-low-income-person-per-year-19282.html</t>
  </si>
  <si>
    <t>http://www.fns.usda.gov/wic/wic-income-eligibility-guidelines</t>
  </si>
  <si>
    <t>http://www.fns.usda.gov/sites/default/files/ops/WICPC2014.pdf</t>
  </si>
  <si>
    <t xml:space="preserve">http://www.workingpoorfamilies.org/wp-content/uploads/2014/02/WPFP_Low-Income-Working-Mothers-Report_021214.pdf </t>
  </si>
  <si>
    <t>page 7, $10</t>
  </si>
  <si>
    <t>Percent</t>
  </si>
  <si>
    <t>Health Aid</t>
  </si>
  <si>
    <t>Cashier</t>
  </si>
  <si>
    <t>Maids and housekeepers</t>
  </si>
  <si>
    <t>Waiters and waitresses</t>
  </si>
  <si>
    <t>customer service rep</t>
  </si>
  <si>
    <t>Personal care aids</t>
  </si>
  <si>
    <t>Cooks</t>
  </si>
  <si>
    <t>Childcare workers</t>
  </si>
  <si>
    <t>Supervisors-Retail</t>
  </si>
  <si>
    <t>Retail sales</t>
  </si>
  <si>
    <t>Janitors</t>
  </si>
  <si>
    <t>Receptionists</t>
  </si>
  <si>
    <t>Hairdressers</t>
  </si>
  <si>
    <t>Teacher assistants</t>
  </si>
  <si>
    <t>Office clerks</t>
  </si>
  <si>
    <t>Table 2: Top 16 Occupations of Single, Female Household Heads in Working Families Below 200% of Poverty, 2012</t>
  </si>
  <si>
    <t>Occupation</t>
  </si>
  <si>
    <t>Working Poor Families Project, Population Reference Bureau analysis of American Community Survey, 2012.</t>
  </si>
  <si>
    <t>Nursing, Psychiatric, and Home Health Aides</t>
  </si>
  <si>
    <t>31-1010</t>
  </si>
  <si>
    <t>31-1011</t>
  </si>
  <si>
    <t>Home Health Aides</t>
  </si>
  <si>
    <t>31-1014</t>
  </si>
  <si>
    <t>Nursing Assistants</t>
  </si>
  <si>
    <t>41-2010</t>
  </si>
  <si>
    <t>Cashiers</t>
  </si>
  <si>
    <t>37-2011</t>
  </si>
  <si>
    <t>Janitors and Cleaners, Except Maids and Housekeeping Cleaners</t>
  </si>
  <si>
    <t>37-2012</t>
  </si>
  <si>
    <t>Maids and Housekeeping Cleaners</t>
  </si>
  <si>
    <t>Waiters and Waitresses</t>
  </si>
  <si>
    <t>35-3031</t>
  </si>
  <si>
    <t>Customer Service Representatives</t>
  </si>
  <si>
    <t>43-4051</t>
  </si>
  <si>
    <t xml:space="preserve">http://www2.census.gov/programs-surveys/acs/tech_docs/code_lists/2014_ACS_Code_Lists.pdf  </t>
  </si>
  <si>
    <t>used codebook</t>
  </si>
  <si>
    <t>35-2010</t>
  </si>
  <si>
    <t>39-5012</t>
  </si>
  <si>
    <t>Hairdressers, Hairstylists, and Cosmetologists</t>
  </si>
  <si>
    <t>25-9041</t>
  </si>
  <si>
    <t>Teacher Assistants</t>
  </si>
  <si>
    <t>*</t>
  </si>
  <si>
    <t>39-9021</t>
  </si>
  <si>
    <t>Personal Care Aides</t>
  </si>
  <si>
    <t>43-4171</t>
  </si>
  <si>
    <t>Receptionists and Information Clerks</t>
  </si>
  <si>
    <t>43-9061</t>
  </si>
  <si>
    <t>Office Clerks, General</t>
  </si>
  <si>
    <t>39-9011</t>
  </si>
  <si>
    <t>Childcare Workers</t>
  </si>
  <si>
    <t>43-6010</t>
  </si>
  <si>
    <t>Secretaries and Administrative Assistants</t>
  </si>
  <si>
    <t>43-9199</t>
  </si>
  <si>
    <t>Office and Administrative Support Workers, All Other</t>
  </si>
  <si>
    <t>41-1011</t>
  </si>
  <si>
    <t>First-Line Supervisors of Retail Sales Workers</t>
  </si>
  <si>
    <t>41-2031</t>
  </si>
  <si>
    <t>Retail Salespersons</t>
  </si>
  <si>
    <t>weighted</t>
  </si>
  <si>
    <t>AVG=</t>
  </si>
  <si>
    <t>All women</t>
  </si>
  <si>
    <t>Women with children less than 6 have 95% of the weekly earnings as all women</t>
  </si>
  <si>
    <t xml:space="preserve">Women who were paid hourly rates (which is 61% of working women) had median hourly earnings of </t>
  </si>
  <si>
    <t>reduced by five percent</t>
  </si>
  <si>
    <t>PUERTO RICO EXAMPLE</t>
  </si>
  <si>
    <t>with children &lt;6</t>
  </si>
  <si>
    <t>Administrative Assistants</t>
  </si>
  <si>
    <t>Certification End Date Verification Email, 1</t>
  </si>
  <si>
    <t>Certification End Date Verification Reminder Telephone Script, Call 1</t>
  </si>
  <si>
    <t>Certification End Date Verification Reminder Telephone Script, Call 2</t>
  </si>
  <si>
    <t>Certification End Date Verification Reminder Telephone Script, Call 3</t>
  </si>
  <si>
    <t>Certification End Date Verification Email</t>
  </si>
  <si>
    <t>Certification End Date Verification Reminder Telephone Script</t>
  </si>
  <si>
    <t>C8</t>
  </si>
  <si>
    <t>State Agency Survey-Web</t>
  </si>
  <si>
    <t>Original #</t>
  </si>
  <si>
    <t>Appendix D1.</t>
  </si>
  <si>
    <t>NSWP-III Research Purpose and Objectives</t>
  </si>
  <si>
    <t>Appendix D2.</t>
  </si>
  <si>
    <t>Appendix A2.</t>
  </si>
  <si>
    <t>Contractor Confidentiality Forms</t>
  </si>
  <si>
    <t>Table A2.</t>
  </si>
  <si>
    <t>Table of Pretested Documents  </t>
  </si>
  <si>
    <t>Appendix  A1.</t>
  </si>
  <si>
    <t>Appendix B1.</t>
  </si>
  <si>
    <t>State Agency Survey</t>
  </si>
  <si>
    <t>Appendix B2.</t>
  </si>
  <si>
    <t>Appendix A3.a</t>
  </si>
  <si>
    <t>Certification Survey: Version A (Adult)-English</t>
  </si>
  <si>
    <t>Appendix A3.b</t>
  </si>
  <si>
    <t>Certification Survey: Version B (Infant/Child)-English</t>
  </si>
  <si>
    <t>Appendix A3.c</t>
  </si>
  <si>
    <t>Certification Survey: Version A (Adult)-Spanish</t>
  </si>
  <si>
    <t>Appendix A3.d</t>
  </si>
  <si>
    <t>Certification Survey: Version B (Infant/Child)-Spanish</t>
  </si>
  <si>
    <t>Appendix A4.a</t>
  </si>
  <si>
    <t>Denied Applicant Survey: Version A (Adult)-English</t>
  </si>
  <si>
    <t>Appendix A4.b</t>
  </si>
  <si>
    <t>Denied Applicant Survey: Version B (Infant/Child)-English</t>
  </si>
  <si>
    <t>Appendix A4.c</t>
  </si>
  <si>
    <t>Denied Applicant Survey: Version A (Adult)-Spanish</t>
  </si>
  <si>
    <t>Appendix A4.d</t>
  </si>
  <si>
    <t>Denied Applicant Survey: Version B (Infant/Child)-Spanish </t>
  </si>
  <si>
    <t>Appendix A5.a</t>
  </si>
  <si>
    <t>Program Experiences Survey: Version A (Adult)-English</t>
  </si>
  <si>
    <t>Appendix A5.b</t>
  </si>
  <si>
    <t>Program Experiences Survey: Version B (Infant/Child)-English</t>
  </si>
  <si>
    <t>Appendix A5.c</t>
  </si>
  <si>
    <t>Program Experiences Survey: Version A (Adult)-Spanish</t>
  </si>
  <si>
    <t>Appendix A5.d</t>
  </si>
  <si>
    <t>Program Experiences Survey: Version B (Infant/Child)-Spanish</t>
  </si>
  <si>
    <t>Appendix A6.a</t>
  </si>
  <si>
    <t>Former WIC Participant Case Study: Interview Guide-English</t>
  </si>
  <si>
    <t>Appendix A6.b</t>
  </si>
  <si>
    <t>Former WIC Participant Case Study: Interview Guide-Spanish</t>
  </si>
  <si>
    <t>Appendix C1.</t>
  </si>
  <si>
    <t>Appendix C2.</t>
  </si>
  <si>
    <t>Appendix B3.</t>
  </si>
  <si>
    <t>Appendix B4.</t>
  </si>
  <si>
    <t>Appendix C4.</t>
  </si>
  <si>
    <t>Appendix B5.</t>
  </si>
  <si>
    <t>Appendix C5.</t>
  </si>
  <si>
    <t>Appendix B6.</t>
  </si>
  <si>
    <t>Appendix C6.</t>
  </si>
  <si>
    <t>Appendix B7.</t>
  </si>
  <si>
    <t>Appendix C7.</t>
  </si>
  <si>
    <t>Appendix B8.</t>
  </si>
  <si>
    <t>Appendix C8.</t>
  </si>
  <si>
    <t>Appendix B9.</t>
  </si>
  <si>
    <t>Appendix B10.</t>
  </si>
  <si>
    <t>Appendix B11.a</t>
  </si>
  <si>
    <t>Appendix C11.a</t>
  </si>
  <si>
    <t>Certification Survey Recruitment Telephone Script-English</t>
  </si>
  <si>
    <t>Appendix B11.b</t>
  </si>
  <si>
    <t>Appendix C11.b</t>
  </si>
  <si>
    <t>Certification Survey Recruitment Telephone Script-Spanish</t>
  </si>
  <si>
    <t>Appendix B12.a</t>
  </si>
  <si>
    <t>Appendix C12.a</t>
  </si>
  <si>
    <t>Certification Survey Recruitment In-Person Script-English </t>
  </si>
  <si>
    <t>Appendix B12.b</t>
  </si>
  <si>
    <t>Appendix C12.b</t>
  </si>
  <si>
    <t>Certification Survey Recruitment In-Person Script-Spanish</t>
  </si>
  <si>
    <t>Appendix B13.a</t>
  </si>
  <si>
    <t>Appendix C13.a</t>
  </si>
  <si>
    <t>Text Message Reminder for Scheduled Certification Survey-English</t>
  </si>
  <si>
    <t>Appendix B13.b</t>
  </si>
  <si>
    <t>Appendix C13.b</t>
  </si>
  <si>
    <t>Text Message Reminder for Scheduled Certification Survey-Spanish</t>
  </si>
  <si>
    <t>Appendix B14.a</t>
  </si>
  <si>
    <t>Appendix C14.a</t>
  </si>
  <si>
    <t>Telephone Reminder for Scheduled Certification Survey-English</t>
  </si>
  <si>
    <t>Appendix B14.b</t>
  </si>
  <si>
    <t>Appendix C14.b</t>
  </si>
  <si>
    <t>Telephone Reminder for Scheduled Certification Survey-Spanish</t>
  </si>
  <si>
    <t>Appendix B15.a</t>
  </si>
  <si>
    <t>Appendix C15.a</t>
  </si>
  <si>
    <t>Denied WIC Applicant Survey Recruitment Telephone Script-English</t>
  </si>
  <si>
    <t>Appendix B15.b</t>
  </si>
  <si>
    <t>Appendix C15.b</t>
  </si>
  <si>
    <t>Denied WIC Applicant Survey Recruitment Telephone Script-Spanish</t>
  </si>
  <si>
    <t>Appendix B16.a</t>
  </si>
  <si>
    <t>Appendix C16.a</t>
  </si>
  <si>
    <t>Denied WIC Applicant Survey Recruitment In-Person Script-English</t>
  </si>
  <si>
    <t>Appendix B16.b</t>
  </si>
  <si>
    <t>Appendix C16.b</t>
  </si>
  <si>
    <t>Denied WIC Applicant Survey Recruitment In-Person Script-Spanish</t>
  </si>
  <si>
    <t>Appendix B17.a</t>
  </si>
  <si>
    <t>Text Message Reminder for Scheduled Denied Applicant Survey-English</t>
  </si>
  <si>
    <t>Appendix B17.b</t>
  </si>
  <si>
    <t>Text Message Reminder for Scheduled Denied Applicant Survey-Spanish</t>
  </si>
  <si>
    <t>Appendix B18.a</t>
  </si>
  <si>
    <t>Telephone Reminder for Scheduled Denied Applicant Survey-English</t>
  </si>
  <si>
    <t>Appendix B18.b</t>
  </si>
  <si>
    <t>Telephone Reminder for Scheduled Denied Applicant Survey-Spanish</t>
  </si>
  <si>
    <t>Appendix B19.a</t>
  </si>
  <si>
    <t>Program Experiences Survey Invitation Telephone Script-English</t>
  </si>
  <si>
    <t>Appendix B19.b</t>
  </si>
  <si>
    <t>Program Experiences Survey Invitation Telephone Script-Spanish</t>
  </si>
  <si>
    <t>Appendix B20.a</t>
  </si>
  <si>
    <t>Program Experiences Survey Invitation Letter-English</t>
  </si>
  <si>
    <t>Appendix B20.b</t>
  </si>
  <si>
    <t>Program Experiences Survey Invitation Letter-Spanish</t>
  </si>
  <si>
    <t>Appendix B21.a</t>
  </si>
  <si>
    <t>Program Experiences Survey Invitation Email-English</t>
  </si>
  <si>
    <t>Appendix B21.b</t>
  </si>
  <si>
    <t>Program Experiences Survey Invitation Email-Spanish</t>
  </si>
  <si>
    <t>Appendix B22.a</t>
  </si>
  <si>
    <t>Program Experiences Survey In-Person Script-English</t>
  </si>
  <si>
    <t>Appendix B22.b</t>
  </si>
  <si>
    <t>Program Experiences Survey In-Person Script-Spanish</t>
  </si>
  <si>
    <t>Appendix B23.a</t>
  </si>
  <si>
    <t>Former WIC Participant Case Study Interview Invitation Telephone Script-English</t>
  </si>
  <si>
    <t>Appendix B23.b</t>
  </si>
  <si>
    <t>Former WIC Participant Case Study Interview Invitation Telephone Script-Spanish</t>
  </si>
  <si>
    <t>Appendix D3.</t>
  </si>
  <si>
    <t>State Agency Collection of WIC Participant and Applicant Contact Information   Phone Script</t>
  </si>
  <si>
    <t>Appendix D6.</t>
  </si>
  <si>
    <t>Appendix C9.a</t>
  </si>
  <si>
    <t>Certification Survey Information Letter from State Agencies-English</t>
  </si>
  <si>
    <t>Appendix C9.b</t>
  </si>
  <si>
    <t>Certification Survey Information Letter from State Agencies-Spanish</t>
  </si>
  <si>
    <t>Appendix C10.a</t>
  </si>
  <si>
    <t>Participant Consent Form-Certification Survey-English</t>
  </si>
  <si>
    <t>Appendix C10.b</t>
  </si>
  <si>
    <t>Participant Consent Form-Certification Survey-Spanish</t>
  </si>
  <si>
    <t>Denied WIC Applicant Information Letter from State Agencies-English</t>
  </si>
  <si>
    <t>Denied WIC Applicant Information Letter from State Agencies-Spanish</t>
  </si>
  <si>
    <t>Program Experiences Survey Invitation Postcard-English</t>
  </si>
  <si>
    <t>Program Experiences Survey Invitation Postcard-Spanish</t>
  </si>
  <si>
    <t>Program Experiences Survey Thank You Letter and Gift Card-English</t>
  </si>
  <si>
    <t>Program Experiences Survey Thank You Letter and Gift Card-Spanish</t>
  </si>
  <si>
    <t>Former WIC Participant Case Study Interview Thank You Letter and Gift Card-English</t>
  </si>
  <si>
    <t>Former WIC Participant Case Study Interview Thank You Letter and Gift Card-Spanish</t>
  </si>
  <si>
    <t>Estimates of Respondent Burden</t>
  </si>
  <si>
    <t>Appendix D4.X</t>
  </si>
  <si>
    <t>Federal Register 60-Day Notice: Public Comment X</t>
  </si>
  <si>
    <t>Appendix D5.X</t>
  </si>
  <si>
    <t>Federal Register 60-Day Notice: FNS’s Response to Public Comment X</t>
  </si>
  <si>
    <t>National Agricultural Statistics Service (NASS) Comments</t>
  </si>
  <si>
    <t>Do not include (for pretest and IRB only):</t>
  </si>
  <si>
    <t>D1.</t>
  </si>
  <si>
    <t>State Agency Survey Debriefing Interview Guide</t>
  </si>
  <si>
    <t>D2.</t>
  </si>
  <si>
    <t>Local Agency Survey Debriefing Interview Guide</t>
  </si>
  <si>
    <t>D3.</t>
  </si>
  <si>
    <t>D4.</t>
  </si>
  <si>
    <t>D5.</t>
  </si>
  <si>
    <t>D6.</t>
  </si>
  <si>
    <t>Annualized Cost to Respondents</t>
  </si>
  <si>
    <t xml:space="preserve">REPORTING </t>
  </si>
  <si>
    <t>RECORDKEEPING</t>
  </si>
  <si>
    <t>Denied Applicants Log</t>
  </si>
  <si>
    <t>Local WIC Agency Staff</t>
  </si>
  <si>
    <t>Grand Total (2018, 2019, 2020) Reporting and Recordkeeping</t>
  </si>
  <si>
    <t>Denied Applicant Log</t>
  </si>
  <si>
    <t>Participant Information Brochure-English</t>
  </si>
  <si>
    <t>Participant Information Brochure-Spanish</t>
  </si>
  <si>
    <t>Appendix  ID</t>
  </si>
  <si>
    <t>Appendix</t>
  </si>
  <si>
    <t>B3.a</t>
  </si>
  <si>
    <t>B3.b</t>
  </si>
  <si>
    <t>B3.c</t>
  </si>
  <si>
    <t>B3.d</t>
  </si>
  <si>
    <t>B4.a</t>
  </si>
  <si>
    <t>B4.b</t>
  </si>
  <si>
    <t>B4.c</t>
  </si>
  <si>
    <t>B4.d</t>
  </si>
  <si>
    <t>B5.a</t>
  </si>
  <si>
    <t>B5.b</t>
  </si>
  <si>
    <t>B5.c</t>
  </si>
  <si>
    <t>B5.d</t>
  </si>
  <si>
    <t>B6.a</t>
  </si>
  <si>
    <t>B6.b</t>
  </si>
  <si>
    <t>C11.a</t>
  </si>
  <si>
    <t>C11.b</t>
  </si>
  <si>
    <t>C12.a</t>
  </si>
  <si>
    <t>C12.b</t>
  </si>
  <si>
    <t>C13.a</t>
  </si>
  <si>
    <t>C13.b</t>
  </si>
  <si>
    <t>C14.a</t>
  </si>
  <si>
    <t>C14.b</t>
  </si>
  <si>
    <t>C15.a</t>
  </si>
  <si>
    <t>C15.b</t>
  </si>
  <si>
    <t>C16.a</t>
  </si>
  <si>
    <t>C16.b</t>
  </si>
  <si>
    <t>C17.a</t>
  </si>
  <si>
    <t>C17.b</t>
  </si>
  <si>
    <t>C18.a</t>
  </si>
  <si>
    <t>C18.b</t>
  </si>
  <si>
    <t>C19.a</t>
  </si>
  <si>
    <t>C19.b</t>
  </si>
  <si>
    <t>C20.a</t>
  </si>
  <si>
    <t>C20.b</t>
  </si>
  <si>
    <t>C21.a</t>
  </si>
  <si>
    <t>C21.b</t>
  </si>
  <si>
    <t>C22.a</t>
  </si>
  <si>
    <t>C22.b</t>
  </si>
  <si>
    <t>C23.a</t>
  </si>
  <si>
    <t>C23.b</t>
  </si>
  <si>
    <t>D9.a</t>
  </si>
  <si>
    <t>D9.b</t>
  </si>
  <si>
    <t>D10.a</t>
  </si>
  <si>
    <t>D10.b</t>
  </si>
  <si>
    <t>D11.a</t>
  </si>
  <si>
    <t>D11.b</t>
  </si>
  <si>
    <t>D12.a</t>
  </si>
  <si>
    <t>D12.b</t>
  </si>
  <si>
    <t>D13.a</t>
  </si>
  <si>
    <t>D13.b</t>
  </si>
  <si>
    <t>D14.a</t>
  </si>
  <si>
    <t>D14.b</t>
  </si>
  <si>
    <t>D15.a</t>
  </si>
  <si>
    <t>D15.b</t>
  </si>
  <si>
    <t>E3.X</t>
  </si>
  <si>
    <t>E4.X</t>
  </si>
  <si>
    <t>A3</t>
  </si>
  <si>
    <t>D1</t>
  </si>
  <si>
    <t>C9</t>
  </si>
  <si>
    <t>D2</t>
  </si>
  <si>
    <t>D3</t>
  </si>
  <si>
    <t>D4</t>
  </si>
  <si>
    <t>D5</t>
  </si>
  <si>
    <t>D6</t>
  </si>
  <si>
    <t>D7</t>
  </si>
  <si>
    <t>E1</t>
  </si>
  <si>
    <t>E2</t>
  </si>
  <si>
    <t>E5</t>
  </si>
  <si>
    <t>F1</t>
  </si>
  <si>
    <t>F2</t>
  </si>
  <si>
    <t>C10</t>
  </si>
  <si>
    <t>Program Experiences Survey Invitation Postcard</t>
  </si>
  <si>
    <t>Type</t>
  </si>
  <si>
    <t>F4a</t>
  </si>
  <si>
    <t>F4b</t>
  </si>
  <si>
    <t>F3a</t>
  </si>
  <si>
    <t>F3b</t>
  </si>
  <si>
    <t>Participant Information Brochure</t>
  </si>
  <si>
    <t>F5a</t>
  </si>
  <si>
    <t>F5b</t>
  </si>
  <si>
    <t>F6a</t>
  </si>
  <si>
    <t>F6b</t>
  </si>
  <si>
    <t>Appendix ID</t>
  </si>
  <si>
    <t>should match P197</t>
  </si>
  <si>
    <t>D8.a</t>
  </si>
  <si>
    <t>D8.b</t>
  </si>
  <si>
    <t>Deleted</t>
  </si>
  <si>
    <t>happening prior to OMB clearance and justified collecting preliminary info before OMB for pretest</t>
  </si>
  <si>
    <t>Certification Survey Debriefing Interview Guide-English</t>
  </si>
  <si>
    <t>Denied Applicant Survey Debriefing Interview Guide-English</t>
  </si>
  <si>
    <t>Program Experiences Survey Debriefing Interview Guide-English</t>
  </si>
  <si>
    <t>Former Participant Case Study Debriefing Interview Guide-English</t>
  </si>
  <si>
    <t>Certification Survey Debriefing Interview Guide-Spanish</t>
  </si>
  <si>
    <t>Denied Applicant Survey Debriefing Interview Guide-Spanish</t>
  </si>
  <si>
    <t>Program Experiences Survey Debriefing Interview Guide-Spanish</t>
  </si>
  <si>
    <t>Former Participant Case Study Debriefing Interview Guide-Spanish</t>
  </si>
  <si>
    <t>Appendix C3.</t>
  </si>
  <si>
    <t>Revised1</t>
  </si>
  <si>
    <t>Revised2</t>
  </si>
  <si>
    <t>D8</t>
  </si>
  <si>
    <t>D16.a</t>
  </si>
  <si>
    <t>D16.b</t>
  </si>
  <si>
    <t>F3.a</t>
  </si>
  <si>
    <t>F3.b</t>
  </si>
  <si>
    <t>F4.a</t>
  </si>
  <si>
    <t>F4.b</t>
  </si>
  <si>
    <t>F5.a</t>
  </si>
  <si>
    <t>F5.b</t>
  </si>
  <si>
    <t>F6.a</t>
  </si>
  <si>
    <t>F6.b</t>
  </si>
  <si>
    <t>D6.a</t>
  </si>
  <si>
    <t>D6.b</t>
  </si>
  <si>
    <t>D7.a</t>
  </si>
  <si>
    <t>D7.b</t>
  </si>
  <si>
    <t>Participant Consent Form-Denied Applicant Survey-English</t>
  </si>
  <si>
    <t>Participant Consent Form-Denied Applicant Survey-Spanish</t>
  </si>
  <si>
    <t>Estimated time per response (including participants and non-respondents) total</t>
  </si>
  <si>
    <t>Estimated time per response (including participants and non-respondents) reporting</t>
  </si>
  <si>
    <t>GRAND Total annual burden estimates (including participants and non-respondents)</t>
  </si>
  <si>
    <t>Reporting Total annual burden estimates (including participants and non-respondents)</t>
  </si>
  <si>
    <t>Estimated frequency of responses per respondent (including participants and non-respondents) total</t>
  </si>
  <si>
    <t>Estimated frequency of responses per respondent (including participants and non-respondents) reporting</t>
  </si>
  <si>
    <t>Appendix E5. Annualized Cost to Respondents</t>
  </si>
  <si>
    <t>B1.a, B1.b</t>
  </si>
  <si>
    <t>State Agency Administrative Data Request-Web</t>
  </si>
  <si>
    <t>B8</t>
  </si>
  <si>
    <t>Email to State Agencies from Regional Offices</t>
  </si>
  <si>
    <t>C24</t>
  </si>
  <si>
    <t>State Agency Reminder Email, 1</t>
  </si>
  <si>
    <t>C25</t>
  </si>
  <si>
    <t>State Agency Reminder Email, 2</t>
  </si>
  <si>
    <t>State Agency Reminder Email, 3</t>
  </si>
  <si>
    <t>State Agency Reminder Email, 4</t>
  </si>
  <si>
    <t>State Agency Reminder Email, 5</t>
  </si>
  <si>
    <t>State Agency Reminder Email, 6</t>
  </si>
  <si>
    <t>State Agency Reminder Email, 7</t>
  </si>
  <si>
    <t>C26</t>
  </si>
  <si>
    <t>State Agency Reminder Telephone Script, Call 7</t>
  </si>
  <si>
    <t>B2.a, B2.b</t>
  </si>
  <si>
    <t>Denied Applicant Log Request Email</t>
  </si>
  <si>
    <t>B7.a</t>
  </si>
  <si>
    <t>B7.b</t>
  </si>
  <si>
    <t>B7.c</t>
  </si>
  <si>
    <t>B3.a,</t>
  </si>
  <si>
    <t>B3.b,</t>
  </si>
  <si>
    <t>B3.c,</t>
  </si>
  <si>
    <t>C12.a,</t>
  </si>
  <si>
    <t>C13.a,</t>
  </si>
  <si>
    <t>C14.a,</t>
  </si>
  <si>
    <t>D6.a,</t>
  </si>
  <si>
    <t>D7.a,</t>
  </si>
  <si>
    <t>B4.a,</t>
  </si>
  <si>
    <t>B4.b,</t>
  </si>
  <si>
    <t>B4.c,</t>
  </si>
  <si>
    <t>C17.a,</t>
  </si>
  <si>
    <t>C18.a,</t>
  </si>
  <si>
    <t>D8.a,</t>
  </si>
  <si>
    <t>D9.a,</t>
  </si>
  <si>
    <t>C15.a, C15.b</t>
  </si>
  <si>
    <t xml:space="preserve">C11.a, C.11b </t>
  </si>
  <si>
    <t>C16.a, C16.b</t>
  </si>
  <si>
    <t>Denied Applicant Survey In-Person Invitation, Door Knock 1</t>
  </si>
  <si>
    <t>Participant Consent Form Denied Applicant Survey</t>
  </si>
  <si>
    <t>Certification Survey In-Person Invitation Script, Door Knock 1</t>
  </si>
  <si>
    <t>Certification Survey Invitation Telephone Script, Call 4</t>
  </si>
  <si>
    <t>Participant Consent Form Certification Survey</t>
  </si>
  <si>
    <t>Certification Survey Invitation Telephone Script, Call 7</t>
  </si>
  <si>
    <t>State Agency Reminder Telephone Script, Call 1</t>
  </si>
  <si>
    <t>State Agency Reminder Telephone Script, Call 2</t>
  </si>
  <si>
    <t>State Agency Reminder Telephone Script, Call 3</t>
  </si>
  <si>
    <t>State Agency Reminder Telephone Script, Call 4</t>
  </si>
  <si>
    <t>State Agency Reminder Telephone Script, Call 5</t>
  </si>
  <si>
    <t>State Agency Reminder Telephone Script, Call 6</t>
  </si>
  <si>
    <t>Denied Applicants Log Request Reminder Email</t>
  </si>
  <si>
    <t>Denied Applicants Log Request Reminder Telephone Script</t>
  </si>
  <si>
    <t>B7.d</t>
  </si>
  <si>
    <t>Year 1 Data Collection</t>
  </si>
  <si>
    <t>Year 1 Total</t>
  </si>
  <si>
    <t>Year 2 Data Collection</t>
  </si>
  <si>
    <t>Year 2 Total</t>
  </si>
  <si>
    <t>Year 3 Data Collection</t>
  </si>
  <si>
    <t>Year 3 Total</t>
  </si>
  <si>
    <t>Grand Total (Years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</si>
</sst>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
    <numFmt numFmtId="165" formatCode="0.0%"/>
    <numFmt numFmtId="166" formatCode="&quot;$&quot;#,##0.00"/>
  </numFmts>
  <fonts count="42" x14ac:knownFonts="1">
    <font>
      <sz val="11"/>
      <color theme="1"/>
      <name val="Calibri"/>
      <family val="2"/>
      <scheme val="minor"/>
    </font>
    <font>
      <sz val="11"/>
      <color theme="1"/>
      <name val="Calibri"/>
      <family val="2"/>
      <scheme val="minor"/>
    </font>
    <font>
      <b/>
      <sz val="9.5"/>
      <color theme="1"/>
      <name val="Arial Narrow"/>
      <family val="2"/>
    </font>
    <font>
      <b/>
      <sz val="9.5"/>
      <color rgb="FF000000"/>
      <name val="Arial Narrow"/>
      <family val="2"/>
    </font>
    <font>
      <sz val="9.5"/>
      <color rgb="FF000000"/>
      <name val="Arial Narrow"/>
      <family val="2"/>
    </font>
    <font>
      <sz val="9.5"/>
      <color theme="1"/>
      <name val="Arial Narrow"/>
      <family val="2"/>
    </font>
    <font>
      <sz val="9.5"/>
      <name val="Arial Narrow"/>
      <family val="2"/>
    </font>
    <font>
      <b/>
      <sz val="9.5"/>
      <name val="Arial Narrow"/>
      <family val="2"/>
    </font>
    <font>
      <sz val="9.5"/>
      <color rgb="FFFF0000"/>
      <name val="Arial Narrow"/>
      <family val="2"/>
    </font>
    <font>
      <sz val="11"/>
      <color rgb="FFFF00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u/>
      <sz val="11"/>
      <color theme="10"/>
      <name val="Calibri"/>
      <family val="2"/>
      <scheme val="minor"/>
    </font>
    <font>
      <b/>
      <sz val="18"/>
      <color theme="3"/>
      <name val="Cambria"/>
      <family val="2"/>
      <scheme val="major"/>
    </font>
    <font>
      <sz val="12"/>
      <color theme="1"/>
      <name val="Times New Roman"/>
      <family val="1"/>
    </font>
    <font>
      <strike/>
      <sz val="9.5"/>
      <color theme="1"/>
      <name val="Arial Narrow"/>
      <family val="2"/>
    </font>
    <font>
      <strike/>
      <sz val="9.5"/>
      <color rgb="FF000000"/>
      <name val="Arial Narrow"/>
      <family val="2"/>
    </font>
    <font>
      <strike/>
      <sz val="9.5"/>
      <name val="Arial Narrow"/>
      <family val="2"/>
    </font>
    <font>
      <sz val="10"/>
      <color theme="1"/>
      <name val="Calibri"/>
      <family val="2"/>
      <scheme val="minor"/>
    </font>
    <font>
      <sz val="11"/>
      <name val="Calibri"/>
      <family val="2"/>
      <scheme val="minor"/>
    </font>
    <font>
      <sz val="11"/>
      <color theme="0" tint="-0.34998626667073579"/>
      <name val="Calibri"/>
      <family val="2"/>
      <scheme val="minor"/>
    </font>
    <font>
      <b/>
      <u/>
      <sz val="11"/>
      <color theme="1"/>
      <name val="Arial Narrow"/>
      <family val="2"/>
    </font>
    <font>
      <u/>
      <sz val="11"/>
      <color theme="1"/>
      <name val="Arial Narrow"/>
      <family val="2"/>
    </font>
    <font>
      <sz val="11"/>
      <color theme="1"/>
      <name val="Arial Narrow"/>
      <family val="2"/>
    </font>
    <font>
      <b/>
      <sz val="11"/>
      <color theme="0"/>
      <name val="Arial Narrow"/>
      <family val="2"/>
    </font>
    <font>
      <b/>
      <sz val="9.5"/>
      <color theme="0"/>
      <name val="Arial Narrow"/>
      <family val="2"/>
    </font>
    <font>
      <strike/>
      <sz val="11"/>
      <color theme="1"/>
      <name val="Arial Narrow"/>
      <family val="2"/>
    </font>
    <font>
      <b/>
      <sz val="11"/>
      <color theme="1"/>
      <name val="Arial Narrow"/>
      <family val="2"/>
    </font>
  </fonts>
  <fills count="46">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rgb="FFFFFFFF"/>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
      <patternFill patternType="solid">
        <fgColor theme="0" tint="-0.249977111117893"/>
        <bgColor indexed="64"/>
      </patternFill>
    </fill>
    <fill>
      <patternFill patternType="solid">
        <fgColor rgb="FF909090"/>
        <bgColor indexed="64"/>
      </patternFill>
    </fill>
    <fill>
      <patternFill patternType="solid">
        <fgColor theme="1" tint="0.249977111117893"/>
        <bgColor indexed="64"/>
      </patternFill>
    </fill>
    <fill>
      <patternFill patternType="solid">
        <fgColor rgb="FFFFC000"/>
        <bgColor indexed="64"/>
      </patternFill>
    </fill>
    <fill>
      <patternFill patternType="solid">
        <fgColor theme="1"/>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medium">
        <color indexed="64"/>
      </right>
      <top style="thick">
        <color indexed="64"/>
      </top>
      <bottom style="thick">
        <color indexed="64"/>
      </bottom>
      <diagonal/>
    </border>
    <border>
      <left/>
      <right/>
      <top style="thick">
        <color indexed="64"/>
      </top>
      <bottom style="thick">
        <color indexed="64"/>
      </bottom>
      <diagonal/>
    </border>
    <border>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bottom/>
      <diagonal/>
    </border>
    <border>
      <left style="thick">
        <color indexed="64"/>
      </left>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bottom/>
      <diagonal/>
    </border>
    <border>
      <left/>
      <right style="medium">
        <color indexed="64"/>
      </right>
      <top style="thick">
        <color indexed="64"/>
      </top>
      <bottom style="medium">
        <color indexed="64"/>
      </bottom>
      <diagonal/>
    </border>
    <border>
      <left/>
      <right/>
      <top/>
      <bottom style="thick">
        <color indexed="64"/>
      </bottom>
      <diagonal/>
    </border>
    <border>
      <left style="medium">
        <color indexed="64"/>
      </left>
      <right/>
      <top style="medium">
        <color indexed="64"/>
      </top>
      <bottom style="thick">
        <color indexed="64"/>
      </bottom>
      <diagonal/>
    </border>
    <border>
      <left/>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s>
  <cellStyleXfs count="45">
    <xf numFmtId="0" fontId="0" fillId="0" borderId="0"/>
    <xf numFmtId="0" fontId="1" fillId="3" borderId="2" applyNumberFormat="0" applyFont="0" applyAlignment="0" applyProtection="0"/>
    <xf numFmtId="0" fontId="10" fillId="0" borderId="9" applyNumberFormat="0" applyFill="0" applyAlignment="0" applyProtection="0"/>
    <xf numFmtId="0" fontId="11" fillId="0" borderId="10" applyNumberFormat="0" applyFill="0" applyAlignment="0" applyProtection="0"/>
    <xf numFmtId="0" fontId="12" fillId="0" borderId="11" applyNumberFormat="0" applyFill="0" applyAlignment="0" applyProtection="0"/>
    <xf numFmtId="0" fontId="12" fillId="0" borderId="0" applyNumberFormat="0" applyFill="0" applyBorder="0" applyAlignment="0" applyProtection="0"/>
    <xf numFmtId="0" fontId="13" fillId="9" borderId="0" applyNumberFormat="0" applyBorder="0" applyAlignment="0" applyProtection="0"/>
    <xf numFmtId="0" fontId="14" fillId="10" borderId="0" applyNumberFormat="0" applyBorder="0" applyAlignment="0" applyProtection="0"/>
    <xf numFmtId="0" fontId="15" fillId="11" borderId="0" applyNumberFormat="0" applyBorder="0" applyAlignment="0" applyProtection="0"/>
    <xf numFmtId="0" fontId="16" fillId="12" borderId="12" applyNumberFormat="0" applyAlignment="0" applyProtection="0"/>
    <xf numFmtId="0" fontId="17" fillId="13" borderId="13" applyNumberFormat="0" applyAlignment="0" applyProtection="0"/>
    <xf numFmtId="0" fontId="18" fillId="13" borderId="12" applyNumberFormat="0" applyAlignment="0" applyProtection="0"/>
    <xf numFmtId="0" fontId="19" fillId="0" borderId="14" applyNumberFormat="0" applyFill="0" applyAlignment="0" applyProtection="0"/>
    <xf numFmtId="0" fontId="20" fillId="14" borderId="15" applyNumberFormat="0" applyAlignment="0" applyProtection="0"/>
    <xf numFmtId="0" fontId="9" fillId="0" borderId="0" applyNumberFormat="0" applyFill="0" applyBorder="0" applyAlignment="0" applyProtection="0"/>
    <xf numFmtId="0" fontId="21" fillId="0" borderId="0" applyNumberFormat="0" applyFill="0" applyBorder="0" applyAlignment="0" applyProtection="0"/>
    <xf numFmtId="0" fontId="22" fillId="0" borderId="16" applyNumberFormat="0" applyFill="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3" fillId="38" borderId="0" applyNumberFormat="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86">
    <xf numFmtId="0" fontId="0" fillId="0" borderId="0" xfId="0"/>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1"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5" fillId="0" borderId="0" xfId="0" applyFont="1"/>
    <xf numFmtId="2" fontId="5" fillId="0" borderId="0" xfId="0" applyNumberFormat="1" applyFont="1"/>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3" fontId="4" fillId="0"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1" xfId="1" applyFont="1" applyFill="1" applyBorder="1" applyAlignment="1">
      <alignment horizontal="center" vertical="center"/>
    </xf>
    <xf numFmtId="0" fontId="6"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wrapText="1"/>
    </xf>
    <xf numFmtId="1" fontId="6" fillId="4"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5" fillId="6" borderId="1" xfId="0" applyFont="1" applyFill="1" applyBorder="1" applyAlignment="1">
      <alignment vertical="center"/>
    </xf>
    <xf numFmtId="0" fontId="5" fillId="0" borderId="1" xfId="0" applyFont="1" applyBorder="1" applyAlignment="1">
      <alignment horizontal="center"/>
    </xf>
    <xf numFmtId="0" fontId="6" fillId="6" borderId="1" xfId="0" applyFont="1" applyFill="1" applyBorder="1" applyAlignment="1">
      <alignment vertical="center" wrapText="1"/>
    </xf>
    <xf numFmtId="0" fontId="6" fillId="0" borderId="1" xfId="0" applyFont="1" applyBorder="1" applyAlignment="1">
      <alignment horizontal="left" vertical="center" wrapText="1"/>
    </xf>
    <xf numFmtId="1" fontId="6" fillId="0" borderId="1"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 fontId="3" fillId="0"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3" fillId="7" borderId="1" xfId="0" applyFont="1" applyFill="1" applyBorder="1" applyAlignment="1">
      <alignment horizontal="left" vertical="center"/>
    </xf>
    <xf numFmtId="3"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xf>
    <xf numFmtId="2" fontId="6" fillId="7" borderId="1" xfId="0" applyNumberFormat="1" applyFont="1" applyFill="1" applyBorder="1" applyAlignment="1">
      <alignment horizontal="center" vertical="center"/>
    </xf>
    <xf numFmtId="2" fontId="4"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2" fillId="7" borderId="1" xfId="0" applyFont="1" applyFill="1" applyBorder="1" applyAlignment="1">
      <alignment horizontal="left" vertical="center"/>
    </xf>
    <xf numFmtId="1" fontId="6" fillId="7" borderId="1" xfId="0" applyNumberFormat="1" applyFont="1" applyFill="1" applyBorder="1" applyAlignment="1">
      <alignment horizontal="center" vertical="center" wrapText="1"/>
    </xf>
    <xf numFmtId="1"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3" fontId="4" fillId="7" borderId="1" xfId="0" applyNumberFormat="1" applyFont="1" applyFill="1" applyBorder="1" applyAlignment="1">
      <alignment horizontal="center" vertical="center"/>
    </xf>
    <xf numFmtId="0" fontId="6" fillId="7" borderId="1" xfId="1" applyFont="1" applyFill="1" applyBorder="1" applyAlignment="1">
      <alignment horizontal="center" vertical="center"/>
    </xf>
    <xf numFmtId="0" fontId="3" fillId="7" borderId="1" xfId="0" applyFont="1" applyFill="1" applyBorder="1" applyAlignment="1">
      <alignment horizontal="left" vertical="center" wrapText="1"/>
    </xf>
    <xf numFmtId="0" fontId="4" fillId="7" borderId="1" xfId="1" applyFont="1" applyFill="1" applyBorder="1" applyAlignment="1">
      <alignment horizontal="center" vertical="center"/>
    </xf>
    <xf numFmtId="0" fontId="8" fillId="0" borderId="0" xfId="0" applyFont="1" applyAlignment="1">
      <alignment horizontal="right"/>
    </xf>
    <xf numFmtId="0" fontId="6" fillId="0" borderId="1" xfId="0" applyFont="1" applyBorder="1" applyAlignment="1">
      <alignment horizontal="center"/>
    </xf>
    <xf numFmtId="1" fontId="2" fillId="0" borderId="1" xfId="0" applyNumberFormat="1" applyFont="1" applyFill="1" applyBorder="1" applyAlignment="1">
      <alignment horizontal="center"/>
    </xf>
    <xf numFmtId="1" fontId="2" fillId="0" borderId="1" xfId="1" applyNumberFormat="1" applyFont="1" applyFill="1" applyBorder="1" applyAlignment="1">
      <alignment horizontal="center" vertical="center"/>
    </xf>
    <xf numFmtId="1" fontId="0" fillId="0" borderId="0" xfId="0" applyNumberFormat="1"/>
    <xf numFmtId="1" fontId="6" fillId="0" borderId="1" xfId="0" applyNumberFormat="1" applyFont="1" applyFill="1" applyBorder="1" applyAlignment="1">
      <alignment horizontal="center" vertical="center"/>
    </xf>
    <xf numFmtId="0" fontId="5" fillId="0" borderId="1" xfId="0" applyFont="1" applyBorder="1" applyAlignment="1">
      <alignment wrapText="1"/>
    </xf>
    <xf numFmtId="2" fontId="5" fillId="0" borderId="1" xfId="0" applyNumberFormat="1" applyFont="1" applyBorder="1" applyAlignment="1">
      <alignment horizontal="center"/>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0" fontId="6" fillId="0" borderId="1" xfId="0" applyFont="1" applyBorder="1" applyAlignment="1">
      <alignment wrapText="1"/>
    </xf>
    <xf numFmtId="3" fontId="6" fillId="0" borderId="1" xfId="0" applyNumberFormat="1" applyFont="1" applyFill="1" applyBorder="1" applyAlignment="1">
      <alignment horizontal="center" vertical="center"/>
    </xf>
    <xf numFmtId="0" fontId="6" fillId="0" borderId="1" xfId="0" applyFont="1" applyFill="1" applyBorder="1" applyAlignment="1">
      <alignment wrapText="1"/>
    </xf>
    <xf numFmtId="1" fontId="5" fillId="0" borderId="0" xfId="0" applyNumberFormat="1" applyFont="1"/>
    <xf numFmtId="1" fontId="3" fillId="0" borderId="1" xfId="1"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3" fontId="3" fillId="0" borderId="1" xfId="1" applyNumberFormat="1" applyFont="1" applyFill="1" applyBorder="1" applyAlignment="1">
      <alignment horizontal="center" vertical="center"/>
    </xf>
    <xf numFmtId="0" fontId="6" fillId="6" borderId="1" xfId="0" applyFont="1" applyFill="1" applyBorder="1" applyAlignment="1">
      <alignment vertical="center"/>
    </xf>
    <xf numFmtId="1" fontId="2" fillId="0" borderId="1" xfId="0" applyNumberFormat="1" applyFont="1" applyFill="1" applyBorder="1" applyAlignment="1">
      <alignment horizontal="center" vertical="center"/>
    </xf>
    <xf numFmtId="0" fontId="5" fillId="0" borderId="0" xfId="0" applyFont="1" applyBorder="1"/>
    <xf numFmtId="1" fontId="4" fillId="0" borderId="0" xfId="0" applyNumberFormat="1" applyFont="1" applyFill="1" applyBorder="1" applyAlignment="1">
      <alignment horizontal="center" vertical="center"/>
    </xf>
    <xf numFmtId="0" fontId="0" fillId="0" borderId="0" xfId="0" applyBorder="1"/>
    <xf numFmtId="1" fontId="3" fillId="2" borderId="1" xfId="1" applyNumberFormat="1" applyFont="1" applyFill="1" applyBorder="1" applyAlignment="1">
      <alignment horizontal="center" vertical="center"/>
    </xf>
    <xf numFmtId="0" fontId="6" fillId="0" borderId="1" xfId="0" applyFont="1" applyFill="1" applyBorder="1" applyAlignment="1">
      <alignment horizontal="left" vertical="center"/>
    </xf>
    <xf numFmtId="0" fontId="2" fillId="0" borderId="1" xfId="0" applyFont="1" applyBorder="1" applyAlignment="1">
      <alignment horizontal="center"/>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1" fontId="2" fillId="0" borderId="1" xfId="0" applyNumberFormat="1" applyFont="1" applyBorder="1" applyAlignment="1">
      <alignment horizontal="center"/>
    </xf>
    <xf numFmtId="2" fontId="2" fillId="0" borderId="1" xfId="0" applyNumberFormat="1" applyFont="1" applyBorder="1" applyAlignment="1">
      <alignment horizontal="center"/>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26" fillId="0" borderId="0" xfId="41"/>
    <xf numFmtId="0" fontId="9" fillId="0" borderId="0" xfId="0" applyFont="1" applyAlignment="1">
      <alignment wrapText="1"/>
    </xf>
    <xf numFmtId="0" fontId="8" fillId="0" borderId="0" xfId="0" applyFont="1" applyAlignment="1">
      <alignment horizontal="right" wrapText="1"/>
    </xf>
    <xf numFmtId="0" fontId="0" fillId="0" borderId="0" xfId="0" applyAlignment="1"/>
    <xf numFmtId="0" fontId="0" fillId="0" borderId="0" xfId="0" applyAlignment="1">
      <alignment wrapText="1"/>
    </xf>
    <xf numFmtId="0" fontId="28" fillId="0" borderId="0" xfId="0" applyFont="1" applyAlignment="1">
      <alignment vertical="center"/>
    </xf>
    <xf numFmtId="2" fontId="9" fillId="0" borderId="0" xfId="0" applyNumberFormat="1" applyFont="1" applyAlignment="1">
      <alignment horizontal="right"/>
    </xf>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4" fillId="0" borderId="0" xfId="0" applyFont="1" applyAlignment="1">
      <alignment wrapText="1"/>
    </xf>
    <xf numFmtId="0" fontId="5" fillId="0" borderId="0" xfId="0" applyFont="1" applyAlignment="1">
      <alignment wrapText="1"/>
    </xf>
    <xf numFmtId="0" fontId="5" fillId="0" borderId="5" xfId="0" applyFont="1" applyBorder="1" applyAlignment="1">
      <alignment vertical="center" wrapText="1"/>
    </xf>
    <xf numFmtId="0" fontId="5" fillId="0" borderId="8" xfId="0" applyFont="1" applyBorder="1" applyAlignment="1">
      <alignment horizontal="center" vertical="center" wrapText="1"/>
    </xf>
    <xf numFmtId="165" fontId="5" fillId="0" borderId="5" xfId="0" applyNumberFormat="1" applyFont="1" applyBorder="1" applyAlignment="1">
      <alignment horizontal="left" vertical="center" wrapText="1"/>
    </xf>
    <xf numFmtId="0" fontId="2" fillId="0" borderId="0" xfId="0" applyFont="1" applyAlignment="1"/>
    <xf numFmtId="0" fontId="2" fillId="0" borderId="0" xfId="0" applyFont="1"/>
    <xf numFmtId="0" fontId="3" fillId="0" borderId="0" xfId="0" applyFont="1"/>
    <xf numFmtId="8" fontId="0" fillId="0" borderId="0" xfId="0" applyNumberFormat="1"/>
    <xf numFmtId="0" fontId="5" fillId="0" borderId="0" xfId="0" applyFont="1" applyBorder="1" applyAlignment="1">
      <alignment horizontal="right" vertical="center" wrapText="1"/>
    </xf>
    <xf numFmtId="6" fontId="8" fillId="0" borderId="0" xfId="0" applyNumberFormat="1" applyFont="1" applyBorder="1" applyAlignment="1">
      <alignment vertical="center" wrapText="1"/>
    </xf>
    <xf numFmtId="165" fontId="5" fillId="0" borderId="0" xfId="0" applyNumberFormat="1" applyFont="1" applyBorder="1" applyAlignment="1">
      <alignment horizontal="left" vertical="center" wrapText="1"/>
    </xf>
    <xf numFmtId="0" fontId="29" fillId="0" borderId="5" xfId="0" applyFont="1" applyBorder="1" applyAlignment="1">
      <alignment vertical="center" wrapText="1"/>
    </xf>
    <xf numFmtId="6" fontId="30" fillId="0" borderId="1" xfId="0" applyNumberFormat="1" applyFont="1" applyBorder="1"/>
    <xf numFmtId="165" fontId="29" fillId="0" borderId="5" xfId="0" applyNumberFormat="1" applyFont="1" applyBorder="1" applyAlignment="1">
      <alignment horizontal="left" vertical="center" wrapText="1"/>
    </xf>
    <xf numFmtId="0" fontId="29" fillId="0" borderId="5" xfId="0" applyFont="1" applyBorder="1" applyAlignment="1">
      <alignment horizontal="right" vertical="center" wrapText="1"/>
    </xf>
    <xf numFmtId="6" fontId="31" fillId="0" borderId="1" xfId="0" applyNumberFormat="1" applyFont="1" applyBorder="1" applyAlignment="1">
      <alignment vertical="center" wrapText="1"/>
    </xf>
    <xf numFmtId="6" fontId="6" fillId="0" borderId="1" xfId="0" applyNumberFormat="1" applyFont="1" applyBorder="1" applyAlignment="1">
      <alignment vertical="center" wrapText="1"/>
    </xf>
    <xf numFmtId="0" fontId="0" fillId="0" borderId="0" xfId="0" applyFill="1"/>
    <xf numFmtId="0" fontId="3" fillId="0" borderId="0" xfId="0" applyFont="1" applyFill="1" applyBorder="1" applyAlignment="1">
      <alignment horizontal="center" vertical="center" wrapText="1"/>
    </xf>
    <xf numFmtId="2" fontId="9" fillId="40" borderId="0" xfId="0" applyNumberFormat="1" applyFont="1" applyFill="1" applyAlignment="1">
      <alignment horizontal="right"/>
    </xf>
    <xf numFmtId="0" fontId="4" fillId="40" borderId="0" xfId="0" applyFont="1" applyFill="1" applyBorder="1" applyAlignment="1">
      <alignment horizontal="center" vertical="center" wrapText="1"/>
    </xf>
    <xf numFmtId="1" fontId="0" fillId="40" borderId="0" xfId="0" applyNumberFormat="1" applyFill="1" applyAlignment="1">
      <alignment horizontal="center"/>
    </xf>
    <xf numFmtId="1" fontId="0" fillId="40" borderId="0" xfId="0" applyNumberFormat="1" applyFill="1"/>
    <xf numFmtId="3" fontId="0" fillId="40" borderId="0" xfId="0" applyNumberFormat="1" applyFill="1" applyAlignment="1">
      <alignment horizontal="right"/>
    </xf>
    <xf numFmtId="164" fontId="0" fillId="40" borderId="0" xfId="0" applyNumberFormat="1" applyFill="1" applyAlignment="1">
      <alignment horizontal="right"/>
    </xf>
    <xf numFmtId="2" fontId="0" fillId="40" borderId="0" xfId="0" applyNumberFormat="1" applyFill="1" applyAlignment="1">
      <alignment horizontal="right"/>
    </xf>
    <xf numFmtId="0" fontId="0" fillId="40" borderId="0" xfId="0" applyFill="1"/>
    <xf numFmtId="0" fontId="0" fillId="0" borderId="25" xfId="0" applyBorder="1"/>
    <xf numFmtId="2" fontId="2" fillId="0" borderId="17" xfId="0" applyNumberFormat="1" applyFont="1" applyBorder="1" applyAlignment="1">
      <alignment horizontal="center" vertical="center"/>
    </xf>
    <xf numFmtId="166" fontId="2" fillId="0" borderId="17" xfId="0" applyNumberFormat="1" applyFont="1" applyFill="1" applyBorder="1" applyAlignme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2"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2" fillId="0" borderId="1" xfId="0" applyFont="1" applyBorder="1" applyAlignment="1">
      <alignment horizontal="center"/>
    </xf>
    <xf numFmtId="2" fontId="2" fillId="0" borderId="17" xfId="0" applyNumberFormat="1" applyFont="1" applyFill="1" applyBorder="1" applyAlignment="1">
      <alignment horizontal="center" vertical="center" wrapText="1"/>
    </xf>
    <xf numFmtId="0" fontId="2" fillId="7" borderId="5" xfId="0" applyFont="1" applyFill="1" applyBorder="1" applyAlignment="1">
      <alignment vertical="center"/>
    </xf>
    <xf numFmtId="1" fontId="4" fillId="7" borderId="5" xfId="0" applyNumberFormat="1" applyFont="1" applyFill="1" applyBorder="1" applyAlignment="1">
      <alignment horizontal="center" vertical="center" wrapText="1"/>
    </xf>
    <xf numFmtId="1" fontId="4" fillId="7" borderId="5" xfId="0" applyNumberFormat="1" applyFont="1" applyFill="1" applyBorder="1" applyAlignment="1">
      <alignment horizontal="center" vertical="center"/>
    </xf>
    <xf numFmtId="0" fontId="4" fillId="7" borderId="5" xfId="0" applyFont="1" applyFill="1" applyBorder="1" applyAlignment="1">
      <alignment horizontal="center" vertical="center"/>
    </xf>
    <xf numFmtId="2" fontId="6" fillId="7" borderId="5" xfId="0" applyNumberFormat="1" applyFont="1" applyFill="1" applyBorder="1" applyAlignment="1">
      <alignment horizontal="center" vertical="center"/>
    </xf>
    <xf numFmtId="2" fontId="4" fillId="7" borderId="5" xfId="0" applyNumberFormat="1" applyFont="1" applyFill="1" applyBorder="1" applyAlignment="1">
      <alignment horizontal="center" vertical="center"/>
    </xf>
    <xf numFmtId="1" fontId="2" fillId="0" borderId="4" xfId="0" applyNumberFormat="1" applyFont="1" applyBorder="1" applyAlignment="1">
      <alignment horizontal="center"/>
    </xf>
    <xf numFmtId="2" fontId="2" fillId="0" borderId="4" xfId="0" applyNumberFormat="1" applyFont="1" applyBorder="1" applyAlignment="1">
      <alignment horizontal="center"/>
    </xf>
    <xf numFmtId="3" fontId="2" fillId="0" borderId="4" xfId="0" applyNumberFormat="1" applyFont="1" applyBorder="1" applyAlignment="1">
      <alignment horizontal="center"/>
    </xf>
    <xf numFmtId="0" fontId="32" fillId="0" borderId="0" xfId="0" applyFont="1" applyAlignment="1">
      <alignment vertical="center"/>
    </xf>
    <xf numFmtId="0" fontId="26" fillId="0" borderId="0" xfId="41" applyAlignment="1">
      <alignment vertical="center"/>
    </xf>
    <xf numFmtId="0" fontId="22" fillId="0" borderId="0" xfId="0" applyFont="1"/>
    <xf numFmtId="2" fontId="33" fillId="0" borderId="0" xfId="0" applyNumberFormat="1" applyFont="1" applyAlignment="1">
      <alignment horizontal="right"/>
    </xf>
    <xf numFmtId="0" fontId="33" fillId="0" borderId="0" xfId="0" applyFont="1" applyFill="1"/>
    <xf numFmtId="0" fontId="34" fillId="0" borderId="0" xfId="0" applyFont="1" applyFill="1"/>
    <xf numFmtId="166" fontId="0" fillId="0" borderId="0" xfId="0" applyNumberFormat="1"/>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33" fillId="0" borderId="0" xfId="0" applyFont="1"/>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0" fontId="0" fillId="0" borderId="0" xfId="0"/>
    <xf numFmtId="1" fontId="0" fillId="0" borderId="0" xfId="0" applyNumberFormat="1"/>
    <xf numFmtId="1" fontId="0" fillId="0" borderId="0" xfId="0" applyNumberFormat="1" applyAlignment="1">
      <alignment horizontal="center"/>
    </xf>
    <xf numFmtId="3" fontId="0" fillId="0" borderId="0" xfId="0" applyNumberFormat="1" applyAlignment="1">
      <alignment horizontal="right"/>
    </xf>
    <xf numFmtId="2" fontId="0" fillId="0" borderId="0" xfId="0" applyNumberFormat="1" applyAlignment="1">
      <alignment horizontal="right"/>
    </xf>
    <xf numFmtId="164" fontId="0" fillId="0" borderId="0" xfId="0" applyNumberFormat="1" applyAlignment="1">
      <alignment horizontal="right"/>
    </xf>
    <xf numFmtId="166" fontId="9" fillId="40" borderId="0" xfId="0" applyNumberFormat="1" applyFont="1" applyFill="1"/>
    <xf numFmtId="9" fontId="0" fillId="0" borderId="0" xfId="43" applyFont="1"/>
    <xf numFmtId="9" fontId="0" fillId="0" borderId="0" xfId="0" applyNumberFormat="1"/>
    <xf numFmtId="2" fontId="6" fillId="0" borderId="0" xfId="0" applyNumberFormat="1" applyFont="1"/>
    <xf numFmtId="0" fontId="5" fillId="0" borderId="1" xfId="0" applyFont="1" applyFill="1" applyBorder="1" applyAlignment="1">
      <alignment horizontal="center" vertical="center" wrapText="1"/>
    </xf>
    <xf numFmtId="0" fontId="35" fillId="0" borderId="0" xfId="0" applyFont="1" applyAlignment="1">
      <alignment vertical="center"/>
    </xf>
    <xf numFmtId="0" fontId="35" fillId="0" borderId="0" xfId="0" applyFont="1" applyFill="1" applyAlignment="1">
      <alignment vertical="center"/>
    </xf>
    <xf numFmtId="0" fontId="35" fillId="0" borderId="0" xfId="0" applyFont="1"/>
    <xf numFmtId="0" fontId="36" fillId="0" borderId="0" xfId="0" applyFont="1" applyFill="1" applyAlignment="1">
      <alignment vertical="center"/>
    </xf>
    <xf numFmtId="0" fontId="37" fillId="0" borderId="0" xfId="0" applyFont="1" applyAlignment="1">
      <alignment vertical="center"/>
    </xf>
    <xf numFmtId="0" fontId="37" fillId="0" borderId="0" xfId="0" applyFont="1" applyFill="1" applyAlignment="1">
      <alignment vertical="center"/>
    </xf>
    <xf numFmtId="0" fontId="37" fillId="0" borderId="0" xfId="0" applyFont="1"/>
    <xf numFmtId="0" fontId="37" fillId="0" borderId="0" xfId="0" applyFont="1" applyFill="1"/>
    <xf numFmtId="0" fontId="0" fillId="0" borderId="0" xfId="0" applyFont="1"/>
    <xf numFmtId="2" fontId="5" fillId="0" borderId="1" xfId="0" applyNumberFormat="1" applyFont="1" applyFill="1" applyBorder="1" applyAlignment="1">
      <alignment horizontal="center" vertical="center" wrapText="1"/>
    </xf>
    <xf numFmtId="0" fontId="23" fillId="0" borderId="0" xfId="0" applyFont="1" applyFill="1" applyBorder="1" applyAlignment="1"/>
    <xf numFmtId="2" fontId="2" fillId="0" borderId="3" xfId="0" applyNumberFormat="1" applyFont="1" applyBorder="1" applyAlignment="1">
      <alignment horizontal="center" vertical="center"/>
    </xf>
    <xf numFmtId="0" fontId="5" fillId="44" borderId="1" xfId="0" applyFont="1" applyFill="1" applyBorder="1" applyAlignment="1">
      <alignment horizontal="center" vertical="center" wrapText="1"/>
    </xf>
    <xf numFmtId="2" fontId="3" fillId="0" borderId="22"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40" fillId="40" borderId="0" xfId="0" applyFont="1" applyFill="1" applyAlignment="1">
      <alignment vertical="center"/>
    </xf>
    <xf numFmtId="0" fontId="40" fillId="40" borderId="0" xfId="0" applyFont="1" applyFill="1"/>
    <xf numFmtId="0" fontId="41" fillId="0" borderId="0" xfId="0" applyFont="1"/>
    <xf numFmtId="0" fontId="41" fillId="0" borderId="0" xfId="0" applyFont="1" applyFill="1"/>
    <xf numFmtId="0" fontId="4" fillId="7" borderId="6" xfId="0" applyFont="1" applyFill="1" applyBorder="1" applyAlignment="1">
      <alignment horizontal="left" vertical="center"/>
    </xf>
    <xf numFmtId="0" fontId="4" fillId="7" borderId="7" xfId="0" applyFont="1" applyFill="1" applyBorder="1" applyAlignment="1">
      <alignment horizontal="left" vertical="center"/>
    </xf>
    <xf numFmtId="0" fontId="4" fillId="7" borderId="8" xfId="0" applyFont="1" applyFill="1" applyBorder="1" applyAlignment="1">
      <alignment horizontal="left" vertical="center" wrapText="1"/>
    </xf>
    <xf numFmtId="0" fontId="4" fillId="7" borderId="39" xfId="0" applyFont="1" applyFill="1" applyBorder="1" applyAlignment="1">
      <alignment horizontal="left" vertical="center"/>
    </xf>
    <xf numFmtId="0" fontId="4" fillId="7" borderId="36" xfId="0" applyFont="1" applyFill="1" applyBorder="1" applyAlignment="1">
      <alignment horizontal="left" vertical="center"/>
    </xf>
    <xf numFmtId="0" fontId="4" fillId="7" borderId="30" xfId="0" applyFont="1" applyFill="1" applyBorder="1" applyAlignment="1">
      <alignment horizontal="left" vertical="center" wrapText="1"/>
    </xf>
    <xf numFmtId="0" fontId="4" fillId="6" borderId="6" xfId="0" applyFont="1" applyFill="1" applyBorder="1" applyAlignment="1">
      <alignment horizontal="left" vertical="center"/>
    </xf>
    <xf numFmtId="0" fontId="6" fillId="6" borderId="7"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0" fillId="0" borderId="0" xfId="0" applyFont="1" applyFill="1" applyAlignment="1">
      <alignment vertical="center"/>
    </xf>
    <xf numFmtId="0" fontId="6" fillId="7" borderId="6" xfId="0" applyFont="1" applyFill="1" applyBorder="1" applyAlignment="1">
      <alignment horizontal="left" vertical="center"/>
    </xf>
    <xf numFmtId="0" fontId="6" fillId="7" borderId="7" xfId="0" applyFont="1" applyFill="1" applyBorder="1" applyAlignment="1">
      <alignment horizontal="left" vertical="center"/>
    </xf>
    <xf numFmtId="0" fontId="6" fillId="7" borderId="8" xfId="0" applyFont="1" applyFill="1" applyBorder="1" applyAlignment="1">
      <alignment horizontal="left" vertical="center" wrapText="1"/>
    </xf>
    <xf numFmtId="0" fontId="5" fillId="7" borderId="6"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wrapText="1"/>
    </xf>
    <xf numFmtId="0" fontId="5" fillId="7" borderId="6" xfId="0" applyFont="1" applyFill="1" applyBorder="1" applyAlignment="1">
      <alignment vertical="center"/>
    </xf>
    <xf numFmtId="0" fontId="5" fillId="7" borderId="7" xfId="0" applyFont="1" applyFill="1" applyBorder="1" applyAlignment="1">
      <alignment vertical="center"/>
    </xf>
    <xf numFmtId="0" fontId="5" fillId="7" borderId="8" xfId="0" applyFont="1" applyFill="1" applyBorder="1" applyAlignment="1">
      <alignment vertical="center" wrapText="1"/>
    </xf>
    <xf numFmtId="3" fontId="2" fillId="0" borderId="1" xfId="0" applyNumberFormat="1" applyFont="1" applyBorder="1" applyAlignment="1">
      <alignment horizontal="center"/>
    </xf>
    <xf numFmtId="0" fontId="0" fillId="3" borderId="2" xfId="1" applyFont="1" applyBorder="1"/>
    <xf numFmtId="0" fontId="22" fillId="0" borderId="25" xfId="0" applyFont="1" applyBorder="1"/>
    <xf numFmtId="0" fontId="5" fillId="0" borderId="3" xfId="0" applyFont="1" applyFill="1" applyBorder="1" applyAlignment="1">
      <alignment horizontal="center" vertical="center" wrapText="1"/>
    </xf>
    <xf numFmtId="0" fontId="4" fillId="7" borderId="7" xfId="0" applyFont="1" applyFill="1" applyBorder="1" applyAlignment="1">
      <alignment horizontal="left" vertical="center"/>
    </xf>
    <xf numFmtId="0" fontId="5" fillId="6" borderId="0" xfId="0" applyFont="1" applyFill="1" applyBorder="1"/>
    <xf numFmtId="0" fontId="5" fillId="7" borderId="6" xfId="0" applyFont="1" applyFill="1" applyBorder="1"/>
    <xf numFmtId="0" fontId="5" fillId="7" borderId="7" xfId="0" applyFont="1" applyFill="1" applyBorder="1"/>
    <xf numFmtId="0" fontId="5" fillId="7" borderId="8" xfId="0" applyFont="1" applyFill="1" applyBorder="1"/>
    <xf numFmtId="0" fontId="5" fillId="6" borderId="28" xfId="0" applyFont="1" applyFill="1" applyBorder="1"/>
    <xf numFmtId="0" fontId="5" fillId="6" borderId="29" xfId="0" applyFont="1" applyFill="1" applyBorder="1"/>
    <xf numFmtId="0" fontId="5" fillId="6" borderId="32" xfId="0" applyFont="1" applyFill="1" applyBorder="1"/>
    <xf numFmtId="0" fontId="5" fillId="6" borderId="36" xfId="0" applyFont="1" applyFill="1" applyBorder="1"/>
    <xf numFmtId="0" fontId="5" fillId="6" borderId="30" xfId="0" applyFont="1" applyFill="1" applyBorder="1"/>
    <xf numFmtId="0" fontId="5" fillId="6" borderId="7" xfId="0" applyFont="1" applyFill="1" applyBorder="1"/>
    <xf numFmtId="0" fontId="5" fillId="6" borderId="8" xfId="0" applyFont="1" applyFill="1" applyBorder="1"/>
    <xf numFmtId="2" fontId="5" fillId="0" borderId="21" xfId="0" applyNumberFormat="1" applyFont="1" applyBorder="1"/>
    <xf numFmtId="2" fontId="5" fillId="0" borderId="1" xfId="0" applyNumberFormat="1" applyFont="1" applyBorder="1"/>
    <xf numFmtId="2" fontId="5" fillId="0" borderId="20" xfId="0" applyNumberFormat="1" applyFont="1" applyBorder="1"/>
    <xf numFmtId="2" fontId="5" fillId="0" borderId="6" xfId="0" applyNumberFormat="1" applyFont="1" applyBorder="1"/>
    <xf numFmtId="2" fontId="5" fillId="7" borderId="6" xfId="0" applyNumberFormat="1" applyFont="1" applyFill="1" applyBorder="1"/>
    <xf numFmtId="2" fontId="5" fillId="0" borderId="35" xfId="0" applyNumberFormat="1" applyFont="1" applyBorder="1"/>
    <xf numFmtId="2" fontId="5" fillId="7" borderId="43" xfId="0" applyNumberFormat="1" applyFont="1" applyFill="1" applyBorder="1"/>
    <xf numFmtId="44" fontId="5" fillId="6" borderId="21" xfId="44" applyFont="1" applyFill="1" applyBorder="1"/>
    <xf numFmtId="44" fontId="5" fillId="6" borderId="1" xfId="44" applyFont="1" applyFill="1" applyBorder="1"/>
    <xf numFmtId="44" fontId="5" fillId="7" borderId="1" xfId="44" applyFont="1" applyFill="1" applyBorder="1"/>
    <xf numFmtId="44" fontId="5" fillId="7" borderId="21" xfId="44" applyFont="1" applyFill="1" applyBorder="1"/>
    <xf numFmtId="2" fontId="5" fillId="7" borderId="1" xfId="0" applyNumberFormat="1" applyFont="1" applyFill="1" applyBorder="1"/>
    <xf numFmtId="44" fontId="5" fillId="6" borderId="20" xfId="44" applyFont="1" applyFill="1" applyBorder="1"/>
    <xf numFmtId="44" fontId="2" fillId="0" borderId="3" xfId="44" applyFont="1" applyBorder="1" applyAlignment="1">
      <alignment horizontal="center" vertical="center"/>
    </xf>
    <xf numFmtId="44" fontId="5" fillId="7" borderId="21" xfId="0" applyNumberFormat="1" applyFont="1" applyFill="1" applyBorder="1"/>
    <xf numFmtId="44" fontId="5" fillId="6" borderId="1" xfId="0" applyNumberFormat="1" applyFont="1" applyFill="1" applyBorder="1"/>
    <xf numFmtId="44" fontId="5" fillId="7" borderId="1" xfId="0" applyNumberFormat="1" applyFont="1" applyFill="1" applyBorder="1"/>
    <xf numFmtId="2" fontId="5" fillId="0" borderId="27" xfId="0" applyNumberFormat="1" applyFont="1" applyBorder="1"/>
    <xf numFmtId="2" fontId="2" fillId="0" borderId="1" xfId="0" applyNumberFormat="1" applyFont="1" applyBorder="1" applyAlignment="1">
      <alignment horizontal="center" vertical="center"/>
    </xf>
    <xf numFmtId="44" fontId="5" fillId="0" borderId="21" xfId="0" applyNumberFormat="1" applyFont="1" applyBorder="1"/>
    <xf numFmtId="44" fontId="5" fillId="0" borderId="1" xfId="0" applyNumberFormat="1" applyFont="1" applyBorder="1"/>
    <xf numFmtId="44" fontId="5" fillId="0" borderId="20" xfId="0" applyNumberFormat="1" applyFont="1" applyBorder="1"/>
    <xf numFmtId="166" fontId="2" fillId="45" borderId="17" xfId="0" applyNumberFormat="1" applyFont="1" applyFill="1" applyBorder="1" applyAlignment="1">
      <alignment horizontal="right" vertical="center"/>
    </xf>
    <xf numFmtId="2" fontId="3" fillId="45" borderId="22" xfId="0" applyNumberFormat="1" applyFont="1" applyFill="1" applyBorder="1" applyAlignment="1">
      <alignment horizontal="center" vertical="center"/>
    </xf>
    <xf numFmtId="44" fontId="3" fillId="0" borderId="22" xfId="44" applyFont="1" applyFill="1" applyBorder="1" applyAlignment="1">
      <alignment horizontal="center" vertical="center"/>
    </xf>
    <xf numFmtId="44" fontId="2" fillId="0" borderId="17" xfId="44" applyFont="1" applyBorder="1" applyAlignment="1">
      <alignment vertical="center"/>
    </xf>
    <xf numFmtId="0" fontId="3" fillId="2" borderId="1" xfId="0" applyFont="1" applyFill="1" applyBorder="1" applyAlignment="1">
      <alignment horizontal="right" vertical="center"/>
    </xf>
    <xf numFmtId="0" fontId="38" fillId="43" borderId="36" xfId="0" applyFont="1" applyFill="1" applyBorder="1" applyAlignment="1">
      <alignment horizontal="center"/>
    </xf>
    <xf numFmtId="0" fontId="23" fillId="43" borderId="36" xfId="0" applyFont="1" applyFill="1" applyBorder="1" applyAlignment="1">
      <alignment horizontal="center"/>
    </xf>
    <xf numFmtId="0" fontId="23" fillId="43" borderId="30" xfId="0" applyFont="1" applyFill="1" applyBorder="1" applyAlignment="1">
      <alignment horizontal="center"/>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6" borderId="6" xfId="0" applyFont="1" applyFill="1" applyBorder="1" applyAlignment="1">
      <alignment horizontal="right" vertical="center" wrapText="1"/>
    </xf>
    <xf numFmtId="0" fontId="5" fillId="6" borderId="7" xfId="0" applyFont="1" applyFill="1" applyBorder="1" applyAlignment="1">
      <alignment horizontal="right" vertical="center" wrapText="1"/>
    </xf>
    <xf numFmtId="0" fontId="6" fillId="6" borderId="6" xfId="0" applyFont="1" applyFill="1" applyBorder="1" applyAlignment="1">
      <alignment horizontal="right" vertical="center"/>
    </xf>
    <xf numFmtId="0" fontId="6" fillId="6" borderId="7" xfId="0" applyFont="1" applyFill="1" applyBorder="1" applyAlignment="1">
      <alignment horizontal="right" vertical="center"/>
    </xf>
    <xf numFmtId="0" fontId="5" fillId="6" borderId="28" xfId="0" applyFont="1" applyFill="1" applyBorder="1" applyAlignment="1">
      <alignment horizontal="left" vertical="center"/>
    </xf>
    <xf numFmtId="0" fontId="5" fillId="6" borderId="29" xfId="0" applyFont="1" applyFill="1" applyBorder="1" applyAlignment="1">
      <alignment horizontal="left" vertical="center"/>
    </xf>
    <xf numFmtId="0" fontId="5" fillId="6" borderId="0" xfId="0" applyFont="1" applyFill="1" applyBorder="1" applyAlignment="1">
      <alignment horizontal="left" vertical="center"/>
    </xf>
    <xf numFmtId="0" fontId="5" fillId="6" borderId="32" xfId="0" applyFont="1" applyFill="1" applyBorder="1" applyAlignment="1">
      <alignment horizontal="left" vertical="center"/>
    </xf>
    <xf numFmtId="0" fontId="5" fillId="6" borderId="36" xfId="0" applyFont="1" applyFill="1" applyBorder="1" applyAlignment="1">
      <alignment horizontal="left" vertical="center"/>
    </xf>
    <xf numFmtId="0" fontId="5" fillId="6" borderId="30" xfId="0" applyFont="1" applyFill="1" applyBorder="1" applyAlignment="1">
      <alignment horizontal="left" vertical="center"/>
    </xf>
    <xf numFmtId="0" fontId="4" fillId="6" borderId="7" xfId="0" applyFont="1" applyFill="1" applyBorder="1" applyAlignment="1">
      <alignment horizontal="left" vertical="center"/>
    </xf>
    <xf numFmtId="0" fontId="4" fillId="6" borderId="8" xfId="0" applyFont="1" applyFill="1" applyBorder="1" applyAlignment="1">
      <alignment horizontal="left" vertical="center"/>
    </xf>
    <xf numFmtId="0" fontId="6" fillId="6" borderId="7" xfId="0" applyFont="1" applyFill="1" applyBorder="1" applyAlignment="1">
      <alignment horizontal="left" vertical="center"/>
    </xf>
    <xf numFmtId="0" fontId="6" fillId="6" borderId="8" xfId="0" applyFont="1" applyFill="1" applyBorder="1" applyAlignment="1">
      <alignment horizontal="left" vertical="center"/>
    </xf>
    <xf numFmtId="0" fontId="6" fillId="6" borderId="27" xfId="0" applyFont="1" applyFill="1" applyBorder="1" applyAlignment="1">
      <alignment horizontal="right" vertical="center" wrapText="1"/>
    </xf>
    <xf numFmtId="0" fontId="6" fillId="6" borderId="28" xfId="0" applyFont="1" applyFill="1" applyBorder="1" applyAlignment="1">
      <alignment horizontal="right" vertical="center" wrapText="1"/>
    </xf>
    <xf numFmtId="0" fontId="6" fillId="6" borderId="25" xfId="0" applyFont="1" applyFill="1" applyBorder="1" applyAlignment="1">
      <alignment horizontal="right" vertical="center" wrapText="1"/>
    </xf>
    <xf numFmtId="0" fontId="6" fillId="6" borderId="0" xfId="0" applyFont="1" applyFill="1" applyBorder="1" applyAlignment="1">
      <alignment horizontal="right" vertical="center" wrapText="1"/>
    </xf>
    <xf numFmtId="0" fontId="6" fillId="6" borderId="39" xfId="0" applyFont="1" applyFill="1" applyBorder="1" applyAlignment="1">
      <alignment horizontal="right" vertical="center" wrapText="1"/>
    </xf>
    <xf numFmtId="0" fontId="6" fillId="6" borderId="36" xfId="0" applyFont="1" applyFill="1" applyBorder="1" applyAlignment="1">
      <alignment horizontal="right" vertical="center" wrapText="1"/>
    </xf>
    <xf numFmtId="0" fontId="5" fillId="6" borderId="27" xfId="0" applyFont="1" applyFill="1" applyBorder="1" applyAlignment="1">
      <alignment horizontal="right" vertical="center" wrapText="1"/>
    </xf>
    <xf numFmtId="0" fontId="5" fillId="6" borderId="28" xfId="0" applyFont="1" applyFill="1" applyBorder="1" applyAlignment="1">
      <alignment horizontal="right" vertical="center" wrapText="1"/>
    </xf>
    <xf numFmtId="0" fontId="5" fillId="6" borderId="39" xfId="0" applyFont="1" applyFill="1" applyBorder="1" applyAlignment="1">
      <alignment horizontal="right" vertical="center" wrapText="1"/>
    </xf>
    <xf numFmtId="0" fontId="5" fillId="6" borderId="36" xfId="0" applyFont="1" applyFill="1" applyBorder="1" applyAlignment="1">
      <alignment horizontal="right" vertical="center" wrapText="1"/>
    </xf>
    <xf numFmtId="0" fontId="6" fillId="6" borderId="6" xfId="0" applyFont="1" applyFill="1" applyBorder="1" applyAlignment="1">
      <alignment horizontal="right" vertical="center" wrapText="1"/>
    </xf>
    <xf numFmtId="0" fontId="6" fillId="6" borderId="7" xfId="0" applyFont="1" applyFill="1" applyBorder="1" applyAlignment="1">
      <alignment horizontal="right" vertical="center" wrapText="1"/>
    </xf>
    <xf numFmtId="0" fontId="2" fillId="8" borderId="6" xfId="0" applyFont="1" applyFill="1" applyBorder="1" applyAlignment="1">
      <alignment horizontal="right" vertical="center" wrapText="1"/>
    </xf>
    <xf numFmtId="0" fontId="2" fillId="8" borderId="7" xfId="0" applyFont="1" applyFill="1" applyBorder="1" applyAlignment="1">
      <alignment horizontal="right" vertical="center" wrapText="1"/>
    </xf>
    <xf numFmtId="0" fontId="2" fillId="8" borderId="8" xfId="0" applyFont="1" applyFill="1" applyBorder="1" applyAlignment="1">
      <alignment horizontal="right" vertical="center" wrapText="1"/>
    </xf>
    <xf numFmtId="0" fontId="3" fillId="5" borderId="1" xfId="0" applyFont="1" applyFill="1" applyBorder="1" applyAlignment="1">
      <alignment horizontal="right"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6" borderId="6" xfId="0" applyFont="1" applyFill="1" applyBorder="1" applyAlignment="1">
      <alignment horizontal="right" vertical="center"/>
    </xf>
    <xf numFmtId="0" fontId="5" fillId="6" borderId="7" xfId="0" applyFont="1" applyFill="1" applyBorder="1" applyAlignment="1">
      <alignment horizontal="right" vertical="center"/>
    </xf>
    <xf numFmtId="0" fontId="5" fillId="0" borderId="7" xfId="0" applyFont="1" applyBorder="1" applyAlignment="1">
      <alignment horizontal="left"/>
    </xf>
    <xf numFmtId="0" fontId="5" fillId="0" borderId="8" xfId="0" applyFont="1" applyBorder="1" applyAlignment="1">
      <alignment horizontal="left"/>
    </xf>
    <xf numFmtId="0" fontId="5" fillId="0" borderId="7" xfId="0" applyFont="1" applyBorder="1" applyAlignment="1">
      <alignment horizontal="left" vertical="center"/>
    </xf>
    <xf numFmtId="0" fontId="5" fillId="0" borderId="8" xfId="0" applyFont="1" applyBorder="1" applyAlignment="1">
      <alignment horizontal="left" vertical="center"/>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5" fillId="6" borderId="27" xfId="0" applyFont="1" applyFill="1" applyBorder="1" applyAlignment="1">
      <alignment horizontal="right" vertical="center"/>
    </xf>
    <xf numFmtId="0" fontId="5" fillId="6" borderId="28" xfId="0" applyFont="1" applyFill="1" applyBorder="1" applyAlignment="1">
      <alignment horizontal="right" vertical="center"/>
    </xf>
    <xf numFmtId="0" fontId="5" fillId="6" borderId="25" xfId="0" applyFont="1" applyFill="1" applyBorder="1" applyAlignment="1">
      <alignment horizontal="right" vertical="center"/>
    </xf>
    <xf numFmtId="0" fontId="5" fillId="6" borderId="0" xfId="0" applyFont="1" applyFill="1" applyBorder="1" applyAlignment="1">
      <alignment horizontal="right" vertical="center"/>
    </xf>
    <xf numFmtId="0" fontId="5" fillId="6" borderId="39" xfId="0" applyFont="1" applyFill="1" applyBorder="1" applyAlignment="1">
      <alignment horizontal="right" vertical="center"/>
    </xf>
    <xf numFmtId="0" fontId="5" fillId="6" borderId="36" xfId="0" applyFont="1" applyFill="1" applyBorder="1" applyAlignment="1">
      <alignment horizontal="righ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32" xfId="0" applyFont="1" applyBorder="1" applyAlignment="1">
      <alignment horizontal="left" vertical="center"/>
    </xf>
    <xf numFmtId="0" fontId="5" fillId="0" borderId="36" xfId="0" applyFont="1" applyBorder="1" applyAlignment="1">
      <alignment horizontal="left" vertical="center"/>
    </xf>
    <xf numFmtId="0" fontId="5" fillId="0" borderId="30" xfId="0" applyFont="1" applyBorder="1" applyAlignment="1">
      <alignment horizontal="left" vertical="center"/>
    </xf>
    <xf numFmtId="0" fontId="3" fillId="2" borderId="1" xfId="0" applyFont="1" applyFill="1" applyBorder="1" applyAlignment="1">
      <alignment horizontal="center" vertical="center"/>
    </xf>
    <xf numFmtId="0" fontId="3" fillId="2" borderId="21"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8" borderId="27" xfId="0" applyFont="1" applyFill="1" applyBorder="1" applyAlignment="1">
      <alignment horizontal="right" vertical="center" wrapText="1"/>
    </xf>
    <xf numFmtId="0" fontId="2" fillId="8" borderId="28" xfId="0" applyFont="1" applyFill="1" applyBorder="1" applyAlignment="1">
      <alignment horizontal="right" vertical="center" wrapText="1"/>
    </xf>
    <xf numFmtId="0" fontId="2" fillId="8" borderId="29" xfId="0" applyFont="1" applyFill="1" applyBorder="1" applyAlignment="1">
      <alignment horizontal="right" vertical="center" wrapText="1"/>
    </xf>
    <xf numFmtId="0" fontId="5" fillId="0" borderId="4" xfId="0" applyFont="1" applyBorder="1" applyAlignment="1">
      <alignment horizontal="center" vertical="center" wrapText="1"/>
    </xf>
    <xf numFmtId="0" fontId="5" fillId="7" borderId="6" xfId="0" applyFont="1" applyFill="1" applyBorder="1" applyAlignment="1">
      <alignment horizontal="right" vertical="center"/>
    </xf>
    <xf numFmtId="0" fontId="5" fillId="7" borderId="7" xfId="0" applyFont="1" applyFill="1" applyBorder="1" applyAlignment="1">
      <alignment horizontal="right" vertical="center"/>
    </xf>
    <xf numFmtId="0" fontId="4" fillId="7" borderId="7" xfId="0" applyFont="1" applyFill="1" applyBorder="1" applyAlignment="1">
      <alignment horizontal="left" vertical="center"/>
    </xf>
    <xf numFmtId="0" fontId="4" fillId="7" borderId="8" xfId="0" applyFont="1" applyFill="1" applyBorder="1" applyAlignment="1">
      <alignment horizontal="left" vertical="center"/>
    </xf>
    <xf numFmtId="0" fontId="6" fillId="6" borderId="6" xfId="0" applyFont="1" applyFill="1" applyBorder="1" applyAlignment="1">
      <alignment horizontal="right" wrapText="1"/>
    </xf>
    <xf numFmtId="0" fontId="6" fillId="6" borderId="7" xfId="0" applyFont="1" applyFill="1" applyBorder="1" applyAlignment="1">
      <alignment horizontal="right" wrapText="1"/>
    </xf>
    <xf numFmtId="0" fontId="6" fillId="6" borderId="28" xfId="0" applyFont="1" applyFill="1" applyBorder="1" applyAlignment="1">
      <alignment horizontal="left" vertical="center"/>
    </xf>
    <xf numFmtId="0" fontId="6" fillId="6" borderId="29" xfId="0" applyFont="1" applyFill="1" applyBorder="1" applyAlignment="1">
      <alignment horizontal="left" vertical="center"/>
    </xf>
    <xf numFmtId="0" fontId="6" fillId="6" borderId="0" xfId="0" applyFont="1" applyFill="1" applyBorder="1" applyAlignment="1">
      <alignment horizontal="left" vertical="center"/>
    </xf>
    <xf numFmtId="0" fontId="6" fillId="6" borderId="32" xfId="0" applyFont="1" applyFill="1" applyBorder="1" applyAlignment="1">
      <alignment horizontal="left" vertical="center"/>
    </xf>
    <xf numFmtId="0" fontId="6" fillId="6" borderId="36" xfId="0" applyFont="1" applyFill="1" applyBorder="1" applyAlignment="1">
      <alignment horizontal="left" vertical="center"/>
    </xf>
    <xf numFmtId="0" fontId="6" fillId="6" borderId="30"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6" borderId="7" xfId="0" applyFont="1" applyFill="1" applyBorder="1" applyAlignment="1">
      <alignment vertical="center"/>
    </xf>
    <xf numFmtId="0" fontId="4" fillId="6" borderId="8" xfId="0" applyFont="1" applyFill="1" applyBorder="1" applyAlignment="1">
      <alignment vertical="center"/>
    </xf>
    <xf numFmtId="0" fontId="6" fillId="6" borderId="7" xfId="0" applyFont="1" applyFill="1" applyBorder="1" applyAlignment="1">
      <alignment vertical="center"/>
    </xf>
    <xf numFmtId="0" fontId="6" fillId="6" borderId="8" xfId="0" applyFont="1" applyFill="1" applyBorder="1" applyAlignment="1">
      <alignmen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0"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30" xfId="0" applyFont="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8" xfId="0" applyFont="1" applyFill="1" applyBorder="1" applyAlignment="1">
      <alignment horizontal="center" vertical="center"/>
    </xf>
    <xf numFmtId="0" fontId="2" fillId="5" borderId="24"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5" fillId="0" borderId="7" xfId="0" applyFont="1" applyFill="1" applyBorder="1" applyAlignment="1">
      <alignment horizontal="left"/>
    </xf>
    <xf numFmtId="0" fontId="5" fillId="0" borderId="8" xfId="0" applyFont="1" applyFill="1" applyBorder="1" applyAlignment="1">
      <alignment horizontal="left"/>
    </xf>
    <xf numFmtId="0" fontId="5" fillId="6" borderId="7" xfId="0" applyFont="1" applyFill="1" applyBorder="1" applyAlignment="1">
      <alignment horizontal="left"/>
    </xf>
    <xf numFmtId="0" fontId="5" fillId="6" borderId="8" xfId="0" applyFont="1" applyFill="1" applyBorder="1" applyAlignment="1">
      <alignment horizontal="left"/>
    </xf>
    <xf numFmtId="0" fontId="4" fillId="0" borderId="4" xfId="0" applyFont="1" applyBorder="1" applyAlignment="1">
      <alignment horizontal="center" vertical="center" wrapText="1"/>
    </xf>
    <xf numFmtId="0" fontId="2" fillId="2" borderId="1" xfId="0" applyFont="1" applyFill="1" applyBorder="1" applyAlignment="1">
      <alignment horizontal="center"/>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39" fillId="43" borderId="6" xfId="0" applyFont="1" applyFill="1" applyBorder="1" applyAlignment="1">
      <alignment horizontal="center"/>
    </xf>
    <xf numFmtId="0" fontId="39" fillId="43" borderId="7" xfId="0" applyFont="1" applyFill="1" applyBorder="1" applyAlignment="1">
      <alignment horizontal="center"/>
    </xf>
    <xf numFmtId="0" fontId="39" fillId="43" borderId="8" xfId="0" applyFont="1" applyFill="1" applyBorder="1" applyAlignment="1">
      <alignment horizontal="center"/>
    </xf>
    <xf numFmtId="0" fontId="2" fillId="41" borderId="35" xfId="0" applyFont="1" applyFill="1" applyBorder="1" applyAlignment="1">
      <alignment horizontal="center" vertical="center" wrapText="1"/>
    </xf>
    <xf numFmtId="0" fontId="2" fillId="41" borderId="28" xfId="0" applyFont="1" applyFill="1" applyBorder="1" applyAlignment="1">
      <alignment horizontal="center" vertical="center" wrapText="1"/>
    </xf>
    <xf numFmtId="0" fontId="2" fillId="41" borderId="19" xfId="0" applyFont="1" applyFill="1" applyBorder="1" applyAlignment="1">
      <alignment horizontal="center" vertical="center" wrapText="1"/>
    </xf>
    <xf numFmtId="0" fontId="2" fillId="41"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4" xfId="0" applyFont="1" applyBorder="1" applyAlignment="1">
      <alignment horizontal="center" vertical="center"/>
    </xf>
    <xf numFmtId="0" fontId="3" fillId="2" borderId="2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39" borderId="21" xfId="0" applyFont="1" applyFill="1" applyBorder="1" applyAlignment="1">
      <alignment horizontal="center" vertical="center" wrapText="1"/>
    </xf>
    <xf numFmtId="0" fontId="3" fillId="39" borderId="4" xfId="0" applyFont="1" applyFill="1" applyBorder="1" applyAlignment="1">
      <alignment horizontal="center" vertical="center"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6" fillId="0" borderId="6" xfId="0" applyFont="1" applyFill="1" applyBorder="1" applyAlignment="1">
      <alignment horizontal="right" wrapText="1"/>
    </xf>
    <xf numFmtId="0" fontId="6" fillId="0" borderId="7" xfId="0" applyFont="1" applyFill="1" applyBorder="1" applyAlignment="1">
      <alignment horizontal="right"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6" xfId="0" applyFont="1" applyFill="1" applyBorder="1" applyAlignment="1">
      <alignment horizontal="right" vertical="center" wrapText="1"/>
    </xf>
    <xf numFmtId="0" fontId="6" fillId="0" borderId="7" xfId="0" applyFont="1" applyFill="1" applyBorder="1" applyAlignment="1">
      <alignment horizontal="right"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6" fillId="0" borderId="27"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6" fillId="0" borderId="25"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39" xfId="0" applyFont="1" applyFill="1" applyBorder="1" applyAlignment="1">
      <alignment horizontal="right" vertical="center" wrapText="1"/>
    </xf>
    <xf numFmtId="0" fontId="6" fillId="0" borderId="36" xfId="0" applyFont="1" applyFill="1" applyBorder="1" applyAlignment="1">
      <alignment horizontal="right" vertical="center" wrapText="1"/>
    </xf>
    <xf numFmtId="0" fontId="5" fillId="0" borderId="27" xfId="0" applyFont="1" applyFill="1" applyBorder="1" applyAlignment="1">
      <alignment horizontal="right" vertical="center" wrapText="1"/>
    </xf>
    <xf numFmtId="0" fontId="5" fillId="0" borderId="28" xfId="0" applyFont="1" applyFill="1" applyBorder="1" applyAlignment="1">
      <alignment horizontal="right" vertical="center" wrapText="1"/>
    </xf>
    <xf numFmtId="0" fontId="5" fillId="0" borderId="39" xfId="0" applyFont="1" applyFill="1" applyBorder="1" applyAlignment="1">
      <alignment horizontal="right" vertical="center" wrapText="1"/>
    </xf>
    <xf numFmtId="0" fontId="5" fillId="0" borderId="36" xfId="0" applyFont="1" applyFill="1" applyBorder="1" applyAlignment="1">
      <alignment horizontal="right"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33"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32" xfId="0" applyFont="1" applyBorder="1" applyAlignment="1">
      <alignment horizontal="center" vertical="center"/>
    </xf>
    <xf numFmtId="0" fontId="5" fillId="0" borderId="39"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center" vertical="center"/>
    </xf>
    <xf numFmtId="0" fontId="2" fillId="42" borderId="25" xfId="0" applyFont="1" applyFill="1" applyBorder="1" applyAlignment="1">
      <alignment horizontal="right" vertical="center" wrapText="1"/>
    </xf>
    <xf numFmtId="0" fontId="2" fillId="42" borderId="0" xfId="0" applyFont="1" applyFill="1" applyBorder="1" applyAlignment="1">
      <alignment horizontal="right" vertical="center" wrapText="1"/>
    </xf>
    <xf numFmtId="0" fontId="2" fillId="42" borderId="24" xfId="0" applyFont="1" applyFill="1" applyBorder="1" applyAlignment="1">
      <alignment horizontal="right" vertical="center" wrapText="1"/>
    </xf>
    <xf numFmtId="0" fontId="2" fillId="42" borderId="34" xfId="0" applyFont="1" applyFill="1" applyBorder="1" applyAlignment="1">
      <alignment horizontal="right" vertical="center" wrapText="1"/>
    </xf>
    <xf numFmtId="0" fontId="2" fillId="42" borderId="18" xfId="0" applyFont="1" applyFill="1" applyBorder="1" applyAlignment="1">
      <alignment horizontal="right" vertical="center" wrapText="1"/>
    </xf>
    <xf numFmtId="0" fontId="2" fillId="41" borderId="24" xfId="0" applyFont="1" applyFill="1" applyBorder="1" applyAlignment="1">
      <alignment horizontal="center" vertical="center" wrapText="1"/>
    </xf>
    <xf numFmtId="0" fontId="2" fillId="41" borderId="18" xfId="0" applyFont="1" applyFill="1" applyBorder="1" applyAlignment="1">
      <alignment horizontal="center" vertical="center" wrapText="1"/>
    </xf>
    <xf numFmtId="0" fontId="2" fillId="41" borderId="23" xfId="0" applyFont="1" applyFill="1" applyBorder="1" applyAlignment="1">
      <alignment horizontal="center" vertical="center" wrapText="1"/>
    </xf>
    <xf numFmtId="0" fontId="5" fillId="6" borderId="6" xfId="0" applyFont="1" applyFill="1" applyBorder="1" applyAlignment="1">
      <alignment horizontal="right"/>
    </xf>
    <xf numFmtId="0" fontId="5" fillId="6" borderId="7" xfId="0" applyFont="1" applyFill="1" applyBorder="1" applyAlignment="1">
      <alignment horizontal="right"/>
    </xf>
    <xf numFmtId="0" fontId="5" fillId="6" borderId="25" xfId="0" applyFont="1" applyFill="1" applyBorder="1" applyAlignment="1">
      <alignment horizontal="center" vertical="center"/>
    </xf>
    <xf numFmtId="0" fontId="5" fillId="6" borderId="0" xfId="0" applyFont="1" applyFill="1" applyBorder="1" applyAlignment="1">
      <alignment horizontal="center" vertical="center"/>
    </xf>
    <xf numFmtId="0" fontId="5" fillId="6" borderId="32"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29" xfId="0" applyFont="1" applyFill="1" applyBorder="1" applyAlignment="1">
      <alignment horizontal="center" vertical="center"/>
    </xf>
    <xf numFmtId="0" fontId="5" fillId="6" borderId="39"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5" xfId="0" applyFont="1" applyFill="1" applyBorder="1" applyAlignment="1">
      <alignment horizontal="right"/>
    </xf>
    <xf numFmtId="0" fontId="5" fillId="6" borderId="0" xfId="0" applyFont="1" applyFill="1" applyBorder="1" applyAlignment="1">
      <alignment horizontal="right"/>
    </xf>
    <xf numFmtId="0" fontId="5" fillId="6" borderId="39" xfId="0" applyFont="1" applyFill="1" applyBorder="1" applyAlignment="1">
      <alignment horizontal="right"/>
    </xf>
    <xf numFmtId="0" fontId="5" fillId="6" borderId="36" xfId="0" applyFont="1" applyFill="1" applyBorder="1" applyAlignment="1">
      <alignment horizontal="right"/>
    </xf>
    <xf numFmtId="0" fontId="5" fillId="6" borderId="27" xfId="0" applyFont="1" applyFill="1" applyBorder="1" applyAlignment="1">
      <alignment horizontal="right"/>
    </xf>
    <xf numFmtId="0" fontId="5" fillId="6" borderId="28" xfId="0" applyFont="1" applyFill="1" applyBorder="1" applyAlignment="1">
      <alignment horizontal="right"/>
    </xf>
    <xf numFmtId="0" fontId="2" fillId="42" borderId="26" xfId="0" applyFont="1" applyFill="1" applyBorder="1" applyAlignment="1">
      <alignment horizontal="right" vertical="center" wrapText="1"/>
    </xf>
    <xf numFmtId="0" fontId="2" fillId="42" borderId="23" xfId="0" applyFont="1" applyFill="1" applyBorder="1" applyAlignment="1">
      <alignment horizontal="right" vertical="center" wrapText="1"/>
    </xf>
    <xf numFmtId="0" fontId="3" fillId="41" borderId="37" xfId="0" applyFont="1" applyFill="1" applyBorder="1" applyAlignment="1">
      <alignment horizontal="right" vertical="center"/>
    </xf>
    <xf numFmtId="0" fontId="3" fillId="41" borderId="34" xfId="0" applyFont="1" applyFill="1" applyBorder="1" applyAlignment="1">
      <alignment horizontal="right" vertical="center"/>
    </xf>
    <xf numFmtId="0" fontId="3" fillId="41" borderId="38" xfId="0" applyFont="1" applyFill="1" applyBorder="1" applyAlignment="1">
      <alignment horizontal="right" vertical="center"/>
    </xf>
    <xf numFmtId="0" fontId="5" fillId="0" borderId="0" xfId="0" applyFont="1" applyAlignment="1">
      <alignment horizontal="left" vertical="top" wrapText="1"/>
    </xf>
    <xf numFmtId="0" fontId="0" fillId="0" borderId="0" xfId="0" applyAlignment="1">
      <alignment horizontal="left" vertical="top" wrapText="1"/>
    </xf>
  </cellXfs>
  <cellStyles count="45">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urrency" xfId="44" builtinId="4"/>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1" builtinId="8"/>
    <cellStyle name="Input" xfId="9" builtinId="20" customBuiltin="1"/>
    <cellStyle name="Linked Cell" xfId="12" builtinId="24" customBuiltin="1"/>
    <cellStyle name="Neutral" xfId="8" builtinId="28" customBuiltin="1"/>
    <cellStyle name="Normal" xfId="0" builtinId="0"/>
    <cellStyle name="Note" xfId="1" builtinId="10" customBuiltin="1"/>
    <cellStyle name="Output" xfId="10" builtinId="21" customBuiltin="1"/>
    <cellStyle name="Percent" xfId="43" builtinId="5"/>
    <cellStyle name="Title 2" xfId="42" xr:uid="{00000000-0005-0000-0000-00002A000000}"/>
    <cellStyle name="Total" xfId="16" builtinId="25" customBuiltin="1"/>
    <cellStyle name="Warning Text" xfId="14" builtinId="11" customBuiltin="1"/>
  </cellStyles>
  <dxfs count="0"/>
  <tableStyles count="0" defaultTableStyle="TableStyleMedium9" defaultPivotStyle="PivotStyleLight16"/>
  <colors>
    <mruColors>
      <color rgb="FF909090"/>
      <color rgb="FFB2B2B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47625</xdr:colOff>
      <xdr:row>65</xdr:row>
      <xdr:rowOff>59302</xdr:rowOff>
    </xdr:from>
    <xdr:to>
      <xdr:col>14</xdr:col>
      <xdr:colOff>454716</xdr:colOff>
      <xdr:row>77</xdr:row>
      <xdr:rowOff>171450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13376" t="13891" r="14426" b="40659"/>
        <a:stretch/>
      </xdr:blipFill>
      <xdr:spPr>
        <a:xfrm>
          <a:off x="4381500" y="4821802"/>
          <a:ext cx="6788841" cy="23981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gness/AppData/Local/Temp/Temp1_PRAO%20Comments%2012.22.zip/PRAO%20Comments%2012.22.17/App%20E4%20Estimates%20of%20Respondent%20Burden%20PRAO%20Comments_2M%20track%20chan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WP-III Burden Table OMB "/>
      <sheetName val="Appendices"/>
    </sheetNames>
    <sheetDataSet>
      <sheetData sheetId="0"/>
      <sheetData sheetId="1">
        <row r="9">
          <cell r="E9" t="str">
            <v>B3.a</v>
          </cell>
        </row>
        <row r="10">
          <cell r="E10" t="str">
            <v>B3.b</v>
          </cell>
        </row>
        <row r="11">
          <cell r="E11" t="str">
            <v>B3.c</v>
          </cell>
        </row>
        <row r="12">
          <cell r="E12" t="str">
            <v>B3.d</v>
          </cell>
        </row>
        <row r="13">
          <cell r="D13" t="str">
            <v>B4.a</v>
          </cell>
        </row>
        <row r="14">
          <cell r="E14" t="str">
            <v>B4.b</v>
          </cell>
        </row>
        <row r="15">
          <cell r="D15" t="str">
            <v>B4.c</v>
          </cell>
          <cell r="E15" t="str">
            <v>B4.c</v>
          </cell>
        </row>
        <row r="16">
          <cell r="D16" t="str">
            <v>B4.d</v>
          </cell>
          <cell r="E16" t="str">
            <v>B4.d</v>
          </cell>
        </row>
        <row r="17">
          <cell r="D17" t="str">
            <v>B5.a</v>
          </cell>
          <cell r="E17" t="str">
            <v>B5.a</v>
          </cell>
        </row>
        <row r="18">
          <cell r="E18" t="str">
            <v>B5.b</v>
          </cell>
        </row>
        <row r="19">
          <cell r="E19" t="str">
            <v>B5.c</v>
          </cell>
        </row>
        <row r="20">
          <cell r="D20" t="str">
            <v>B5.d</v>
          </cell>
          <cell r="E20" t="str">
            <v>B5.d</v>
          </cell>
        </row>
        <row r="21">
          <cell r="E21" t="str">
            <v>B6.a</v>
          </cell>
        </row>
        <row r="22">
          <cell r="E22" t="str">
            <v>B6.b</v>
          </cell>
        </row>
        <row r="26">
          <cell r="D26" t="str">
            <v>C2</v>
          </cell>
        </row>
        <row r="27">
          <cell r="D27" t="str">
            <v>C3</v>
          </cell>
        </row>
        <row r="28">
          <cell r="D28" t="str">
            <v>C4</v>
          </cell>
        </row>
        <row r="29">
          <cell r="D29" t="str">
            <v>C5</v>
          </cell>
        </row>
        <row r="30">
          <cell r="D30" t="str">
            <v>C6</v>
          </cell>
        </row>
        <row r="31">
          <cell r="D31" t="str">
            <v>C7</v>
          </cell>
        </row>
        <row r="32">
          <cell r="D32" t="str">
            <v>C8</v>
          </cell>
        </row>
        <row r="33">
          <cell r="D33" t="str">
            <v>C9</v>
          </cell>
        </row>
        <row r="34">
          <cell r="D34" t="str">
            <v>C10</v>
          </cell>
        </row>
        <row r="35">
          <cell r="E35" t="str">
            <v>C11.a</v>
          </cell>
        </row>
        <row r="36">
          <cell r="E36" t="str">
            <v>C11.b</v>
          </cell>
        </row>
        <row r="37">
          <cell r="E37" t="str">
            <v>C12.a</v>
          </cell>
        </row>
        <row r="38">
          <cell r="E38" t="str">
            <v>C12.b</v>
          </cell>
        </row>
        <row r="39">
          <cell r="E39" t="str">
            <v>C13.a</v>
          </cell>
        </row>
        <row r="40">
          <cell r="E40" t="str">
            <v>C13.b</v>
          </cell>
        </row>
        <row r="41">
          <cell r="E41" t="str">
            <v>C14.a</v>
          </cell>
        </row>
        <row r="42">
          <cell r="E42" t="str">
            <v>C14.b</v>
          </cell>
        </row>
        <row r="43">
          <cell r="E43" t="str">
            <v>C15.a</v>
          </cell>
        </row>
        <row r="44">
          <cell r="E44" t="str">
            <v>C15.b</v>
          </cell>
        </row>
        <row r="45">
          <cell r="E45" t="str">
            <v>C16.a</v>
          </cell>
        </row>
        <row r="46">
          <cell r="E46" t="str">
            <v>C16.b</v>
          </cell>
        </row>
        <row r="47">
          <cell r="E47" t="str">
            <v>C17.a</v>
          </cell>
        </row>
        <row r="48">
          <cell r="E48" t="str">
            <v>C17.b</v>
          </cell>
        </row>
        <row r="49">
          <cell r="E49" t="str">
            <v>C18.a</v>
          </cell>
        </row>
        <row r="50">
          <cell r="E50" t="str">
            <v>C18.b</v>
          </cell>
        </row>
        <row r="51">
          <cell r="E51" t="str">
            <v>C19.a</v>
          </cell>
        </row>
        <row r="52">
          <cell r="E52" t="str">
            <v>C19.b</v>
          </cell>
        </row>
        <row r="53">
          <cell r="E53" t="str">
            <v>C20.a</v>
          </cell>
        </row>
        <row r="54">
          <cell r="D54" t="str">
            <v>C20.b</v>
          </cell>
        </row>
        <row r="55">
          <cell r="E55" t="str">
            <v>C21.a</v>
          </cell>
        </row>
        <row r="56">
          <cell r="D56" t="str">
            <v>C21.b</v>
          </cell>
        </row>
        <row r="57">
          <cell r="E57" t="str">
            <v>C22.a</v>
          </cell>
        </row>
        <row r="58">
          <cell r="D58" t="str">
            <v>C22.b</v>
          </cell>
        </row>
        <row r="59">
          <cell r="E59" t="str">
            <v>C23.a</v>
          </cell>
        </row>
        <row r="60">
          <cell r="E60" t="str">
            <v>C23.b</v>
          </cell>
        </row>
        <row r="62">
          <cell r="D62" t="str">
            <v>D1</v>
          </cell>
        </row>
        <row r="66">
          <cell r="D66" t="str">
            <v>D4</v>
          </cell>
        </row>
        <row r="67">
          <cell r="D67" t="str">
            <v>D5</v>
          </cell>
        </row>
        <row r="68">
          <cell r="D68" t="str">
            <v>D6</v>
          </cell>
        </row>
        <row r="69">
          <cell r="D69" t="str">
            <v>D7</v>
          </cell>
        </row>
        <row r="70">
          <cell r="E70" t="str">
            <v>D6.a</v>
          </cell>
        </row>
        <row r="71">
          <cell r="E71" t="str">
            <v>D6.b</v>
          </cell>
        </row>
        <row r="72">
          <cell r="E72" t="str">
            <v>D7.a</v>
          </cell>
        </row>
        <row r="73">
          <cell r="E73" t="str">
            <v>D7.b</v>
          </cell>
        </row>
        <row r="74">
          <cell r="E74" t="str">
            <v>D8.a</v>
          </cell>
        </row>
        <row r="75">
          <cell r="E75" t="str">
            <v>D8.b</v>
          </cell>
        </row>
        <row r="76">
          <cell r="E76" t="str">
            <v>D9.a</v>
          </cell>
        </row>
        <row r="77">
          <cell r="E77" t="str">
            <v>D9.b</v>
          </cell>
        </row>
        <row r="78">
          <cell r="E78" t="str">
            <v>D10.a</v>
          </cell>
        </row>
        <row r="79">
          <cell r="D79" t="str">
            <v>D12.b</v>
          </cell>
        </row>
        <row r="80">
          <cell r="E80" t="str">
            <v>D11.a</v>
          </cell>
        </row>
        <row r="82">
          <cell r="E82" t="str">
            <v>D12.a</v>
          </cell>
        </row>
        <row r="83">
          <cell r="D83" t="str">
            <v>D14.b</v>
          </cell>
        </row>
        <row r="84">
          <cell r="E84" t="str">
            <v>D13.a</v>
          </cell>
        </row>
        <row r="85">
          <cell r="E85" t="str">
            <v>D13.b</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fns.usda.gov/sites/default/files/ops/WICPC2014.pdf" TargetMode="External"/><Relationship Id="rId13" Type="http://schemas.openxmlformats.org/officeDocument/2006/relationships/drawing" Target="../drawings/drawing1.xml"/><Relationship Id="rId3" Type="http://schemas.openxmlformats.org/officeDocument/2006/relationships/hyperlink" Target="http://www.heritage.org/research/reports/2013/02/who-earns-the-minimum-wage-suburban-teenagers-not-single-parents" TargetMode="External"/><Relationship Id="rId7" Type="http://schemas.openxmlformats.org/officeDocument/2006/relationships/hyperlink" Target="http://www.fns.usda.gov/wic/wic-income-eligibility-guidelines" TargetMode="External"/><Relationship Id="rId12" Type="http://schemas.openxmlformats.org/officeDocument/2006/relationships/printerSettings" Target="../printerSettings/printerSettings4.bin"/><Relationship Id="rId2" Type="http://schemas.openxmlformats.org/officeDocument/2006/relationships/hyperlink" Target="http://www.bls.gov/opub/reports/minimum-wage/archive/characteristics-of-minimum-wage-workers-2014.pdf" TargetMode="External"/><Relationship Id="rId1" Type="http://schemas.openxmlformats.org/officeDocument/2006/relationships/hyperlink" Target="http://www.bls.gov/oes/current/oes_nat.htm" TargetMode="External"/><Relationship Id="rId6" Type="http://schemas.openxmlformats.org/officeDocument/2006/relationships/hyperlink" Target="http://woman.thenest.com/average-salary-low-income-person-per-year-19282.html" TargetMode="External"/><Relationship Id="rId11" Type="http://schemas.openxmlformats.org/officeDocument/2006/relationships/hyperlink" Target="http://www2.census.gov/programs-surveys/acs/tech_docs/code_lists/2014_ACS_Code_Lists.pdf" TargetMode="External"/><Relationship Id="rId5" Type="http://schemas.openxmlformats.org/officeDocument/2006/relationships/hyperlink" Target="http://www.pewresearch.org/fact-tank/2014/09/08/who-makes-minimum-wage/" TargetMode="External"/><Relationship Id="rId15" Type="http://schemas.openxmlformats.org/officeDocument/2006/relationships/comments" Target="../comments3.xml"/><Relationship Id="rId10" Type="http://schemas.openxmlformats.org/officeDocument/2006/relationships/hyperlink" Target="http://www.bls.gov/oes/current/oes_nat.htm" TargetMode="External"/><Relationship Id="rId4" Type="http://schemas.openxmlformats.org/officeDocument/2006/relationships/hyperlink" Target="http://www.workingpoorfamilies.org/wp-content/uploads/2014/02/WPFP_Low-Income-Working-Mothers-Report_021214.pdf" TargetMode="External"/><Relationship Id="rId9" Type="http://schemas.openxmlformats.org/officeDocument/2006/relationships/hyperlink" Target="http://www.workingpoorfamilies.org/wp-content/uploads/2014/02/WPFP_Low-Income-Working-Mothers-Report_021214.pdf" TargetMode="External"/><Relationship Id="rId1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4"/>
  <sheetViews>
    <sheetView zoomScaleNormal="100" workbookViewId="0">
      <pane ySplit="2" topLeftCell="A183" activePane="bottomLeft" state="frozen"/>
      <selection pane="bottomLeft" activeCell="Z19" sqref="Z19"/>
    </sheetView>
  </sheetViews>
  <sheetFormatPr defaultRowHeight="14.5" x14ac:dyDescent="0.35"/>
  <cols>
    <col min="1" max="1" width="14" customWidth="1"/>
    <col min="2" max="2" width="16" customWidth="1"/>
    <col min="3" max="3" width="69.26953125" customWidth="1"/>
    <col min="4" max="4" width="3.54296875" style="260" customWidth="1"/>
    <col min="5" max="5" width="3.7265625" style="260" customWidth="1"/>
    <col min="6" max="6" width="3.54296875" style="260" customWidth="1"/>
    <col min="7" max="7" width="3.54296875" customWidth="1"/>
    <col min="8" max="8" width="9" customWidth="1"/>
    <col min="9" max="9" width="11" customWidth="1"/>
    <col min="10" max="13" width="9" customWidth="1"/>
    <col min="14" max="14" width="11" customWidth="1"/>
    <col min="15" max="18" width="9" customWidth="1"/>
  </cols>
  <sheetData>
    <row r="1" spans="1:19" ht="15" thickBot="1" x14ac:dyDescent="0.4">
      <c r="A1" s="488" t="s">
        <v>0</v>
      </c>
      <c r="B1" s="486" t="s">
        <v>23</v>
      </c>
      <c r="C1" s="489" t="s">
        <v>5</v>
      </c>
      <c r="D1" s="491" t="s">
        <v>465</v>
      </c>
      <c r="E1" s="492"/>
      <c r="F1" s="492"/>
      <c r="G1" s="493"/>
      <c r="H1" s="486" t="s">
        <v>6</v>
      </c>
      <c r="I1" s="490" t="s">
        <v>7</v>
      </c>
      <c r="J1" s="490"/>
      <c r="K1" s="490"/>
      <c r="L1" s="490"/>
      <c r="M1" s="490"/>
      <c r="N1" s="485" t="s">
        <v>8</v>
      </c>
      <c r="O1" s="485"/>
      <c r="P1" s="485"/>
      <c r="Q1" s="485"/>
      <c r="R1" s="485"/>
      <c r="S1" s="486" t="s">
        <v>9</v>
      </c>
    </row>
    <row r="2" spans="1:19" ht="60.5" thickBot="1" x14ac:dyDescent="0.4">
      <c r="A2" s="488"/>
      <c r="B2" s="486"/>
      <c r="C2" s="489"/>
      <c r="D2" s="494"/>
      <c r="E2" s="495"/>
      <c r="F2" s="495"/>
      <c r="G2" s="496"/>
      <c r="H2" s="486"/>
      <c r="I2" s="1" t="s">
        <v>10</v>
      </c>
      <c r="J2" s="1" t="s">
        <v>11</v>
      </c>
      <c r="K2" s="1" t="s">
        <v>12</v>
      </c>
      <c r="L2" s="1" t="s">
        <v>13</v>
      </c>
      <c r="M2" s="1" t="s">
        <v>14</v>
      </c>
      <c r="N2" s="1" t="s">
        <v>15</v>
      </c>
      <c r="O2" s="1" t="s">
        <v>16</v>
      </c>
      <c r="P2" s="1" t="s">
        <v>17</v>
      </c>
      <c r="Q2" s="1" t="s">
        <v>18</v>
      </c>
      <c r="R2" s="1" t="s">
        <v>14</v>
      </c>
      <c r="S2" s="486"/>
    </row>
    <row r="3" spans="1:19" s="260" customFormat="1" ht="15" thickBot="1" x14ac:dyDescent="0.4">
      <c r="A3" s="352" t="s">
        <v>457</v>
      </c>
      <c r="B3" s="353"/>
      <c r="C3" s="353"/>
      <c r="D3" s="353"/>
      <c r="E3" s="353"/>
      <c r="F3" s="353"/>
      <c r="G3" s="353"/>
      <c r="H3" s="353"/>
      <c r="I3" s="353"/>
      <c r="J3" s="353"/>
      <c r="K3" s="353"/>
      <c r="L3" s="353"/>
      <c r="M3" s="353"/>
      <c r="N3" s="353"/>
      <c r="O3" s="353"/>
      <c r="P3" s="353"/>
      <c r="Q3" s="353"/>
      <c r="R3" s="353"/>
      <c r="S3" s="354"/>
    </row>
    <row r="4" spans="1:19" ht="15" thickBot="1" x14ac:dyDescent="0.4">
      <c r="A4" s="355" t="s">
        <v>75</v>
      </c>
      <c r="B4" s="356"/>
      <c r="C4" s="356"/>
      <c r="D4" s="356"/>
      <c r="E4" s="356"/>
      <c r="F4" s="356"/>
      <c r="G4" s="356"/>
      <c r="H4" s="356"/>
      <c r="I4" s="356"/>
      <c r="J4" s="356"/>
      <c r="K4" s="356"/>
      <c r="L4" s="356"/>
      <c r="M4" s="356"/>
      <c r="N4" s="356"/>
      <c r="O4" s="356"/>
      <c r="P4" s="356"/>
      <c r="Q4" s="356"/>
      <c r="R4" s="356"/>
      <c r="S4" s="357"/>
    </row>
    <row r="5" spans="1:19" ht="15" thickBot="1" x14ac:dyDescent="0.4">
      <c r="A5" s="423" t="s">
        <v>19</v>
      </c>
      <c r="B5" s="423"/>
      <c r="C5" s="423"/>
      <c r="D5" s="423"/>
      <c r="E5" s="423"/>
      <c r="F5" s="423"/>
      <c r="G5" s="423"/>
      <c r="H5" s="423"/>
      <c r="I5" s="423"/>
      <c r="J5" s="423"/>
      <c r="K5" s="423"/>
      <c r="L5" s="423"/>
      <c r="M5" s="423"/>
      <c r="N5" s="423"/>
      <c r="O5" s="423"/>
      <c r="P5" s="423"/>
      <c r="Q5" s="423"/>
      <c r="R5" s="423"/>
      <c r="S5" s="423"/>
    </row>
    <row r="6" spans="1:19" ht="15.75" customHeight="1" thickBot="1" x14ac:dyDescent="0.4">
      <c r="A6" s="484" t="s">
        <v>19</v>
      </c>
      <c r="B6" s="487" t="s">
        <v>24</v>
      </c>
      <c r="C6" s="46" t="s">
        <v>302</v>
      </c>
      <c r="D6" s="497" t="str">
        <f>Appendices!E7</f>
        <v>B1</v>
      </c>
      <c r="E6" s="498"/>
      <c r="F6" s="498"/>
      <c r="G6" s="499"/>
      <c r="H6" s="47">
        <f>51+34+5</f>
        <v>90</v>
      </c>
      <c r="I6" s="35">
        <v>90</v>
      </c>
      <c r="J6" s="35">
        <v>1</v>
      </c>
      <c r="K6" s="35">
        <f>I6*J6</f>
        <v>90</v>
      </c>
      <c r="L6" s="36">
        <f>(66/60)</f>
        <v>1.1000000000000001</v>
      </c>
      <c r="M6" s="36">
        <f t="shared" ref="M6:M49" si="0">L6*K6*J6</f>
        <v>99.000000000000014</v>
      </c>
      <c r="N6" s="45">
        <f>H6-I6</f>
        <v>0</v>
      </c>
      <c r="O6" s="38">
        <v>0</v>
      </c>
      <c r="P6" s="45">
        <f>N6*O6</f>
        <v>0</v>
      </c>
      <c r="Q6" s="36">
        <v>0</v>
      </c>
      <c r="R6" s="36">
        <f>Q6*P6*O6</f>
        <v>0</v>
      </c>
      <c r="S6" s="36">
        <f t="shared" ref="S6:S49" si="1">R6+M6</f>
        <v>99.000000000000014</v>
      </c>
    </row>
    <row r="7" spans="1:19" ht="15" thickBot="1" x14ac:dyDescent="0.4">
      <c r="A7" s="393"/>
      <c r="B7" s="487"/>
      <c r="C7" s="78" t="s">
        <v>99</v>
      </c>
      <c r="D7" s="471" t="str">
        <f>Appendices!E25</f>
        <v>C1</v>
      </c>
      <c r="E7" s="472"/>
      <c r="F7" s="472"/>
      <c r="G7" s="473"/>
      <c r="H7" s="3">
        <f>51+34+5</f>
        <v>90</v>
      </c>
      <c r="I7" s="2">
        <v>90</v>
      </c>
      <c r="J7" s="2">
        <v>1</v>
      </c>
      <c r="K7" s="2">
        <f>I7*J7</f>
        <v>90</v>
      </c>
      <c r="L7" s="20">
        <v>0.02</v>
      </c>
      <c r="M7" s="20">
        <f>L7*K7*J7</f>
        <v>1.8</v>
      </c>
      <c r="N7" s="18">
        <f>H7-I7</f>
        <v>0</v>
      </c>
      <c r="O7" s="19">
        <v>0</v>
      </c>
      <c r="P7" s="18">
        <f>N7*O7</f>
        <v>0</v>
      </c>
      <c r="Q7" s="20">
        <v>0</v>
      </c>
      <c r="R7" s="20">
        <f>Q7*P7*O7</f>
        <v>0</v>
      </c>
      <c r="S7" s="16">
        <f>R7+M7</f>
        <v>1.8</v>
      </c>
    </row>
    <row r="8" spans="1:19" ht="15" thickBot="1" x14ac:dyDescent="0.4">
      <c r="A8" s="393"/>
      <c r="B8" s="487"/>
      <c r="C8" s="27" t="s">
        <v>98</v>
      </c>
      <c r="D8" s="456" t="str">
        <f>Appendices!E26</f>
        <v>C2</v>
      </c>
      <c r="E8" s="457"/>
      <c r="F8" s="457"/>
      <c r="G8" s="458"/>
      <c r="H8" s="3">
        <f>51+34+5</f>
        <v>90</v>
      </c>
      <c r="I8" s="2">
        <v>90</v>
      </c>
      <c r="J8" s="2">
        <v>1</v>
      </c>
      <c r="K8" s="2">
        <f>I8*J8</f>
        <v>90</v>
      </c>
      <c r="L8" s="20">
        <v>0.02</v>
      </c>
      <c r="M8" s="20">
        <f t="shared" si="0"/>
        <v>1.8</v>
      </c>
      <c r="N8" s="18">
        <f>H8-I8</f>
        <v>0</v>
      </c>
      <c r="O8" s="19">
        <v>0</v>
      </c>
      <c r="P8" s="18">
        <f>N8*O8</f>
        <v>0</v>
      </c>
      <c r="Q8" s="20">
        <v>0</v>
      </c>
      <c r="R8" s="20">
        <f t="shared" ref="R8:R49" si="2">Q8*P8*O8</f>
        <v>0</v>
      </c>
      <c r="S8" s="16">
        <f t="shared" si="1"/>
        <v>1.8</v>
      </c>
    </row>
    <row r="9" spans="1:19" ht="15" thickBot="1" x14ac:dyDescent="0.4">
      <c r="A9" s="393"/>
      <c r="B9" s="487"/>
      <c r="C9" s="27" t="s">
        <v>32</v>
      </c>
      <c r="D9" s="456" t="str">
        <f>Appendices!E27</f>
        <v>C3</v>
      </c>
      <c r="E9" s="457"/>
      <c r="F9" s="457"/>
      <c r="G9" s="458"/>
      <c r="H9" s="3">
        <f>51+34+5</f>
        <v>90</v>
      </c>
      <c r="I9" s="15">
        <f>H9*(0.38)</f>
        <v>34.200000000000003</v>
      </c>
      <c r="J9" s="2">
        <v>1</v>
      </c>
      <c r="K9" s="15">
        <f>I9*J9</f>
        <v>34.200000000000003</v>
      </c>
      <c r="L9" s="20">
        <v>0.05</v>
      </c>
      <c r="M9" s="20">
        <f t="shared" si="0"/>
        <v>1.7100000000000002</v>
      </c>
      <c r="N9" s="28">
        <f t="shared" ref="N9:N24" si="3">H9-I9</f>
        <v>55.8</v>
      </c>
      <c r="O9" s="19">
        <v>1</v>
      </c>
      <c r="P9" s="28">
        <f t="shared" ref="P9:P26" si="4">N9*O9</f>
        <v>55.8</v>
      </c>
      <c r="Q9" s="19">
        <v>0.02</v>
      </c>
      <c r="R9" s="20">
        <f t="shared" si="2"/>
        <v>1.1159999999999999</v>
      </c>
      <c r="S9" s="16">
        <f t="shared" si="1"/>
        <v>2.8260000000000001</v>
      </c>
    </row>
    <row r="10" spans="1:19" ht="15" thickBot="1" x14ac:dyDescent="0.4">
      <c r="A10" s="393"/>
      <c r="B10" s="487"/>
      <c r="C10" s="27" t="s">
        <v>33</v>
      </c>
      <c r="D10" s="456" t="str">
        <f>Appendices!E28</f>
        <v>C4</v>
      </c>
      <c r="E10" s="457"/>
      <c r="F10" s="457"/>
      <c r="G10" s="458"/>
      <c r="H10" s="3">
        <f>51+34+5</f>
        <v>90</v>
      </c>
      <c r="I10" s="15">
        <f>H10*0.62</f>
        <v>55.8</v>
      </c>
      <c r="J10" s="2">
        <v>1</v>
      </c>
      <c r="K10" s="15">
        <f t="shared" ref="K10:K26" si="5">I10*J10</f>
        <v>55.8</v>
      </c>
      <c r="L10" s="2">
        <f>0.02+0.05</f>
        <v>7.0000000000000007E-2</v>
      </c>
      <c r="M10" s="20">
        <f t="shared" si="0"/>
        <v>3.9060000000000001</v>
      </c>
      <c r="N10" s="28">
        <f t="shared" si="3"/>
        <v>34.200000000000003</v>
      </c>
      <c r="O10" s="19">
        <v>1</v>
      </c>
      <c r="P10" s="28">
        <f t="shared" si="4"/>
        <v>34.200000000000003</v>
      </c>
      <c r="Q10" s="19">
        <v>0.02</v>
      </c>
      <c r="R10" s="20">
        <f t="shared" si="2"/>
        <v>0.68400000000000005</v>
      </c>
      <c r="S10" s="16">
        <f t="shared" si="1"/>
        <v>4.59</v>
      </c>
    </row>
    <row r="11" spans="1:19" ht="15" thickBot="1" x14ac:dyDescent="0.4">
      <c r="A11" s="393"/>
      <c r="B11" s="487"/>
      <c r="C11" s="27" t="s">
        <v>47</v>
      </c>
      <c r="D11" s="459" t="str">
        <f>Appendices!E29</f>
        <v>C5</v>
      </c>
      <c r="E11" s="460"/>
      <c r="F11" s="460"/>
      <c r="G11" s="461"/>
      <c r="H11" s="29">
        <f>I9</f>
        <v>34.200000000000003</v>
      </c>
      <c r="I11" s="15">
        <f t="shared" ref="I11:I16" si="6">H11*0.38</f>
        <v>12.996</v>
      </c>
      <c r="J11" s="2">
        <v>1</v>
      </c>
      <c r="K11" s="15">
        <f>I11*J11</f>
        <v>12.996</v>
      </c>
      <c r="L11" s="20">
        <v>0.05</v>
      </c>
      <c r="M11" s="20">
        <f t="shared" si="0"/>
        <v>0.64980000000000004</v>
      </c>
      <c r="N11" s="28">
        <f t="shared" si="3"/>
        <v>21.204000000000001</v>
      </c>
      <c r="O11" s="19">
        <v>1</v>
      </c>
      <c r="P11" s="28">
        <f t="shared" si="4"/>
        <v>21.204000000000001</v>
      </c>
      <c r="Q11" s="19">
        <v>0.02</v>
      </c>
      <c r="R11" s="20">
        <f t="shared" si="2"/>
        <v>0.42408000000000001</v>
      </c>
      <c r="S11" s="16">
        <f>R11+M11</f>
        <v>1.0738799999999999</v>
      </c>
    </row>
    <row r="12" spans="1:19" ht="15" thickBot="1" x14ac:dyDescent="0.4">
      <c r="A12" s="393"/>
      <c r="B12" s="487"/>
      <c r="C12" s="27" t="s">
        <v>48</v>
      </c>
      <c r="D12" s="462"/>
      <c r="E12" s="463"/>
      <c r="F12" s="463"/>
      <c r="G12" s="464"/>
      <c r="H12" s="28">
        <f t="shared" ref="H12:H17" si="7">N11</f>
        <v>21.204000000000001</v>
      </c>
      <c r="I12" s="15">
        <f t="shared" si="6"/>
        <v>8.0575200000000002</v>
      </c>
      <c r="J12" s="2">
        <v>1</v>
      </c>
      <c r="K12" s="15">
        <f t="shared" si="5"/>
        <v>8.0575200000000002</v>
      </c>
      <c r="L12" s="20">
        <v>0.05</v>
      </c>
      <c r="M12" s="20">
        <f t="shared" si="0"/>
        <v>0.40287600000000001</v>
      </c>
      <c r="N12" s="28">
        <f t="shared" si="3"/>
        <v>13.14648</v>
      </c>
      <c r="O12" s="19">
        <v>1</v>
      </c>
      <c r="P12" s="28">
        <f t="shared" si="4"/>
        <v>13.14648</v>
      </c>
      <c r="Q12" s="19">
        <v>0.02</v>
      </c>
      <c r="R12" s="20">
        <f t="shared" si="2"/>
        <v>0.26292959999999999</v>
      </c>
      <c r="S12" s="16">
        <f t="shared" si="1"/>
        <v>0.6658056</v>
      </c>
    </row>
    <row r="13" spans="1:19" ht="15" thickBot="1" x14ac:dyDescent="0.4">
      <c r="A13" s="393"/>
      <c r="B13" s="487"/>
      <c r="C13" s="27" t="s">
        <v>49</v>
      </c>
      <c r="D13" s="462"/>
      <c r="E13" s="463"/>
      <c r="F13" s="463"/>
      <c r="G13" s="464"/>
      <c r="H13" s="28">
        <f t="shared" si="7"/>
        <v>13.14648</v>
      </c>
      <c r="I13" s="15">
        <f t="shared" si="6"/>
        <v>4.9956624000000005</v>
      </c>
      <c r="J13" s="2">
        <v>1</v>
      </c>
      <c r="K13" s="15">
        <f t="shared" si="5"/>
        <v>4.9956624000000005</v>
      </c>
      <c r="L13" s="20">
        <v>0.05</v>
      </c>
      <c r="M13" s="20">
        <f t="shared" si="0"/>
        <v>0.24978312000000003</v>
      </c>
      <c r="N13" s="28">
        <f t="shared" si="3"/>
        <v>8.1508175999999999</v>
      </c>
      <c r="O13" s="19">
        <v>1</v>
      </c>
      <c r="P13" s="28">
        <f t="shared" si="4"/>
        <v>8.1508175999999999</v>
      </c>
      <c r="Q13" s="19">
        <v>0.02</v>
      </c>
      <c r="R13" s="20">
        <f t="shared" si="2"/>
        <v>0.163016352</v>
      </c>
      <c r="S13" s="16">
        <f t="shared" si="1"/>
        <v>0.412799472</v>
      </c>
    </row>
    <row r="14" spans="1:19" ht="15" thickBot="1" x14ac:dyDescent="0.4">
      <c r="A14" s="393"/>
      <c r="B14" s="487"/>
      <c r="C14" s="27" t="s">
        <v>50</v>
      </c>
      <c r="D14" s="462"/>
      <c r="E14" s="463"/>
      <c r="F14" s="463"/>
      <c r="G14" s="464"/>
      <c r="H14" s="28">
        <f t="shared" si="7"/>
        <v>8.1508175999999999</v>
      </c>
      <c r="I14" s="15">
        <f t="shared" si="6"/>
        <v>3.0973106879999999</v>
      </c>
      <c r="J14" s="2">
        <v>1</v>
      </c>
      <c r="K14" s="15">
        <f t="shared" si="5"/>
        <v>3.0973106879999999</v>
      </c>
      <c r="L14" s="20">
        <v>0.05</v>
      </c>
      <c r="M14" s="20">
        <f t="shared" si="0"/>
        <v>0.1548655344</v>
      </c>
      <c r="N14" s="28">
        <f t="shared" si="3"/>
        <v>5.0535069119999996</v>
      </c>
      <c r="O14" s="19">
        <v>1</v>
      </c>
      <c r="P14" s="28">
        <f t="shared" si="4"/>
        <v>5.0535069119999996</v>
      </c>
      <c r="Q14" s="19">
        <v>0.02</v>
      </c>
      <c r="R14" s="20">
        <f t="shared" si="2"/>
        <v>0.10107013824</v>
      </c>
      <c r="S14" s="16">
        <f t="shared" si="1"/>
        <v>0.25593567264</v>
      </c>
    </row>
    <row r="15" spans="1:19" ht="15" thickBot="1" x14ac:dyDescent="0.4">
      <c r="A15" s="393"/>
      <c r="B15" s="487"/>
      <c r="C15" s="27" t="s">
        <v>51</v>
      </c>
      <c r="D15" s="462"/>
      <c r="E15" s="463"/>
      <c r="F15" s="463"/>
      <c r="G15" s="464"/>
      <c r="H15" s="28">
        <f t="shared" si="7"/>
        <v>5.0535069119999996</v>
      </c>
      <c r="I15" s="15">
        <f t="shared" si="6"/>
        <v>1.9203326265599998</v>
      </c>
      <c r="J15" s="2">
        <v>1</v>
      </c>
      <c r="K15" s="15">
        <f t="shared" si="5"/>
        <v>1.9203326265599998</v>
      </c>
      <c r="L15" s="20">
        <v>0.05</v>
      </c>
      <c r="M15" s="20">
        <f t="shared" si="0"/>
        <v>9.6016631327999993E-2</v>
      </c>
      <c r="N15" s="28">
        <f t="shared" si="3"/>
        <v>3.13317428544</v>
      </c>
      <c r="O15" s="19">
        <v>1</v>
      </c>
      <c r="P15" s="28">
        <f t="shared" si="4"/>
        <v>3.13317428544</v>
      </c>
      <c r="Q15" s="19">
        <v>0.02</v>
      </c>
      <c r="R15" s="20">
        <f t="shared" si="2"/>
        <v>6.2663485708799996E-2</v>
      </c>
      <c r="S15" s="16">
        <f t="shared" si="1"/>
        <v>0.15868011703679999</v>
      </c>
    </row>
    <row r="16" spans="1:19" ht="15" thickBot="1" x14ac:dyDescent="0.4">
      <c r="A16" s="393"/>
      <c r="B16" s="487"/>
      <c r="C16" s="27" t="s">
        <v>52</v>
      </c>
      <c r="D16" s="462"/>
      <c r="E16" s="463"/>
      <c r="F16" s="463"/>
      <c r="G16" s="464"/>
      <c r="H16" s="28">
        <f t="shared" si="7"/>
        <v>3.13317428544</v>
      </c>
      <c r="I16" s="15">
        <f t="shared" si="6"/>
        <v>1.1906062284672001</v>
      </c>
      <c r="J16" s="2">
        <v>1</v>
      </c>
      <c r="K16" s="15">
        <f>I16*J16</f>
        <v>1.1906062284672001</v>
      </c>
      <c r="L16" s="20">
        <v>0.05</v>
      </c>
      <c r="M16" s="20">
        <f>L16*K16*J16</f>
        <v>5.9530311423360009E-2</v>
      </c>
      <c r="N16" s="28">
        <f t="shared" si="3"/>
        <v>1.9425680569727999</v>
      </c>
      <c r="O16" s="19">
        <v>1</v>
      </c>
      <c r="P16" s="28">
        <f>N16*O16</f>
        <v>1.9425680569727999</v>
      </c>
      <c r="Q16" s="19">
        <v>0.02</v>
      </c>
      <c r="R16" s="20">
        <f>Q16*P16*O16</f>
        <v>3.8851361139455996E-2</v>
      </c>
      <c r="S16" s="16">
        <f>R16+M16</f>
        <v>9.8381672562816005E-2</v>
      </c>
    </row>
    <row r="17" spans="1:19" ht="15" thickBot="1" x14ac:dyDescent="0.4">
      <c r="A17" s="393"/>
      <c r="B17" s="487"/>
      <c r="C17" s="27" t="s">
        <v>53</v>
      </c>
      <c r="D17" s="465"/>
      <c r="E17" s="466"/>
      <c r="F17" s="466"/>
      <c r="G17" s="467"/>
      <c r="H17" s="28">
        <f t="shared" si="7"/>
        <v>1.9425680569727999</v>
      </c>
      <c r="I17" s="15">
        <f>H17</f>
        <v>1.9425680569727999</v>
      </c>
      <c r="J17" s="2">
        <v>1</v>
      </c>
      <c r="K17" s="15">
        <f>I17*J17</f>
        <v>1.9425680569727999</v>
      </c>
      <c r="L17" s="20">
        <v>0.05</v>
      </c>
      <c r="M17" s="20">
        <f>L17*K17*J17</f>
        <v>9.7128402848639994E-2</v>
      </c>
      <c r="N17" s="28">
        <f t="shared" si="3"/>
        <v>0</v>
      </c>
      <c r="O17" s="19">
        <v>0</v>
      </c>
      <c r="P17" s="28">
        <f>N17*O17</f>
        <v>0</v>
      </c>
      <c r="Q17" s="19">
        <v>0.02</v>
      </c>
      <c r="R17" s="20">
        <f>Q17*P17*O17</f>
        <v>0</v>
      </c>
      <c r="S17" s="16">
        <f>R17+M17</f>
        <v>9.7128402848639994E-2</v>
      </c>
    </row>
    <row r="18" spans="1:19" ht="15" thickBot="1" x14ac:dyDescent="0.4">
      <c r="A18" s="393"/>
      <c r="B18" s="487"/>
      <c r="C18" s="27" t="s">
        <v>102</v>
      </c>
      <c r="D18" s="459" t="str">
        <f>Appendices!E30</f>
        <v>C6</v>
      </c>
      <c r="E18" s="460"/>
      <c r="F18" s="460"/>
      <c r="G18" s="461"/>
      <c r="H18" s="29">
        <f>N9</f>
        <v>55.8</v>
      </c>
      <c r="I18" s="15">
        <f t="shared" ref="I18:I23" si="8">H18*0.45</f>
        <v>25.11</v>
      </c>
      <c r="J18" s="2">
        <v>1</v>
      </c>
      <c r="K18" s="15">
        <f>I18*J18</f>
        <v>25.11</v>
      </c>
      <c r="L18" s="20">
        <v>0.08</v>
      </c>
      <c r="M18" s="20">
        <f>L18*K18*J18</f>
        <v>2.0087999999999999</v>
      </c>
      <c r="N18" s="28">
        <f>H18-I18</f>
        <v>30.689999999999998</v>
      </c>
      <c r="O18" s="19">
        <v>1</v>
      </c>
      <c r="P18" s="28">
        <f>N18*O18</f>
        <v>30.689999999999998</v>
      </c>
      <c r="Q18" s="19">
        <v>0.02</v>
      </c>
      <c r="R18" s="20">
        <f>Q18*P18*O18</f>
        <v>0.61380000000000001</v>
      </c>
      <c r="S18" s="16">
        <f t="shared" si="1"/>
        <v>2.6225999999999998</v>
      </c>
    </row>
    <row r="19" spans="1:19" ht="15" thickBot="1" x14ac:dyDescent="0.4">
      <c r="A19" s="393"/>
      <c r="B19" s="487"/>
      <c r="C19" s="27" t="s">
        <v>103</v>
      </c>
      <c r="D19" s="462"/>
      <c r="E19" s="463"/>
      <c r="F19" s="463"/>
      <c r="G19" s="464"/>
      <c r="H19" s="29">
        <f t="shared" ref="H19:H24" si="9">N18</f>
        <v>30.689999999999998</v>
      </c>
      <c r="I19" s="15">
        <f t="shared" si="8"/>
        <v>13.810499999999999</v>
      </c>
      <c r="J19" s="2">
        <v>1</v>
      </c>
      <c r="K19" s="15">
        <f t="shared" si="5"/>
        <v>13.810499999999999</v>
      </c>
      <c r="L19" s="20">
        <v>0.08</v>
      </c>
      <c r="M19" s="20">
        <f t="shared" si="0"/>
        <v>1.10484</v>
      </c>
      <c r="N19" s="28">
        <f t="shared" si="3"/>
        <v>16.8795</v>
      </c>
      <c r="O19" s="19">
        <v>0</v>
      </c>
      <c r="P19" s="28">
        <f t="shared" si="4"/>
        <v>0</v>
      </c>
      <c r="Q19" s="20">
        <v>0</v>
      </c>
      <c r="R19" s="20">
        <f t="shared" si="2"/>
        <v>0</v>
      </c>
      <c r="S19" s="16">
        <f t="shared" si="1"/>
        <v>1.10484</v>
      </c>
    </row>
    <row r="20" spans="1:19" ht="15" thickBot="1" x14ac:dyDescent="0.4">
      <c r="A20" s="393"/>
      <c r="B20" s="487"/>
      <c r="C20" s="27" t="s">
        <v>104</v>
      </c>
      <c r="D20" s="462"/>
      <c r="E20" s="463"/>
      <c r="F20" s="463"/>
      <c r="G20" s="464"/>
      <c r="H20" s="29">
        <f t="shared" si="9"/>
        <v>16.8795</v>
      </c>
      <c r="I20" s="15">
        <f t="shared" si="8"/>
        <v>7.5957750000000006</v>
      </c>
      <c r="J20" s="2">
        <v>1</v>
      </c>
      <c r="K20" s="15">
        <f t="shared" si="5"/>
        <v>7.5957750000000006</v>
      </c>
      <c r="L20" s="20">
        <v>0.08</v>
      </c>
      <c r="M20" s="20">
        <f t="shared" si="0"/>
        <v>0.60766200000000004</v>
      </c>
      <c r="N20" s="28">
        <f t="shared" si="3"/>
        <v>9.2837250000000004</v>
      </c>
      <c r="O20" s="19">
        <v>0</v>
      </c>
      <c r="P20" s="28">
        <f t="shared" si="4"/>
        <v>0</v>
      </c>
      <c r="Q20" s="20">
        <v>0</v>
      </c>
      <c r="R20" s="20">
        <f t="shared" si="2"/>
        <v>0</v>
      </c>
      <c r="S20" s="16">
        <f t="shared" si="1"/>
        <v>0.60766200000000004</v>
      </c>
    </row>
    <row r="21" spans="1:19" ht="15" thickBot="1" x14ac:dyDescent="0.4">
      <c r="A21" s="393"/>
      <c r="B21" s="487"/>
      <c r="C21" s="57" t="s">
        <v>105</v>
      </c>
      <c r="D21" s="462"/>
      <c r="E21" s="463"/>
      <c r="F21" s="463"/>
      <c r="G21" s="464"/>
      <c r="H21" s="29">
        <f t="shared" si="9"/>
        <v>9.2837250000000004</v>
      </c>
      <c r="I21" s="15">
        <f t="shared" si="8"/>
        <v>4.1776762500000002</v>
      </c>
      <c r="J21" s="2">
        <v>1</v>
      </c>
      <c r="K21" s="15">
        <f t="shared" si="5"/>
        <v>4.1776762500000002</v>
      </c>
      <c r="L21" s="20">
        <v>0.08</v>
      </c>
      <c r="M21" s="20">
        <f t="shared" si="0"/>
        <v>0.33421410000000001</v>
      </c>
      <c r="N21" s="28">
        <f t="shared" si="3"/>
        <v>5.1060487500000002</v>
      </c>
      <c r="O21" s="19">
        <v>1</v>
      </c>
      <c r="P21" s="28">
        <f t="shared" si="4"/>
        <v>5.1060487500000002</v>
      </c>
      <c r="Q21" s="19">
        <v>0.02</v>
      </c>
      <c r="R21" s="20">
        <f t="shared" si="2"/>
        <v>0.102120975</v>
      </c>
      <c r="S21" s="16">
        <f t="shared" si="1"/>
        <v>0.43633507500000002</v>
      </c>
    </row>
    <row r="22" spans="1:19" ht="15" thickBot="1" x14ac:dyDescent="0.4">
      <c r="A22" s="393"/>
      <c r="B22" s="487"/>
      <c r="C22" s="57" t="s">
        <v>106</v>
      </c>
      <c r="D22" s="462"/>
      <c r="E22" s="463"/>
      <c r="F22" s="463"/>
      <c r="G22" s="464"/>
      <c r="H22" s="29">
        <f t="shared" si="9"/>
        <v>5.1060487500000002</v>
      </c>
      <c r="I22" s="15">
        <f t="shared" si="8"/>
        <v>2.2977219375</v>
      </c>
      <c r="J22" s="2">
        <v>1</v>
      </c>
      <c r="K22" s="15">
        <f t="shared" si="5"/>
        <v>2.2977219375</v>
      </c>
      <c r="L22" s="20">
        <v>0.08</v>
      </c>
      <c r="M22" s="20">
        <f t="shared" si="0"/>
        <v>0.183817755</v>
      </c>
      <c r="N22" s="28">
        <f t="shared" si="3"/>
        <v>2.8083268125000003</v>
      </c>
      <c r="O22" s="19">
        <v>0</v>
      </c>
      <c r="P22" s="28">
        <f t="shared" si="4"/>
        <v>0</v>
      </c>
      <c r="Q22" s="20">
        <v>0</v>
      </c>
      <c r="R22" s="20">
        <f t="shared" si="2"/>
        <v>0</v>
      </c>
      <c r="S22" s="16">
        <f t="shared" si="1"/>
        <v>0.183817755</v>
      </c>
    </row>
    <row r="23" spans="1:19" ht="15" thickBot="1" x14ac:dyDescent="0.4">
      <c r="A23" s="393"/>
      <c r="B23" s="487"/>
      <c r="C23" s="57" t="s">
        <v>107</v>
      </c>
      <c r="D23" s="462"/>
      <c r="E23" s="463"/>
      <c r="F23" s="463"/>
      <c r="G23" s="464"/>
      <c r="H23" s="29">
        <f t="shared" si="9"/>
        <v>2.8083268125000003</v>
      </c>
      <c r="I23" s="15">
        <f t="shared" si="8"/>
        <v>1.2637470656250001</v>
      </c>
      <c r="J23" s="2">
        <v>1</v>
      </c>
      <c r="K23" s="15">
        <f t="shared" si="5"/>
        <v>1.2637470656250001</v>
      </c>
      <c r="L23" s="20">
        <v>0.08</v>
      </c>
      <c r="M23" s="20">
        <f t="shared" si="0"/>
        <v>0.10109976525</v>
      </c>
      <c r="N23" s="28">
        <f t="shared" si="3"/>
        <v>1.5445797468750002</v>
      </c>
      <c r="O23" s="19">
        <v>0</v>
      </c>
      <c r="P23" s="28">
        <f t="shared" si="4"/>
        <v>0</v>
      </c>
      <c r="Q23" s="20">
        <v>0</v>
      </c>
      <c r="R23" s="20">
        <f t="shared" si="2"/>
        <v>0</v>
      </c>
      <c r="S23" s="16">
        <f t="shared" si="1"/>
        <v>0.10109976525</v>
      </c>
    </row>
    <row r="24" spans="1:19" ht="15" thickBot="1" x14ac:dyDescent="0.4">
      <c r="A24" s="393"/>
      <c r="B24" s="487"/>
      <c r="C24" s="57" t="s">
        <v>108</v>
      </c>
      <c r="D24" s="465"/>
      <c r="E24" s="466"/>
      <c r="F24" s="466"/>
      <c r="G24" s="467"/>
      <c r="H24" s="29">
        <f t="shared" si="9"/>
        <v>1.5445797468750002</v>
      </c>
      <c r="I24" s="15">
        <f>H24</f>
        <v>1.5445797468750002</v>
      </c>
      <c r="J24" s="2">
        <v>1</v>
      </c>
      <c r="K24" s="15">
        <f t="shared" si="5"/>
        <v>1.5445797468750002</v>
      </c>
      <c r="L24" s="20">
        <v>0.05</v>
      </c>
      <c r="M24" s="20">
        <f t="shared" si="0"/>
        <v>7.7228987343750014E-2</v>
      </c>
      <c r="N24" s="28">
        <f t="shared" si="3"/>
        <v>0</v>
      </c>
      <c r="O24" s="19">
        <v>0</v>
      </c>
      <c r="P24" s="28">
        <f t="shared" si="4"/>
        <v>0</v>
      </c>
      <c r="Q24" s="19">
        <v>0.02</v>
      </c>
      <c r="R24" s="20">
        <f t="shared" si="2"/>
        <v>0</v>
      </c>
      <c r="S24" s="16">
        <f t="shared" si="1"/>
        <v>7.7228987343750014E-2</v>
      </c>
    </row>
    <row r="25" spans="1:19" ht="15" thickBot="1" x14ac:dyDescent="0.4">
      <c r="A25" s="393"/>
      <c r="B25" s="487"/>
      <c r="C25" s="57" t="s">
        <v>38</v>
      </c>
      <c r="D25" s="456" t="str">
        <f>Appendices!E62</f>
        <v>D1</v>
      </c>
      <c r="E25" s="457"/>
      <c r="F25" s="457"/>
      <c r="G25" s="458"/>
      <c r="H25" s="3">
        <f>51+34+5</f>
        <v>90</v>
      </c>
      <c r="I25" s="2">
        <v>90</v>
      </c>
      <c r="J25" s="2">
        <v>1</v>
      </c>
      <c r="K25" s="2">
        <f>I25*J25</f>
        <v>90</v>
      </c>
      <c r="L25" s="20">
        <v>0.02</v>
      </c>
      <c r="M25" s="20">
        <f>L25*K25*J25</f>
        <v>1.8</v>
      </c>
      <c r="N25" s="18">
        <f>H25-I25</f>
        <v>0</v>
      </c>
      <c r="O25" s="19">
        <v>0</v>
      </c>
      <c r="P25" s="28">
        <f>N25*O25</f>
        <v>0</v>
      </c>
      <c r="Q25" s="20">
        <v>0</v>
      </c>
      <c r="R25" s="20">
        <f>Q25*P25*O25</f>
        <v>0</v>
      </c>
      <c r="S25" s="16">
        <f>R25+M25</f>
        <v>1.8</v>
      </c>
    </row>
    <row r="26" spans="1:19" ht="15" thickBot="1" x14ac:dyDescent="0.4">
      <c r="A26" s="393"/>
      <c r="B26" s="487"/>
      <c r="C26" s="78" t="s">
        <v>34</v>
      </c>
      <c r="D26" s="456" t="str">
        <f>Appendices!E66</f>
        <v>D2</v>
      </c>
      <c r="E26" s="457"/>
      <c r="F26" s="457"/>
      <c r="G26" s="458"/>
      <c r="H26" s="3">
        <f>51+34+5</f>
        <v>90</v>
      </c>
      <c r="I26" s="2">
        <v>90</v>
      </c>
      <c r="J26" s="2">
        <v>1</v>
      </c>
      <c r="K26" s="15">
        <f t="shared" si="5"/>
        <v>90</v>
      </c>
      <c r="L26" s="20">
        <v>0.02</v>
      </c>
      <c r="M26" s="20">
        <f t="shared" si="0"/>
        <v>1.8</v>
      </c>
      <c r="N26" s="18">
        <f t="shared" ref="N26:N29" si="10">H26-I26</f>
        <v>0</v>
      </c>
      <c r="O26" s="19">
        <v>0</v>
      </c>
      <c r="P26" s="28">
        <f t="shared" si="4"/>
        <v>0</v>
      </c>
      <c r="Q26" s="20">
        <v>0</v>
      </c>
      <c r="R26" s="20">
        <f t="shared" si="2"/>
        <v>0</v>
      </c>
      <c r="S26" s="16">
        <f t="shared" si="1"/>
        <v>1.8</v>
      </c>
    </row>
    <row r="27" spans="1:19" ht="15.75" customHeight="1" thickBot="1" x14ac:dyDescent="0.4">
      <c r="A27" s="393"/>
      <c r="B27" s="484" t="s">
        <v>63</v>
      </c>
      <c r="C27" s="33" t="s">
        <v>93</v>
      </c>
      <c r="D27" s="474" t="str">
        <f>Appendices!E8</f>
        <v>B2</v>
      </c>
      <c r="E27" s="475"/>
      <c r="F27" s="475"/>
      <c r="G27" s="476"/>
      <c r="H27" s="43">
        <f>ROUNDUP((I27*100)/80,0)</f>
        <v>1182</v>
      </c>
      <c r="I27" s="41">
        <v>945</v>
      </c>
      <c r="J27" s="35">
        <v>1</v>
      </c>
      <c r="K27" s="35">
        <f t="shared" ref="K27:K43" si="11">I27*J27</f>
        <v>945</v>
      </c>
      <c r="L27" s="36">
        <f>(40/60)</f>
        <v>0.66666666666666663</v>
      </c>
      <c r="M27" s="36">
        <f t="shared" si="0"/>
        <v>630</v>
      </c>
      <c r="N27" s="44">
        <f t="shared" si="10"/>
        <v>237</v>
      </c>
      <c r="O27" s="35">
        <v>0</v>
      </c>
      <c r="P27" s="45">
        <f t="shared" ref="P27:P43" si="12">N27*O27</f>
        <v>0</v>
      </c>
      <c r="Q27" s="36">
        <v>0</v>
      </c>
      <c r="R27" s="36">
        <f t="shared" si="2"/>
        <v>0</v>
      </c>
      <c r="S27" s="36">
        <f t="shared" si="1"/>
        <v>630</v>
      </c>
    </row>
    <row r="28" spans="1:19" ht="15" thickBot="1" x14ac:dyDescent="0.4">
      <c r="A28" s="393"/>
      <c r="B28" s="393"/>
      <c r="C28" s="27" t="s">
        <v>82</v>
      </c>
      <c r="D28" s="456" t="str">
        <f>Appendices!E31</f>
        <v>C7</v>
      </c>
      <c r="E28" s="457"/>
      <c r="F28" s="457"/>
      <c r="G28" s="458"/>
      <c r="H28" s="15">
        <f>H27</f>
        <v>1182</v>
      </c>
      <c r="I28" s="15">
        <f>H28*0.35</f>
        <v>413.7</v>
      </c>
      <c r="J28" s="2">
        <v>1</v>
      </c>
      <c r="K28" s="15">
        <f t="shared" si="11"/>
        <v>413.7</v>
      </c>
      <c r="L28" s="20">
        <v>0.05</v>
      </c>
      <c r="M28" s="20">
        <f t="shared" si="0"/>
        <v>20.685000000000002</v>
      </c>
      <c r="N28" s="15">
        <f t="shared" si="10"/>
        <v>768.3</v>
      </c>
      <c r="O28" s="19">
        <v>1</v>
      </c>
      <c r="P28" s="28">
        <f t="shared" si="12"/>
        <v>768.3</v>
      </c>
      <c r="Q28" s="19">
        <v>0.02</v>
      </c>
      <c r="R28" s="20">
        <f t="shared" si="2"/>
        <v>15.366</v>
      </c>
      <c r="S28" s="16">
        <f t="shared" si="1"/>
        <v>36.051000000000002</v>
      </c>
    </row>
    <row r="29" spans="1:19" ht="15" thickBot="1" x14ac:dyDescent="0.4">
      <c r="A29" s="393"/>
      <c r="B29" s="393"/>
      <c r="C29" s="27" t="s">
        <v>83</v>
      </c>
      <c r="D29" s="456" t="str">
        <f>Appendices!E32</f>
        <v>C8</v>
      </c>
      <c r="E29" s="457"/>
      <c r="F29" s="457"/>
      <c r="G29" s="458"/>
      <c r="H29" s="29">
        <f>H28</f>
        <v>1182</v>
      </c>
      <c r="I29" s="15">
        <f>H29*0.45</f>
        <v>531.9</v>
      </c>
      <c r="J29" s="2">
        <v>1</v>
      </c>
      <c r="K29" s="15">
        <f t="shared" si="11"/>
        <v>531.9</v>
      </c>
      <c r="L29" s="20">
        <v>7.0000000000000007E-2</v>
      </c>
      <c r="M29" s="20">
        <f t="shared" si="0"/>
        <v>37.233000000000004</v>
      </c>
      <c r="N29" s="28">
        <f t="shared" si="10"/>
        <v>650.1</v>
      </c>
      <c r="O29" s="19">
        <v>1</v>
      </c>
      <c r="P29" s="28">
        <f t="shared" si="12"/>
        <v>650.1</v>
      </c>
      <c r="Q29" s="19">
        <v>0.02</v>
      </c>
      <c r="R29" s="20">
        <f t="shared" si="2"/>
        <v>13.002000000000001</v>
      </c>
      <c r="S29" s="16">
        <f t="shared" si="1"/>
        <v>50.235000000000007</v>
      </c>
    </row>
    <row r="30" spans="1:19" ht="15" thickBot="1" x14ac:dyDescent="0.4">
      <c r="A30" s="393"/>
      <c r="B30" s="393"/>
      <c r="C30" s="27" t="s">
        <v>84</v>
      </c>
      <c r="D30" s="459" t="str">
        <f>Appendices!E33</f>
        <v>C9</v>
      </c>
      <c r="E30" s="460"/>
      <c r="F30" s="460"/>
      <c r="G30" s="461"/>
      <c r="H30" s="28">
        <f>I28</f>
        <v>413.7</v>
      </c>
      <c r="I30" s="53">
        <f>ROUNDUP(H30,0)*0.55</f>
        <v>227.70000000000002</v>
      </c>
      <c r="J30" s="2">
        <v>1</v>
      </c>
      <c r="K30" s="15">
        <f t="shared" si="11"/>
        <v>227.70000000000002</v>
      </c>
      <c r="L30" s="20">
        <v>0.05</v>
      </c>
      <c r="M30" s="20">
        <f t="shared" si="0"/>
        <v>11.385000000000002</v>
      </c>
      <c r="N30" s="28">
        <f>ROUNDDOWN(H30-I30, 0)</f>
        <v>186</v>
      </c>
      <c r="O30" s="19">
        <v>1</v>
      </c>
      <c r="P30" s="28">
        <f t="shared" si="12"/>
        <v>186</v>
      </c>
      <c r="Q30" s="19">
        <v>0.02</v>
      </c>
      <c r="R30" s="20">
        <f t="shared" si="2"/>
        <v>3.72</v>
      </c>
      <c r="S30" s="16">
        <f t="shared" si="1"/>
        <v>15.105000000000002</v>
      </c>
    </row>
    <row r="31" spans="1:19" ht="15" thickBot="1" x14ac:dyDescent="0.4">
      <c r="A31" s="393"/>
      <c r="B31" s="393"/>
      <c r="C31" s="27" t="s">
        <v>85</v>
      </c>
      <c r="D31" s="462"/>
      <c r="E31" s="463"/>
      <c r="F31" s="463"/>
      <c r="G31" s="464"/>
      <c r="H31" s="28">
        <f t="shared" ref="H31:H36" si="13">N30</f>
        <v>186</v>
      </c>
      <c r="I31" s="53">
        <f>ROUNDUP(H31,0)*0.55</f>
        <v>102.30000000000001</v>
      </c>
      <c r="J31" s="2">
        <v>1</v>
      </c>
      <c r="K31" s="15">
        <f t="shared" si="11"/>
        <v>102.30000000000001</v>
      </c>
      <c r="L31" s="20">
        <v>0.05</v>
      </c>
      <c r="M31" s="20">
        <f t="shared" si="0"/>
        <v>5.1150000000000011</v>
      </c>
      <c r="N31" s="28">
        <f>H31-I31</f>
        <v>83.699999999999989</v>
      </c>
      <c r="O31" s="19">
        <v>1</v>
      </c>
      <c r="P31" s="28">
        <f t="shared" si="12"/>
        <v>83.699999999999989</v>
      </c>
      <c r="Q31" s="19">
        <v>0.02</v>
      </c>
      <c r="R31" s="20">
        <f t="shared" si="2"/>
        <v>1.6739999999999997</v>
      </c>
      <c r="S31" s="16">
        <f t="shared" si="1"/>
        <v>6.7890000000000006</v>
      </c>
    </row>
    <row r="32" spans="1:19" ht="15" thickBot="1" x14ac:dyDescent="0.4">
      <c r="A32" s="393"/>
      <c r="B32" s="393"/>
      <c r="C32" s="27" t="s">
        <v>86</v>
      </c>
      <c r="D32" s="462"/>
      <c r="E32" s="463"/>
      <c r="F32" s="463"/>
      <c r="G32" s="464"/>
      <c r="H32" s="28">
        <f t="shared" si="13"/>
        <v>83.699999999999989</v>
      </c>
      <c r="I32" s="53">
        <f>ROUNDUP(H32,0)*0.55</f>
        <v>46.2</v>
      </c>
      <c r="J32" s="2">
        <v>1</v>
      </c>
      <c r="K32" s="15">
        <f t="shared" si="11"/>
        <v>46.2</v>
      </c>
      <c r="L32" s="20">
        <v>0.05</v>
      </c>
      <c r="M32" s="20">
        <f t="shared" si="0"/>
        <v>2.31</v>
      </c>
      <c r="N32" s="28">
        <f>H32-I32</f>
        <v>37.499999999999986</v>
      </c>
      <c r="O32" s="19">
        <v>1</v>
      </c>
      <c r="P32" s="28">
        <f t="shared" si="12"/>
        <v>37.499999999999986</v>
      </c>
      <c r="Q32" s="19">
        <v>0.02</v>
      </c>
      <c r="R32" s="20">
        <f t="shared" si="2"/>
        <v>0.74999999999999978</v>
      </c>
      <c r="S32" s="16">
        <f t="shared" si="1"/>
        <v>3.0599999999999996</v>
      </c>
    </row>
    <row r="33" spans="1:19" ht="15" thickBot="1" x14ac:dyDescent="0.4">
      <c r="A33" s="393"/>
      <c r="B33" s="393"/>
      <c r="C33" s="27" t="s">
        <v>87</v>
      </c>
      <c r="D33" s="462"/>
      <c r="E33" s="463"/>
      <c r="F33" s="463"/>
      <c r="G33" s="464"/>
      <c r="H33" s="28">
        <f t="shared" si="13"/>
        <v>37.499999999999986</v>
      </c>
      <c r="I33" s="53">
        <f>ROUNDUP(H33,0)*0.54</f>
        <v>20.520000000000003</v>
      </c>
      <c r="J33" s="2">
        <v>1</v>
      </c>
      <c r="K33" s="15">
        <f t="shared" si="11"/>
        <v>20.520000000000003</v>
      </c>
      <c r="L33" s="20">
        <v>0.05</v>
      </c>
      <c r="M33" s="20">
        <f t="shared" si="0"/>
        <v>1.0260000000000002</v>
      </c>
      <c r="N33" s="28">
        <f>H33-I33</f>
        <v>16.979999999999983</v>
      </c>
      <c r="O33" s="19">
        <v>1</v>
      </c>
      <c r="P33" s="28">
        <f t="shared" si="12"/>
        <v>16.979999999999983</v>
      </c>
      <c r="Q33" s="19">
        <v>0.02</v>
      </c>
      <c r="R33" s="20">
        <f t="shared" si="2"/>
        <v>0.33959999999999968</v>
      </c>
      <c r="S33" s="16">
        <f t="shared" si="1"/>
        <v>1.3655999999999999</v>
      </c>
    </row>
    <row r="34" spans="1:19" ht="15" thickBot="1" x14ac:dyDescent="0.4">
      <c r="A34" s="393"/>
      <c r="B34" s="393"/>
      <c r="C34" s="27" t="s">
        <v>88</v>
      </c>
      <c r="D34" s="462"/>
      <c r="E34" s="463"/>
      <c r="F34" s="463"/>
      <c r="G34" s="464"/>
      <c r="H34" s="28">
        <f t="shared" si="13"/>
        <v>16.979999999999983</v>
      </c>
      <c r="I34" s="53">
        <f>ROUNDUP(H34,0)*0.54</f>
        <v>9.18</v>
      </c>
      <c r="J34" s="2">
        <v>1</v>
      </c>
      <c r="K34" s="15">
        <f t="shared" si="11"/>
        <v>9.18</v>
      </c>
      <c r="L34" s="20">
        <v>0.05</v>
      </c>
      <c r="M34" s="20">
        <f t="shared" si="0"/>
        <v>0.45900000000000002</v>
      </c>
      <c r="N34" s="28">
        <f>H34-I34</f>
        <v>7.7999999999999829</v>
      </c>
      <c r="O34" s="19">
        <v>1</v>
      </c>
      <c r="P34" s="28">
        <f t="shared" si="12"/>
        <v>7.7999999999999829</v>
      </c>
      <c r="Q34" s="19">
        <v>0.02</v>
      </c>
      <c r="R34" s="20">
        <f t="shared" si="2"/>
        <v>0.15599999999999967</v>
      </c>
      <c r="S34" s="16">
        <f t="shared" si="1"/>
        <v>0.61499999999999966</v>
      </c>
    </row>
    <row r="35" spans="1:19" ht="15" thickBot="1" x14ac:dyDescent="0.4">
      <c r="A35" s="393"/>
      <c r="B35" s="393"/>
      <c r="C35" s="27" t="s">
        <v>89</v>
      </c>
      <c r="D35" s="462"/>
      <c r="E35" s="463"/>
      <c r="F35" s="463"/>
      <c r="G35" s="464"/>
      <c r="H35" s="28">
        <f t="shared" si="13"/>
        <v>7.7999999999999829</v>
      </c>
      <c r="I35" s="53">
        <f>ROUNDUP(H35,0)*0.54</f>
        <v>4.32</v>
      </c>
      <c r="J35" s="2">
        <v>1</v>
      </c>
      <c r="K35" s="15">
        <f>I35*J35</f>
        <v>4.32</v>
      </c>
      <c r="L35" s="20">
        <v>0.05</v>
      </c>
      <c r="M35" s="20">
        <f>L35*K35*J35</f>
        <v>0.21600000000000003</v>
      </c>
      <c r="N35" s="28">
        <f t="shared" ref="N35:N49" si="14">H35-I35</f>
        <v>3.4799999999999827</v>
      </c>
      <c r="O35" s="19">
        <v>1</v>
      </c>
      <c r="P35" s="28">
        <f>N35*O35</f>
        <v>3.4799999999999827</v>
      </c>
      <c r="Q35" s="19">
        <v>0.02</v>
      </c>
      <c r="R35" s="20">
        <f>Q35*P35*O35</f>
        <v>6.9599999999999648E-2</v>
      </c>
      <c r="S35" s="16">
        <f>R35+M35</f>
        <v>0.28559999999999969</v>
      </c>
    </row>
    <row r="36" spans="1:19" ht="15" thickBot="1" x14ac:dyDescent="0.4">
      <c r="A36" s="393"/>
      <c r="B36" s="393"/>
      <c r="C36" s="27" t="s">
        <v>90</v>
      </c>
      <c r="D36" s="465"/>
      <c r="E36" s="466"/>
      <c r="F36" s="466"/>
      <c r="G36" s="467"/>
      <c r="H36" s="28">
        <f t="shared" si="13"/>
        <v>3.4799999999999827</v>
      </c>
      <c r="I36" s="53">
        <f>H36</f>
        <v>3.4799999999999827</v>
      </c>
      <c r="J36" s="2">
        <v>1</v>
      </c>
      <c r="K36" s="15">
        <f>I36*J36</f>
        <v>3.4799999999999827</v>
      </c>
      <c r="L36" s="20">
        <v>0.05</v>
      </c>
      <c r="M36" s="20">
        <f>L36*K36*J36</f>
        <v>0.17399999999999916</v>
      </c>
      <c r="N36" s="28">
        <f t="shared" si="14"/>
        <v>0</v>
      </c>
      <c r="O36" s="19">
        <v>0</v>
      </c>
      <c r="P36" s="28">
        <f>N36*O36</f>
        <v>0</v>
      </c>
      <c r="Q36" s="20">
        <v>0</v>
      </c>
      <c r="R36" s="20">
        <f>Q36*P36*O36</f>
        <v>0</v>
      </c>
      <c r="S36" s="16">
        <f>R36+M36</f>
        <v>0.17399999999999916</v>
      </c>
    </row>
    <row r="37" spans="1:19" ht="15.75" customHeight="1" thickBot="1" x14ac:dyDescent="0.4">
      <c r="A37" s="393"/>
      <c r="B37" s="393"/>
      <c r="C37" s="27" t="s">
        <v>109</v>
      </c>
      <c r="D37" s="459" t="str">
        <f>Appendices!E34</f>
        <v>C10</v>
      </c>
      <c r="E37" s="460"/>
      <c r="F37" s="460"/>
      <c r="G37" s="461"/>
      <c r="H37" s="28">
        <f>I29</f>
        <v>531.9</v>
      </c>
      <c r="I37" s="15">
        <f>H37*0.52</f>
        <v>276.58800000000002</v>
      </c>
      <c r="J37" s="2">
        <v>1</v>
      </c>
      <c r="K37" s="15">
        <f t="shared" si="11"/>
        <v>276.58800000000002</v>
      </c>
      <c r="L37" s="20">
        <v>0.08</v>
      </c>
      <c r="M37" s="20">
        <f t="shared" si="0"/>
        <v>22.127040000000001</v>
      </c>
      <c r="N37" s="28">
        <f>H37-I37</f>
        <v>255.31199999999995</v>
      </c>
      <c r="O37" s="19">
        <v>1</v>
      </c>
      <c r="P37" s="28">
        <f t="shared" si="12"/>
        <v>255.31199999999995</v>
      </c>
      <c r="Q37" s="19">
        <v>0.02</v>
      </c>
      <c r="R37" s="20">
        <f t="shared" si="2"/>
        <v>5.1062399999999988</v>
      </c>
      <c r="S37" s="16">
        <f t="shared" si="1"/>
        <v>27.233280000000001</v>
      </c>
    </row>
    <row r="38" spans="1:19" ht="15" thickBot="1" x14ac:dyDescent="0.4">
      <c r="A38" s="393"/>
      <c r="B38" s="393"/>
      <c r="C38" s="27" t="s">
        <v>110</v>
      </c>
      <c r="D38" s="462"/>
      <c r="E38" s="463"/>
      <c r="F38" s="463"/>
      <c r="G38" s="464"/>
      <c r="H38" s="28">
        <f t="shared" ref="H38:H43" si="15">N37</f>
        <v>255.31199999999995</v>
      </c>
      <c r="I38" s="15">
        <f>H38*0.52</f>
        <v>132.76223999999999</v>
      </c>
      <c r="J38" s="2">
        <v>1</v>
      </c>
      <c r="K38" s="15">
        <f t="shared" si="11"/>
        <v>132.76223999999999</v>
      </c>
      <c r="L38" s="20">
        <v>0.08</v>
      </c>
      <c r="M38" s="20">
        <f t="shared" si="0"/>
        <v>10.620979199999999</v>
      </c>
      <c r="N38" s="28">
        <f t="shared" ref="N38:N43" si="16">H38-I38</f>
        <v>122.54975999999996</v>
      </c>
      <c r="O38" s="19">
        <v>0</v>
      </c>
      <c r="P38" s="28">
        <v>0</v>
      </c>
      <c r="Q38" s="20">
        <v>0</v>
      </c>
      <c r="R38" s="20">
        <f t="shared" si="2"/>
        <v>0</v>
      </c>
      <c r="S38" s="16">
        <f t="shared" si="1"/>
        <v>10.620979199999999</v>
      </c>
    </row>
    <row r="39" spans="1:19" ht="15" thickBot="1" x14ac:dyDescent="0.4">
      <c r="A39" s="393"/>
      <c r="B39" s="393"/>
      <c r="C39" s="27" t="s">
        <v>111</v>
      </c>
      <c r="D39" s="462"/>
      <c r="E39" s="463"/>
      <c r="F39" s="463"/>
      <c r="G39" s="464"/>
      <c r="H39" s="28">
        <f t="shared" si="15"/>
        <v>122.54975999999996</v>
      </c>
      <c r="I39" s="15">
        <f>H39*0.5</f>
        <v>61.274879999999982</v>
      </c>
      <c r="J39" s="2">
        <v>1</v>
      </c>
      <c r="K39" s="15">
        <f t="shared" si="11"/>
        <v>61.274879999999982</v>
      </c>
      <c r="L39" s="20">
        <v>0.08</v>
      </c>
      <c r="M39" s="20">
        <f t="shared" si="0"/>
        <v>4.901990399999999</v>
      </c>
      <c r="N39" s="28">
        <f t="shared" si="16"/>
        <v>61.274879999999982</v>
      </c>
      <c r="O39" s="19">
        <v>0</v>
      </c>
      <c r="P39" s="28">
        <v>0</v>
      </c>
      <c r="Q39" s="20">
        <v>0</v>
      </c>
      <c r="R39" s="20">
        <f t="shared" si="2"/>
        <v>0</v>
      </c>
      <c r="S39" s="16">
        <f t="shared" si="1"/>
        <v>4.901990399999999</v>
      </c>
    </row>
    <row r="40" spans="1:19" ht="15" thickBot="1" x14ac:dyDescent="0.4">
      <c r="A40" s="393"/>
      <c r="B40" s="393"/>
      <c r="C40" s="27" t="s">
        <v>112</v>
      </c>
      <c r="D40" s="462"/>
      <c r="E40" s="463"/>
      <c r="F40" s="463"/>
      <c r="G40" s="464"/>
      <c r="H40" s="28">
        <f t="shared" si="15"/>
        <v>61.274879999999982</v>
      </c>
      <c r="I40" s="15">
        <f>H40*0.5</f>
        <v>30.637439999999991</v>
      </c>
      <c r="J40" s="2">
        <v>1</v>
      </c>
      <c r="K40" s="15">
        <f t="shared" si="11"/>
        <v>30.637439999999991</v>
      </c>
      <c r="L40" s="20">
        <v>0.08</v>
      </c>
      <c r="M40" s="20">
        <f t="shared" si="0"/>
        <v>2.4509951999999995</v>
      </c>
      <c r="N40" s="28">
        <f t="shared" si="16"/>
        <v>30.637439999999991</v>
      </c>
      <c r="O40" s="19">
        <v>1</v>
      </c>
      <c r="P40" s="28">
        <f t="shared" si="12"/>
        <v>30.637439999999991</v>
      </c>
      <c r="Q40" s="19">
        <v>0.02</v>
      </c>
      <c r="R40" s="20">
        <f t="shared" si="2"/>
        <v>0.61274879999999987</v>
      </c>
      <c r="S40" s="16">
        <f t="shared" si="1"/>
        <v>3.0637439999999994</v>
      </c>
    </row>
    <row r="41" spans="1:19" ht="15" thickBot="1" x14ac:dyDescent="0.4">
      <c r="A41" s="393"/>
      <c r="B41" s="393"/>
      <c r="C41" s="27" t="s">
        <v>113</v>
      </c>
      <c r="D41" s="462"/>
      <c r="E41" s="463"/>
      <c r="F41" s="463"/>
      <c r="G41" s="464"/>
      <c r="H41" s="28">
        <f t="shared" si="15"/>
        <v>30.637439999999991</v>
      </c>
      <c r="I41" s="15">
        <f>H41*0.49</f>
        <v>15.012345599999994</v>
      </c>
      <c r="J41" s="2">
        <v>1</v>
      </c>
      <c r="K41" s="15">
        <f t="shared" si="11"/>
        <v>15.012345599999994</v>
      </c>
      <c r="L41" s="20">
        <v>0.08</v>
      </c>
      <c r="M41" s="20">
        <f t="shared" si="0"/>
        <v>1.2009876479999997</v>
      </c>
      <c r="N41" s="28">
        <f t="shared" si="16"/>
        <v>15.625094399999996</v>
      </c>
      <c r="O41" s="19">
        <v>0</v>
      </c>
      <c r="P41" s="28">
        <v>0</v>
      </c>
      <c r="Q41" s="20">
        <v>0</v>
      </c>
      <c r="R41" s="20">
        <f t="shared" si="2"/>
        <v>0</v>
      </c>
      <c r="S41" s="16">
        <f t="shared" si="1"/>
        <v>1.2009876479999997</v>
      </c>
    </row>
    <row r="42" spans="1:19" ht="15" thickBot="1" x14ac:dyDescent="0.4">
      <c r="A42" s="393"/>
      <c r="B42" s="393"/>
      <c r="C42" s="27" t="s">
        <v>114</v>
      </c>
      <c r="D42" s="462"/>
      <c r="E42" s="463"/>
      <c r="F42" s="463"/>
      <c r="G42" s="464"/>
      <c r="H42" s="28">
        <f t="shared" si="15"/>
        <v>15.625094399999996</v>
      </c>
      <c r="I42" s="15">
        <f t="shared" ref="I42" si="17">H42*0.48</f>
        <v>7.5000453119999984</v>
      </c>
      <c r="J42" s="2">
        <v>1</v>
      </c>
      <c r="K42" s="15">
        <f t="shared" si="11"/>
        <v>7.5000453119999984</v>
      </c>
      <c r="L42" s="20">
        <v>0.08</v>
      </c>
      <c r="M42" s="20">
        <f t="shared" si="0"/>
        <v>0.60000362495999993</v>
      </c>
      <c r="N42" s="28">
        <f t="shared" si="16"/>
        <v>8.1250490879999973</v>
      </c>
      <c r="O42" s="19">
        <v>0</v>
      </c>
      <c r="P42" s="28">
        <v>0</v>
      </c>
      <c r="Q42" s="20">
        <v>0</v>
      </c>
      <c r="R42" s="20">
        <f t="shared" si="2"/>
        <v>0</v>
      </c>
      <c r="S42" s="16">
        <f t="shared" si="1"/>
        <v>0.60000362495999993</v>
      </c>
    </row>
    <row r="43" spans="1:19" ht="15" thickBot="1" x14ac:dyDescent="0.4">
      <c r="A43" s="393"/>
      <c r="B43" s="393"/>
      <c r="C43" s="27" t="s">
        <v>115</v>
      </c>
      <c r="D43" s="465"/>
      <c r="E43" s="466"/>
      <c r="F43" s="466"/>
      <c r="G43" s="467"/>
      <c r="H43" s="28">
        <f t="shared" si="15"/>
        <v>8.1250490879999973</v>
      </c>
      <c r="I43" s="15">
        <f>H43</f>
        <v>8.1250490879999973</v>
      </c>
      <c r="J43" s="2">
        <v>1</v>
      </c>
      <c r="K43" s="15">
        <f t="shared" si="11"/>
        <v>8.1250490879999973</v>
      </c>
      <c r="L43" s="20">
        <v>0.08</v>
      </c>
      <c r="M43" s="20">
        <f t="shared" si="0"/>
        <v>0.65000392703999976</v>
      </c>
      <c r="N43" s="28">
        <f t="shared" si="16"/>
        <v>0</v>
      </c>
      <c r="O43" s="19">
        <v>0</v>
      </c>
      <c r="P43" s="28">
        <f t="shared" si="12"/>
        <v>0</v>
      </c>
      <c r="Q43" s="20">
        <v>0</v>
      </c>
      <c r="R43" s="20">
        <f t="shared" si="2"/>
        <v>0</v>
      </c>
      <c r="S43" s="16">
        <f t="shared" si="1"/>
        <v>0.65000392703999976</v>
      </c>
    </row>
    <row r="44" spans="1:19" ht="15" thickBot="1" x14ac:dyDescent="0.4">
      <c r="A44" s="393"/>
      <c r="B44" s="393"/>
      <c r="C44" s="27" t="s">
        <v>38</v>
      </c>
      <c r="D44" s="456" t="str">
        <f>Appendices!E62</f>
        <v>D1</v>
      </c>
      <c r="E44" s="457"/>
      <c r="F44" s="457"/>
      <c r="G44" s="458"/>
      <c r="H44" s="29">
        <f>H27</f>
        <v>1182</v>
      </c>
      <c r="I44" s="15">
        <f>I27</f>
        <v>945</v>
      </c>
      <c r="J44" s="2">
        <v>1</v>
      </c>
      <c r="K44" s="2">
        <f>I44*J44</f>
        <v>945</v>
      </c>
      <c r="L44" s="20">
        <v>0.02</v>
      </c>
      <c r="M44" s="20">
        <f t="shared" si="0"/>
        <v>18.900000000000002</v>
      </c>
      <c r="N44" s="28">
        <f>H44-I44</f>
        <v>237</v>
      </c>
      <c r="O44" s="19">
        <v>0</v>
      </c>
      <c r="P44" s="18">
        <f>N44*O44</f>
        <v>0</v>
      </c>
      <c r="Q44" s="20">
        <v>0</v>
      </c>
      <c r="R44" s="20">
        <f t="shared" si="2"/>
        <v>0</v>
      </c>
      <c r="S44" s="16">
        <f t="shared" si="1"/>
        <v>18.900000000000002</v>
      </c>
    </row>
    <row r="45" spans="1:19" s="260" customFormat="1" ht="15" thickBot="1" x14ac:dyDescent="0.4">
      <c r="A45" s="393"/>
      <c r="B45" s="393"/>
      <c r="C45" s="27" t="s">
        <v>295</v>
      </c>
      <c r="D45" s="468" t="str">
        <f>Appendices!E67</f>
        <v>D3</v>
      </c>
      <c r="E45" s="469"/>
      <c r="F45" s="469"/>
      <c r="G45" s="470"/>
      <c r="H45" s="28">
        <v>60</v>
      </c>
      <c r="I45" s="53">
        <f>ROUNDUP(H45,0)*0.5</f>
        <v>30</v>
      </c>
      <c r="J45" s="2">
        <v>1</v>
      </c>
      <c r="K45" s="15">
        <f t="shared" ref="K45:K48" si="18">I45*J45</f>
        <v>30</v>
      </c>
      <c r="L45" s="20">
        <f>0.05+0.25</f>
        <v>0.3</v>
      </c>
      <c r="M45" s="20">
        <f t="shared" ref="M45:M48" si="19">L45*K45*J45</f>
        <v>9</v>
      </c>
      <c r="N45" s="28">
        <f>ROUNDDOWN(H45-I45, 0)</f>
        <v>30</v>
      </c>
      <c r="O45" s="19">
        <v>1</v>
      </c>
      <c r="P45" s="28">
        <f t="shared" ref="P45:P48" si="20">N45*O45</f>
        <v>30</v>
      </c>
      <c r="Q45" s="19">
        <v>0.02</v>
      </c>
      <c r="R45" s="20">
        <f t="shared" ref="R45:R48" si="21">Q45*P45*O45</f>
        <v>0.6</v>
      </c>
      <c r="S45" s="16">
        <f t="shared" ref="S45:S48" si="22">R45+M45</f>
        <v>9.6</v>
      </c>
    </row>
    <row r="46" spans="1:19" s="260" customFormat="1" ht="15" thickBot="1" x14ac:dyDescent="0.4">
      <c r="A46" s="393"/>
      <c r="B46" s="393"/>
      <c r="C46" s="27" t="s">
        <v>296</v>
      </c>
      <c r="D46" s="402" t="str">
        <f>Appendices!E68</f>
        <v>D4</v>
      </c>
      <c r="E46" s="403"/>
      <c r="F46" s="403"/>
      <c r="G46" s="404"/>
      <c r="H46" s="28">
        <v>60</v>
      </c>
      <c r="I46" s="53">
        <f t="shared" ref="I46:I47" si="23">ROUNDUP(H46,0)*0.65</f>
        <v>39</v>
      </c>
      <c r="J46" s="2">
        <v>1</v>
      </c>
      <c r="K46" s="15">
        <f t="shared" si="18"/>
        <v>39</v>
      </c>
      <c r="L46" s="20">
        <f>0.08+0.25</f>
        <v>0.33</v>
      </c>
      <c r="M46" s="20">
        <f t="shared" si="19"/>
        <v>12.870000000000001</v>
      </c>
      <c r="N46" s="28">
        <f>H46-I46</f>
        <v>21</v>
      </c>
      <c r="O46" s="19">
        <v>1</v>
      </c>
      <c r="P46" s="28">
        <f t="shared" si="20"/>
        <v>21</v>
      </c>
      <c r="Q46" s="19">
        <v>0.02</v>
      </c>
      <c r="R46" s="20">
        <f t="shared" si="21"/>
        <v>0.42</v>
      </c>
      <c r="S46" s="16">
        <f t="shared" si="22"/>
        <v>13.290000000000001</v>
      </c>
    </row>
    <row r="47" spans="1:19" s="260" customFormat="1" ht="15" thickBot="1" x14ac:dyDescent="0.4">
      <c r="A47" s="393"/>
      <c r="B47" s="393"/>
      <c r="C47" s="27" t="s">
        <v>297</v>
      </c>
      <c r="D47" s="405"/>
      <c r="E47" s="406"/>
      <c r="F47" s="406"/>
      <c r="G47" s="407"/>
      <c r="H47" s="28">
        <f t="shared" ref="H47:H48" si="24">N46</f>
        <v>21</v>
      </c>
      <c r="I47" s="53">
        <f t="shared" si="23"/>
        <v>13.65</v>
      </c>
      <c r="J47" s="2">
        <v>1</v>
      </c>
      <c r="K47" s="15">
        <f t="shared" si="18"/>
        <v>13.65</v>
      </c>
      <c r="L47" s="20">
        <f t="shared" ref="L47:L48" si="25">0.08+0.25</f>
        <v>0.33</v>
      </c>
      <c r="M47" s="20">
        <f t="shared" si="19"/>
        <v>4.5045000000000002</v>
      </c>
      <c r="N47" s="28">
        <f t="shared" ref="N47:N48" si="26">H47-I47</f>
        <v>7.35</v>
      </c>
      <c r="O47" s="19">
        <v>1</v>
      </c>
      <c r="P47" s="28">
        <f t="shared" si="20"/>
        <v>7.35</v>
      </c>
      <c r="Q47" s="19">
        <v>0.02</v>
      </c>
      <c r="R47" s="20">
        <f t="shared" si="21"/>
        <v>0.14699999999999999</v>
      </c>
      <c r="S47" s="16">
        <f t="shared" si="22"/>
        <v>4.6515000000000004</v>
      </c>
    </row>
    <row r="48" spans="1:19" s="260" customFormat="1" ht="15" thickBot="1" x14ac:dyDescent="0.4">
      <c r="A48" s="393"/>
      <c r="B48" s="393"/>
      <c r="C48" s="27" t="s">
        <v>298</v>
      </c>
      <c r="D48" s="408"/>
      <c r="E48" s="409"/>
      <c r="F48" s="409"/>
      <c r="G48" s="410"/>
      <c r="H48" s="28">
        <f t="shared" si="24"/>
        <v>7.35</v>
      </c>
      <c r="I48" s="53">
        <f>H48</f>
        <v>7.35</v>
      </c>
      <c r="J48" s="2">
        <v>1</v>
      </c>
      <c r="K48" s="15">
        <f t="shared" si="18"/>
        <v>7.35</v>
      </c>
      <c r="L48" s="20">
        <f t="shared" si="25"/>
        <v>0.33</v>
      </c>
      <c r="M48" s="20">
        <f t="shared" si="19"/>
        <v>2.4255</v>
      </c>
      <c r="N48" s="28">
        <f t="shared" si="26"/>
        <v>0</v>
      </c>
      <c r="O48" s="19">
        <v>0</v>
      </c>
      <c r="P48" s="28">
        <f t="shared" si="20"/>
        <v>0</v>
      </c>
      <c r="Q48" s="20">
        <v>0</v>
      </c>
      <c r="R48" s="20">
        <f t="shared" si="21"/>
        <v>0</v>
      </c>
      <c r="S48" s="16">
        <f t="shared" si="22"/>
        <v>2.4255</v>
      </c>
    </row>
    <row r="49" spans="1:19" ht="15" thickBot="1" x14ac:dyDescent="0.4">
      <c r="A49" s="393"/>
      <c r="B49" s="393"/>
      <c r="C49" s="9" t="s">
        <v>91</v>
      </c>
      <c r="D49" s="471" t="str">
        <f>Appendices!E69</f>
        <v>D5</v>
      </c>
      <c r="E49" s="472"/>
      <c r="F49" s="472"/>
      <c r="G49" s="473"/>
      <c r="H49" s="15">
        <f>I27</f>
        <v>945</v>
      </c>
      <c r="I49" s="15">
        <f>H49</f>
        <v>945</v>
      </c>
      <c r="J49" s="2">
        <v>1</v>
      </c>
      <c r="K49" s="2">
        <f>I49*J49</f>
        <v>945</v>
      </c>
      <c r="L49" s="20">
        <v>0.02</v>
      </c>
      <c r="M49" s="20">
        <f t="shared" si="0"/>
        <v>18.900000000000002</v>
      </c>
      <c r="N49" s="28">
        <f t="shared" si="14"/>
        <v>0</v>
      </c>
      <c r="O49" s="19">
        <v>0</v>
      </c>
      <c r="P49" s="18">
        <v>0</v>
      </c>
      <c r="Q49" s="20">
        <v>0</v>
      </c>
      <c r="R49" s="20">
        <f t="shared" si="2"/>
        <v>0</v>
      </c>
      <c r="S49" s="16">
        <f t="shared" si="1"/>
        <v>18.900000000000002</v>
      </c>
    </row>
    <row r="50" spans="1:19" ht="15" thickBot="1" x14ac:dyDescent="0.4">
      <c r="A50" s="390" t="s">
        <v>77</v>
      </c>
      <c r="B50" s="390"/>
      <c r="C50" s="390"/>
      <c r="D50" s="390"/>
      <c r="E50" s="390"/>
      <c r="F50" s="390"/>
      <c r="G50" s="390"/>
      <c r="H50" s="390"/>
      <c r="I50" s="30">
        <f>I6+I27</f>
        <v>1035</v>
      </c>
      <c r="J50" s="51">
        <f>K50/I50</f>
        <v>5.2620289855072473</v>
      </c>
      <c r="K50" s="50">
        <f>SUM(K6:K49)</f>
        <v>5446.2000000000007</v>
      </c>
      <c r="L50" s="4">
        <f>M50/K50</f>
        <v>0.1718076204707123</v>
      </c>
      <c r="M50" s="4">
        <f>SUM(M6:M49)</f>
        <v>935.69866260759341</v>
      </c>
      <c r="N50" s="65">
        <f>N27+N6</f>
        <v>237</v>
      </c>
      <c r="O50" s="63">
        <f>P50/N50</f>
        <v>9.6058482514954129</v>
      </c>
      <c r="P50" s="51">
        <f>SUM(P6:P49)</f>
        <v>2276.5860356044127</v>
      </c>
      <c r="Q50" s="4">
        <f>R50/P50</f>
        <v>0.02</v>
      </c>
      <c r="R50" s="4">
        <f>SUM(R6:R49)</f>
        <v>45.531720712088251</v>
      </c>
      <c r="S50" s="17">
        <f>SUM(S6:S49)</f>
        <v>981.23038331968212</v>
      </c>
    </row>
    <row r="51" spans="1:19" ht="15" thickBot="1" x14ac:dyDescent="0.4">
      <c r="A51" s="423" t="s">
        <v>20</v>
      </c>
      <c r="B51" s="423"/>
      <c r="C51" s="423"/>
      <c r="D51" s="423"/>
      <c r="E51" s="423"/>
      <c r="F51" s="423"/>
      <c r="G51" s="423"/>
      <c r="H51" s="423"/>
      <c r="I51" s="423"/>
      <c r="J51" s="423"/>
      <c r="K51" s="423"/>
      <c r="L51" s="423"/>
      <c r="M51" s="423"/>
      <c r="N51" s="423"/>
      <c r="O51" s="423"/>
      <c r="P51" s="423"/>
      <c r="Q51" s="423"/>
      <c r="R51" s="423"/>
      <c r="S51" s="423"/>
    </row>
    <row r="52" spans="1:19" ht="24.5" thickBot="1" x14ac:dyDescent="0.4">
      <c r="A52" s="487" t="s">
        <v>20</v>
      </c>
      <c r="B52" s="395" t="s">
        <v>69</v>
      </c>
      <c r="C52" s="33" t="s">
        <v>97</v>
      </c>
      <c r="D52" s="290" t="str">
        <f>Appendices!$E$9&amp;","</f>
        <v>B3.a,</v>
      </c>
      <c r="E52" s="291" t="str">
        <f>Appendices!$E$10&amp;","</f>
        <v>B3.b,</v>
      </c>
      <c r="F52" s="291" t="str">
        <f>Appendices!$E$11&amp;","</f>
        <v>B3.c,</v>
      </c>
      <c r="G52" s="292" t="str">
        <f>Appendices!$E$12</f>
        <v>B3.d</v>
      </c>
      <c r="H52" s="43">
        <v>2000</v>
      </c>
      <c r="I52" s="41">
        <v>1600</v>
      </c>
      <c r="J52" s="35">
        <v>1</v>
      </c>
      <c r="K52" s="35">
        <f>I52*J52</f>
        <v>1600</v>
      </c>
      <c r="L52" s="36">
        <f>(30/60)</f>
        <v>0.5</v>
      </c>
      <c r="M52" s="37">
        <f t="shared" ref="M52:M101" si="27">L52*J52*I52</f>
        <v>800</v>
      </c>
      <c r="N52" s="35">
        <f>H52-I52</f>
        <v>400</v>
      </c>
      <c r="O52" s="35">
        <v>0</v>
      </c>
      <c r="P52" s="35">
        <f t="shared" ref="P52:P101" si="28">O52*N52</f>
        <v>0</v>
      </c>
      <c r="Q52" s="36">
        <v>0</v>
      </c>
      <c r="R52" s="37">
        <f t="shared" ref="R52:R101" si="29">Q52*O52*N52</f>
        <v>0</v>
      </c>
      <c r="S52" s="37">
        <f t="shared" ref="S52:S101" si="30">R52+M52</f>
        <v>800</v>
      </c>
    </row>
    <row r="53" spans="1:19" ht="15" thickBot="1" x14ac:dyDescent="0.4">
      <c r="A53" s="487"/>
      <c r="B53" s="395"/>
      <c r="C53" s="57" t="s">
        <v>116</v>
      </c>
      <c r="D53" s="375" t="str">
        <f>Appendices!$E$35&amp;","</f>
        <v>C11.a,</v>
      </c>
      <c r="E53" s="376"/>
      <c r="F53" s="438" t="str">
        <f>Appendices!$E$36</f>
        <v>C11.b</v>
      </c>
      <c r="G53" s="439"/>
      <c r="H53" s="58">
        <v>2000</v>
      </c>
      <c r="I53" s="53">
        <f>H53*0.1809</f>
        <v>361.8</v>
      </c>
      <c r="J53" s="19">
        <v>1</v>
      </c>
      <c r="K53" s="53">
        <f t="shared" ref="K53:K59" si="31">I53*J53</f>
        <v>361.8</v>
      </c>
      <c r="L53" s="20">
        <v>0.08</v>
      </c>
      <c r="M53" s="20">
        <f t="shared" si="27"/>
        <v>28.944000000000003</v>
      </c>
      <c r="N53" s="53">
        <f>H53-I53</f>
        <v>1638.2</v>
      </c>
      <c r="O53" s="19">
        <v>1</v>
      </c>
      <c r="P53" s="53">
        <f t="shared" si="28"/>
        <v>1638.2</v>
      </c>
      <c r="Q53" s="19">
        <v>0.02</v>
      </c>
      <c r="R53" s="20">
        <f t="shared" si="29"/>
        <v>32.764000000000003</v>
      </c>
      <c r="S53" s="20">
        <f t="shared" si="30"/>
        <v>61.708000000000006</v>
      </c>
    </row>
    <row r="54" spans="1:19" ht="15" thickBot="1" x14ac:dyDescent="0.4">
      <c r="A54" s="487"/>
      <c r="B54" s="395"/>
      <c r="C54" s="57" t="s">
        <v>117</v>
      </c>
      <c r="D54" s="377"/>
      <c r="E54" s="378"/>
      <c r="F54" s="440"/>
      <c r="G54" s="441"/>
      <c r="H54" s="58">
        <f t="shared" ref="H54:H60" si="32">N53</f>
        <v>1638.2</v>
      </c>
      <c r="I54" s="53">
        <f>H54*0.1809</f>
        <v>296.35038000000003</v>
      </c>
      <c r="J54" s="19">
        <v>1</v>
      </c>
      <c r="K54" s="53">
        <f t="shared" si="31"/>
        <v>296.35038000000003</v>
      </c>
      <c r="L54" s="20">
        <v>0.08</v>
      </c>
      <c r="M54" s="20">
        <f t="shared" si="27"/>
        <v>23.708030400000002</v>
      </c>
      <c r="N54" s="53">
        <f>ROUNDUP(H54,0)-I54</f>
        <v>1342.6496199999999</v>
      </c>
      <c r="O54" s="19">
        <v>0</v>
      </c>
      <c r="P54" s="53">
        <f t="shared" si="28"/>
        <v>0</v>
      </c>
      <c r="Q54" s="20">
        <v>0</v>
      </c>
      <c r="R54" s="20">
        <f t="shared" si="29"/>
        <v>0</v>
      </c>
      <c r="S54" s="20">
        <f t="shared" si="30"/>
        <v>23.708030400000002</v>
      </c>
    </row>
    <row r="55" spans="1:19" ht="15" thickBot="1" x14ac:dyDescent="0.4">
      <c r="A55" s="487"/>
      <c r="B55" s="395"/>
      <c r="C55" s="57" t="s">
        <v>118</v>
      </c>
      <c r="D55" s="377"/>
      <c r="E55" s="378"/>
      <c r="F55" s="440"/>
      <c r="G55" s="441"/>
      <c r="H55" s="58">
        <f t="shared" si="32"/>
        <v>1342.6496199999999</v>
      </c>
      <c r="I55" s="53">
        <f>H55*0.1809</f>
        <v>242.88531625799999</v>
      </c>
      <c r="J55" s="19">
        <v>1</v>
      </c>
      <c r="K55" s="53">
        <f t="shared" si="31"/>
        <v>242.88531625799999</v>
      </c>
      <c r="L55" s="20">
        <v>0.08</v>
      </c>
      <c r="M55" s="20">
        <f t="shared" si="27"/>
        <v>19.430825300639999</v>
      </c>
      <c r="N55" s="53">
        <f>ROUNDUP(H55, 0)-ROUNDUP(I55, 0)</f>
        <v>1100</v>
      </c>
      <c r="O55" s="19">
        <v>0</v>
      </c>
      <c r="P55" s="53">
        <f t="shared" si="28"/>
        <v>0</v>
      </c>
      <c r="Q55" s="20">
        <v>0</v>
      </c>
      <c r="R55" s="20">
        <f t="shared" si="29"/>
        <v>0</v>
      </c>
      <c r="S55" s="20">
        <f t="shared" si="30"/>
        <v>19.430825300639999</v>
      </c>
    </row>
    <row r="56" spans="1:19" ht="15" thickBot="1" x14ac:dyDescent="0.4">
      <c r="A56" s="487"/>
      <c r="B56" s="395"/>
      <c r="C56" s="57" t="s">
        <v>119</v>
      </c>
      <c r="D56" s="377"/>
      <c r="E56" s="378"/>
      <c r="F56" s="440"/>
      <c r="G56" s="441"/>
      <c r="H56" s="58">
        <f t="shared" si="32"/>
        <v>1100</v>
      </c>
      <c r="I56" s="53">
        <f>H56*0.0915</f>
        <v>100.64999999999999</v>
      </c>
      <c r="J56" s="19">
        <v>1</v>
      </c>
      <c r="K56" s="53">
        <f t="shared" si="31"/>
        <v>100.64999999999999</v>
      </c>
      <c r="L56" s="20">
        <v>0.08</v>
      </c>
      <c r="M56" s="20">
        <f t="shared" si="27"/>
        <v>8.0519999999999996</v>
      </c>
      <c r="N56" s="53">
        <f>H56-I56</f>
        <v>999.35</v>
      </c>
      <c r="O56" s="19">
        <v>1</v>
      </c>
      <c r="P56" s="53">
        <f t="shared" si="28"/>
        <v>999.35</v>
      </c>
      <c r="Q56" s="19">
        <v>0.02</v>
      </c>
      <c r="R56" s="20">
        <f t="shared" si="29"/>
        <v>19.987000000000002</v>
      </c>
      <c r="S56" s="20">
        <f t="shared" si="30"/>
        <v>28.039000000000001</v>
      </c>
    </row>
    <row r="57" spans="1:19" ht="15" thickBot="1" x14ac:dyDescent="0.4">
      <c r="A57" s="487"/>
      <c r="B57" s="395"/>
      <c r="C57" s="57" t="s">
        <v>120</v>
      </c>
      <c r="D57" s="377"/>
      <c r="E57" s="378"/>
      <c r="F57" s="440"/>
      <c r="G57" s="441"/>
      <c r="H57" s="58">
        <f t="shared" si="32"/>
        <v>999.35</v>
      </c>
      <c r="I57" s="53">
        <f>H57*0.0915</f>
        <v>91.440524999999994</v>
      </c>
      <c r="J57" s="19">
        <v>1</v>
      </c>
      <c r="K57" s="53">
        <f t="shared" si="31"/>
        <v>91.440524999999994</v>
      </c>
      <c r="L57" s="20">
        <v>0.08</v>
      </c>
      <c r="M57" s="20">
        <f t="shared" si="27"/>
        <v>7.3152419999999996</v>
      </c>
      <c r="N57" s="53">
        <f>H57-I57</f>
        <v>907.90947500000004</v>
      </c>
      <c r="O57" s="19">
        <v>0</v>
      </c>
      <c r="P57" s="53">
        <f t="shared" si="28"/>
        <v>0</v>
      </c>
      <c r="Q57" s="20">
        <v>0</v>
      </c>
      <c r="R57" s="20">
        <f t="shared" si="29"/>
        <v>0</v>
      </c>
      <c r="S57" s="20">
        <f t="shared" si="30"/>
        <v>7.3152419999999996</v>
      </c>
    </row>
    <row r="58" spans="1:19" ht="15" thickBot="1" x14ac:dyDescent="0.4">
      <c r="A58" s="487"/>
      <c r="B58" s="395"/>
      <c r="C58" s="57" t="s">
        <v>121</v>
      </c>
      <c r="D58" s="377"/>
      <c r="E58" s="378"/>
      <c r="F58" s="440"/>
      <c r="G58" s="441"/>
      <c r="H58" s="58">
        <f t="shared" si="32"/>
        <v>907.90947500000004</v>
      </c>
      <c r="I58" s="53">
        <f>H58*0.0915</f>
        <v>83.073716962500001</v>
      </c>
      <c r="J58" s="19">
        <v>1</v>
      </c>
      <c r="K58" s="53">
        <f t="shared" si="31"/>
        <v>83.073716962500001</v>
      </c>
      <c r="L58" s="20">
        <v>0.08</v>
      </c>
      <c r="M58" s="20">
        <f t="shared" si="27"/>
        <v>6.6458973569999999</v>
      </c>
      <c r="N58" s="53">
        <f>H58-I58</f>
        <v>824.8357580375</v>
      </c>
      <c r="O58" s="19">
        <v>0</v>
      </c>
      <c r="P58" s="53">
        <f t="shared" si="28"/>
        <v>0</v>
      </c>
      <c r="Q58" s="20">
        <v>0</v>
      </c>
      <c r="R58" s="20">
        <f t="shared" si="29"/>
        <v>0</v>
      </c>
      <c r="S58" s="20">
        <f t="shared" si="30"/>
        <v>6.6458973569999999</v>
      </c>
    </row>
    <row r="59" spans="1:19" ht="15" thickBot="1" x14ac:dyDescent="0.4">
      <c r="A59" s="487"/>
      <c r="B59" s="395"/>
      <c r="C59" s="57" t="s">
        <v>122</v>
      </c>
      <c r="D59" s="379"/>
      <c r="E59" s="380"/>
      <c r="F59" s="442"/>
      <c r="G59" s="443"/>
      <c r="H59" s="58">
        <f t="shared" si="32"/>
        <v>824.8357580375</v>
      </c>
      <c r="I59" s="53">
        <f>H59*0.151</f>
        <v>124.55019946366249</v>
      </c>
      <c r="J59" s="19">
        <v>1</v>
      </c>
      <c r="K59" s="53">
        <f t="shared" si="31"/>
        <v>124.55019946366249</v>
      </c>
      <c r="L59" s="20">
        <v>0.08</v>
      </c>
      <c r="M59" s="20">
        <f t="shared" si="27"/>
        <v>9.9640159570930003</v>
      </c>
      <c r="N59" s="53">
        <f>H59-I59</f>
        <v>700.28555857383753</v>
      </c>
      <c r="O59" s="19">
        <v>1</v>
      </c>
      <c r="P59" s="53">
        <f t="shared" si="28"/>
        <v>700.28555857383753</v>
      </c>
      <c r="Q59" s="19">
        <v>0.02</v>
      </c>
      <c r="R59" s="20">
        <f t="shared" si="29"/>
        <v>14.005711171476751</v>
      </c>
      <c r="S59" s="20">
        <f t="shared" si="30"/>
        <v>23.969727128569751</v>
      </c>
    </row>
    <row r="60" spans="1:19" ht="15" thickBot="1" x14ac:dyDescent="0.4">
      <c r="A60" s="487"/>
      <c r="B60" s="395"/>
      <c r="C60" s="59" t="s">
        <v>70</v>
      </c>
      <c r="D60" s="436" t="str">
        <f>Appendices!$E$37&amp;","</f>
        <v>C12.a,</v>
      </c>
      <c r="E60" s="437"/>
      <c r="F60" s="448" t="str">
        <f>Appendices!$E$38</f>
        <v>C12.b</v>
      </c>
      <c r="G60" s="449"/>
      <c r="H60" s="22">
        <f t="shared" si="32"/>
        <v>700.28555857383753</v>
      </c>
      <c r="I60" s="60">
        <f>H60*0.429</f>
        <v>300.42250462817628</v>
      </c>
      <c r="J60" s="2">
        <v>1</v>
      </c>
      <c r="K60" s="15">
        <f>I60*J60</f>
        <v>300.42250462817628</v>
      </c>
      <c r="L60" s="20">
        <v>0.02</v>
      </c>
      <c r="M60" s="11">
        <f t="shared" si="27"/>
        <v>6.0084500925635256</v>
      </c>
      <c r="N60" s="15">
        <f t="shared" ref="N60:N68" si="33">H60-I60</f>
        <v>399.86305394566125</v>
      </c>
      <c r="O60" s="2">
        <v>0</v>
      </c>
      <c r="P60" s="15">
        <f t="shared" si="28"/>
        <v>0</v>
      </c>
      <c r="Q60" s="20">
        <v>0</v>
      </c>
      <c r="R60" s="11">
        <f t="shared" si="29"/>
        <v>0</v>
      </c>
      <c r="S60" s="11">
        <f t="shared" si="30"/>
        <v>6.0084500925635256</v>
      </c>
    </row>
    <row r="61" spans="1:19" ht="15" thickBot="1" x14ac:dyDescent="0.4">
      <c r="A61" s="487"/>
      <c r="B61" s="395"/>
      <c r="C61" s="61" t="s">
        <v>68</v>
      </c>
      <c r="D61" s="436" t="str">
        <f>Appendices!$E$39&amp;","</f>
        <v>C13.a,</v>
      </c>
      <c r="E61" s="437"/>
      <c r="F61" s="446" t="str">
        <f>Appendices!$E$40</f>
        <v>C13.b</v>
      </c>
      <c r="G61" s="447"/>
      <c r="H61" s="21">
        <v>1600</v>
      </c>
      <c r="I61" s="15">
        <f>H61*0.55</f>
        <v>880.00000000000011</v>
      </c>
      <c r="J61" s="2">
        <v>1</v>
      </c>
      <c r="K61" s="2">
        <v>800</v>
      </c>
      <c r="L61" s="20">
        <v>0.02</v>
      </c>
      <c r="M61" s="11">
        <f>L61*J61*I61</f>
        <v>17.600000000000001</v>
      </c>
      <c r="N61" s="15">
        <f>H61-I61</f>
        <v>719.99999999999989</v>
      </c>
      <c r="O61" s="2">
        <v>0</v>
      </c>
      <c r="P61" s="2">
        <f t="shared" si="28"/>
        <v>0</v>
      </c>
      <c r="Q61" s="20">
        <v>0</v>
      </c>
      <c r="R61" s="11">
        <f t="shared" si="29"/>
        <v>0</v>
      </c>
      <c r="S61" s="12">
        <f t="shared" si="30"/>
        <v>17.600000000000001</v>
      </c>
    </row>
    <row r="62" spans="1:19" ht="15" thickBot="1" x14ac:dyDescent="0.4">
      <c r="A62" s="487"/>
      <c r="B62" s="395"/>
      <c r="C62" s="57" t="s">
        <v>123</v>
      </c>
      <c r="D62" s="385" t="str">
        <f>Appendices!$E$41&amp;","</f>
        <v>C14.a,</v>
      </c>
      <c r="E62" s="386"/>
      <c r="F62" s="446" t="str">
        <f>Appendices!$E$42</f>
        <v>C14.b</v>
      </c>
      <c r="G62" s="447"/>
      <c r="H62" s="21">
        <v>720</v>
      </c>
      <c r="I62" s="15">
        <f>H62*0.5</f>
        <v>360</v>
      </c>
      <c r="J62" s="2">
        <v>1</v>
      </c>
      <c r="K62" s="2">
        <v>800</v>
      </c>
      <c r="L62" s="20">
        <v>0.08</v>
      </c>
      <c r="M62" s="11">
        <f>L62*J62*I62</f>
        <v>28.8</v>
      </c>
      <c r="N62" s="15">
        <f>H62-I62</f>
        <v>360</v>
      </c>
      <c r="O62" s="2">
        <v>1</v>
      </c>
      <c r="P62" s="2">
        <f>O62*N62</f>
        <v>360</v>
      </c>
      <c r="Q62" s="19">
        <v>0.02</v>
      </c>
      <c r="R62" s="11">
        <f>Q62*O62*N62</f>
        <v>7.2</v>
      </c>
      <c r="S62" s="12">
        <f>R62+M62</f>
        <v>36</v>
      </c>
    </row>
    <row r="63" spans="1:19" ht="15" thickBot="1" x14ac:dyDescent="0.4">
      <c r="A63" s="487"/>
      <c r="B63" s="395"/>
      <c r="C63" s="27" t="s">
        <v>45</v>
      </c>
      <c r="D63" s="385" t="str">
        <f>Appendices!$E$70&amp;","</f>
        <v>D6.a,</v>
      </c>
      <c r="E63" s="386"/>
      <c r="F63" s="446" t="str">
        <f>Appendices!$E$71</f>
        <v>D6.b</v>
      </c>
      <c r="G63" s="447"/>
      <c r="H63" s="21">
        <v>2000</v>
      </c>
      <c r="I63" s="15">
        <v>1600</v>
      </c>
      <c r="J63" s="2">
        <v>1</v>
      </c>
      <c r="K63" s="2">
        <f>I63*J63</f>
        <v>1600</v>
      </c>
      <c r="L63" s="20">
        <v>0.02</v>
      </c>
      <c r="M63" s="11">
        <f>L63*J63*I63</f>
        <v>32</v>
      </c>
      <c r="N63" s="15">
        <f>H63-I63</f>
        <v>400</v>
      </c>
      <c r="O63" s="2">
        <v>1</v>
      </c>
      <c r="P63" s="2">
        <f>O63*N63</f>
        <v>400</v>
      </c>
      <c r="Q63" s="19">
        <v>0.02</v>
      </c>
      <c r="R63" s="11">
        <f>Q63*O63*N63</f>
        <v>8</v>
      </c>
      <c r="S63" s="12">
        <f>R63+M63</f>
        <v>40</v>
      </c>
    </row>
    <row r="64" spans="1:19" ht="15" thickBot="1" x14ac:dyDescent="0.4">
      <c r="A64" s="487"/>
      <c r="B64" s="395"/>
      <c r="C64" s="56" t="s">
        <v>141</v>
      </c>
      <c r="D64" s="363" t="str">
        <f>Appendices!$E$72&amp;","</f>
        <v>D7.a,</v>
      </c>
      <c r="E64" s="364"/>
      <c r="F64" s="448" t="str">
        <f>Appendices!$E$73</f>
        <v>D7.b</v>
      </c>
      <c r="G64" s="449"/>
      <c r="H64" s="15">
        <v>1600</v>
      </c>
      <c r="I64" s="15">
        <v>1600</v>
      </c>
      <c r="J64" s="2">
        <v>1</v>
      </c>
      <c r="K64" s="2">
        <f>I64*J64</f>
        <v>1600</v>
      </c>
      <c r="L64" s="20">
        <v>0.1</v>
      </c>
      <c r="M64" s="11">
        <f>L64*J64*I64</f>
        <v>160</v>
      </c>
      <c r="N64" s="15">
        <f>H64-I64</f>
        <v>0</v>
      </c>
      <c r="O64" s="2">
        <v>0</v>
      </c>
      <c r="P64" s="2">
        <f>O64*N64</f>
        <v>0</v>
      </c>
      <c r="Q64" s="20">
        <v>0</v>
      </c>
      <c r="R64" s="11">
        <f>Q64*O64*N64</f>
        <v>0</v>
      </c>
      <c r="S64" s="12">
        <f>R64+M64</f>
        <v>160</v>
      </c>
    </row>
    <row r="65" spans="1:19" ht="15.75" customHeight="1" thickBot="1" x14ac:dyDescent="0.4">
      <c r="A65" s="487"/>
      <c r="B65" s="395"/>
      <c r="C65" s="23" t="s">
        <v>101</v>
      </c>
      <c r="D65" s="296" t="str">
        <f>Appendices!$E17&amp;","</f>
        <v>B5.a,</v>
      </c>
      <c r="E65" s="297" t="str">
        <f>Appendices!E18&amp;","</f>
        <v>B5.b,</v>
      </c>
      <c r="F65" s="297" t="str">
        <f>Appendices!$E$19&amp;","</f>
        <v>B5.c,</v>
      </c>
      <c r="G65" s="298" t="str">
        <f>Appendices!E20</f>
        <v>B5.d</v>
      </c>
      <c r="H65" s="2">
        <v>1000</v>
      </c>
      <c r="I65" s="2">
        <v>800</v>
      </c>
      <c r="J65" s="2">
        <v>1</v>
      </c>
      <c r="K65" s="2">
        <f t="shared" ref="K65:K101" si="34">I65*J65</f>
        <v>800</v>
      </c>
      <c r="L65" s="20">
        <f>(30/60)+0.02</f>
        <v>0.52</v>
      </c>
      <c r="M65" s="11">
        <f t="shared" si="27"/>
        <v>416</v>
      </c>
      <c r="N65" s="11">
        <f t="shared" si="33"/>
        <v>200</v>
      </c>
      <c r="O65" s="2">
        <v>1</v>
      </c>
      <c r="P65" s="2">
        <f t="shared" si="28"/>
        <v>200</v>
      </c>
      <c r="Q65" s="19">
        <f>0.02</f>
        <v>0.02</v>
      </c>
      <c r="R65" s="11">
        <f t="shared" si="29"/>
        <v>4</v>
      </c>
      <c r="S65" s="12">
        <f t="shared" si="30"/>
        <v>420</v>
      </c>
    </row>
    <row r="66" spans="1:19" ht="24.5" thickBot="1" x14ac:dyDescent="0.4">
      <c r="A66" s="484" t="s">
        <v>20</v>
      </c>
      <c r="B66" s="395" t="s">
        <v>69</v>
      </c>
      <c r="C66" s="33" t="s">
        <v>94</v>
      </c>
      <c r="D66" s="293" t="str">
        <f>Appendices!$E$17&amp;","</f>
        <v>B5.a,</v>
      </c>
      <c r="E66" s="294" t="str">
        <f>Appendices!$E$18&amp;","</f>
        <v>B5.b,</v>
      </c>
      <c r="F66" s="294" t="str">
        <f>Appendices!$E$19&amp;","</f>
        <v>B5.c,</v>
      </c>
      <c r="G66" s="295" t="str">
        <f>Appendices!$E$20</f>
        <v>B5.d</v>
      </c>
      <c r="H66" s="43">
        <v>1500</v>
      </c>
      <c r="I66" s="35">
        <v>750</v>
      </c>
      <c r="J66" s="35">
        <v>1</v>
      </c>
      <c r="K66" s="41">
        <f t="shared" si="34"/>
        <v>750</v>
      </c>
      <c r="L66" s="37">
        <f>(30/60)</f>
        <v>0.5</v>
      </c>
      <c r="M66" s="37">
        <f t="shared" si="27"/>
        <v>375</v>
      </c>
      <c r="N66" s="35">
        <f t="shared" si="33"/>
        <v>750</v>
      </c>
      <c r="O66" s="35">
        <v>0</v>
      </c>
      <c r="P66" s="35">
        <f t="shared" si="28"/>
        <v>0</v>
      </c>
      <c r="Q66" s="36">
        <v>0</v>
      </c>
      <c r="R66" s="37">
        <f t="shared" si="29"/>
        <v>0</v>
      </c>
      <c r="S66" s="37">
        <f t="shared" si="30"/>
        <v>375</v>
      </c>
    </row>
    <row r="67" spans="1:19" ht="15" thickBot="1" x14ac:dyDescent="0.4">
      <c r="A67" s="393"/>
      <c r="B67" s="395"/>
      <c r="C67" s="26" t="s">
        <v>124</v>
      </c>
      <c r="D67" s="375" t="str">
        <f>Appendices!$E$51&amp;","</f>
        <v>C19.a,</v>
      </c>
      <c r="E67" s="376"/>
      <c r="F67" s="450" t="str">
        <f>Appendices!$E$52</f>
        <v>C19.b</v>
      </c>
      <c r="G67" s="451"/>
      <c r="H67" s="22">
        <v>1500</v>
      </c>
      <c r="I67" s="13">
        <f>H67*0.225</f>
        <v>337.5</v>
      </c>
      <c r="J67" s="2">
        <v>1</v>
      </c>
      <c r="K67" s="15">
        <f t="shared" si="34"/>
        <v>337.5</v>
      </c>
      <c r="L67" s="20">
        <v>0.08</v>
      </c>
      <c r="M67" s="11">
        <f t="shared" si="27"/>
        <v>27</v>
      </c>
      <c r="N67" s="15">
        <f t="shared" si="33"/>
        <v>1162.5</v>
      </c>
      <c r="O67" s="2">
        <v>1</v>
      </c>
      <c r="P67" s="15">
        <f t="shared" si="28"/>
        <v>1162.5</v>
      </c>
      <c r="Q67" s="19">
        <v>0.02</v>
      </c>
      <c r="R67" s="11">
        <f t="shared" si="29"/>
        <v>23.25</v>
      </c>
      <c r="S67" s="12">
        <f t="shared" si="30"/>
        <v>50.25</v>
      </c>
    </row>
    <row r="68" spans="1:19" ht="15" thickBot="1" x14ac:dyDescent="0.4">
      <c r="A68" s="393"/>
      <c r="B68" s="395"/>
      <c r="C68" s="26" t="s">
        <v>125</v>
      </c>
      <c r="D68" s="377"/>
      <c r="E68" s="378"/>
      <c r="F68" s="452"/>
      <c r="G68" s="453"/>
      <c r="H68" s="22">
        <f>N67</f>
        <v>1162.5</v>
      </c>
      <c r="I68" s="13">
        <f>H68*0.15</f>
        <v>174.375</v>
      </c>
      <c r="J68" s="2">
        <v>1</v>
      </c>
      <c r="K68" s="15">
        <f t="shared" si="34"/>
        <v>174.375</v>
      </c>
      <c r="L68" s="20">
        <v>0.08</v>
      </c>
      <c r="M68" s="11">
        <f t="shared" si="27"/>
        <v>13.950000000000001</v>
      </c>
      <c r="N68" s="15">
        <f t="shared" si="33"/>
        <v>988.125</v>
      </c>
      <c r="O68" s="2">
        <v>0</v>
      </c>
      <c r="P68" s="15">
        <f t="shared" si="28"/>
        <v>0</v>
      </c>
      <c r="Q68" s="20">
        <v>0</v>
      </c>
      <c r="R68" s="11">
        <f t="shared" si="29"/>
        <v>0</v>
      </c>
      <c r="S68" s="12">
        <f t="shared" si="30"/>
        <v>13.950000000000001</v>
      </c>
    </row>
    <row r="69" spans="1:19" ht="15" thickBot="1" x14ac:dyDescent="0.4">
      <c r="A69" s="393"/>
      <c r="B69" s="395"/>
      <c r="C69" s="26" t="s">
        <v>126</v>
      </c>
      <c r="D69" s="377"/>
      <c r="E69" s="378"/>
      <c r="F69" s="452"/>
      <c r="G69" s="453"/>
      <c r="H69" s="22">
        <f t="shared" ref="H69:H74" si="35">N68</f>
        <v>988.125</v>
      </c>
      <c r="I69" s="13">
        <f>H69*0.112</f>
        <v>110.67</v>
      </c>
      <c r="J69" s="2">
        <v>1</v>
      </c>
      <c r="K69" s="15">
        <f t="shared" si="34"/>
        <v>110.67</v>
      </c>
      <c r="L69" s="20">
        <v>0.08</v>
      </c>
      <c r="M69" s="11">
        <f t="shared" si="27"/>
        <v>8.8536000000000001</v>
      </c>
      <c r="N69" s="15">
        <f t="shared" ref="N69:N74" si="36">H69-I69</f>
        <v>877.45500000000004</v>
      </c>
      <c r="O69" s="2">
        <v>0</v>
      </c>
      <c r="P69" s="15">
        <f t="shared" si="28"/>
        <v>0</v>
      </c>
      <c r="Q69" s="20">
        <v>0</v>
      </c>
      <c r="R69" s="11">
        <f t="shared" si="29"/>
        <v>0</v>
      </c>
      <c r="S69" s="12">
        <f t="shared" si="30"/>
        <v>8.8536000000000001</v>
      </c>
    </row>
    <row r="70" spans="1:19" ht="15" thickBot="1" x14ac:dyDescent="0.4">
      <c r="A70" s="393"/>
      <c r="B70" s="395"/>
      <c r="C70" s="26" t="s">
        <v>127</v>
      </c>
      <c r="D70" s="377"/>
      <c r="E70" s="378"/>
      <c r="F70" s="452"/>
      <c r="G70" s="453"/>
      <c r="H70" s="22">
        <f t="shared" si="35"/>
        <v>877.45500000000004</v>
      </c>
      <c r="I70" s="13">
        <f>H70*0.05</f>
        <v>43.872750000000003</v>
      </c>
      <c r="J70" s="2">
        <v>1</v>
      </c>
      <c r="K70" s="15">
        <f t="shared" si="34"/>
        <v>43.872750000000003</v>
      </c>
      <c r="L70" s="20">
        <v>0.08</v>
      </c>
      <c r="M70" s="11">
        <f t="shared" si="27"/>
        <v>3.5098200000000004</v>
      </c>
      <c r="N70" s="15">
        <f t="shared" si="36"/>
        <v>833.58225000000004</v>
      </c>
      <c r="O70" s="2">
        <v>1</v>
      </c>
      <c r="P70" s="15">
        <f t="shared" si="28"/>
        <v>833.58225000000004</v>
      </c>
      <c r="Q70" s="19">
        <v>0.02</v>
      </c>
      <c r="R70" s="11">
        <f t="shared" si="29"/>
        <v>16.671645000000002</v>
      </c>
      <c r="S70" s="12">
        <f t="shared" si="30"/>
        <v>20.181465000000003</v>
      </c>
    </row>
    <row r="71" spans="1:19" ht="15" thickBot="1" x14ac:dyDescent="0.4">
      <c r="A71" s="393"/>
      <c r="B71" s="395"/>
      <c r="C71" s="26" t="s">
        <v>128</v>
      </c>
      <c r="D71" s="377"/>
      <c r="E71" s="378"/>
      <c r="F71" s="452"/>
      <c r="G71" s="453"/>
      <c r="H71" s="22">
        <f t="shared" si="35"/>
        <v>833.58225000000004</v>
      </c>
      <c r="I71" s="13">
        <f>H71*0.0419</f>
        <v>34.927096275000004</v>
      </c>
      <c r="J71" s="2">
        <v>1</v>
      </c>
      <c r="K71" s="15">
        <f t="shared" si="34"/>
        <v>34.927096275000004</v>
      </c>
      <c r="L71" s="20">
        <v>0.08</v>
      </c>
      <c r="M71" s="11">
        <f t="shared" si="27"/>
        <v>2.7941677020000002</v>
      </c>
      <c r="N71" s="15">
        <f t="shared" si="36"/>
        <v>798.65515372499999</v>
      </c>
      <c r="O71" s="2">
        <v>0</v>
      </c>
      <c r="P71" s="15">
        <f t="shared" si="28"/>
        <v>0</v>
      </c>
      <c r="Q71" s="20">
        <v>0</v>
      </c>
      <c r="R71" s="11">
        <f t="shared" si="29"/>
        <v>0</v>
      </c>
      <c r="S71" s="12">
        <f t="shared" si="30"/>
        <v>2.7941677020000002</v>
      </c>
    </row>
    <row r="72" spans="1:19" ht="15" thickBot="1" x14ac:dyDescent="0.4">
      <c r="A72" s="393"/>
      <c r="B72" s="395"/>
      <c r="C72" s="26" t="s">
        <v>129</v>
      </c>
      <c r="D72" s="377"/>
      <c r="E72" s="378"/>
      <c r="F72" s="452"/>
      <c r="G72" s="453"/>
      <c r="H72" s="22">
        <f t="shared" si="35"/>
        <v>798.65515372499999</v>
      </c>
      <c r="I72" s="13">
        <f>H72*0.0313</f>
        <v>24.997906311592502</v>
      </c>
      <c r="J72" s="2">
        <v>1</v>
      </c>
      <c r="K72" s="15">
        <f t="shared" si="34"/>
        <v>24.997906311592502</v>
      </c>
      <c r="L72" s="20">
        <v>0.08</v>
      </c>
      <c r="M72" s="11">
        <f t="shared" si="27"/>
        <v>1.9998325049274002</v>
      </c>
      <c r="N72" s="15">
        <f t="shared" si="36"/>
        <v>773.6572474134075</v>
      </c>
      <c r="O72" s="2">
        <v>0</v>
      </c>
      <c r="P72" s="15">
        <f t="shared" si="28"/>
        <v>0</v>
      </c>
      <c r="Q72" s="20">
        <v>0</v>
      </c>
      <c r="R72" s="11">
        <f t="shared" si="29"/>
        <v>0</v>
      </c>
      <c r="S72" s="12">
        <f t="shared" si="30"/>
        <v>1.9998325049274002</v>
      </c>
    </row>
    <row r="73" spans="1:19" ht="15" thickBot="1" x14ac:dyDescent="0.4">
      <c r="A73" s="393"/>
      <c r="B73" s="395"/>
      <c r="C73" s="26" t="s">
        <v>130</v>
      </c>
      <c r="D73" s="377"/>
      <c r="E73" s="378"/>
      <c r="F73" s="452"/>
      <c r="G73" s="453"/>
      <c r="H73" s="22">
        <f t="shared" si="35"/>
        <v>773.6572474134075</v>
      </c>
      <c r="I73" s="13">
        <f>H73*0.018</f>
        <v>13.925830453441334</v>
      </c>
      <c r="J73" s="2">
        <v>1</v>
      </c>
      <c r="K73" s="15">
        <f t="shared" si="34"/>
        <v>13.925830453441334</v>
      </c>
      <c r="L73" s="20">
        <v>0.08</v>
      </c>
      <c r="M73" s="11">
        <f t="shared" si="27"/>
        <v>1.1140664362753068</v>
      </c>
      <c r="N73" s="15">
        <f t="shared" si="36"/>
        <v>759.73141695996617</v>
      </c>
      <c r="O73" s="2">
        <v>1</v>
      </c>
      <c r="P73" s="15">
        <f t="shared" si="28"/>
        <v>759.73141695996617</v>
      </c>
      <c r="Q73" s="19">
        <v>0.02</v>
      </c>
      <c r="R73" s="11">
        <f t="shared" si="29"/>
        <v>15.194628339199324</v>
      </c>
      <c r="S73" s="12">
        <f t="shared" si="30"/>
        <v>16.308694775474631</v>
      </c>
    </row>
    <row r="74" spans="1:19" ht="15" thickBot="1" x14ac:dyDescent="0.4">
      <c r="A74" s="393"/>
      <c r="B74" s="395"/>
      <c r="C74" s="26" t="s">
        <v>131</v>
      </c>
      <c r="D74" s="379"/>
      <c r="E74" s="380"/>
      <c r="F74" s="454"/>
      <c r="G74" s="455"/>
      <c r="H74" s="22">
        <f t="shared" si="35"/>
        <v>759.73141695996617</v>
      </c>
      <c r="I74" s="13">
        <f>H74*(0.25/19)</f>
        <v>9.9964660126311333</v>
      </c>
      <c r="J74" s="2">
        <v>1</v>
      </c>
      <c r="K74" s="15">
        <f t="shared" si="34"/>
        <v>9.9964660126311333</v>
      </c>
      <c r="L74" s="20">
        <v>0.08</v>
      </c>
      <c r="M74" s="11">
        <f t="shared" si="27"/>
        <v>0.79971728101049067</v>
      </c>
      <c r="N74" s="15">
        <f t="shared" si="36"/>
        <v>749.73495094733505</v>
      </c>
      <c r="O74" s="2">
        <v>0</v>
      </c>
      <c r="P74" s="15">
        <f t="shared" si="28"/>
        <v>0</v>
      </c>
      <c r="Q74" s="20">
        <v>0</v>
      </c>
      <c r="R74" s="11">
        <f t="shared" si="29"/>
        <v>0</v>
      </c>
      <c r="S74" s="12">
        <f t="shared" si="30"/>
        <v>0.79971728101049067</v>
      </c>
    </row>
    <row r="75" spans="1:19" ht="15" thickBot="1" x14ac:dyDescent="0.4">
      <c r="A75" s="393"/>
      <c r="B75" s="395"/>
      <c r="C75" s="26" t="s">
        <v>42</v>
      </c>
      <c r="D75" s="385" t="str">
        <f>Appendices!$E$53&amp;","</f>
        <v>C20.a,</v>
      </c>
      <c r="E75" s="386"/>
      <c r="F75" s="398" t="str">
        <f>Appendices!E$54</f>
        <v>C20.b</v>
      </c>
      <c r="G75" s="399"/>
      <c r="H75" s="22">
        <f>N74</f>
        <v>749.73495094733505</v>
      </c>
      <c r="I75" s="13">
        <f>H75*0.035</f>
        <v>26.240723283156729</v>
      </c>
      <c r="J75" s="2">
        <v>1</v>
      </c>
      <c r="K75" s="15">
        <f t="shared" si="34"/>
        <v>26.240723283156729</v>
      </c>
      <c r="L75" s="20">
        <v>0.03</v>
      </c>
      <c r="M75" s="11">
        <f t="shared" si="27"/>
        <v>0.7872216984947018</v>
      </c>
      <c r="N75" s="15">
        <f>H75-I75</f>
        <v>723.49422766417831</v>
      </c>
      <c r="O75" s="2">
        <v>1</v>
      </c>
      <c r="P75" s="15">
        <f t="shared" si="28"/>
        <v>723.49422766417831</v>
      </c>
      <c r="Q75" s="19">
        <v>0.02</v>
      </c>
      <c r="R75" s="11">
        <f t="shared" si="29"/>
        <v>14.469884553283567</v>
      </c>
      <c r="S75" s="12">
        <f t="shared" si="30"/>
        <v>15.257106251778268</v>
      </c>
    </row>
    <row r="76" spans="1:19" ht="15" thickBot="1" x14ac:dyDescent="0.4">
      <c r="A76" s="393"/>
      <c r="B76" s="395"/>
      <c r="C76" s="26" t="s">
        <v>43</v>
      </c>
      <c r="D76" s="385" t="str">
        <f>Appendices!$E$55&amp;","</f>
        <v>C21.a,</v>
      </c>
      <c r="E76" s="386"/>
      <c r="F76" s="398" t="str">
        <f>Appendices!E$56</f>
        <v>C21.b</v>
      </c>
      <c r="G76" s="399"/>
      <c r="H76" s="155">
        <f>H66*0.65</f>
        <v>975</v>
      </c>
      <c r="I76" s="157">
        <f>H76*0.01</f>
        <v>9.75</v>
      </c>
      <c r="J76" s="2">
        <v>1</v>
      </c>
      <c r="K76" s="15">
        <f t="shared" si="34"/>
        <v>9.75</v>
      </c>
      <c r="L76" s="20">
        <v>0.03</v>
      </c>
      <c r="M76" s="11">
        <f t="shared" si="27"/>
        <v>0.29249999999999998</v>
      </c>
      <c r="N76" s="157">
        <f>H76-I76</f>
        <v>965.25</v>
      </c>
      <c r="O76" s="2">
        <v>1</v>
      </c>
      <c r="P76" s="15">
        <f t="shared" si="28"/>
        <v>965.25</v>
      </c>
      <c r="Q76" s="19">
        <v>0.02</v>
      </c>
      <c r="R76" s="11">
        <f t="shared" si="29"/>
        <v>19.305</v>
      </c>
      <c r="S76" s="12">
        <f t="shared" si="30"/>
        <v>19.5975</v>
      </c>
    </row>
    <row r="77" spans="1:19" ht="15" thickBot="1" x14ac:dyDescent="0.4">
      <c r="A77" s="393"/>
      <c r="B77" s="395"/>
      <c r="C77" s="26" t="s">
        <v>538</v>
      </c>
      <c r="D77" s="385" t="str">
        <f>Appendices!$E$78&amp;","</f>
        <v>D10.a,</v>
      </c>
      <c r="E77" s="386"/>
      <c r="F77" s="480" t="str">
        <f>Appendices!E$79</f>
        <v>D10.b</v>
      </c>
      <c r="G77" s="481"/>
      <c r="H77" s="154">
        <v>750</v>
      </c>
      <c r="I77" s="157">
        <f>H77*0.045</f>
        <v>33.75</v>
      </c>
      <c r="J77" s="154">
        <v>1</v>
      </c>
      <c r="K77" s="15">
        <f>I77*J77</f>
        <v>33.75</v>
      </c>
      <c r="L77" s="154">
        <v>0.02</v>
      </c>
      <c r="M77" s="11">
        <f>L77*J77*I77</f>
        <v>0.67500000000000004</v>
      </c>
      <c r="N77" s="157">
        <f>H77-I77</f>
        <v>716.25</v>
      </c>
      <c r="O77" s="2">
        <v>1</v>
      </c>
      <c r="P77" s="15">
        <f>O77*N77</f>
        <v>716.25</v>
      </c>
      <c r="Q77" s="154">
        <v>0.02</v>
      </c>
      <c r="R77" s="11">
        <f>Q77*O77*N77</f>
        <v>14.325000000000001</v>
      </c>
      <c r="S77" s="12">
        <f>R77+M77</f>
        <v>15.000000000000002</v>
      </c>
    </row>
    <row r="78" spans="1:19" ht="15" thickBot="1" x14ac:dyDescent="0.4">
      <c r="A78" s="393"/>
      <c r="B78" s="395"/>
      <c r="C78" s="80" t="s">
        <v>41</v>
      </c>
      <c r="D78" s="361" t="str">
        <f>Appendices!$E$82&amp;","</f>
        <v>D12.a,</v>
      </c>
      <c r="E78" s="362"/>
      <c r="F78" s="482" t="str">
        <f>Appendices!E$83</f>
        <v>D12.b</v>
      </c>
      <c r="G78" s="483"/>
      <c r="H78" s="154">
        <v>750</v>
      </c>
      <c r="I78" s="154">
        <v>750</v>
      </c>
      <c r="J78" s="154">
        <v>1</v>
      </c>
      <c r="K78" s="2">
        <f t="shared" si="34"/>
        <v>750</v>
      </c>
      <c r="L78" s="154">
        <v>0.02</v>
      </c>
      <c r="M78" s="11">
        <f t="shared" si="27"/>
        <v>15</v>
      </c>
      <c r="N78" s="154">
        <v>0</v>
      </c>
      <c r="O78" s="154">
        <v>0</v>
      </c>
      <c r="P78" s="2">
        <f>O78*N78</f>
        <v>0</v>
      </c>
      <c r="Q78" s="20">
        <v>0</v>
      </c>
      <c r="R78" s="11">
        <f t="shared" si="29"/>
        <v>0</v>
      </c>
      <c r="S78" s="12">
        <f t="shared" si="30"/>
        <v>15</v>
      </c>
    </row>
    <row r="79" spans="1:19" ht="24.5" thickBot="1" x14ac:dyDescent="0.4">
      <c r="A79" s="393"/>
      <c r="B79" s="395"/>
      <c r="C79" s="33" t="s">
        <v>96</v>
      </c>
      <c r="D79" s="290" t="str">
        <f>Appendices!E17&amp;","</f>
        <v>B5.a,</v>
      </c>
      <c r="E79" s="291" t="str">
        <f>Appendices!E18&amp;","</f>
        <v>B5.b,</v>
      </c>
      <c r="F79" s="291" t="str">
        <f>Appendices!E19&amp;","</f>
        <v>B5.c,</v>
      </c>
      <c r="G79" s="292" t="str">
        <f>Appendices!E$20</f>
        <v>B5.d</v>
      </c>
      <c r="H79" s="42">
        <f>N66</f>
        <v>750</v>
      </c>
      <c r="I79" s="35">
        <v>450</v>
      </c>
      <c r="J79" s="35">
        <v>1</v>
      </c>
      <c r="K79" s="35">
        <f>I79*J79</f>
        <v>450</v>
      </c>
      <c r="L79" s="36">
        <f>(30/60)</f>
        <v>0.5</v>
      </c>
      <c r="M79" s="37">
        <f>L79*J79*I79</f>
        <v>225</v>
      </c>
      <c r="N79" s="35">
        <f t="shared" ref="N79:N97" si="37">H79-I79</f>
        <v>300</v>
      </c>
      <c r="O79" s="35">
        <v>0</v>
      </c>
      <c r="P79" s="35">
        <f>O79*N79</f>
        <v>0</v>
      </c>
      <c r="Q79" s="36">
        <v>0</v>
      </c>
      <c r="R79" s="37">
        <f>Q79*O79*N79</f>
        <v>0</v>
      </c>
      <c r="S79" s="37">
        <f>R79+M79</f>
        <v>225</v>
      </c>
    </row>
    <row r="80" spans="1:19" ht="15" thickBot="1" x14ac:dyDescent="0.4">
      <c r="A80" s="393"/>
      <c r="B80" s="395"/>
      <c r="C80" s="79" t="s">
        <v>71</v>
      </c>
      <c r="D80" s="385" t="str">
        <f>Appendices!$E$57&amp;","</f>
        <v>C22.a,</v>
      </c>
      <c r="E80" s="386"/>
      <c r="F80" s="371" t="str">
        <f>Appendices!E$58</f>
        <v>C22.b</v>
      </c>
      <c r="G80" s="372"/>
      <c r="H80" s="10">
        <v>750</v>
      </c>
      <c r="I80" s="2">
        <v>450</v>
      </c>
      <c r="J80" s="2">
        <v>1</v>
      </c>
      <c r="K80" s="2">
        <f>I80*J80</f>
        <v>450</v>
      </c>
      <c r="L80" s="20">
        <v>0.08</v>
      </c>
      <c r="M80" s="11">
        <f>L80*J80*I80</f>
        <v>36</v>
      </c>
      <c r="N80" s="2">
        <f>H80-I80</f>
        <v>300</v>
      </c>
      <c r="O80" s="2">
        <v>0</v>
      </c>
      <c r="P80" s="15">
        <f>O80*N80</f>
        <v>0</v>
      </c>
      <c r="Q80" s="20">
        <v>0</v>
      </c>
      <c r="R80" s="11">
        <f>Q80*O80*N80</f>
        <v>0</v>
      </c>
      <c r="S80" s="12">
        <f>R80+M80</f>
        <v>36</v>
      </c>
    </row>
    <row r="81" spans="1:19" ht="15" thickBot="1" x14ac:dyDescent="0.4">
      <c r="A81" s="393"/>
      <c r="B81" s="395"/>
      <c r="C81" s="66" t="s">
        <v>544</v>
      </c>
      <c r="D81" s="363" t="str">
        <f>Appendices!$E$80&amp;","</f>
        <v>D11.a,</v>
      </c>
      <c r="E81" s="364"/>
      <c r="F81" s="444" t="str">
        <f>Appendices!E81</f>
        <v>D11.b</v>
      </c>
      <c r="G81" s="445"/>
      <c r="H81" s="10">
        <v>750</v>
      </c>
      <c r="I81" s="2">
        <v>450</v>
      </c>
      <c r="J81" s="2">
        <v>1</v>
      </c>
      <c r="K81" s="2">
        <f>I81*J81</f>
        <v>450</v>
      </c>
      <c r="L81" s="20">
        <v>0.02</v>
      </c>
      <c r="M81" s="11">
        <f>L81*J81*I81</f>
        <v>9</v>
      </c>
      <c r="N81" s="2">
        <f>H81-I81</f>
        <v>300</v>
      </c>
      <c r="O81" s="2">
        <v>0</v>
      </c>
      <c r="P81" s="15">
        <f>O81*N81</f>
        <v>0</v>
      </c>
      <c r="Q81" s="20">
        <v>0</v>
      </c>
      <c r="R81" s="11">
        <f>Q81*O81*N81</f>
        <v>0</v>
      </c>
      <c r="S81" s="12">
        <f>R81+M81</f>
        <v>9</v>
      </c>
    </row>
    <row r="82" spans="1:19" ht="24.5" thickBot="1" x14ac:dyDescent="0.4">
      <c r="A82" s="393"/>
      <c r="B82" s="395" t="s">
        <v>40</v>
      </c>
      <c r="C82" s="33" t="s">
        <v>95</v>
      </c>
      <c r="D82" s="300" t="str">
        <f>Appendices!E$13&amp;","</f>
        <v>B4.a,</v>
      </c>
      <c r="E82" s="301" t="str">
        <f>Appendices!$E$14&amp;","</f>
        <v>B4.b,</v>
      </c>
      <c r="F82" s="301" t="str">
        <f>Appendices!$E$15&amp;","</f>
        <v>B4.c,</v>
      </c>
      <c r="G82" s="302" t="str">
        <f>Appendices!$E$16</f>
        <v>B4.d</v>
      </c>
      <c r="H82" s="34">
        <v>240</v>
      </c>
      <c r="I82" s="35">
        <v>192</v>
      </c>
      <c r="J82" s="35">
        <v>1</v>
      </c>
      <c r="K82" s="35">
        <f t="shared" si="34"/>
        <v>192</v>
      </c>
      <c r="L82" s="36">
        <f>(35/60)</f>
        <v>0.58333333333333337</v>
      </c>
      <c r="M82" s="37">
        <f t="shared" si="27"/>
        <v>112</v>
      </c>
      <c r="N82" s="35">
        <f t="shared" si="37"/>
        <v>48</v>
      </c>
      <c r="O82" s="35">
        <v>0</v>
      </c>
      <c r="P82" s="35">
        <f t="shared" si="28"/>
        <v>0</v>
      </c>
      <c r="Q82" s="36">
        <v>0</v>
      </c>
      <c r="R82" s="37">
        <f t="shared" si="29"/>
        <v>0</v>
      </c>
      <c r="S82" s="37">
        <f t="shared" si="30"/>
        <v>112</v>
      </c>
    </row>
    <row r="83" spans="1:19" ht="15" thickBot="1" x14ac:dyDescent="0.4">
      <c r="A83" s="393"/>
      <c r="B83" s="395"/>
      <c r="C83" s="59" t="s">
        <v>132</v>
      </c>
      <c r="D83" s="375" t="str">
        <f>Appendices!$E$43&amp;","</f>
        <v>C15.a,</v>
      </c>
      <c r="E83" s="376"/>
      <c r="F83" s="438" t="str">
        <f>Appendices!$E$44</f>
        <v>C15.b</v>
      </c>
      <c r="G83" s="439"/>
      <c r="H83" s="14">
        <v>240</v>
      </c>
      <c r="I83" s="15">
        <f>H83*(0.3/2.55)</f>
        <v>28.235294117647058</v>
      </c>
      <c r="J83" s="2">
        <v>1</v>
      </c>
      <c r="K83" s="15">
        <f t="shared" si="34"/>
        <v>28.235294117647058</v>
      </c>
      <c r="L83" s="20">
        <v>0.08</v>
      </c>
      <c r="M83" s="11">
        <f t="shared" si="27"/>
        <v>2.2588235294117647</v>
      </c>
      <c r="N83" s="13">
        <f t="shared" si="37"/>
        <v>211.76470588235293</v>
      </c>
      <c r="O83" s="2">
        <v>1</v>
      </c>
      <c r="P83" s="15">
        <f t="shared" si="28"/>
        <v>211.76470588235293</v>
      </c>
      <c r="Q83" s="154">
        <v>0.02</v>
      </c>
      <c r="R83" s="11">
        <f t="shared" si="29"/>
        <v>4.2352941176470589</v>
      </c>
      <c r="S83" s="12">
        <f t="shared" si="30"/>
        <v>6.4941176470588236</v>
      </c>
    </row>
    <row r="84" spans="1:19" ht="15" thickBot="1" x14ac:dyDescent="0.4">
      <c r="A84" s="393"/>
      <c r="B84" s="395"/>
      <c r="C84" s="59" t="s">
        <v>133</v>
      </c>
      <c r="D84" s="377"/>
      <c r="E84" s="378"/>
      <c r="F84" s="440"/>
      <c r="G84" s="441"/>
      <c r="H84" s="14">
        <f t="shared" ref="H84:H91" si="38">N83</f>
        <v>211.76470588235293</v>
      </c>
      <c r="I84" s="15">
        <f>H84*(0.3/2.55)</f>
        <v>24.913494809688579</v>
      </c>
      <c r="J84" s="2">
        <v>1</v>
      </c>
      <c r="K84" s="15">
        <f t="shared" si="34"/>
        <v>24.913494809688579</v>
      </c>
      <c r="L84" s="20">
        <v>0.08</v>
      </c>
      <c r="M84" s="11">
        <f t="shared" si="27"/>
        <v>1.9930795847750864</v>
      </c>
      <c r="N84" s="13">
        <f t="shared" si="37"/>
        <v>186.85121107266434</v>
      </c>
      <c r="O84" s="2">
        <v>0</v>
      </c>
      <c r="P84" s="15">
        <f t="shared" si="28"/>
        <v>0</v>
      </c>
      <c r="Q84" s="20">
        <v>0</v>
      </c>
      <c r="R84" s="11">
        <f t="shared" si="29"/>
        <v>0</v>
      </c>
      <c r="S84" s="12">
        <f t="shared" si="30"/>
        <v>1.9930795847750864</v>
      </c>
    </row>
    <row r="85" spans="1:19" ht="15" thickBot="1" x14ac:dyDescent="0.4">
      <c r="A85" s="393"/>
      <c r="B85" s="395"/>
      <c r="C85" s="59" t="s">
        <v>134</v>
      </c>
      <c r="D85" s="377"/>
      <c r="E85" s="378"/>
      <c r="F85" s="440"/>
      <c r="G85" s="441"/>
      <c r="H85" s="14">
        <f t="shared" si="38"/>
        <v>186.85121107266434</v>
      </c>
      <c r="I85" s="15">
        <f>H85*(0.3/2.55)</f>
        <v>21.982495420313452</v>
      </c>
      <c r="J85" s="2">
        <v>1</v>
      </c>
      <c r="K85" s="15">
        <f t="shared" si="34"/>
        <v>21.982495420313452</v>
      </c>
      <c r="L85" s="20">
        <v>0.08</v>
      </c>
      <c r="M85" s="11">
        <f t="shared" si="27"/>
        <v>1.7585996336250762</v>
      </c>
      <c r="N85" s="13">
        <f t="shared" si="37"/>
        <v>164.86871565235089</v>
      </c>
      <c r="O85" s="2">
        <v>0</v>
      </c>
      <c r="P85" s="15">
        <f t="shared" si="28"/>
        <v>0</v>
      </c>
      <c r="Q85" s="20">
        <v>0</v>
      </c>
      <c r="R85" s="11">
        <f t="shared" si="29"/>
        <v>0</v>
      </c>
      <c r="S85" s="12">
        <f t="shared" si="30"/>
        <v>1.7585996336250762</v>
      </c>
    </row>
    <row r="86" spans="1:19" ht="15" thickBot="1" x14ac:dyDescent="0.4">
      <c r="A86" s="393"/>
      <c r="B86" s="395"/>
      <c r="C86" s="59" t="s">
        <v>135</v>
      </c>
      <c r="D86" s="377"/>
      <c r="E86" s="378"/>
      <c r="F86" s="440"/>
      <c r="G86" s="441"/>
      <c r="H86" s="14">
        <f t="shared" si="38"/>
        <v>164.86871565235089</v>
      </c>
      <c r="I86" s="15">
        <f>H86*(0.045)</f>
        <v>7.4190922043557892</v>
      </c>
      <c r="J86" s="2">
        <v>1</v>
      </c>
      <c r="K86" s="15">
        <f t="shared" si="34"/>
        <v>7.4190922043557892</v>
      </c>
      <c r="L86" s="20">
        <v>0.08</v>
      </c>
      <c r="M86" s="11">
        <f t="shared" si="27"/>
        <v>0.5935273763484632</v>
      </c>
      <c r="N86" s="13">
        <f t="shared" si="37"/>
        <v>157.44962344799509</v>
      </c>
      <c r="O86" s="2">
        <v>1</v>
      </c>
      <c r="P86" s="15">
        <f t="shared" si="28"/>
        <v>157.44962344799509</v>
      </c>
      <c r="Q86" s="154">
        <v>0.02</v>
      </c>
      <c r="R86" s="11">
        <f t="shared" si="29"/>
        <v>3.1489924689599018</v>
      </c>
      <c r="S86" s="12">
        <f t="shared" si="30"/>
        <v>3.7425198453083652</v>
      </c>
    </row>
    <row r="87" spans="1:19" ht="15" thickBot="1" x14ac:dyDescent="0.4">
      <c r="A87" s="393"/>
      <c r="B87" s="395"/>
      <c r="C87" s="59" t="s">
        <v>136</v>
      </c>
      <c r="D87" s="377"/>
      <c r="E87" s="378"/>
      <c r="F87" s="440"/>
      <c r="G87" s="441"/>
      <c r="H87" s="14">
        <f t="shared" si="38"/>
        <v>157.44962344799509</v>
      </c>
      <c r="I87" s="15">
        <f>H87*(0.04)</f>
        <v>6.2979849379198036</v>
      </c>
      <c r="J87" s="2">
        <v>1</v>
      </c>
      <c r="K87" s="15">
        <f t="shared" si="34"/>
        <v>6.2979849379198036</v>
      </c>
      <c r="L87" s="20">
        <v>0.08</v>
      </c>
      <c r="M87" s="11">
        <f t="shared" si="27"/>
        <v>0.50383879503358431</v>
      </c>
      <c r="N87" s="13">
        <f t="shared" si="37"/>
        <v>151.15163851007529</v>
      </c>
      <c r="O87" s="2">
        <v>0</v>
      </c>
      <c r="P87" s="15">
        <f t="shared" si="28"/>
        <v>0</v>
      </c>
      <c r="Q87" s="20">
        <v>0</v>
      </c>
      <c r="R87" s="11">
        <f t="shared" si="29"/>
        <v>0</v>
      </c>
      <c r="S87" s="12">
        <f t="shared" si="30"/>
        <v>0.50383879503358431</v>
      </c>
    </row>
    <row r="88" spans="1:19" ht="15" thickBot="1" x14ac:dyDescent="0.4">
      <c r="A88" s="393"/>
      <c r="B88" s="395"/>
      <c r="C88" s="59" t="s">
        <v>137</v>
      </c>
      <c r="D88" s="377"/>
      <c r="E88" s="378"/>
      <c r="F88" s="440"/>
      <c r="G88" s="441"/>
      <c r="H88" s="14">
        <f t="shared" si="38"/>
        <v>151.15163851007529</v>
      </c>
      <c r="I88" s="15">
        <f>H88*(0.04)</f>
        <v>6.0460655404030117</v>
      </c>
      <c r="J88" s="2">
        <v>1</v>
      </c>
      <c r="K88" s="15">
        <f t="shared" si="34"/>
        <v>6.0460655404030117</v>
      </c>
      <c r="L88" s="20">
        <v>0.08</v>
      </c>
      <c r="M88" s="11">
        <f t="shared" si="27"/>
        <v>0.48368524323224094</v>
      </c>
      <c r="N88" s="13">
        <f t="shared" si="37"/>
        <v>145.10557296967227</v>
      </c>
      <c r="O88" s="2">
        <v>0</v>
      </c>
      <c r="P88" s="15">
        <f t="shared" si="28"/>
        <v>0</v>
      </c>
      <c r="Q88" s="20">
        <v>0</v>
      </c>
      <c r="R88" s="11">
        <f t="shared" si="29"/>
        <v>0</v>
      </c>
      <c r="S88" s="12">
        <f t="shared" si="30"/>
        <v>0.48368524323224094</v>
      </c>
    </row>
    <row r="89" spans="1:19" ht="15" thickBot="1" x14ac:dyDescent="0.4">
      <c r="A89" s="393"/>
      <c r="B89" s="395"/>
      <c r="C89" s="59" t="s">
        <v>138</v>
      </c>
      <c r="D89" s="379"/>
      <c r="E89" s="380"/>
      <c r="F89" s="442"/>
      <c r="G89" s="443"/>
      <c r="H89" s="14">
        <f t="shared" si="38"/>
        <v>145.10557296967227</v>
      </c>
      <c r="I89" s="15">
        <f>H89*(0.3/8.15)</f>
        <v>5.3413094344664636</v>
      </c>
      <c r="J89" s="2">
        <v>1</v>
      </c>
      <c r="K89" s="15">
        <f t="shared" ref="K89:K95" si="39">I89*J89</f>
        <v>5.3413094344664636</v>
      </c>
      <c r="L89" s="20">
        <v>0.08</v>
      </c>
      <c r="M89" s="11">
        <f t="shared" ref="M89:M95" si="40">L89*J89*I89</f>
        <v>0.42730475475731711</v>
      </c>
      <c r="N89" s="13">
        <f t="shared" ref="N89:N94" si="41">H89-I89</f>
        <v>139.7642635352058</v>
      </c>
      <c r="O89" s="2">
        <v>1</v>
      </c>
      <c r="P89" s="15">
        <f t="shared" ref="P89:P94" si="42">O89*N89</f>
        <v>139.7642635352058</v>
      </c>
      <c r="Q89" s="154">
        <v>0.02</v>
      </c>
      <c r="R89" s="11">
        <f t="shared" ref="R89:R95" si="43">Q89*O89*N89</f>
        <v>2.7952852707041163</v>
      </c>
      <c r="S89" s="12">
        <f t="shared" ref="S89:S95" si="44">R89+M89</f>
        <v>3.2225900254614332</v>
      </c>
    </row>
    <row r="90" spans="1:19" ht="15" thickBot="1" x14ac:dyDescent="0.4">
      <c r="A90" s="393"/>
      <c r="B90" s="395"/>
      <c r="C90" s="54" t="s">
        <v>72</v>
      </c>
      <c r="D90" s="381" t="str">
        <f>Appendices!$E$45&amp;","</f>
        <v>C16.a,</v>
      </c>
      <c r="E90" s="382"/>
      <c r="F90" s="365" t="str">
        <f>Appendices!$E$46</f>
        <v>C16.b</v>
      </c>
      <c r="G90" s="366"/>
      <c r="H90" s="14">
        <f t="shared" si="38"/>
        <v>139.7642635352058</v>
      </c>
      <c r="I90" s="15">
        <f>H90*0.585</f>
        <v>81.762094168095388</v>
      </c>
      <c r="J90" s="2">
        <v>1</v>
      </c>
      <c r="K90" s="15">
        <f t="shared" si="39"/>
        <v>81.762094168095388</v>
      </c>
      <c r="L90" s="20">
        <v>0.08</v>
      </c>
      <c r="M90" s="11">
        <f t="shared" si="40"/>
        <v>6.5409675334476312</v>
      </c>
      <c r="N90" s="13">
        <f t="shared" si="41"/>
        <v>58.002169367110412</v>
      </c>
      <c r="O90" s="2">
        <v>0</v>
      </c>
      <c r="P90" s="15">
        <f t="shared" si="42"/>
        <v>0</v>
      </c>
      <c r="Q90" s="20">
        <v>0</v>
      </c>
      <c r="R90" s="11">
        <f t="shared" si="43"/>
        <v>0</v>
      </c>
      <c r="S90" s="12">
        <f t="shared" si="44"/>
        <v>6.5409675334476312</v>
      </c>
    </row>
    <row r="91" spans="1:19" ht="15" thickBot="1" x14ac:dyDescent="0.4">
      <c r="A91" s="393"/>
      <c r="B91" s="395"/>
      <c r="C91" s="54" t="s">
        <v>73</v>
      </c>
      <c r="D91" s="383"/>
      <c r="E91" s="384"/>
      <c r="F91" s="369"/>
      <c r="G91" s="370"/>
      <c r="H91" s="14">
        <f t="shared" si="38"/>
        <v>58.002169367110412</v>
      </c>
      <c r="I91" s="15">
        <f>H91*0.189</f>
        <v>10.962410010383868</v>
      </c>
      <c r="J91" s="2">
        <v>1</v>
      </c>
      <c r="K91" s="15">
        <f t="shared" si="39"/>
        <v>10.962410010383868</v>
      </c>
      <c r="L91" s="20">
        <v>0.08</v>
      </c>
      <c r="M91" s="11">
        <f t="shared" si="40"/>
        <v>0.87699280083070952</v>
      </c>
      <c r="N91" s="13">
        <f t="shared" si="41"/>
        <v>47.039759356726542</v>
      </c>
      <c r="O91" s="2">
        <v>0</v>
      </c>
      <c r="P91" s="15">
        <f t="shared" si="42"/>
        <v>0</v>
      </c>
      <c r="Q91" s="20">
        <v>0</v>
      </c>
      <c r="R91" s="11">
        <f t="shared" si="43"/>
        <v>0</v>
      </c>
      <c r="S91" s="12">
        <f t="shared" si="44"/>
        <v>0.87699280083070952</v>
      </c>
    </row>
    <row r="92" spans="1:19" ht="15" thickBot="1" x14ac:dyDescent="0.4">
      <c r="A92" s="393"/>
      <c r="B92" s="395"/>
      <c r="C92" s="61" t="s">
        <v>67</v>
      </c>
      <c r="D92" s="436" t="str">
        <f>Appendices!$E$47&amp;","</f>
        <v>C17.a,</v>
      </c>
      <c r="E92" s="437"/>
      <c r="F92" s="371" t="str">
        <f>Appendices!$E$48</f>
        <v>C17.b</v>
      </c>
      <c r="G92" s="372"/>
      <c r="H92" s="14">
        <v>192</v>
      </c>
      <c r="I92" s="15">
        <f>H92*0.55</f>
        <v>105.60000000000001</v>
      </c>
      <c r="J92" s="2">
        <v>1</v>
      </c>
      <c r="K92" s="15">
        <f t="shared" si="39"/>
        <v>105.60000000000001</v>
      </c>
      <c r="L92" s="20">
        <v>0.02</v>
      </c>
      <c r="M92" s="11">
        <f t="shared" si="40"/>
        <v>2.1120000000000001</v>
      </c>
      <c r="N92" s="13">
        <f t="shared" si="41"/>
        <v>86.399999999999991</v>
      </c>
      <c r="O92" s="2">
        <v>1</v>
      </c>
      <c r="P92" s="15">
        <f t="shared" si="42"/>
        <v>86.399999999999991</v>
      </c>
      <c r="Q92" s="20">
        <v>0</v>
      </c>
      <c r="R92" s="11">
        <f t="shared" si="43"/>
        <v>0</v>
      </c>
      <c r="S92" s="12">
        <f t="shared" si="44"/>
        <v>2.1120000000000001</v>
      </c>
    </row>
    <row r="93" spans="1:19" ht="15" thickBot="1" x14ac:dyDescent="0.4">
      <c r="A93" s="393"/>
      <c r="B93" s="395"/>
      <c r="C93" s="57" t="s">
        <v>139</v>
      </c>
      <c r="D93" s="385" t="str">
        <f>Appendices!$E$49&amp;","</f>
        <v>C18.a,</v>
      </c>
      <c r="E93" s="386"/>
      <c r="F93" s="371" t="str">
        <f>Appendices!$E$50</f>
        <v>C18.b</v>
      </c>
      <c r="G93" s="372"/>
      <c r="H93" s="14">
        <f>N92</f>
        <v>86.399999999999991</v>
      </c>
      <c r="I93" s="15">
        <f>H93*0.5</f>
        <v>43.199999999999996</v>
      </c>
      <c r="J93" s="2">
        <v>1</v>
      </c>
      <c r="K93" s="15">
        <f t="shared" si="39"/>
        <v>43.199999999999996</v>
      </c>
      <c r="L93" s="20">
        <v>0.08</v>
      </c>
      <c r="M93" s="11">
        <f t="shared" si="40"/>
        <v>3.4559999999999995</v>
      </c>
      <c r="N93" s="13">
        <f t="shared" si="41"/>
        <v>43.199999999999996</v>
      </c>
      <c r="O93" s="2">
        <v>1</v>
      </c>
      <c r="P93" s="15">
        <f t="shared" si="42"/>
        <v>43.199999999999996</v>
      </c>
      <c r="Q93" s="154">
        <v>0.02</v>
      </c>
      <c r="R93" s="11">
        <f t="shared" si="43"/>
        <v>0.86399999999999988</v>
      </c>
      <c r="S93" s="12">
        <f t="shared" si="44"/>
        <v>4.3199999999999994</v>
      </c>
    </row>
    <row r="94" spans="1:19" ht="15" thickBot="1" x14ac:dyDescent="0.4">
      <c r="A94" s="393"/>
      <c r="B94" s="395"/>
      <c r="C94" s="32" t="s">
        <v>44</v>
      </c>
      <c r="D94" s="361" t="str">
        <f>Appendices!$E$74&amp;","</f>
        <v>D8.a,</v>
      </c>
      <c r="E94" s="362"/>
      <c r="F94" s="371" t="str">
        <f>Appendices!$E$75</f>
        <v>D8.b</v>
      </c>
      <c r="G94" s="372"/>
      <c r="H94" s="14">
        <v>240</v>
      </c>
      <c r="I94" s="2">
        <v>192</v>
      </c>
      <c r="J94" s="2">
        <v>1</v>
      </c>
      <c r="K94" s="15">
        <f t="shared" si="39"/>
        <v>192</v>
      </c>
      <c r="L94" s="20">
        <v>0.02</v>
      </c>
      <c r="M94" s="11">
        <f t="shared" si="40"/>
        <v>3.84</v>
      </c>
      <c r="N94" s="13">
        <f t="shared" si="41"/>
        <v>48</v>
      </c>
      <c r="O94" s="2">
        <v>1</v>
      </c>
      <c r="P94" s="15">
        <f t="shared" si="42"/>
        <v>48</v>
      </c>
      <c r="Q94" s="154">
        <v>0.02</v>
      </c>
      <c r="R94" s="11">
        <f t="shared" si="43"/>
        <v>0.96</v>
      </c>
      <c r="S94" s="12">
        <f t="shared" si="44"/>
        <v>4.8</v>
      </c>
    </row>
    <row r="95" spans="1:19" ht="15" thickBot="1" x14ac:dyDescent="0.4">
      <c r="A95" s="393"/>
      <c r="B95" s="395"/>
      <c r="C95" s="56" t="s">
        <v>140</v>
      </c>
      <c r="D95" s="363" t="str">
        <f>Appendices!$E$76&amp;","</f>
        <v>D9.a,</v>
      </c>
      <c r="E95" s="364"/>
      <c r="F95" s="373" t="str">
        <f>Appendices!$E$77</f>
        <v>D9.b</v>
      </c>
      <c r="G95" s="374"/>
      <c r="H95" s="155">
        <v>192</v>
      </c>
      <c r="I95" s="2">
        <v>192</v>
      </c>
      <c r="J95" s="2">
        <v>1</v>
      </c>
      <c r="K95" s="15">
        <f t="shared" si="39"/>
        <v>192</v>
      </c>
      <c r="L95" s="20">
        <v>0.1</v>
      </c>
      <c r="M95" s="11">
        <f t="shared" si="40"/>
        <v>19.200000000000003</v>
      </c>
      <c r="N95" s="154">
        <v>0</v>
      </c>
      <c r="O95" s="154">
        <v>0</v>
      </c>
      <c r="P95" s="154">
        <v>0</v>
      </c>
      <c r="Q95" s="156">
        <v>0</v>
      </c>
      <c r="R95" s="11">
        <f t="shared" si="43"/>
        <v>0</v>
      </c>
      <c r="S95" s="12">
        <f t="shared" si="44"/>
        <v>19.200000000000003</v>
      </c>
    </row>
    <row r="96" spans="1:19" ht="15.75" customHeight="1" thickBot="1" x14ac:dyDescent="0.4">
      <c r="A96" s="393"/>
      <c r="B96" s="431" t="s">
        <v>31</v>
      </c>
      <c r="C96" s="39" t="s">
        <v>206</v>
      </c>
      <c r="D96" s="432" t="str">
        <f>Appendices!$E$21&amp;","</f>
        <v>B6.a,</v>
      </c>
      <c r="E96" s="433"/>
      <c r="F96" s="434" t="str">
        <f>Appendices!$E$22</f>
        <v>B6.b</v>
      </c>
      <c r="G96" s="435"/>
      <c r="H96" s="40">
        <v>520</v>
      </c>
      <c r="I96" s="35">
        <v>125</v>
      </c>
      <c r="J96" s="35">
        <v>1</v>
      </c>
      <c r="K96" s="35">
        <f t="shared" si="34"/>
        <v>125</v>
      </c>
      <c r="L96" s="37">
        <f>(40/60)</f>
        <v>0.66666666666666663</v>
      </c>
      <c r="M96" s="37">
        <f t="shared" si="27"/>
        <v>83.333333333333329</v>
      </c>
      <c r="N96" s="41">
        <f t="shared" si="37"/>
        <v>395</v>
      </c>
      <c r="O96" s="35">
        <v>0</v>
      </c>
      <c r="P96" s="41">
        <f t="shared" si="28"/>
        <v>0</v>
      </c>
      <c r="Q96" s="37">
        <v>0</v>
      </c>
      <c r="R96" s="37">
        <f t="shared" si="29"/>
        <v>0</v>
      </c>
      <c r="S96" s="37">
        <f t="shared" si="30"/>
        <v>83.333333333333329</v>
      </c>
    </row>
    <row r="97" spans="1:19" ht="15" thickBot="1" x14ac:dyDescent="0.4">
      <c r="A97" s="393"/>
      <c r="B97" s="391"/>
      <c r="C97" s="24" t="s">
        <v>207</v>
      </c>
      <c r="D97" s="411" t="str">
        <f>Appendices!$E$59&amp;","</f>
        <v>C23.a,</v>
      </c>
      <c r="E97" s="412"/>
      <c r="F97" s="450" t="str">
        <f>Appendices!$E$60</f>
        <v>C23.b</v>
      </c>
      <c r="G97" s="451"/>
      <c r="H97" s="22">
        <f>H96</f>
        <v>520</v>
      </c>
      <c r="I97" s="15">
        <f>H97*0.125</f>
        <v>65</v>
      </c>
      <c r="J97" s="2">
        <v>1</v>
      </c>
      <c r="K97" s="15">
        <f t="shared" si="34"/>
        <v>65</v>
      </c>
      <c r="L97" s="11">
        <v>0.08</v>
      </c>
      <c r="M97" s="11">
        <f t="shared" si="27"/>
        <v>5.2</v>
      </c>
      <c r="N97" s="15">
        <f t="shared" si="37"/>
        <v>455</v>
      </c>
      <c r="O97" s="2">
        <v>1</v>
      </c>
      <c r="P97" s="15">
        <f t="shared" si="28"/>
        <v>455</v>
      </c>
      <c r="Q97" s="11">
        <v>0.02</v>
      </c>
      <c r="R97" s="11">
        <f t="shared" si="29"/>
        <v>9.1</v>
      </c>
      <c r="S97" s="12">
        <f t="shared" si="30"/>
        <v>14.3</v>
      </c>
    </row>
    <row r="98" spans="1:19" ht="15" thickBot="1" x14ac:dyDescent="0.4">
      <c r="A98" s="393"/>
      <c r="B98" s="391"/>
      <c r="C98" s="24" t="s">
        <v>208</v>
      </c>
      <c r="D98" s="413"/>
      <c r="E98" s="414"/>
      <c r="F98" s="452"/>
      <c r="G98" s="453"/>
      <c r="H98" s="22">
        <f>N97</f>
        <v>455</v>
      </c>
      <c r="I98" s="15">
        <f>H98*0.075</f>
        <v>34.125</v>
      </c>
      <c r="J98" s="2">
        <v>1</v>
      </c>
      <c r="K98" s="15">
        <f t="shared" si="34"/>
        <v>34.125</v>
      </c>
      <c r="L98" s="11">
        <v>0.08</v>
      </c>
      <c r="M98" s="11">
        <f t="shared" si="27"/>
        <v>2.73</v>
      </c>
      <c r="N98" s="15">
        <f>H98-I98</f>
        <v>420.875</v>
      </c>
      <c r="O98" s="2">
        <v>1</v>
      </c>
      <c r="P98" s="15">
        <f t="shared" si="28"/>
        <v>420.875</v>
      </c>
      <c r="Q98" s="11">
        <v>0.02</v>
      </c>
      <c r="R98" s="11">
        <f t="shared" si="29"/>
        <v>8.4175000000000004</v>
      </c>
      <c r="S98" s="12">
        <f t="shared" si="30"/>
        <v>11.147500000000001</v>
      </c>
    </row>
    <row r="99" spans="1:19" ht="15" thickBot="1" x14ac:dyDescent="0.4">
      <c r="A99" s="393"/>
      <c r="B99" s="391"/>
      <c r="C99" s="24" t="s">
        <v>209</v>
      </c>
      <c r="D99" s="413"/>
      <c r="E99" s="414"/>
      <c r="F99" s="452"/>
      <c r="G99" s="453"/>
      <c r="H99" s="22">
        <f>N98</f>
        <v>420.875</v>
      </c>
      <c r="I99" s="15">
        <f>H99*0.038</f>
        <v>15.99325</v>
      </c>
      <c r="J99" s="2">
        <v>1</v>
      </c>
      <c r="K99" s="15">
        <f t="shared" si="34"/>
        <v>15.99325</v>
      </c>
      <c r="L99" s="11">
        <v>0.08</v>
      </c>
      <c r="M99" s="11">
        <f t="shared" si="27"/>
        <v>1.27946</v>
      </c>
      <c r="N99" s="15">
        <f>H99-I99</f>
        <v>404.88175000000001</v>
      </c>
      <c r="O99" s="2">
        <v>1</v>
      </c>
      <c r="P99" s="15">
        <f t="shared" si="28"/>
        <v>404.88175000000001</v>
      </c>
      <c r="Q99" s="11">
        <v>0.02</v>
      </c>
      <c r="R99" s="11">
        <f t="shared" si="29"/>
        <v>8.0976350000000004</v>
      </c>
      <c r="S99" s="12">
        <f t="shared" si="30"/>
        <v>9.3770950000000006</v>
      </c>
    </row>
    <row r="100" spans="1:19" ht="15" thickBot="1" x14ac:dyDescent="0.4">
      <c r="A100" s="393"/>
      <c r="B100" s="391"/>
      <c r="C100" s="24" t="s">
        <v>210</v>
      </c>
      <c r="D100" s="413"/>
      <c r="E100" s="414"/>
      <c r="F100" s="452"/>
      <c r="G100" s="453"/>
      <c r="H100" s="22">
        <f>N99</f>
        <v>404.88175000000001</v>
      </c>
      <c r="I100" s="15">
        <f>H100*0.015</f>
        <v>6.0732262500000003</v>
      </c>
      <c r="J100" s="2">
        <v>1</v>
      </c>
      <c r="K100" s="15">
        <f t="shared" si="34"/>
        <v>6.0732262500000003</v>
      </c>
      <c r="L100" s="11">
        <v>0.08</v>
      </c>
      <c r="M100" s="11">
        <f t="shared" si="27"/>
        <v>0.48585810000000001</v>
      </c>
      <c r="N100" s="15">
        <f>H100-I100</f>
        <v>398.80852375000001</v>
      </c>
      <c r="O100" s="2">
        <v>1</v>
      </c>
      <c r="P100" s="15">
        <f t="shared" si="28"/>
        <v>398.80852375000001</v>
      </c>
      <c r="Q100" s="11">
        <v>0.02</v>
      </c>
      <c r="R100" s="11">
        <f t="shared" si="29"/>
        <v>7.976170475</v>
      </c>
      <c r="S100" s="12">
        <f t="shared" si="30"/>
        <v>8.4620285749999997</v>
      </c>
    </row>
    <row r="101" spans="1:19" ht="15" thickBot="1" x14ac:dyDescent="0.4">
      <c r="A101" s="393"/>
      <c r="B101" s="391"/>
      <c r="C101" s="24" t="s">
        <v>211</v>
      </c>
      <c r="D101" s="415"/>
      <c r="E101" s="416"/>
      <c r="F101" s="454"/>
      <c r="G101" s="455"/>
      <c r="H101" s="22">
        <f>P100</f>
        <v>398.80852375000001</v>
      </c>
      <c r="I101" s="15">
        <f>H101*0.01</f>
        <v>3.9880852375</v>
      </c>
      <c r="J101" s="2">
        <v>1</v>
      </c>
      <c r="K101" s="15">
        <f t="shared" si="34"/>
        <v>3.9880852375</v>
      </c>
      <c r="L101" s="11">
        <v>0.08</v>
      </c>
      <c r="M101" s="11">
        <f t="shared" si="27"/>
        <v>0.31904681899999998</v>
      </c>
      <c r="N101" s="15">
        <f>H101-I101</f>
        <v>394.8204385125</v>
      </c>
      <c r="O101" s="2">
        <v>1</v>
      </c>
      <c r="P101" s="15">
        <f t="shared" si="28"/>
        <v>394.8204385125</v>
      </c>
      <c r="Q101" s="11">
        <v>0.02</v>
      </c>
      <c r="R101" s="11">
        <f t="shared" si="29"/>
        <v>7.8964087702499999</v>
      </c>
      <c r="S101" s="12">
        <f t="shared" si="30"/>
        <v>8.2154555892500003</v>
      </c>
    </row>
    <row r="102" spans="1:19" ht="15" thickBot="1" x14ac:dyDescent="0.4">
      <c r="A102" s="394"/>
      <c r="B102" s="392"/>
      <c r="C102" s="82" t="s">
        <v>205</v>
      </c>
      <c r="D102" s="396" t="str">
        <f>Appendices!$E$84&amp;","</f>
        <v>D13.a,</v>
      </c>
      <c r="E102" s="397"/>
      <c r="F102" s="482" t="str">
        <f>Appendices!$E$85</f>
        <v>D13.b</v>
      </c>
      <c r="G102" s="483"/>
      <c r="H102" s="2">
        <v>125</v>
      </c>
      <c r="I102" s="2">
        <v>125</v>
      </c>
      <c r="J102" s="2">
        <v>1</v>
      </c>
      <c r="K102" s="2">
        <f>I102*J102</f>
        <v>125</v>
      </c>
      <c r="L102" s="154">
        <v>0.02</v>
      </c>
      <c r="M102" s="11">
        <f>L102*J102*I102</f>
        <v>2.5</v>
      </c>
      <c r="N102" s="157">
        <v>0</v>
      </c>
      <c r="O102" s="154">
        <v>0</v>
      </c>
      <c r="P102" s="2">
        <f>O102*N102</f>
        <v>0</v>
      </c>
      <c r="Q102" s="156">
        <v>0</v>
      </c>
      <c r="R102" s="11">
        <f>Q102*O102*N102</f>
        <v>0</v>
      </c>
      <c r="S102" s="12">
        <f>R102+M102</f>
        <v>2.5</v>
      </c>
    </row>
    <row r="103" spans="1:19" ht="15" thickBot="1" x14ac:dyDescent="0.4">
      <c r="A103" s="390" t="s">
        <v>78</v>
      </c>
      <c r="B103" s="390"/>
      <c r="C103" s="390"/>
      <c r="D103" s="390"/>
      <c r="E103" s="390"/>
      <c r="F103" s="390"/>
      <c r="G103" s="390"/>
      <c r="H103" s="390"/>
      <c r="I103" s="30">
        <f>I96+I82+I79+I66+I52</f>
        <v>3117</v>
      </c>
      <c r="J103" s="63">
        <f>K103/I103</f>
        <v>4.4158223345456973</v>
      </c>
      <c r="K103" s="30">
        <f>SUM(K52:K102)</f>
        <v>13764.118216778939</v>
      </c>
      <c r="L103" s="4">
        <f>M103/K103</f>
        <v>0.18440243423219965</v>
      </c>
      <c r="M103" s="4">
        <f>SUM(M52:M102)</f>
        <v>2538.1369042337997</v>
      </c>
      <c r="N103" s="30">
        <f>N96+N82+N79+N66+N52</f>
        <v>1893</v>
      </c>
      <c r="O103" s="63">
        <f>P103/N103</f>
        <v>6.4551546531040875</v>
      </c>
      <c r="P103" s="67">
        <f>SUM(P52:P102)</f>
        <v>12219.607758326038</v>
      </c>
      <c r="Q103" s="4">
        <f>R103/P103</f>
        <v>1.9858587932266268E-2</v>
      </c>
      <c r="R103" s="4">
        <f>SUM(R52:R102)</f>
        <v>242.66415516652071</v>
      </c>
      <c r="S103" s="17">
        <f>SUM(S52:S102)</f>
        <v>2780.8010594003199</v>
      </c>
    </row>
    <row r="104" spans="1:19" ht="15.75" customHeight="1" thickBot="1" x14ac:dyDescent="0.4">
      <c r="A104" s="428" t="s">
        <v>79</v>
      </c>
      <c r="B104" s="429"/>
      <c r="C104" s="429"/>
      <c r="D104" s="429"/>
      <c r="E104" s="429"/>
      <c r="F104" s="429"/>
      <c r="G104" s="429"/>
      <c r="H104" s="430"/>
      <c r="I104" s="166">
        <f>I103+I50</f>
        <v>4152</v>
      </c>
      <c r="J104" s="166">
        <f>K104/I104</f>
        <v>4.6267625762955058</v>
      </c>
      <c r="K104" s="166">
        <f>K103+K50</f>
        <v>19210.318216778942</v>
      </c>
      <c r="L104" s="167">
        <f>M104/K104</f>
        <v>0.18083175549935596</v>
      </c>
      <c r="M104" s="167">
        <f>M103+M50</f>
        <v>3473.8355668413933</v>
      </c>
      <c r="N104" s="166">
        <f>N103+N50</f>
        <v>2130</v>
      </c>
      <c r="O104" s="166">
        <f>P104/N104</f>
        <v>6.8057247858828402</v>
      </c>
      <c r="P104" s="166">
        <f>P103+P50</f>
        <v>14496.19379393045</v>
      </c>
      <c r="Q104" s="167">
        <f>R104/P104</f>
        <v>1.9880390956187755E-2</v>
      </c>
      <c r="R104" s="167">
        <f>ROUNDDOWN(R103+R50,2)</f>
        <v>288.19</v>
      </c>
      <c r="S104" s="167">
        <f>S103+S50</f>
        <v>3762.0314427200019</v>
      </c>
    </row>
    <row r="105" spans="1:19" ht="15.5" thickTop="1" thickBot="1" x14ac:dyDescent="0.4">
      <c r="A105" s="477" t="s">
        <v>76</v>
      </c>
      <c r="B105" s="478"/>
      <c r="C105" s="478"/>
      <c r="D105" s="478"/>
      <c r="E105" s="478"/>
      <c r="F105" s="478"/>
      <c r="G105" s="478"/>
      <c r="H105" s="478"/>
      <c r="I105" s="478"/>
      <c r="J105" s="478"/>
      <c r="K105" s="478"/>
      <c r="L105" s="478"/>
      <c r="M105" s="478"/>
      <c r="N105" s="478"/>
      <c r="O105" s="478"/>
      <c r="P105" s="478"/>
      <c r="Q105" s="478"/>
      <c r="R105" s="478"/>
      <c r="S105" s="479"/>
    </row>
    <row r="106" spans="1:19" s="117" customFormat="1" ht="15.5" thickTop="1" thickBot="1" x14ac:dyDescent="0.4">
      <c r="A106" s="424" t="s">
        <v>19</v>
      </c>
      <c r="B106" s="424"/>
      <c r="C106" s="424"/>
      <c r="D106" s="424"/>
      <c r="E106" s="424"/>
      <c r="F106" s="424"/>
      <c r="G106" s="424"/>
      <c r="H106" s="424"/>
      <c r="I106" s="424"/>
      <c r="J106" s="424"/>
      <c r="K106" s="424"/>
      <c r="L106" s="424"/>
      <c r="M106" s="424"/>
      <c r="N106" s="424"/>
      <c r="O106" s="424"/>
      <c r="P106" s="424"/>
      <c r="Q106" s="424"/>
      <c r="R106" s="424"/>
      <c r="S106" s="424"/>
    </row>
    <row r="107" spans="1:19" s="117" customFormat="1" ht="24.5" thickBot="1" x14ac:dyDescent="0.4">
      <c r="A107" s="425" t="s">
        <v>19</v>
      </c>
      <c r="B107" s="285" t="str">
        <f>B6</f>
        <v>State WIC Agency Directors</v>
      </c>
      <c r="C107" s="57" t="s">
        <v>38</v>
      </c>
      <c r="D107" s="456" t="str">
        <f>D44</f>
        <v>D1</v>
      </c>
      <c r="E107" s="457"/>
      <c r="F107" s="457"/>
      <c r="G107" s="458"/>
      <c r="H107" s="18">
        <v>3</v>
      </c>
      <c r="I107" s="2">
        <v>3</v>
      </c>
      <c r="J107" s="2">
        <v>1</v>
      </c>
      <c r="K107" s="15">
        <f>I107*J107</f>
        <v>3</v>
      </c>
      <c r="L107" s="20">
        <v>0.02</v>
      </c>
      <c r="M107" s="20">
        <f>L107*K107*J107</f>
        <v>0.06</v>
      </c>
      <c r="N107" s="18">
        <f>H107-I107</f>
        <v>0</v>
      </c>
      <c r="O107" s="19">
        <v>0</v>
      </c>
      <c r="P107" s="28">
        <f>N107*O107</f>
        <v>0</v>
      </c>
      <c r="Q107" s="20">
        <v>0</v>
      </c>
      <c r="R107" s="20">
        <f>Q107*P107*O107</f>
        <v>0</v>
      </c>
      <c r="S107" s="16">
        <f>R107+M107</f>
        <v>0.06</v>
      </c>
    </row>
    <row r="108" spans="1:19" s="260" customFormat="1" ht="15" thickBot="1" x14ac:dyDescent="0.4">
      <c r="A108" s="426"/>
      <c r="B108" s="425" t="s">
        <v>63</v>
      </c>
      <c r="C108" s="27" t="s">
        <v>295</v>
      </c>
      <c r="D108" s="468" t="str">
        <f>D45</f>
        <v>D3</v>
      </c>
      <c r="E108" s="469"/>
      <c r="F108" s="469"/>
      <c r="G108" s="470"/>
      <c r="H108" s="28">
        <v>6</v>
      </c>
      <c r="I108" s="53">
        <v>6</v>
      </c>
      <c r="J108" s="2">
        <v>1</v>
      </c>
      <c r="K108" s="15">
        <f t="shared" ref="K108:K111" si="45">I108*J108</f>
        <v>6</v>
      </c>
      <c r="L108" s="20">
        <f>0.05+0.25</f>
        <v>0.3</v>
      </c>
      <c r="M108" s="20">
        <f t="shared" ref="M108:M111" si="46">L108*K108*J108</f>
        <v>1.7999999999999998</v>
      </c>
      <c r="N108" s="28">
        <f>ROUNDDOWN(H108-I108, 0)</f>
        <v>0</v>
      </c>
      <c r="O108" s="19">
        <v>0</v>
      </c>
      <c r="P108" s="28">
        <f t="shared" ref="P108:P110" si="47">N108*O108</f>
        <v>0</v>
      </c>
      <c r="Q108" s="20">
        <v>0</v>
      </c>
      <c r="R108" s="20">
        <f t="shared" ref="R108:R111" si="48">Q108*P108*O108</f>
        <v>0</v>
      </c>
      <c r="S108" s="16">
        <f t="shared" ref="S108:S111" si="49">R108+M108</f>
        <v>1.7999999999999998</v>
      </c>
    </row>
    <row r="109" spans="1:19" s="260" customFormat="1" ht="15" thickBot="1" x14ac:dyDescent="0.4">
      <c r="A109" s="426"/>
      <c r="B109" s="426"/>
      <c r="C109" s="27" t="s">
        <v>296</v>
      </c>
      <c r="D109" s="402" t="str">
        <f>D46</f>
        <v>D4</v>
      </c>
      <c r="E109" s="403"/>
      <c r="F109" s="403"/>
      <c r="G109" s="404"/>
      <c r="H109" s="28">
        <v>6</v>
      </c>
      <c r="I109" s="15">
        <f>H109*0.45</f>
        <v>2.7</v>
      </c>
      <c r="J109" s="2">
        <v>1</v>
      </c>
      <c r="K109" s="15">
        <f t="shared" si="45"/>
        <v>2.7</v>
      </c>
      <c r="L109" s="20">
        <f>0.08+0.25</f>
        <v>0.33</v>
      </c>
      <c r="M109" s="20">
        <f t="shared" si="46"/>
        <v>0.89100000000000013</v>
      </c>
      <c r="N109" s="28">
        <f>H109-I109</f>
        <v>3.3</v>
      </c>
      <c r="O109" s="19">
        <v>1</v>
      </c>
      <c r="P109" s="28">
        <f t="shared" si="47"/>
        <v>3.3</v>
      </c>
      <c r="Q109" s="19">
        <v>0.02</v>
      </c>
      <c r="R109" s="20">
        <f t="shared" si="48"/>
        <v>6.6000000000000003E-2</v>
      </c>
      <c r="S109" s="16">
        <f t="shared" si="49"/>
        <v>0.95700000000000007</v>
      </c>
    </row>
    <row r="110" spans="1:19" s="260" customFormat="1" ht="15" thickBot="1" x14ac:dyDescent="0.4">
      <c r="A110" s="426"/>
      <c r="B110" s="426"/>
      <c r="C110" s="27" t="s">
        <v>297</v>
      </c>
      <c r="D110" s="405"/>
      <c r="E110" s="406"/>
      <c r="F110" s="406"/>
      <c r="G110" s="407"/>
      <c r="H110" s="28">
        <f t="shared" ref="H110:H111" si="50">N109</f>
        <v>3.3</v>
      </c>
      <c r="I110" s="15">
        <f>H110*0.5</f>
        <v>1.65</v>
      </c>
      <c r="J110" s="2">
        <v>1</v>
      </c>
      <c r="K110" s="15">
        <f t="shared" si="45"/>
        <v>1.65</v>
      </c>
      <c r="L110" s="20">
        <f t="shared" ref="L110:L111" si="51">0.08+0.25</f>
        <v>0.33</v>
      </c>
      <c r="M110" s="20">
        <f t="shared" si="46"/>
        <v>0.54449999999999998</v>
      </c>
      <c r="N110" s="28">
        <f>ROUNDDOWN(H110-I110,0)</f>
        <v>1</v>
      </c>
      <c r="O110" s="19">
        <v>1</v>
      </c>
      <c r="P110" s="28">
        <f t="shared" si="47"/>
        <v>1</v>
      </c>
      <c r="Q110" s="19">
        <v>0.02</v>
      </c>
      <c r="R110" s="20">
        <f t="shared" si="48"/>
        <v>0.02</v>
      </c>
      <c r="S110" s="16">
        <f t="shared" si="49"/>
        <v>0.5645</v>
      </c>
    </row>
    <row r="111" spans="1:19" s="260" customFormat="1" ht="15" thickBot="1" x14ac:dyDescent="0.4">
      <c r="A111" s="427"/>
      <c r="B111" s="427"/>
      <c r="C111" s="27" t="s">
        <v>298</v>
      </c>
      <c r="D111" s="408"/>
      <c r="E111" s="409"/>
      <c r="F111" s="409"/>
      <c r="G111" s="410"/>
      <c r="H111" s="28">
        <f t="shared" si="50"/>
        <v>1</v>
      </c>
      <c r="I111" s="15">
        <f>H111</f>
        <v>1</v>
      </c>
      <c r="J111" s="2">
        <v>1</v>
      </c>
      <c r="K111" s="15">
        <f t="shared" si="45"/>
        <v>1</v>
      </c>
      <c r="L111" s="20">
        <f t="shared" si="51"/>
        <v>0.33</v>
      </c>
      <c r="M111" s="20">
        <f t="shared" si="46"/>
        <v>0.33</v>
      </c>
      <c r="N111" s="28">
        <f t="shared" ref="N111" si="52">H111-I111</f>
        <v>0</v>
      </c>
      <c r="O111" s="19">
        <v>0</v>
      </c>
      <c r="P111" s="28">
        <v>0</v>
      </c>
      <c r="Q111" s="20">
        <v>0</v>
      </c>
      <c r="R111" s="20">
        <f t="shared" si="48"/>
        <v>0</v>
      </c>
      <c r="S111" s="16">
        <f t="shared" si="49"/>
        <v>0.33</v>
      </c>
    </row>
    <row r="112" spans="1:19" s="117" customFormat="1" ht="15" thickBot="1" x14ac:dyDescent="0.4">
      <c r="A112" s="390" t="s">
        <v>214</v>
      </c>
      <c r="B112" s="390"/>
      <c r="C112" s="390"/>
      <c r="D112" s="390"/>
      <c r="E112" s="390"/>
      <c r="F112" s="390"/>
      <c r="G112" s="390"/>
      <c r="H112" s="390"/>
      <c r="I112" s="30">
        <f>I107+I108</f>
        <v>9</v>
      </c>
      <c r="J112" s="51">
        <f>K112/I112</f>
        <v>1.5944444444444443</v>
      </c>
      <c r="K112" s="50">
        <f>SUM(K107:K111)</f>
        <v>14.35</v>
      </c>
      <c r="L112" s="4">
        <f>M112/K112</f>
        <v>0.25264808362369334</v>
      </c>
      <c r="M112" s="4">
        <f>SUM(M107:M111)</f>
        <v>3.6254999999999997</v>
      </c>
      <c r="N112" s="65">
        <f>N107+N108</f>
        <v>0</v>
      </c>
      <c r="O112" s="63">
        <f>0</f>
        <v>0</v>
      </c>
      <c r="P112" s="51">
        <f>SUM(P107:P111)</f>
        <v>4.3</v>
      </c>
      <c r="Q112" s="4">
        <f>R112/P112</f>
        <v>2.0000000000000004E-2</v>
      </c>
      <c r="R112" s="4">
        <f>SUM(R107:R111)</f>
        <v>8.6000000000000007E-2</v>
      </c>
      <c r="S112" s="17">
        <f>SUM(S107:S111)</f>
        <v>3.7115</v>
      </c>
    </row>
    <row r="113" spans="1:19" s="117" customFormat="1" ht="15" thickBot="1" x14ac:dyDescent="0.4">
      <c r="A113" s="423" t="s">
        <v>20</v>
      </c>
      <c r="B113" s="423"/>
      <c r="C113" s="423"/>
      <c r="D113" s="423"/>
      <c r="E113" s="423"/>
      <c r="F113" s="423"/>
      <c r="G113" s="423"/>
      <c r="H113" s="423"/>
      <c r="I113" s="423"/>
      <c r="J113" s="423"/>
      <c r="K113" s="423"/>
      <c r="L113" s="423"/>
      <c r="M113" s="423"/>
      <c r="N113" s="423"/>
      <c r="O113" s="423"/>
      <c r="P113" s="423"/>
      <c r="Q113" s="423"/>
      <c r="R113" s="423"/>
      <c r="S113" s="423"/>
    </row>
    <row r="114" spans="1:19" ht="15.75" customHeight="1" thickBot="1" x14ac:dyDescent="0.4">
      <c r="A114" s="393" t="s">
        <v>20</v>
      </c>
      <c r="B114" s="391" t="s">
        <v>212</v>
      </c>
      <c r="C114" s="160" t="s">
        <v>97</v>
      </c>
      <c r="D114" s="303" t="str">
        <f>D52</f>
        <v>B3.a,</v>
      </c>
      <c r="E114" s="304" t="str">
        <f>E52</f>
        <v>B3.b,</v>
      </c>
      <c r="F114" s="304" t="str">
        <f>F52</f>
        <v>B3.c,</v>
      </c>
      <c r="G114" s="305" t="str">
        <f>G52</f>
        <v>B3.d</v>
      </c>
      <c r="H114" s="161">
        <v>180</v>
      </c>
      <c r="I114" s="162">
        <v>150</v>
      </c>
      <c r="J114" s="163">
        <v>1</v>
      </c>
      <c r="K114" s="163">
        <f>I114*J114</f>
        <v>150</v>
      </c>
      <c r="L114" s="164">
        <f>(30/60)</f>
        <v>0.5</v>
      </c>
      <c r="M114" s="165">
        <f>L114*J114*I114</f>
        <v>75</v>
      </c>
      <c r="N114" s="163">
        <f>H114-I114</f>
        <v>30</v>
      </c>
      <c r="O114" s="163">
        <v>0</v>
      </c>
      <c r="P114" s="163">
        <f>O114*N114</f>
        <v>0</v>
      </c>
      <c r="Q114" s="164">
        <v>0</v>
      </c>
      <c r="R114" s="165">
        <f>Q114*O114*N114</f>
        <v>0</v>
      </c>
      <c r="S114" s="165">
        <f>R114+M114</f>
        <v>75</v>
      </c>
    </row>
    <row r="115" spans="1:19" ht="15.75" customHeight="1" thickBot="1" x14ac:dyDescent="0.4">
      <c r="A115" s="393"/>
      <c r="B115" s="391"/>
      <c r="C115" s="24" t="s">
        <v>116</v>
      </c>
      <c r="D115" s="411" t="str">
        <f>D53</f>
        <v>C11.a,</v>
      </c>
      <c r="E115" s="412"/>
      <c r="F115" s="417" t="str">
        <f>F53</f>
        <v>C11.b</v>
      </c>
      <c r="G115" s="418"/>
      <c r="H115" s="58">
        <v>180</v>
      </c>
      <c r="I115" s="53">
        <f>H115*0.2</f>
        <v>36</v>
      </c>
      <c r="J115" s="19">
        <v>1</v>
      </c>
      <c r="K115" s="53">
        <f t="shared" ref="K115:K126" si="53">I115*J115</f>
        <v>36</v>
      </c>
      <c r="L115" s="20">
        <v>0.08</v>
      </c>
      <c r="M115" s="20">
        <f t="shared" ref="M115:M124" si="54">L115*J115*I115</f>
        <v>2.88</v>
      </c>
      <c r="N115" s="53">
        <f>H115-I115</f>
        <v>144</v>
      </c>
      <c r="O115" s="19">
        <v>1</v>
      </c>
      <c r="P115" s="53">
        <f t="shared" ref="P115:P124" si="55">O115*N115</f>
        <v>144</v>
      </c>
      <c r="Q115" s="19">
        <v>0.02</v>
      </c>
      <c r="R115" s="20">
        <f t="shared" ref="R115:R124" si="56">Q115*O115*N115</f>
        <v>2.88</v>
      </c>
      <c r="S115" s="20">
        <f t="shared" ref="S115:S124" si="57">R115+M115</f>
        <v>5.76</v>
      </c>
    </row>
    <row r="116" spans="1:19" ht="15" thickBot="1" x14ac:dyDescent="0.4">
      <c r="A116" s="393"/>
      <c r="B116" s="391"/>
      <c r="C116" s="24" t="s">
        <v>117</v>
      </c>
      <c r="D116" s="413"/>
      <c r="E116" s="414"/>
      <c r="F116" s="419"/>
      <c r="G116" s="420"/>
      <c r="H116" s="58">
        <f t="shared" ref="H116:H122" si="58">N115</f>
        <v>144</v>
      </c>
      <c r="I116" s="53">
        <f>H116*0.2</f>
        <v>28.8</v>
      </c>
      <c r="J116" s="19">
        <v>1</v>
      </c>
      <c r="K116" s="53">
        <f t="shared" si="53"/>
        <v>28.8</v>
      </c>
      <c r="L116" s="20">
        <v>0.08</v>
      </c>
      <c r="M116" s="20">
        <f t="shared" si="54"/>
        <v>2.3040000000000003</v>
      </c>
      <c r="N116" s="53">
        <f>ROUNDUP(H116,0)-I116</f>
        <v>115.2</v>
      </c>
      <c r="O116" s="19">
        <v>0</v>
      </c>
      <c r="P116" s="53">
        <f t="shared" si="55"/>
        <v>0</v>
      </c>
      <c r="Q116" s="20">
        <v>0</v>
      </c>
      <c r="R116" s="20">
        <f t="shared" si="56"/>
        <v>0</v>
      </c>
      <c r="S116" s="20">
        <f t="shared" si="57"/>
        <v>2.3040000000000003</v>
      </c>
    </row>
    <row r="117" spans="1:19" ht="15" thickBot="1" x14ac:dyDescent="0.4">
      <c r="A117" s="393"/>
      <c r="B117" s="391"/>
      <c r="C117" s="24" t="s">
        <v>118</v>
      </c>
      <c r="D117" s="413"/>
      <c r="E117" s="414"/>
      <c r="F117" s="419"/>
      <c r="G117" s="420"/>
      <c r="H117" s="58">
        <f t="shared" si="58"/>
        <v>115.2</v>
      </c>
      <c r="I117" s="53">
        <f>H117*0.2</f>
        <v>23.040000000000003</v>
      </c>
      <c r="J117" s="19">
        <v>1</v>
      </c>
      <c r="K117" s="53">
        <f t="shared" si="53"/>
        <v>23.040000000000003</v>
      </c>
      <c r="L117" s="20">
        <v>0.08</v>
      </c>
      <c r="M117" s="20">
        <f t="shared" si="54"/>
        <v>1.8432000000000002</v>
      </c>
      <c r="N117" s="53">
        <f>ROUNDUP(H117, 0)-ROUNDUP(I117, 0)</f>
        <v>92</v>
      </c>
      <c r="O117" s="19">
        <v>0</v>
      </c>
      <c r="P117" s="53">
        <f t="shared" si="55"/>
        <v>0</v>
      </c>
      <c r="Q117" s="20">
        <v>0</v>
      </c>
      <c r="R117" s="20">
        <f t="shared" si="56"/>
        <v>0</v>
      </c>
      <c r="S117" s="20">
        <f t="shared" si="57"/>
        <v>1.8432000000000002</v>
      </c>
    </row>
    <row r="118" spans="1:19" ht="15" thickBot="1" x14ac:dyDescent="0.4">
      <c r="A118" s="393"/>
      <c r="B118" s="391"/>
      <c r="C118" s="24" t="s">
        <v>119</v>
      </c>
      <c r="D118" s="413"/>
      <c r="E118" s="414"/>
      <c r="F118" s="419"/>
      <c r="G118" s="420"/>
      <c r="H118" s="58">
        <f t="shared" si="58"/>
        <v>92</v>
      </c>
      <c r="I118" s="53">
        <f>H118*0.2</f>
        <v>18.400000000000002</v>
      </c>
      <c r="J118" s="19">
        <v>1</v>
      </c>
      <c r="K118" s="53">
        <f t="shared" si="53"/>
        <v>18.400000000000002</v>
      </c>
      <c r="L118" s="20">
        <v>0.08</v>
      </c>
      <c r="M118" s="20">
        <f t="shared" si="54"/>
        <v>1.4720000000000002</v>
      </c>
      <c r="N118" s="53">
        <f t="shared" ref="N118:N126" si="59">H118-I118</f>
        <v>73.599999999999994</v>
      </c>
      <c r="O118" s="19">
        <v>1</v>
      </c>
      <c r="P118" s="53">
        <f t="shared" si="55"/>
        <v>73.599999999999994</v>
      </c>
      <c r="Q118" s="19">
        <v>0.02</v>
      </c>
      <c r="R118" s="20">
        <f t="shared" si="56"/>
        <v>1.472</v>
      </c>
      <c r="S118" s="20">
        <f t="shared" si="57"/>
        <v>2.944</v>
      </c>
    </row>
    <row r="119" spans="1:19" ht="15" thickBot="1" x14ac:dyDescent="0.4">
      <c r="A119" s="393"/>
      <c r="B119" s="391"/>
      <c r="C119" s="24" t="s">
        <v>120</v>
      </c>
      <c r="D119" s="413"/>
      <c r="E119" s="414"/>
      <c r="F119" s="419"/>
      <c r="G119" s="420"/>
      <c r="H119" s="58">
        <f t="shared" si="58"/>
        <v>73.599999999999994</v>
      </c>
      <c r="I119" s="53">
        <f>H119*0.12</f>
        <v>8.831999999999999</v>
      </c>
      <c r="J119" s="19">
        <v>1</v>
      </c>
      <c r="K119" s="53">
        <f t="shared" si="53"/>
        <v>8.831999999999999</v>
      </c>
      <c r="L119" s="20">
        <v>0.08</v>
      </c>
      <c r="M119" s="20">
        <f t="shared" si="54"/>
        <v>0.70655999999999997</v>
      </c>
      <c r="N119" s="53">
        <f t="shared" si="59"/>
        <v>64.768000000000001</v>
      </c>
      <c r="O119" s="19">
        <v>0</v>
      </c>
      <c r="P119" s="53">
        <f t="shared" si="55"/>
        <v>0</v>
      </c>
      <c r="Q119" s="20">
        <v>0</v>
      </c>
      <c r="R119" s="20">
        <f t="shared" si="56"/>
        <v>0</v>
      </c>
      <c r="S119" s="20">
        <f t="shared" si="57"/>
        <v>0.70655999999999997</v>
      </c>
    </row>
    <row r="120" spans="1:19" ht="15" thickBot="1" x14ac:dyDescent="0.4">
      <c r="A120" s="393"/>
      <c r="B120" s="391"/>
      <c r="C120" s="24" t="s">
        <v>121</v>
      </c>
      <c r="D120" s="413"/>
      <c r="E120" s="414"/>
      <c r="F120" s="419"/>
      <c r="G120" s="420"/>
      <c r="H120" s="58">
        <f t="shared" si="58"/>
        <v>64.768000000000001</v>
      </c>
      <c r="I120" s="53">
        <f>H120*0.1</f>
        <v>6.4768000000000008</v>
      </c>
      <c r="J120" s="19">
        <v>1</v>
      </c>
      <c r="K120" s="53">
        <f t="shared" si="53"/>
        <v>6.4768000000000008</v>
      </c>
      <c r="L120" s="20">
        <v>0.08</v>
      </c>
      <c r="M120" s="20">
        <f t="shared" si="54"/>
        <v>0.51814400000000005</v>
      </c>
      <c r="N120" s="53">
        <f t="shared" si="59"/>
        <v>58.291200000000003</v>
      </c>
      <c r="O120" s="19">
        <v>0</v>
      </c>
      <c r="P120" s="53">
        <f t="shared" si="55"/>
        <v>0</v>
      </c>
      <c r="Q120" s="20">
        <v>0</v>
      </c>
      <c r="R120" s="20">
        <f t="shared" si="56"/>
        <v>0</v>
      </c>
      <c r="S120" s="20">
        <f t="shared" si="57"/>
        <v>0.51814400000000005</v>
      </c>
    </row>
    <row r="121" spans="1:19" ht="15" thickBot="1" x14ac:dyDescent="0.4">
      <c r="A121" s="393"/>
      <c r="B121" s="391"/>
      <c r="C121" s="24" t="s">
        <v>122</v>
      </c>
      <c r="D121" s="415"/>
      <c r="E121" s="416"/>
      <c r="F121" s="421"/>
      <c r="G121" s="422"/>
      <c r="H121" s="58">
        <f t="shared" si="58"/>
        <v>58.291200000000003</v>
      </c>
      <c r="I121" s="53">
        <f>H121*0.1</f>
        <v>5.8291200000000005</v>
      </c>
      <c r="J121" s="19">
        <v>1</v>
      </c>
      <c r="K121" s="53">
        <f t="shared" si="53"/>
        <v>5.8291200000000005</v>
      </c>
      <c r="L121" s="20">
        <v>0.08</v>
      </c>
      <c r="M121" s="20">
        <f t="shared" si="54"/>
        <v>0.46632960000000007</v>
      </c>
      <c r="N121" s="53">
        <f t="shared" si="59"/>
        <v>52.46208</v>
      </c>
      <c r="O121" s="19">
        <v>1</v>
      </c>
      <c r="P121" s="53">
        <f t="shared" si="55"/>
        <v>52.46208</v>
      </c>
      <c r="Q121" s="19">
        <v>0.02</v>
      </c>
      <c r="R121" s="20">
        <f t="shared" si="56"/>
        <v>1.0492416</v>
      </c>
      <c r="S121" s="20">
        <f t="shared" si="57"/>
        <v>1.5155712000000001</v>
      </c>
    </row>
    <row r="122" spans="1:19" ht="15.75" customHeight="1" thickBot="1" x14ac:dyDescent="0.4">
      <c r="A122" s="393"/>
      <c r="B122" s="391"/>
      <c r="C122" s="24" t="s">
        <v>70</v>
      </c>
      <c r="D122" s="396" t="str">
        <f>D60</f>
        <v>C12.a,</v>
      </c>
      <c r="E122" s="397"/>
      <c r="F122" s="398" t="str">
        <f>F60</f>
        <v>C12.b</v>
      </c>
      <c r="G122" s="399"/>
      <c r="H122" s="22">
        <f t="shared" si="58"/>
        <v>52.46208</v>
      </c>
      <c r="I122" s="60">
        <f>H122*0.429</f>
        <v>22.506232319999999</v>
      </c>
      <c r="J122" s="2">
        <v>1</v>
      </c>
      <c r="K122" s="53">
        <f t="shared" si="53"/>
        <v>22.506232319999999</v>
      </c>
      <c r="L122" s="20">
        <v>0.02</v>
      </c>
      <c r="M122" s="11">
        <f t="shared" si="54"/>
        <v>0.45012464639999999</v>
      </c>
      <c r="N122" s="15">
        <f t="shared" si="59"/>
        <v>29.955847680000002</v>
      </c>
      <c r="O122" s="2">
        <v>0</v>
      </c>
      <c r="P122" s="15">
        <f t="shared" si="55"/>
        <v>0</v>
      </c>
      <c r="Q122" s="20">
        <v>0</v>
      </c>
      <c r="R122" s="11">
        <f t="shared" si="56"/>
        <v>0</v>
      </c>
      <c r="S122" s="11">
        <f t="shared" si="57"/>
        <v>0.45012464639999999</v>
      </c>
    </row>
    <row r="123" spans="1:19" ht="15.75" customHeight="1" thickBot="1" x14ac:dyDescent="0.4">
      <c r="A123" s="393"/>
      <c r="B123" s="391"/>
      <c r="C123" s="24" t="s">
        <v>68</v>
      </c>
      <c r="D123" s="396" t="str">
        <f>D61</f>
        <v>C13.a,</v>
      </c>
      <c r="E123" s="397"/>
      <c r="F123" s="400" t="str">
        <f>F61</f>
        <v>C13.b</v>
      </c>
      <c r="G123" s="401"/>
      <c r="H123" s="21">
        <v>180</v>
      </c>
      <c r="I123" s="15">
        <f>H123*0.55</f>
        <v>99.000000000000014</v>
      </c>
      <c r="J123" s="2">
        <v>1</v>
      </c>
      <c r="K123" s="53">
        <f t="shared" si="53"/>
        <v>99.000000000000014</v>
      </c>
      <c r="L123" s="20">
        <v>0.02</v>
      </c>
      <c r="M123" s="11">
        <f t="shared" si="54"/>
        <v>1.9800000000000004</v>
      </c>
      <c r="N123" s="15">
        <f t="shared" si="59"/>
        <v>80.999999999999986</v>
      </c>
      <c r="O123" s="2">
        <v>0</v>
      </c>
      <c r="P123" s="2">
        <f t="shared" si="55"/>
        <v>0</v>
      </c>
      <c r="Q123" s="20">
        <v>0</v>
      </c>
      <c r="R123" s="11">
        <f t="shared" si="56"/>
        <v>0</v>
      </c>
      <c r="S123" s="12">
        <f t="shared" si="57"/>
        <v>1.9800000000000004</v>
      </c>
    </row>
    <row r="124" spans="1:19" ht="15.75" customHeight="1" thickBot="1" x14ac:dyDescent="0.4">
      <c r="A124" s="393"/>
      <c r="B124" s="391"/>
      <c r="C124" s="24" t="s">
        <v>123</v>
      </c>
      <c r="D124" s="396" t="str">
        <f>D62</f>
        <v>C14.a,</v>
      </c>
      <c r="E124" s="397"/>
      <c r="F124" s="400" t="str">
        <f>F62</f>
        <v>C14.b</v>
      </c>
      <c r="G124" s="401"/>
      <c r="H124" s="21">
        <v>180</v>
      </c>
      <c r="I124" s="15">
        <f>H124*0.5</f>
        <v>90</v>
      </c>
      <c r="J124" s="2">
        <v>1</v>
      </c>
      <c r="K124" s="53">
        <f t="shared" si="53"/>
        <v>90</v>
      </c>
      <c r="L124" s="20">
        <v>0.08</v>
      </c>
      <c r="M124" s="11">
        <f t="shared" si="54"/>
        <v>7.2</v>
      </c>
      <c r="N124" s="15">
        <f t="shared" si="59"/>
        <v>90</v>
      </c>
      <c r="O124" s="2">
        <v>1</v>
      </c>
      <c r="P124" s="2">
        <f t="shared" si="55"/>
        <v>90</v>
      </c>
      <c r="Q124" s="19">
        <v>0.02</v>
      </c>
      <c r="R124" s="11">
        <f t="shared" si="56"/>
        <v>1.8</v>
      </c>
      <c r="S124" s="12">
        <f t="shared" si="57"/>
        <v>9</v>
      </c>
    </row>
    <row r="125" spans="1:19" ht="15" thickBot="1" x14ac:dyDescent="0.4">
      <c r="A125" s="393"/>
      <c r="B125" s="391"/>
      <c r="C125" s="24" t="s">
        <v>45</v>
      </c>
      <c r="D125" s="396" t="str">
        <f>D63</f>
        <v>D6.a,</v>
      </c>
      <c r="E125" s="397"/>
      <c r="F125" s="398" t="str">
        <f>F63</f>
        <v>D6.b</v>
      </c>
      <c r="G125" s="399"/>
      <c r="H125" s="21">
        <v>180</v>
      </c>
      <c r="I125" s="15">
        <v>150</v>
      </c>
      <c r="J125" s="2">
        <v>1</v>
      </c>
      <c r="K125" s="53">
        <f t="shared" si="53"/>
        <v>150</v>
      </c>
      <c r="L125" s="20">
        <v>0.02</v>
      </c>
      <c r="M125" s="11">
        <f>L125*J125*I125</f>
        <v>3</v>
      </c>
      <c r="N125" s="15">
        <f t="shared" si="59"/>
        <v>30</v>
      </c>
      <c r="O125" s="2">
        <v>1</v>
      </c>
      <c r="P125" s="2">
        <f>O125*N125</f>
        <v>30</v>
      </c>
      <c r="Q125" s="19">
        <v>0.02</v>
      </c>
      <c r="R125" s="11">
        <f>Q125*O125*N125</f>
        <v>0.6</v>
      </c>
      <c r="S125" s="12">
        <f>R125+M125</f>
        <v>3.6</v>
      </c>
    </row>
    <row r="126" spans="1:19" ht="15" thickBot="1" x14ac:dyDescent="0.4">
      <c r="A126" s="393"/>
      <c r="B126" s="391"/>
      <c r="C126" s="24" t="str">
        <f>C64</f>
        <v>Participant Consent Form-Certification Survey</v>
      </c>
      <c r="D126" s="396" t="str">
        <f>D64</f>
        <v>D7.a,</v>
      </c>
      <c r="E126" s="397"/>
      <c r="F126" s="398" t="str">
        <f>F64</f>
        <v>D7.b</v>
      </c>
      <c r="G126" s="399"/>
      <c r="H126" s="15">
        <v>150</v>
      </c>
      <c r="I126" s="15">
        <v>150</v>
      </c>
      <c r="J126" s="2">
        <v>1</v>
      </c>
      <c r="K126" s="53">
        <f t="shared" si="53"/>
        <v>150</v>
      </c>
      <c r="L126" s="20">
        <v>0.1</v>
      </c>
      <c r="M126" s="11">
        <f>L126*J126*I126</f>
        <v>15</v>
      </c>
      <c r="N126" s="15">
        <f t="shared" si="59"/>
        <v>0</v>
      </c>
      <c r="O126" s="2">
        <v>0</v>
      </c>
      <c r="P126" s="2">
        <f>O126*N126</f>
        <v>0</v>
      </c>
      <c r="Q126" s="20">
        <v>0</v>
      </c>
      <c r="R126" s="11">
        <f>Q126*O126*N126</f>
        <v>0</v>
      </c>
      <c r="S126" s="12">
        <f>R126+M126</f>
        <v>15</v>
      </c>
    </row>
    <row r="127" spans="1:19" ht="24.5" thickBot="1" x14ac:dyDescent="0.4">
      <c r="A127" s="393"/>
      <c r="B127" s="391"/>
      <c r="C127" s="33" t="s">
        <v>95</v>
      </c>
      <c r="D127" s="290" t="str">
        <f>D82</f>
        <v>B4.a,</v>
      </c>
      <c r="E127" s="291" t="str">
        <f>E82</f>
        <v>B4.b,</v>
      </c>
      <c r="F127" s="291" t="str">
        <f>F82</f>
        <v>B4.c,</v>
      </c>
      <c r="G127" s="292" t="str">
        <f>G82</f>
        <v>B4.d</v>
      </c>
      <c r="H127" s="34">
        <v>24</v>
      </c>
      <c r="I127" s="35">
        <v>19</v>
      </c>
      <c r="J127" s="35">
        <v>1</v>
      </c>
      <c r="K127" s="35">
        <f t="shared" ref="K127:K140" si="60">I127*J127</f>
        <v>19</v>
      </c>
      <c r="L127" s="36">
        <f>(35/60)</f>
        <v>0.58333333333333337</v>
      </c>
      <c r="M127" s="37">
        <f t="shared" ref="M127:M138" si="61">L127*J127*I127</f>
        <v>11.083333333333334</v>
      </c>
      <c r="N127" s="35">
        <f t="shared" ref="N127:N138" si="62">H127-I127</f>
        <v>5</v>
      </c>
      <c r="O127" s="35">
        <v>0</v>
      </c>
      <c r="P127" s="35">
        <f t="shared" ref="P127:P138" si="63">O127*N127</f>
        <v>0</v>
      </c>
      <c r="Q127" s="36">
        <v>0</v>
      </c>
      <c r="R127" s="37">
        <f t="shared" ref="R127:R138" si="64">Q127*O127*N127</f>
        <v>0</v>
      </c>
      <c r="S127" s="37">
        <f t="shared" ref="S127:S138" si="65">R127+M127</f>
        <v>11.083333333333334</v>
      </c>
    </row>
    <row r="128" spans="1:19" ht="15" thickBot="1" x14ac:dyDescent="0.4">
      <c r="A128" s="393"/>
      <c r="B128" s="391"/>
      <c r="C128" s="59" t="s">
        <v>132</v>
      </c>
      <c r="D128" s="375" t="str">
        <f>D83</f>
        <v>C15.a,</v>
      </c>
      <c r="E128" s="376"/>
      <c r="F128" s="365" t="str">
        <f>F83</f>
        <v>C15.b</v>
      </c>
      <c r="G128" s="366"/>
      <c r="H128" s="14">
        <v>24</v>
      </c>
      <c r="I128" s="15">
        <f>H128*(0.3/2.55)</f>
        <v>2.8235294117647056</v>
      </c>
      <c r="J128" s="2">
        <v>1</v>
      </c>
      <c r="K128" s="15">
        <f t="shared" si="60"/>
        <v>2.8235294117647056</v>
      </c>
      <c r="L128" s="20">
        <v>0.08</v>
      </c>
      <c r="M128" s="11">
        <f t="shared" si="61"/>
        <v>0.22588235294117645</v>
      </c>
      <c r="N128" s="13">
        <f t="shared" si="62"/>
        <v>21.176470588235293</v>
      </c>
      <c r="O128" s="2">
        <v>1</v>
      </c>
      <c r="P128" s="15">
        <f t="shared" si="63"/>
        <v>21.176470588235293</v>
      </c>
      <c r="Q128" s="154">
        <v>0.02</v>
      </c>
      <c r="R128" s="11">
        <f t="shared" si="64"/>
        <v>0.42352941176470588</v>
      </c>
      <c r="S128" s="12">
        <f t="shared" si="65"/>
        <v>0.64941176470588236</v>
      </c>
    </row>
    <row r="129" spans="1:19" ht="15" thickBot="1" x14ac:dyDescent="0.4">
      <c r="A129" s="393"/>
      <c r="B129" s="391"/>
      <c r="C129" s="59" t="s">
        <v>133</v>
      </c>
      <c r="D129" s="377"/>
      <c r="E129" s="378"/>
      <c r="F129" s="367"/>
      <c r="G129" s="368"/>
      <c r="H129" s="14">
        <f t="shared" ref="H129:H136" si="66">N128</f>
        <v>21.176470588235293</v>
      </c>
      <c r="I129" s="15">
        <f>H129*(0.3/2.55)</f>
        <v>2.4913494809688581</v>
      </c>
      <c r="J129" s="2">
        <v>1</v>
      </c>
      <c r="K129" s="15">
        <f t="shared" si="60"/>
        <v>2.4913494809688581</v>
      </c>
      <c r="L129" s="20">
        <v>0.08</v>
      </c>
      <c r="M129" s="11">
        <f t="shared" si="61"/>
        <v>0.19930795847750865</v>
      </c>
      <c r="N129" s="13">
        <f t="shared" si="62"/>
        <v>18.685121107266436</v>
      </c>
      <c r="O129" s="2">
        <v>0</v>
      </c>
      <c r="P129" s="15">
        <f t="shared" si="63"/>
        <v>0</v>
      </c>
      <c r="Q129" s="20">
        <v>0</v>
      </c>
      <c r="R129" s="11">
        <f t="shared" si="64"/>
        <v>0</v>
      </c>
      <c r="S129" s="12">
        <f t="shared" si="65"/>
        <v>0.19930795847750865</v>
      </c>
    </row>
    <row r="130" spans="1:19" ht="15" thickBot="1" x14ac:dyDescent="0.4">
      <c r="A130" s="393"/>
      <c r="B130" s="391"/>
      <c r="C130" s="59" t="s">
        <v>134</v>
      </c>
      <c r="D130" s="377"/>
      <c r="E130" s="378"/>
      <c r="F130" s="367"/>
      <c r="G130" s="368"/>
      <c r="H130" s="14">
        <f t="shared" si="66"/>
        <v>18.685121107266436</v>
      </c>
      <c r="I130" s="15">
        <f>H130*(0.3/2.55)</f>
        <v>2.1982495420313453</v>
      </c>
      <c r="J130" s="2">
        <v>1</v>
      </c>
      <c r="K130" s="15">
        <f t="shared" si="60"/>
        <v>2.1982495420313453</v>
      </c>
      <c r="L130" s="20">
        <v>0.08</v>
      </c>
      <c r="M130" s="11">
        <f t="shared" si="61"/>
        <v>0.17585996336250762</v>
      </c>
      <c r="N130" s="13">
        <f t="shared" si="62"/>
        <v>16.486871565235091</v>
      </c>
      <c r="O130" s="2">
        <v>0</v>
      </c>
      <c r="P130" s="15">
        <f t="shared" si="63"/>
        <v>0</v>
      </c>
      <c r="Q130" s="20">
        <v>0</v>
      </c>
      <c r="R130" s="11">
        <f t="shared" si="64"/>
        <v>0</v>
      </c>
      <c r="S130" s="12">
        <f t="shared" si="65"/>
        <v>0.17585996336250762</v>
      </c>
    </row>
    <row r="131" spans="1:19" ht="15" thickBot="1" x14ac:dyDescent="0.4">
      <c r="A131" s="393"/>
      <c r="B131" s="391"/>
      <c r="C131" s="59" t="s">
        <v>135</v>
      </c>
      <c r="D131" s="377"/>
      <c r="E131" s="378"/>
      <c r="F131" s="367"/>
      <c r="G131" s="368"/>
      <c r="H131" s="14">
        <f t="shared" si="66"/>
        <v>16.486871565235091</v>
      </c>
      <c r="I131" s="15">
        <f>H131*(0.045)</f>
        <v>0.74190922043557905</v>
      </c>
      <c r="J131" s="2">
        <v>1</v>
      </c>
      <c r="K131" s="15">
        <f t="shared" si="60"/>
        <v>0.74190922043557905</v>
      </c>
      <c r="L131" s="20">
        <v>0.08</v>
      </c>
      <c r="M131" s="11">
        <f t="shared" si="61"/>
        <v>5.9352737634846324E-2</v>
      </c>
      <c r="N131" s="13">
        <f t="shared" si="62"/>
        <v>15.744962344799513</v>
      </c>
      <c r="O131" s="2">
        <v>1</v>
      </c>
      <c r="P131" s="15">
        <f t="shared" si="63"/>
        <v>15.744962344799513</v>
      </c>
      <c r="Q131" s="154">
        <v>0.02</v>
      </c>
      <c r="R131" s="11">
        <f t="shared" si="64"/>
        <v>0.31489924689599025</v>
      </c>
      <c r="S131" s="12">
        <f t="shared" si="65"/>
        <v>0.37425198453083658</v>
      </c>
    </row>
    <row r="132" spans="1:19" ht="15" thickBot="1" x14ac:dyDescent="0.4">
      <c r="A132" s="393"/>
      <c r="B132" s="391"/>
      <c r="C132" s="59" t="s">
        <v>136</v>
      </c>
      <c r="D132" s="377"/>
      <c r="E132" s="378"/>
      <c r="F132" s="367"/>
      <c r="G132" s="368"/>
      <c r="H132" s="14">
        <f t="shared" si="66"/>
        <v>15.744962344799513</v>
      </c>
      <c r="I132" s="15">
        <f>H132*(0.04)</f>
        <v>0.6297984937919805</v>
      </c>
      <c r="J132" s="2">
        <v>1</v>
      </c>
      <c r="K132" s="15">
        <f t="shared" si="60"/>
        <v>0.6297984937919805</v>
      </c>
      <c r="L132" s="20">
        <v>0.08</v>
      </c>
      <c r="M132" s="11">
        <f t="shared" si="61"/>
        <v>5.0383879503358438E-2</v>
      </c>
      <c r="N132" s="13">
        <f t="shared" si="62"/>
        <v>15.115163851007532</v>
      </c>
      <c r="O132" s="2">
        <v>0</v>
      </c>
      <c r="P132" s="15">
        <f t="shared" si="63"/>
        <v>0</v>
      </c>
      <c r="Q132" s="20">
        <v>0</v>
      </c>
      <c r="R132" s="11">
        <f t="shared" si="64"/>
        <v>0</v>
      </c>
      <c r="S132" s="12">
        <f t="shared" si="65"/>
        <v>5.0383879503358438E-2</v>
      </c>
    </row>
    <row r="133" spans="1:19" ht="15" thickBot="1" x14ac:dyDescent="0.4">
      <c r="A133" s="393"/>
      <c r="B133" s="391"/>
      <c r="C133" s="59" t="s">
        <v>137</v>
      </c>
      <c r="D133" s="377"/>
      <c r="E133" s="378"/>
      <c r="F133" s="367"/>
      <c r="G133" s="368"/>
      <c r="H133" s="14">
        <f t="shared" si="66"/>
        <v>15.115163851007532</v>
      </c>
      <c r="I133" s="15">
        <f>H133*(0.04)</f>
        <v>0.60460655404030128</v>
      </c>
      <c r="J133" s="2">
        <v>1</v>
      </c>
      <c r="K133" s="15">
        <f t="shared" si="60"/>
        <v>0.60460655404030128</v>
      </c>
      <c r="L133" s="20">
        <v>0.08</v>
      </c>
      <c r="M133" s="11">
        <f t="shared" si="61"/>
        <v>4.8368524323224103E-2</v>
      </c>
      <c r="N133" s="13">
        <f t="shared" si="62"/>
        <v>14.51055729696723</v>
      </c>
      <c r="O133" s="2">
        <v>0</v>
      </c>
      <c r="P133" s="15">
        <f t="shared" si="63"/>
        <v>0</v>
      </c>
      <c r="Q133" s="20">
        <v>0</v>
      </c>
      <c r="R133" s="11">
        <f t="shared" si="64"/>
        <v>0</v>
      </c>
      <c r="S133" s="12">
        <f t="shared" si="65"/>
        <v>4.8368524323224103E-2</v>
      </c>
    </row>
    <row r="134" spans="1:19" ht="15" thickBot="1" x14ac:dyDescent="0.4">
      <c r="A134" s="393"/>
      <c r="B134" s="391"/>
      <c r="C134" s="59" t="s">
        <v>138</v>
      </c>
      <c r="D134" s="379"/>
      <c r="E134" s="380"/>
      <c r="F134" s="369"/>
      <c r="G134" s="370"/>
      <c r="H134" s="14">
        <f t="shared" si="66"/>
        <v>14.51055729696723</v>
      </c>
      <c r="I134" s="15">
        <f>H134*(0.3/8.15)</f>
        <v>0.53413094344664647</v>
      </c>
      <c r="J134" s="2">
        <v>1</v>
      </c>
      <c r="K134" s="15">
        <f t="shared" si="60"/>
        <v>0.53413094344664647</v>
      </c>
      <c r="L134" s="20">
        <v>0.08</v>
      </c>
      <c r="M134" s="11">
        <f t="shared" si="61"/>
        <v>4.2730475475731715E-2</v>
      </c>
      <c r="N134" s="13">
        <f t="shared" si="62"/>
        <v>13.976426353520583</v>
      </c>
      <c r="O134" s="2">
        <v>1</v>
      </c>
      <c r="P134" s="15">
        <f t="shared" si="63"/>
        <v>13.976426353520583</v>
      </c>
      <c r="Q134" s="154">
        <v>0.02</v>
      </c>
      <c r="R134" s="11">
        <f t="shared" si="64"/>
        <v>0.2795285270704117</v>
      </c>
      <c r="S134" s="12">
        <f t="shared" si="65"/>
        <v>0.32225900254614342</v>
      </c>
    </row>
    <row r="135" spans="1:19" ht="15" thickBot="1" x14ac:dyDescent="0.4">
      <c r="A135" s="393"/>
      <c r="B135" s="391"/>
      <c r="C135" s="54" t="s">
        <v>72</v>
      </c>
      <c r="D135" s="381" t="str">
        <f>D90</f>
        <v>C16.a,</v>
      </c>
      <c r="E135" s="382"/>
      <c r="F135" s="365" t="str">
        <f>F90</f>
        <v>C16.b</v>
      </c>
      <c r="G135" s="366"/>
      <c r="H135" s="14">
        <f t="shared" si="66"/>
        <v>13.976426353520583</v>
      </c>
      <c r="I135" s="15">
        <f>H135*0.585</f>
        <v>8.1762094168095416</v>
      </c>
      <c r="J135" s="2">
        <v>1</v>
      </c>
      <c r="K135" s="15">
        <f t="shared" si="60"/>
        <v>8.1762094168095416</v>
      </c>
      <c r="L135" s="20">
        <v>0.08</v>
      </c>
      <c r="M135" s="11">
        <f t="shared" si="61"/>
        <v>0.65409675334476336</v>
      </c>
      <c r="N135" s="13">
        <f t="shared" si="62"/>
        <v>5.8002169367110419</v>
      </c>
      <c r="O135" s="2">
        <v>0</v>
      </c>
      <c r="P135" s="15">
        <f t="shared" si="63"/>
        <v>0</v>
      </c>
      <c r="Q135" s="20">
        <v>0</v>
      </c>
      <c r="R135" s="11">
        <f t="shared" si="64"/>
        <v>0</v>
      </c>
      <c r="S135" s="12">
        <f t="shared" si="65"/>
        <v>0.65409675334476336</v>
      </c>
    </row>
    <row r="136" spans="1:19" ht="15" thickBot="1" x14ac:dyDescent="0.4">
      <c r="A136" s="393"/>
      <c r="B136" s="391"/>
      <c r="C136" s="54" t="s">
        <v>73</v>
      </c>
      <c r="D136" s="383"/>
      <c r="E136" s="384"/>
      <c r="F136" s="369"/>
      <c r="G136" s="370"/>
      <c r="H136" s="14">
        <f t="shared" si="66"/>
        <v>5.8002169367110419</v>
      </c>
      <c r="I136" s="15">
        <f>H136*0.189</f>
        <v>1.096241001038387</v>
      </c>
      <c r="J136" s="2">
        <v>1</v>
      </c>
      <c r="K136" s="15">
        <f t="shared" si="60"/>
        <v>1.096241001038387</v>
      </c>
      <c r="L136" s="20">
        <v>0.08</v>
      </c>
      <c r="M136" s="11">
        <f t="shared" si="61"/>
        <v>8.7699280083070957E-2</v>
      </c>
      <c r="N136" s="13">
        <f t="shared" si="62"/>
        <v>4.7039759356726547</v>
      </c>
      <c r="O136" s="2">
        <v>0</v>
      </c>
      <c r="P136" s="15">
        <f t="shared" si="63"/>
        <v>0</v>
      </c>
      <c r="Q136" s="20">
        <v>0</v>
      </c>
      <c r="R136" s="11">
        <f t="shared" si="64"/>
        <v>0</v>
      </c>
      <c r="S136" s="12">
        <f t="shared" si="65"/>
        <v>8.7699280083070957E-2</v>
      </c>
    </row>
    <row r="137" spans="1:19" ht="17.25" customHeight="1" thickBot="1" x14ac:dyDescent="0.4">
      <c r="A137" s="393"/>
      <c r="B137" s="391"/>
      <c r="C137" s="61" t="s">
        <v>67</v>
      </c>
      <c r="D137" s="385" t="str">
        <f>D92</f>
        <v>C17.a,</v>
      </c>
      <c r="E137" s="386"/>
      <c r="F137" s="371" t="str">
        <f>F92</f>
        <v>C17.b</v>
      </c>
      <c r="G137" s="372"/>
      <c r="H137" s="14">
        <v>24</v>
      </c>
      <c r="I137" s="15">
        <f>H137*0.55</f>
        <v>13.200000000000001</v>
      </c>
      <c r="J137" s="2">
        <v>1</v>
      </c>
      <c r="K137" s="15">
        <f t="shared" si="60"/>
        <v>13.200000000000001</v>
      </c>
      <c r="L137" s="20">
        <v>0.02</v>
      </c>
      <c r="M137" s="11">
        <f t="shared" si="61"/>
        <v>0.26400000000000001</v>
      </c>
      <c r="N137" s="13">
        <f t="shared" si="62"/>
        <v>10.799999999999999</v>
      </c>
      <c r="O137" s="2">
        <v>1</v>
      </c>
      <c r="P137" s="15">
        <f t="shared" si="63"/>
        <v>10.799999999999999</v>
      </c>
      <c r="Q137" s="20">
        <v>0</v>
      </c>
      <c r="R137" s="11">
        <f t="shared" si="64"/>
        <v>0</v>
      </c>
      <c r="S137" s="12">
        <f t="shared" si="65"/>
        <v>0.26400000000000001</v>
      </c>
    </row>
    <row r="138" spans="1:19" ht="15" thickBot="1" x14ac:dyDescent="0.4">
      <c r="A138" s="393"/>
      <c r="B138" s="391"/>
      <c r="C138" s="57" t="s">
        <v>139</v>
      </c>
      <c r="D138" s="385" t="str">
        <f>D93</f>
        <v>C18.a,</v>
      </c>
      <c r="E138" s="386"/>
      <c r="F138" s="371" t="str">
        <f>F93</f>
        <v>C18.b</v>
      </c>
      <c r="G138" s="372"/>
      <c r="H138" s="14">
        <f>N137</f>
        <v>10.799999999999999</v>
      </c>
      <c r="I138" s="15">
        <f>H138*0.5</f>
        <v>5.3999999999999995</v>
      </c>
      <c r="J138" s="2">
        <v>1</v>
      </c>
      <c r="K138" s="15">
        <f t="shared" si="60"/>
        <v>5.3999999999999995</v>
      </c>
      <c r="L138" s="20">
        <v>0.08</v>
      </c>
      <c r="M138" s="11">
        <f t="shared" si="61"/>
        <v>0.43199999999999994</v>
      </c>
      <c r="N138" s="13">
        <f t="shared" si="62"/>
        <v>5.3999999999999995</v>
      </c>
      <c r="O138" s="2">
        <v>1</v>
      </c>
      <c r="P138" s="15">
        <f t="shared" si="63"/>
        <v>5.3999999999999995</v>
      </c>
      <c r="Q138" s="154">
        <v>0.02</v>
      </c>
      <c r="R138" s="11">
        <f t="shared" si="64"/>
        <v>0.10799999999999998</v>
      </c>
      <c r="S138" s="12">
        <f t="shared" si="65"/>
        <v>0.53999999999999992</v>
      </c>
    </row>
    <row r="139" spans="1:19" ht="15" thickBot="1" x14ac:dyDescent="0.4">
      <c r="A139" s="393"/>
      <c r="B139" s="391"/>
      <c r="C139" s="32" t="s">
        <v>44</v>
      </c>
      <c r="D139" s="361" t="str">
        <f>D94</f>
        <v>D8.a,</v>
      </c>
      <c r="E139" s="362"/>
      <c r="F139" s="371" t="str">
        <f>F94</f>
        <v>D8.b</v>
      </c>
      <c r="G139" s="372"/>
      <c r="H139" s="14">
        <v>24</v>
      </c>
      <c r="I139" s="2">
        <v>19</v>
      </c>
      <c r="J139" s="2">
        <v>1</v>
      </c>
      <c r="K139" s="15">
        <f t="shared" si="60"/>
        <v>19</v>
      </c>
      <c r="L139" s="20">
        <v>0.02</v>
      </c>
      <c r="M139" s="11">
        <f>L139*J139*I139</f>
        <v>0.38</v>
      </c>
      <c r="N139" s="13">
        <f>H139-I139</f>
        <v>5</v>
      </c>
      <c r="O139" s="2">
        <v>1</v>
      </c>
      <c r="P139" s="15">
        <f>O139*N139</f>
        <v>5</v>
      </c>
      <c r="Q139" s="154">
        <v>0.02</v>
      </c>
      <c r="R139" s="11">
        <f>Q139*O139*N139</f>
        <v>0.1</v>
      </c>
      <c r="S139" s="12">
        <f>R139+M139</f>
        <v>0.48</v>
      </c>
    </row>
    <row r="140" spans="1:19" ht="15" thickBot="1" x14ac:dyDescent="0.4">
      <c r="A140" s="394"/>
      <c r="B140" s="392"/>
      <c r="C140" s="72" t="str">
        <f>C95</f>
        <v>Participant Consent Form-Denied Applicant Survey</v>
      </c>
      <c r="D140" s="363" t="str">
        <f>D95</f>
        <v>D9.a,</v>
      </c>
      <c r="E140" s="364"/>
      <c r="F140" s="373" t="str">
        <f>F95</f>
        <v>D9.b</v>
      </c>
      <c r="G140" s="374"/>
      <c r="H140" s="155">
        <v>19</v>
      </c>
      <c r="I140" s="2">
        <v>19</v>
      </c>
      <c r="J140" s="2">
        <v>1</v>
      </c>
      <c r="K140" s="15">
        <f t="shared" si="60"/>
        <v>19</v>
      </c>
      <c r="L140" s="20">
        <v>0.1</v>
      </c>
      <c r="M140" s="11">
        <f>L140*J140*I140</f>
        <v>1.9000000000000001</v>
      </c>
      <c r="N140" s="154">
        <v>0</v>
      </c>
      <c r="O140" s="154">
        <v>0</v>
      </c>
      <c r="P140" s="154">
        <v>0</v>
      </c>
      <c r="Q140" s="156">
        <v>0</v>
      </c>
      <c r="R140" s="11">
        <f>Q140*O140*N140</f>
        <v>0</v>
      </c>
      <c r="S140" s="12">
        <f>R140+M140</f>
        <v>1.9000000000000001</v>
      </c>
    </row>
    <row r="141" spans="1:19" s="117" customFormat="1" ht="15" thickBot="1" x14ac:dyDescent="0.4">
      <c r="A141" s="390" t="s">
        <v>215</v>
      </c>
      <c r="B141" s="390"/>
      <c r="C141" s="390"/>
      <c r="D141" s="390"/>
      <c r="E141" s="390"/>
      <c r="F141" s="390"/>
      <c r="G141" s="390"/>
      <c r="H141" s="390"/>
      <c r="I141" s="76">
        <f>I127+I114</f>
        <v>169</v>
      </c>
      <c r="J141" s="76">
        <f>K141/I141</f>
        <v>5.2294684993155469</v>
      </c>
      <c r="K141" s="76">
        <f>SUM(K114:K140)</f>
        <v>883.78017638432743</v>
      </c>
      <c r="L141" s="77">
        <f>M141/K141</f>
        <v>0.14531144388220846</v>
      </c>
      <c r="M141" s="77">
        <f>SUM(M114:M140)</f>
        <v>128.42337350487949</v>
      </c>
      <c r="N141" s="73">
        <f>N127+N114</f>
        <v>35</v>
      </c>
      <c r="O141" s="76">
        <f>P141/N141</f>
        <v>13.204569693901581</v>
      </c>
      <c r="P141" s="76">
        <f>SUM(P114:P140)</f>
        <v>462.15993928655536</v>
      </c>
      <c r="Q141" s="77">
        <f>R141/P141</f>
        <v>1.9532629331020245E-2</v>
      </c>
      <c r="R141" s="77">
        <f>SUM(R114:R140)</f>
        <v>9.0271987857311071</v>
      </c>
      <c r="S141" s="77">
        <f>SUM(S114:S140)</f>
        <v>137.45057229061061</v>
      </c>
    </row>
    <row r="142" spans="1:19" ht="15.75" customHeight="1" thickBot="1" x14ac:dyDescent="0.4">
      <c r="A142" s="428" t="s">
        <v>80</v>
      </c>
      <c r="B142" s="429"/>
      <c r="C142" s="429"/>
      <c r="D142" s="429"/>
      <c r="E142" s="429"/>
      <c r="F142" s="429"/>
      <c r="G142" s="429"/>
      <c r="H142" s="430"/>
      <c r="I142" s="166">
        <f>I141+I112</f>
        <v>178</v>
      </c>
      <c r="J142" s="76">
        <f>K142/I142</f>
        <v>5.0456751482265592</v>
      </c>
      <c r="K142" s="166">
        <f>K141+K112</f>
        <v>898.13017638432746</v>
      </c>
      <c r="L142" s="77">
        <f>M142/K142</f>
        <v>0.14702642999534757</v>
      </c>
      <c r="M142" s="167">
        <f>M141+M112</f>
        <v>132.04887350487948</v>
      </c>
      <c r="N142" s="168">
        <f>N141+N112</f>
        <v>35</v>
      </c>
      <c r="O142" s="76">
        <f>P142/N142</f>
        <v>13.314285714285715</v>
      </c>
      <c r="P142" s="166">
        <f>ROUNDDOWN(P141+P112,0)</f>
        <v>466</v>
      </c>
      <c r="Q142" s="77">
        <f>R142/P142</f>
        <v>1.9570815450643774E-2</v>
      </c>
      <c r="R142" s="167">
        <f>ROUNDUP(R141+R112,2)</f>
        <v>9.1199999999999992</v>
      </c>
      <c r="S142" s="77">
        <f>ROUNDUP(S141+S112,2)</f>
        <v>141.16999999999999</v>
      </c>
    </row>
    <row r="143" spans="1:19" ht="15.5" thickTop="1" thickBot="1" x14ac:dyDescent="0.4">
      <c r="A143" s="477" t="s">
        <v>81</v>
      </c>
      <c r="B143" s="478"/>
      <c r="C143" s="478"/>
      <c r="D143" s="478"/>
      <c r="E143" s="478"/>
      <c r="F143" s="478"/>
      <c r="G143" s="478"/>
      <c r="H143" s="478"/>
      <c r="I143" s="478"/>
      <c r="J143" s="478"/>
      <c r="K143" s="478"/>
      <c r="L143" s="478"/>
      <c r="M143" s="478"/>
      <c r="N143" s="478"/>
      <c r="O143" s="478"/>
      <c r="P143" s="478"/>
      <c r="Q143" s="478"/>
      <c r="R143" s="478"/>
      <c r="S143" s="479"/>
    </row>
    <row r="144" spans="1:19" s="117" customFormat="1" ht="15.5" thickTop="1" thickBot="1" x14ac:dyDescent="0.4">
      <c r="A144" s="424" t="s">
        <v>19</v>
      </c>
      <c r="B144" s="424"/>
      <c r="C144" s="424"/>
      <c r="D144" s="424"/>
      <c r="E144" s="424"/>
      <c r="F144" s="424"/>
      <c r="G144" s="424"/>
      <c r="H144" s="424"/>
      <c r="I144" s="424"/>
      <c r="J144" s="424"/>
      <c r="K144" s="424"/>
      <c r="L144" s="424"/>
      <c r="M144" s="424"/>
      <c r="N144" s="424"/>
      <c r="O144" s="424"/>
      <c r="P144" s="424"/>
      <c r="Q144" s="424"/>
      <c r="R144" s="424"/>
      <c r="S144" s="424"/>
    </row>
    <row r="145" spans="1:19" s="117" customFormat="1" ht="24.5" thickBot="1" x14ac:dyDescent="0.4">
      <c r="A145" s="425" t="s">
        <v>19</v>
      </c>
      <c r="B145" s="285" t="s">
        <v>24</v>
      </c>
      <c r="C145" s="57" t="s">
        <v>38</v>
      </c>
      <c r="D145" s="456" t="str">
        <f>D25</f>
        <v>D1</v>
      </c>
      <c r="E145" s="457"/>
      <c r="F145" s="457"/>
      <c r="G145" s="458"/>
      <c r="H145" s="18">
        <v>3</v>
      </c>
      <c r="I145" s="2">
        <v>3</v>
      </c>
      <c r="J145" s="2">
        <v>1</v>
      </c>
      <c r="K145" s="15">
        <f>I145*J145</f>
        <v>3</v>
      </c>
      <c r="L145" s="20">
        <v>0.02</v>
      </c>
      <c r="M145" s="20">
        <f>L145*K145*J145</f>
        <v>0.06</v>
      </c>
      <c r="N145" s="18">
        <f>H145-I145</f>
        <v>0</v>
      </c>
      <c r="O145" s="19">
        <v>0</v>
      </c>
      <c r="P145" s="28">
        <f>N145*O145</f>
        <v>0</v>
      </c>
      <c r="Q145" s="20">
        <v>0</v>
      </c>
      <c r="R145" s="20">
        <f>Q145*P145*O145</f>
        <v>0</v>
      </c>
      <c r="S145" s="16">
        <f>R145+M145</f>
        <v>0.06</v>
      </c>
    </row>
    <row r="146" spans="1:19" s="260" customFormat="1" ht="15" thickBot="1" x14ac:dyDescent="0.4">
      <c r="A146" s="426"/>
      <c r="B146" s="425" t="s">
        <v>63</v>
      </c>
      <c r="C146" s="27" t="s">
        <v>295</v>
      </c>
      <c r="D146" s="468" t="str">
        <f>D45</f>
        <v>D3</v>
      </c>
      <c r="E146" s="469"/>
      <c r="F146" s="469"/>
      <c r="G146" s="470"/>
      <c r="H146" s="28">
        <v>6</v>
      </c>
      <c r="I146" s="53">
        <v>6</v>
      </c>
      <c r="J146" s="19">
        <v>1</v>
      </c>
      <c r="K146" s="53">
        <f t="shared" ref="K146:K149" si="67">I146*J146</f>
        <v>6</v>
      </c>
      <c r="L146" s="20">
        <f>0.05+0.25</f>
        <v>0.3</v>
      </c>
      <c r="M146" s="20">
        <f t="shared" ref="M146:M149" si="68">L146*K146*J146</f>
        <v>1.7999999999999998</v>
      </c>
      <c r="N146" s="28">
        <f>ROUNDDOWN(H146-I146, 0)</f>
        <v>0</v>
      </c>
      <c r="O146" s="19">
        <v>0</v>
      </c>
      <c r="P146" s="28">
        <f t="shared" ref="P146:P148" si="69">N146*O146</f>
        <v>0</v>
      </c>
      <c r="Q146" s="20">
        <v>0</v>
      </c>
      <c r="R146" s="20">
        <f t="shared" ref="R146:R149" si="70">Q146*P146*O146</f>
        <v>0</v>
      </c>
      <c r="S146" s="16">
        <f t="shared" ref="S146:S149" si="71">R146+M146</f>
        <v>1.7999999999999998</v>
      </c>
    </row>
    <row r="147" spans="1:19" s="260" customFormat="1" ht="15" thickBot="1" x14ac:dyDescent="0.4">
      <c r="A147" s="426"/>
      <c r="B147" s="426"/>
      <c r="C147" s="27" t="s">
        <v>296</v>
      </c>
      <c r="D147" s="402" t="str">
        <f>D46</f>
        <v>D4</v>
      </c>
      <c r="E147" s="403"/>
      <c r="F147" s="403"/>
      <c r="G147" s="404"/>
      <c r="H147" s="28">
        <v>6</v>
      </c>
      <c r="I147" s="53">
        <f>H147*0.45</f>
        <v>2.7</v>
      </c>
      <c r="J147" s="19">
        <v>1</v>
      </c>
      <c r="K147" s="53">
        <f t="shared" si="67"/>
        <v>2.7</v>
      </c>
      <c r="L147" s="20">
        <f>0.08+0.25</f>
        <v>0.33</v>
      </c>
      <c r="M147" s="20">
        <f t="shared" si="68"/>
        <v>0.89100000000000013</v>
      </c>
      <c r="N147" s="28">
        <f>H147-I147</f>
        <v>3.3</v>
      </c>
      <c r="O147" s="19">
        <v>1</v>
      </c>
      <c r="P147" s="28">
        <f t="shared" si="69"/>
        <v>3.3</v>
      </c>
      <c r="Q147" s="19">
        <v>0.02</v>
      </c>
      <c r="R147" s="20">
        <f t="shared" si="70"/>
        <v>6.6000000000000003E-2</v>
      </c>
      <c r="S147" s="16">
        <f t="shared" si="71"/>
        <v>0.95700000000000007</v>
      </c>
    </row>
    <row r="148" spans="1:19" s="260" customFormat="1" ht="15" thickBot="1" x14ac:dyDescent="0.4">
      <c r="A148" s="426"/>
      <c r="B148" s="426"/>
      <c r="C148" s="27" t="s">
        <v>297</v>
      </c>
      <c r="D148" s="405"/>
      <c r="E148" s="406"/>
      <c r="F148" s="406"/>
      <c r="G148" s="407"/>
      <c r="H148" s="28">
        <f t="shared" ref="H148:H149" si="72">N147</f>
        <v>3.3</v>
      </c>
      <c r="I148" s="53">
        <f>H148*0.5</f>
        <v>1.65</v>
      </c>
      <c r="J148" s="19">
        <v>1</v>
      </c>
      <c r="K148" s="53">
        <f t="shared" si="67"/>
        <v>1.65</v>
      </c>
      <c r="L148" s="20">
        <f t="shared" ref="L148:L149" si="73">0.08+0.25</f>
        <v>0.33</v>
      </c>
      <c r="M148" s="20">
        <f t="shared" si="68"/>
        <v>0.54449999999999998</v>
      </c>
      <c r="N148" s="28">
        <f>ROUNDDOWN(H148-I148,0)</f>
        <v>1</v>
      </c>
      <c r="O148" s="19">
        <v>1</v>
      </c>
      <c r="P148" s="28">
        <f t="shared" si="69"/>
        <v>1</v>
      </c>
      <c r="Q148" s="19">
        <v>0.02</v>
      </c>
      <c r="R148" s="20">
        <f t="shared" si="70"/>
        <v>0.02</v>
      </c>
      <c r="S148" s="16">
        <f t="shared" si="71"/>
        <v>0.5645</v>
      </c>
    </row>
    <row r="149" spans="1:19" s="260" customFormat="1" ht="15" thickBot="1" x14ac:dyDescent="0.4">
      <c r="A149" s="427"/>
      <c r="B149" s="427"/>
      <c r="C149" s="27" t="s">
        <v>298</v>
      </c>
      <c r="D149" s="408"/>
      <c r="E149" s="409"/>
      <c r="F149" s="409"/>
      <c r="G149" s="410"/>
      <c r="H149" s="28">
        <f t="shared" si="72"/>
        <v>1</v>
      </c>
      <c r="I149" s="53">
        <f>H149</f>
        <v>1</v>
      </c>
      <c r="J149" s="19">
        <v>1</v>
      </c>
      <c r="K149" s="53">
        <f t="shared" si="67"/>
        <v>1</v>
      </c>
      <c r="L149" s="20">
        <f t="shared" si="73"/>
        <v>0.33</v>
      </c>
      <c r="M149" s="20">
        <f t="shared" si="68"/>
        <v>0.33</v>
      </c>
      <c r="N149" s="28">
        <f t="shared" ref="N149" si="74">H149-I149</f>
        <v>0</v>
      </c>
      <c r="O149" s="19">
        <v>0</v>
      </c>
      <c r="P149" s="28">
        <v>0</v>
      </c>
      <c r="Q149" s="20">
        <v>0</v>
      </c>
      <c r="R149" s="20">
        <f t="shared" si="70"/>
        <v>0</v>
      </c>
      <c r="S149" s="16">
        <f t="shared" si="71"/>
        <v>0.33</v>
      </c>
    </row>
    <row r="150" spans="1:19" s="117" customFormat="1" ht="15" thickBot="1" x14ac:dyDescent="0.4">
      <c r="A150" s="390" t="s">
        <v>217</v>
      </c>
      <c r="B150" s="390"/>
      <c r="C150" s="390"/>
      <c r="D150" s="390"/>
      <c r="E150" s="390"/>
      <c r="F150" s="390"/>
      <c r="G150" s="390"/>
      <c r="H150" s="390"/>
      <c r="I150" s="30">
        <f>I145+I146</f>
        <v>9</v>
      </c>
      <c r="J150" s="51">
        <f>K150/I150</f>
        <v>1.5944444444444443</v>
      </c>
      <c r="K150" s="50">
        <f>SUM(K145:K149)</f>
        <v>14.35</v>
      </c>
      <c r="L150" s="4">
        <f>M150/K150</f>
        <v>0.25264808362369334</v>
      </c>
      <c r="M150" s="4">
        <f>SUM(M145:M149)</f>
        <v>3.6254999999999997</v>
      </c>
      <c r="N150" s="65">
        <f>N145+N146</f>
        <v>0</v>
      </c>
      <c r="O150" s="63">
        <f>0</f>
        <v>0</v>
      </c>
      <c r="P150" s="51">
        <f>SUM(P145:P149)</f>
        <v>4.3</v>
      </c>
      <c r="Q150" s="4">
        <f>R150/P150</f>
        <v>2.0000000000000004E-2</v>
      </c>
      <c r="R150" s="4">
        <f>SUM(R145:R149)</f>
        <v>8.6000000000000007E-2</v>
      </c>
      <c r="S150" s="17">
        <f>SUM(S145:S149)</f>
        <v>3.7115</v>
      </c>
    </row>
    <row r="151" spans="1:19" s="117" customFormat="1" ht="15" thickBot="1" x14ac:dyDescent="0.4">
      <c r="A151" s="423" t="s">
        <v>20</v>
      </c>
      <c r="B151" s="423"/>
      <c r="C151" s="423"/>
      <c r="D151" s="423"/>
      <c r="E151" s="423"/>
      <c r="F151" s="423"/>
      <c r="G151" s="423"/>
      <c r="H151" s="423"/>
      <c r="I151" s="423"/>
      <c r="J151" s="423"/>
      <c r="K151" s="423"/>
      <c r="L151" s="423"/>
      <c r="M151" s="423"/>
      <c r="N151" s="423"/>
      <c r="O151" s="423"/>
      <c r="P151" s="423"/>
      <c r="Q151" s="423"/>
      <c r="R151" s="423"/>
      <c r="S151" s="423"/>
    </row>
    <row r="152" spans="1:19" ht="24.5" thickBot="1" x14ac:dyDescent="0.4">
      <c r="A152" s="393" t="s">
        <v>20</v>
      </c>
      <c r="B152" s="391" t="s">
        <v>213</v>
      </c>
      <c r="C152" s="160" t="s">
        <v>97</v>
      </c>
      <c r="D152" s="306" t="str">
        <f>D52</f>
        <v>B3.a,</v>
      </c>
      <c r="E152" s="307" t="str">
        <f>E52</f>
        <v>B3.b,</v>
      </c>
      <c r="F152" s="307" t="str">
        <f>F52</f>
        <v>B3.c,</v>
      </c>
      <c r="G152" s="308" t="str">
        <f>G52</f>
        <v>B3.d</v>
      </c>
      <c r="H152" s="161">
        <v>180</v>
      </c>
      <c r="I152" s="162">
        <v>150</v>
      </c>
      <c r="J152" s="163">
        <v>1</v>
      </c>
      <c r="K152" s="163">
        <f>I152*J152</f>
        <v>150</v>
      </c>
      <c r="L152" s="164">
        <f>(30/60)</f>
        <v>0.5</v>
      </c>
      <c r="M152" s="165">
        <f t="shared" ref="M152:M162" si="75">L152*J152*I152</f>
        <v>75</v>
      </c>
      <c r="N152" s="163">
        <f>H152-I152</f>
        <v>30</v>
      </c>
      <c r="O152" s="163">
        <v>0</v>
      </c>
      <c r="P152" s="163">
        <f t="shared" ref="P152:P162" si="76">O152*N152</f>
        <v>0</v>
      </c>
      <c r="Q152" s="164">
        <v>0</v>
      </c>
      <c r="R152" s="165">
        <f t="shared" ref="R152:R162" si="77">Q152*O152*N152</f>
        <v>0</v>
      </c>
      <c r="S152" s="165">
        <f t="shared" ref="S152:S162" si="78">R152+M152</f>
        <v>75</v>
      </c>
    </row>
    <row r="153" spans="1:19" ht="15" thickBot="1" x14ac:dyDescent="0.4">
      <c r="A153" s="393"/>
      <c r="B153" s="391"/>
      <c r="C153" s="24" t="s">
        <v>116</v>
      </c>
      <c r="D153" s="411" t="str">
        <f>D53</f>
        <v>C11.a,</v>
      </c>
      <c r="E153" s="412"/>
      <c r="F153" s="417" t="str">
        <f>F53</f>
        <v>C11.b</v>
      </c>
      <c r="G153" s="418"/>
      <c r="H153" s="58">
        <v>180</v>
      </c>
      <c r="I153" s="53">
        <f>H153*0.2</f>
        <v>36</v>
      </c>
      <c r="J153" s="19">
        <v>1</v>
      </c>
      <c r="K153" s="53">
        <f t="shared" ref="K153:K164" si="79">I153*J153</f>
        <v>36</v>
      </c>
      <c r="L153" s="20">
        <v>0.08</v>
      </c>
      <c r="M153" s="20">
        <f t="shared" si="75"/>
        <v>2.88</v>
      </c>
      <c r="N153" s="53">
        <f>H153-I153</f>
        <v>144</v>
      </c>
      <c r="O153" s="19">
        <v>1</v>
      </c>
      <c r="P153" s="53">
        <f t="shared" si="76"/>
        <v>144</v>
      </c>
      <c r="Q153" s="19">
        <v>0.02</v>
      </c>
      <c r="R153" s="20">
        <f t="shared" si="77"/>
        <v>2.88</v>
      </c>
      <c r="S153" s="20">
        <f t="shared" si="78"/>
        <v>5.76</v>
      </c>
    </row>
    <row r="154" spans="1:19" ht="15" thickBot="1" x14ac:dyDescent="0.4">
      <c r="A154" s="393"/>
      <c r="B154" s="391"/>
      <c r="C154" s="24" t="s">
        <v>117</v>
      </c>
      <c r="D154" s="413"/>
      <c r="E154" s="414"/>
      <c r="F154" s="419"/>
      <c r="G154" s="420"/>
      <c r="H154" s="58">
        <f t="shared" ref="H154:H160" si="80">N153</f>
        <v>144</v>
      </c>
      <c r="I154" s="53">
        <f>H154*0.2</f>
        <v>28.8</v>
      </c>
      <c r="J154" s="19">
        <v>1</v>
      </c>
      <c r="K154" s="53">
        <f t="shared" si="79"/>
        <v>28.8</v>
      </c>
      <c r="L154" s="20">
        <v>0.08</v>
      </c>
      <c r="M154" s="20">
        <f t="shared" si="75"/>
        <v>2.3040000000000003</v>
      </c>
      <c r="N154" s="53">
        <f>ROUNDUP(H154,0)-I154</f>
        <v>115.2</v>
      </c>
      <c r="O154" s="19">
        <v>0</v>
      </c>
      <c r="P154" s="53">
        <f t="shared" si="76"/>
        <v>0</v>
      </c>
      <c r="Q154" s="20">
        <v>0</v>
      </c>
      <c r="R154" s="20">
        <f t="shared" si="77"/>
        <v>0</v>
      </c>
      <c r="S154" s="20">
        <f t="shared" si="78"/>
        <v>2.3040000000000003</v>
      </c>
    </row>
    <row r="155" spans="1:19" ht="15" thickBot="1" x14ac:dyDescent="0.4">
      <c r="A155" s="393"/>
      <c r="B155" s="391"/>
      <c r="C155" s="24" t="s">
        <v>118</v>
      </c>
      <c r="D155" s="413"/>
      <c r="E155" s="414"/>
      <c r="F155" s="419"/>
      <c r="G155" s="420"/>
      <c r="H155" s="58">
        <f t="shared" si="80"/>
        <v>115.2</v>
      </c>
      <c r="I155" s="53">
        <f>H155*0.2</f>
        <v>23.040000000000003</v>
      </c>
      <c r="J155" s="19">
        <v>1</v>
      </c>
      <c r="K155" s="53">
        <f t="shared" si="79"/>
        <v>23.040000000000003</v>
      </c>
      <c r="L155" s="20">
        <v>0.08</v>
      </c>
      <c r="M155" s="20">
        <f t="shared" si="75"/>
        <v>1.8432000000000002</v>
      </c>
      <c r="N155" s="53">
        <f>ROUNDUP(H155, 0)-ROUNDUP(I155, 0)</f>
        <v>92</v>
      </c>
      <c r="O155" s="19">
        <v>0</v>
      </c>
      <c r="P155" s="53">
        <f t="shared" si="76"/>
        <v>0</v>
      </c>
      <c r="Q155" s="20">
        <v>0</v>
      </c>
      <c r="R155" s="20">
        <f t="shared" si="77"/>
        <v>0</v>
      </c>
      <c r="S155" s="20">
        <f t="shared" si="78"/>
        <v>1.8432000000000002</v>
      </c>
    </row>
    <row r="156" spans="1:19" ht="15" thickBot="1" x14ac:dyDescent="0.4">
      <c r="A156" s="393"/>
      <c r="B156" s="391"/>
      <c r="C156" s="24" t="s">
        <v>119</v>
      </c>
      <c r="D156" s="413"/>
      <c r="E156" s="414"/>
      <c r="F156" s="419"/>
      <c r="G156" s="420"/>
      <c r="H156" s="58">
        <f t="shared" si="80"/>
        <v>92</v>
      </c>
      <c r="I156" s="53">
        <f>H156*0.2</f>
        <v>18.400000000000002</v>
      </c>
      <c r="J156" s="19">
        <v>1</v>
      </c>
      <c r="K156" s="53">
        <f t="shared" si="79"/>
        <v>18.400000000000002</v>
      </c>
      <c r="L156" s="20">
        <v>0.08</v>
      </c>
      <c r="M156" s="20">
        <f t="shared" si="75"/>
        <v>1.4720000000000002</v>
      </c>
      <c r="N156" s="53">
        <f t="shared" ref="N156:N164" si="81">H156-I156</f>
        <v>73.599999999999994</v>
      </c>
      <c r="O156" s="19">
        <v>1</v>
      </c>
      <c r="P156" s="53">
        <f t="shared" si="76"/>
        <v>73.599999999999994</v>
      </c>
      <c r="Q156" s="19">
        <v>0.02</v>
      </c>
      <c r="R156" s="20">
        <f t="shared" si="77"/>
        <v>1.472</v>
      </c>
      <c r="S156" s="20">
        <f t="shared" si="78"/>
        <v>2.944</v>
      </c>
    </row>
    <row r="157" spans="1:19" ht="15" thickBot="1" x14ac:dyDescent="0.4">
      <c r="A157" s="393"/>
      <c r="B157" s="391"/>
      <c r="C157" s="24" t="s">
        <v>120</v>
      </c>
      <c r="D157" s="413"/>
      <c r="E157" s="414"/>
      <c r="F157" s="419"/>
      <c r="G157" s="420"/>
      <c r="H157" s="58">
        <f t="shared" si="80"/>
        <v>73.599999999999994</v>
      </c>
      <c r="I157" s="53">
        <f>H157*0.12</f>
        <v>8.831999999999999</v>
      </c>
      <c r="J157" s="19">
        <v>1</v>
      </c>
      <c r="K157" s="53">
        <f t="shared" si="79"/>
        <v>8.831999999999999</v>
      </c>
      <c r="L157" s="20">
        <v>0.08</v>
      </c>
      <c r="M157" s="20">
        <f t="shared" si="75"/>
        <v>0.70655999999999997</v>
      </c>
      <c r="N157" s="53">
        <f t="shared" si="81"/>
        <v>64.768000000000001</v>
      </c>
      <c r="O157" s="19">
        <v>0</v>
      </c>
      <c r="P157" s="53">
        <f t="shared" si="76"/>
        <v>0</v>
      </c>
      <c r="Q157" s="20">
        <v>0</v>
      </c>
      <c r="R157" s="20">
        <f t="shared" si="77"/>
        <v>0</v>
      </c>
      <c r="S157" s="20">
        <f t="shared" si="78"/>
        <v>0.70655999999999997</v>
      </c>
    </row>
    <row r="158" spans="1:19" ht="15" thickBot="1" x14ac:dyDescent="0.4">
      <c r="A158" s="393"/>
      <c r="B158" s="391"/>
      <c r="C158" s="24" t="s">
        <v>121</v>
      </c>
      <c r="D158" s="413"/>
      <c r="E158" s="414"/>
      <c r="F158" s="419"/>
      <c r="G158" s="420"/>
      <c r="H158" s="58">
        <f t="shared" si="80"/>
        <v>64.768000000000001</v>
      </c>
      <c r="I158" s="53">
        <f>H158*0.1</f>
        <v>6.4768000000000008</v>
      </c>
      <c r="J158" s="19">
        <v>1</v>
      </c>
      <c r="K158" s="53">
        <f t="shared" si="79"/>
        <v>6.4768000000000008</v>
      </c>
      <c r="L158" s="20">
        <v>0.08</v>
      </c>
      <c r="M158" s="20">
        <f t="shared" si="75"/>
        <v>0.51814400000000005</v>
      </c>
      <c r="N158" s="53">
        <f t="shared" si="81"/>
        <v>58.291200000000003</v>
      </c>
      <c r="O158" s="19">
        <v>0</v>
      </c>
      <c r="P158" s="53">
        <f t="shared" si="76"/>
        <v>0</v>
      </c>
      <c r="Q158" s="20">
        <v>0</v>
      </c>
      <c r="R158" s="20">
        <f t="shared" si="77"/>
        <v>0</v>
      </c>
      <c r="S158" s="20">
        <f t="shared" si="78"/>
        <v>0.51814400000000005</v>
      </c>
    </row>
    <row r="159" spans="1:19" ht="15" thickBot="1" x14ac:dyDescent="0.4">
      <c r="A159" s="393"/>
      <c r="B159" s="391"/>
      <c r="C159" s="24" t="s">
        <v>122</v>
      </c>
      <c r="D159" s="415"/>
      <c r="E159" s="416"/>
      <c r="F159" s="421"/>
      <c r="G159" s="422"/>
      <c r="H159" s="58">
        <f t="shared" si="80"/>
        <v>58.291200000000003</v>
      </c>
      <c r="I159" s="53">
        <f>H159*0.1</f>
        <v>5.8291200000000005</v>
      </c>
      <c r="J159" s="19">
        <v>1</v>
      </c>
      <c r="K159" s="53">
        <f t="shared" si="79"/>
        <v>5.8291200000000005</v>
      </c>
      <c r="L159" s="20">
        <v>0.08</v>
      </c>
      <c r="M159" s="20">
        <f t="shared" si="75"/>
        <v>0.46632960000000007</v>
      </c>
      <c r="N159" s="53">
        <f t="shared" si="81"/>
        <v>52.46208</v>
      </c>
      <c r="O159" s="19">
        <v>1</v>
      </c>
      <c r="P159" s="53">
        <f t="shared" si="76"/>
        <v>52.46208</v>
      </c>
      <c r="Q159" s="19">
        <v>0.02</v>
      </c>
      <c r="R159" s="20">
        <f t="shared" si="77"/>
        <v>1.0492416</v>
      </c>
      <c r="S159" s="20">
        <f t="shared" si="78"/>
        <v>1.5155712000000001</v>
      </c>
    </row>
    <row r="160" spans="1:19" ht="15" thickBot="1" x14ac:dyDescent="0.4">
      <c r="A160" s="393"/>
      <c r="B160" s="391"/>
      <c r="C160" s="24" t="s">
        <v>70</v>
      </c>
      <c r="D160" s="396" t="str">
        <f>D60</f>
        <v>C12.a,</v>
      </c>
      <c r="E160" s="397"/>
      <c r="F160" s="398" t="str">
        <f>F60</f>
        <v>C12.b</v>
      </c>
      <c r="G160" s="399"/>
      <c r="H160" s="22">
        <f t="shared" si="80"/>
        <v>52.46208</v>
      </c>
      <c r="I160" s="60">
        <f>H160*0.429</f>
        <v>22.506232319999999</v>
      </c>
      <c r="J160" s="2">
        <v>1</v>
      </c>
      <c r="K160" s="53">
        <f t="shared" si="79"/>
        <v>22.506232319999999</v>
      </c>
      <c r="L160" s="20">
        <v>0.02</v>
      </c>
      <c r="M160" s="11">
        <f t="shared" si="75"/>
        <v>0.45012464639999999</v>
      </c>
      <c r="N160" s="15">
        <f t="shared" si="81"/>
        <v>29.955847680000002</v>
      </c>
      <c r="O160" s="2">
        <v>0</v>
      </c>
      <c r="P160" s="15">
        <f t="shared" si="76"/>
        <v>0</v>
      </c>
      <c r="Q160" s="20">
        <v>0</v>
      </c>
      <c r="R160" s="11">
        <f t="shared" si="77"/>
        <v>0</v>
      </c>
      <c r="S160" s="11">
        <f t="shared" si="78"/>
        <v>0.45012464639999999</v>
      </c>
    </row>
    <row r="161" spans="1:19" ht="15" thickBot="1" x14ac:dyDescent="0.4">
      <c r="A161" s="393"/>
      <c r="B161" s="391"/>
      <c r="C161" s="24" t="s">
        <v>68</v>
      </c>
      <c r="D161" s="396" t="str">
        <f>D61</f>
        <v>C13.a,</v>
      </c>
      <c r="E161" s="397"/>
      <c r="F161" s="400" t="str">
        <f>F61</f>
        <v>C13.b</v>
      </c>
      <c r="G161" s="401"/>
      <c r="H161" s="21">
        <v>180</v>
      </c>
      <c r="I161" s="15">
        <f>H161*0.55</f>
        <v>99.000000000000014</v>
      </c>
      <c r="J161" s="2">
        <v>1</v>
      </c>
      <c r="K161" s="53">
        <f t="shared" si="79"/>
        <v>99.000000000000014</v>
      </c>
      <c r="L161" s="20">
        <v>0.02</v>
      </c>
      <c r="M161" s="11">
        <f t="shared" si="75"/>
        <v>1.9800000000000004</v>
      </c>
      <c r="N161" s="15">
        <f t="shared" si="81"/>
        <v>80.999999999999986</v>
      </c>
      <c r="O161" s="2">
        <v>0</v>
      </c>
      <c r="P161" s="2">
        <f t="shared" si="76"/>
        <v>0</v>
      </c>
      <c r="Q161" s="20">
        <v>0</v>
      </c>
      <c r="R161" s="11">
        <f t="shared" si="77"/>
        <v>0</v>
      </c>
      <c r="S161" s="12">
        <f t="shared" si="78"/>
        <v>1.9800000000000004</v>
      </c>
    </row>
    <row r="162" spans="1:19" ht="15" thickBot="1" x14ac:dyDescent="0.4">
      <c r="A162" s="393"/>
      <c r="B162" s="391"/>
      <c r="C162" s="24" t="s">
        <v>123</v>
      </c>
      <c r="D162" s="396" t="str">
        <f>D62</f>
        <v>C14.a,</v>
      </c>
      <c r="E162" s="397"/>
      <c r="F162" s="400" t="str">
        <f>F62</f>
        <v>C14.b</v>
      </c>
      <c r="G162" s="401"/>
      <c r="H162" s="21">
        <v>180</v>
      </c>
      <c r="I162" s="15">
        <f>H162*0.5</f>
        <v>90</v>
      </c>
      <c r="J162" s="2">
        <v>1</v>
      </c>
      <c r="K162" s="53">
        <f t="shared" si="79"/>
        <v>90</v>
      </c>
      <c r="L162" s="20">
        <v>0.08</v>
      </c>
      <c r="M162" s="11">
        <f t="shared" si="75"/>
        <v>7.2</v>
      </c>
      <c r="N162" s="15">
        <f t="shared" si="81"/>
        <v>90</v>
      </c>
      <c r="O162" s="2">
        <v>1</v>
      </c>
      <c r="P162" s="2">
        <f t="shared" si="76"/>
        <v>90</v>
      </c>
      <c r="Q162" s="19">
        <v>0.02</v>
      </c>
      <c r="R162" s="11">
        <f t="shared" si="77"/>
        <v>1.8</v>
      </c>
      <c r="S162" s="12">
        <f t="shared" si="78"/>
        <v>9</v>
      </c>
    </row>
    <row r="163" spans="1:19" ht="15" thickBot="1" x14ac:dyDescent="0.4">
      <c r="A163" s="393"/>
      <c r="B163" s="391"/>
      <c r="C163" s="24" t="s">
        <v>45</v>
      </c>
      <c r="D163" s="396" t="str">
        <f>D63</f>
        <v>D6.a,</v>
      </c>
      <c r="E163" s="397"/>
      <c r="F163" s="398" t="str">
        <f>F63</f>
        <v>D6.b</v>
      </c>
      <c r="G163" s="399"/>
      <c r="H163" s="21">
        <v>180</v>
      </c>
      <c r="I163" s="15">
        <v>150</v>
      </c>
      <c r="J163" s="2">
        <v>1</v>
      </c>
      <c r="K163" s="53">
        <f t="shared" si="79"/>
        <v>150</v>
      </c>
      <c r="L163" s="20">
        <v>0.02</v>
      </c>
      <c r="M163" s="11">
        <f>L163*J163*I163</f>
        <v>3</v>
      </c>
      <c r="N163" s="15">
        <f t="shared" si="81"/>
        <v>30</v>
      </c>
      <c r="O163" s="2">
        <v>1</v>
      </c>
      <c r="P163" s="2">
        <f>O163*N163</f>
        <v>30</v>
      </c>
      <c r="Q163" s="19">
        <v>0.02</v>
      </c>
      <c r="R163" s="11">
        <f>Q163*O163*N163</f>
        <v>0.6</v>
      </c>
      <c r="S163" s="12">
        <f>R163+M163</f>
        <v>3.6</v>
      </c>
    </row>
    <row r="164" spans="1:19" ht="15" thickBot="1" x14ac:dyDescent="0.4">
      <c r="A164" s="393"/>
      <c r="B164" s="391"/>
      <c r="C164" s="24" t="str">
        <f>C126</f>
        <v>Participant Consent Form-Certification Survey</v>
      </c>
      <c r="D164" s="396" t="str">
        <f>D64</f>
        <v>D7.a,</v>
      </c>
      <c r="E164" s="397"/>
      <c r="F164" s="398" t="str">
        <f>F64</f>
        <v>D7.b</v>
      </c>
      <c r="G164" s="399"/>
      <c r="H164" s="15">
        <v>150</v>
      </c>
      <c r="I164" s="15">
        <v>150</v>
      </c>
      <c r="J164" s="2">
        <v>1</v>
      </c>
      <c r="K164" s="53">
        <f t="shared" si="79"/>
        <v>150</v>
      </c>
      <c r="L164" s="20">
        <v>0.1</v>
      </c>
      <c r="M164" s="11">
        <f>L164*J164*I164</f>
        <v>15</v>
      </c>
      <c r="N164" s="15">
        <f t="shared" si="81"/>
        <v>0</v>
      </c>
      <c r="O164" s="2">
        <v>0</v>
      </c>
      <c r="P164" s="2">
        <f>O164*N164</f>
        <v>0</v>
      </c>
      <c r="Q164" s="20">
        <v>0</v>
      </c>
      <c r="R164" s="11">
        <f>Q164*O164*N164</f>
        <v>0</v>
      </c>
      <c r="S164" s="12">
        <f>R164+M164</f>
        <v>15</v>
      </c>
    </row>
    <row r="165" spans="1:19" ht="24.5" thickBot="1" x14ac:dyDescent="0.4">
      <c r="A165" s="393"/>
      <c r="B165" s="391"/>
      <c r="C165" s="33" t="s">
        <v>95</v>
      </c>
      <c r="D165" s="290" t="str">
        <f>D82</f>
        <v>B4.a,</v>
      </c>
      <c r="E165" s="291" t="str">
        <f>E82</f>
        <v>B4.b,</v>
      </c>
      <c r="F165" s="291" t="str">
        <f>F82</f>
        <v>B4.c,</v>
      </c>
      <c r="G165" s="292" t="str">
        <f>G82</f>
        <v>B4.d</v>
      </c>
      <c r="H165" s="34">
        <v>24</v>
      </c>
      <c r="I165" s="35">
        <v>19</v>
      </c>
      <c r="J165" s="35">
        <v>1</v>
      </c>
      <c r="K165" s="35">
        <f t="shared" ref="K165:K176" si="82">I165*J165</f>
        <v>19</v>
      </c>
      <c r="L165" s="36">
        <f>(35/60)</f>
        <v>0.58333333333333337</v>
      </c>
      <c r="M165" s="37">
        <f t="shared" ref="M165:M176" si="83">L165*J165*I165</f>
        <v>11.083333333333334</v>
      </c>
      <c r="N165" s="35">
        <f t="shared" ref="N165:N176" si="84">H165-I165</f>
        <v>5</v>
      </c>
      <c r="O165" s="35">
        <v>0</v>
      </c>
      <c r="P165" s="35">
        <f t="shared" ref="P165:P176" si="85">O165*N165</f>
        <v>0</v>
      </c>
      <c r="Q165" s="36">
        <v>0</v>
      </c>
      <c r="R165" s="37">
        <f t="shared" ref="R165:R176" si="86">Q165*O165*N165</f>
        <v>0</v>
      </c>
      <c r="S165" s="37">
        <f t="shared" ref="S165:S176" si="87">R165+M165</f>
        <v>11.083333333333334</v>
      </c>
    </row>
    <row r="166" spans="1:19" ht="15" thickBot="1" x14ac:dyDescent="0.4">
      <c r="A166" s="393"/>
      <c r="B166" s="391"/>
      <c r="C166" s="59" t="s">
        <v>132</v>
      </c>
      <c r="D166" s="375" t="str">
        <f>D83</f>
        <v>C15.a,</v>
      </c>
      <c r="E166" s="376"/>
      <c r="F166" s="365" t="str">
        <f>F83</f>
        <v>C15.b</v>
      </c>
      <c r="G166" s="366"/>
      <c r="H166" s="14">
        <v>24</v>
      </c>
      <c r="I166" s="15">
        <f>H166*(0.3/2.55)</f>
        <v>2.8235294117647056</v>
      </c>
      <c r="J166" s="2">
        <v>1</v>
      </c>
      <c r="K166" s="15">
        <f t="shared" si="82"/>
        <v>2.8235294117647056</v>
      </c>
      <c r="L166" s="20">
        <v>0.08</v>
      </c>
      <c r="M166" s="11">
        <f t="shared" si="83"/>
        <v>0.22588235294117645</v>
      </c>
      <c r="N166" s="13">
        <f t="shared" si="84"/>
        <v>21.176470588235293</v>
      </c>
      <c r="O166" s="2">
        <v>1</v>
      </c>
      <c r="P166" s="15">
        <f t="shared" si="85"/>
        <v>21.176470588235293</v>
      </c>
      <c r="Q166" s="25">
        <v>0.02</v>
      </c>
      <c r="R166" s="11">
        <f t="shared" si="86"/>
        <v>0.42352941176470588</v>
      </c>
      <c r="S166" s="12">
        <f t="shared" si="87"/>
        <v>0.64941176470588236</v>
      </c>
    </row>
    <row r="167" spans="1:19" ht="15" thickBot="1" x14ac:dyDescent="0.4">
      <c r="A167" s="393"/>
      <c r="B167" s="391"/>
      <c r="C167" s="59" t="s">
        <v>133</v>
      </c>
      <c r="D167" s="377"/>
      <c r="E167" s="378"/>
      <c r="F167" s="367"/>
      <c r="G167" s="368"/>
      <c r="H167" s="14">
        <f t="shared" ref="H167:H174" si="88">N166</f>
        <v>21.176470588235293</v>
      </c>
      <c r="I167" s="15">
        <f>H167*(0.3/2.55)</f>
        <v>2.4913494809688581</v>
      </c>
      <c r="J167" s="2">
        <v>1</v>
      </c>
      <c r="K167" s="15">
        <f t="shared" si="82"/>
        <v>2.4913494809688581</v>
      </c>
      <c r="L167" s="20">
        <v>0.08</v>
      </c>
      <c r="M167" s="11">
        <f t="shared" si="83"/>
        <v>0.19930795847750865</v>
      </c>
      <c r="N167" s="13">
        <f t="shared" si="84"/>
        <v>18.685121107266436</v>
      </c>
      <c r="O167" s="2">
        <v>0</v>
      </c>
      <c r="P167" s="15">
        <f t="shared" si="85"/>
        <v>0</v>
      </c>
      <c r="Q167" s="20">
        <v>0</v>
      </c>
      <c r="R167" s="11">
        <f t="shared" si="86"/>
        <v>0</v>
      </c>
      <c r="S167" s="12">
        <f t="shared" si="87"/>
        <v>0.19930795847750865</v>
      </c>
    </row>
    <row r="168" spans="1:19" ht="15" thickBot="1" x14ac:dyDescent="0.4">
      <c r="A168" s="393"/>
      <c r="B168" s="391"/>
      <c r="C168" s="59" t="s">
        <v>134</v>
      </c>
      <c r="D168" s="377"/>
      <c r="E168" s="378"/>
      <c r="F168" s="367"/>
      <c r="G168" s="368"/>
      <c r="H168" s="14">
        <f t="shared" si="88"/>
        <v>18.685121107266436</v>
      </c>
      <c r="I168" s="15">
        <f>H168*(0.3/2.55)</f>
        <v>2.1982495420313453</v>
      </c>
      <c r="J168" s="2">
        <v>1</v>
      </c>
      <c r="K168" s="15">
        <f t="shared" si="82"/>
        <v>2.1982495420313453</v>
      </c>
      <c r="L168" s="20">
        <v>0.08</v>
      </c>
      <c r="M168" s="11">
        <f t="shared" si="83"/>
        <v>0.17585996336250762</v>
      </c>
      <c r="N168" s="13">
        <f t="shared" si="84"/>
        <v>16.486871565235091</v>
      </c>
      <c r="O168" s="2">
        <v>0</v>
      </c>
      <c r="P168" s="15">
        <f t="shared" si="85"/>
        <v>0</v>
      </c>
      <c r="Q168" s="20">
        <v>0</v>
      </c>
      <c r="R168" s="11">
        <f t="shared" si="86"/>
        <v>0</v>
      </c>
      <c r="S168" s="12">
        <f t="shared" si="87"/>
        <v>0.17585996336250762</v>
      </c>
    </row>
    <row r="169" spans="1:19" ht="15" thickBot="1" x14ac:dyDescent="0.4">
      <c r="A169" s="393"/>
      <c r="B169" s="391"/>
      <c r="C169" s="59" t="s">
        <v>135</v>
      </c>
      <c r="D169" s="377"/>
      <c r="E169" s="378"/>
      <c r="F169" s="367"/>
      <c r="G169" s="368"/>
      <c r="H169" s="14">
        <f t="shared" si="88"/>
        <v>16.486871565235091</v>
      </c>
      <c r="I169" s="15">
        <f>H169*(0.045)</f>
        <v>0.74190922043557905</v>
      </c>
      <c r="J169" s="2">
        <v>1</v>
      </c>
      <c r="K169" s="15">
        <f t="shared" si="82"/>
        <v>0.74190922043557905</v>
      </c>
      <c r="L169" s="20">
        <v>0.08</v>
      </c>
      <c r="M169" s="11">
        <f t="shared" si="83"/>
        <v>5.9352737634846324E-2</v>
      </c>
      <c r="N169" s="13">
        <f t="shared" si="84"/>
        <v>15.744962344799513</v>
      </c>
      <c r="O169" s="2">
        <v>1</v>
      </c>
      <c r="P169" s="15">
        <f t="shared" si="85"/>
        <v>15.744962344799513</v>
      </c>
      <c r="Q169" s="25">
        <v>0.02</v>
      </c>
      <c r="R169" s="11">
        <f t="shared" si="86"/>
        <v>0.31489924689599025</v>
      </c>
      <c r="S169" s="12">
        <f t="shared" si="87"/>
        <v>0.37425198453083658</v>
      </c>
    </row>
    <row r="170" spans="1:19" ht="15" thickBot="1" x14ac:dyDescent="0.4">
      <c r="A170" s="393"/>
      <c r="B170" s="391"/>
      <c r="C170" s="59" t="s">
        <v>136</v>
      </c>
      <c r="D170" s="377"/>
      <c r="E170" s="378"/>
      <c r="F170" s="367"/>
      <c r="G170" s="368"/>
      <c r="H170" s="14">
        <f t="shared" si="88"/>
        <v>15.744962344799513</v>
      </c>
      <c r="I170" s="15">
        <f>H170*(0.04)</f>
        <v>0.6297984937919805</v>
      </c>
      <c r="J170" s="2">
        <v>1</v>
      </c>
      <c r="K170" s="15">
        <f t="shared" si="82"/>
        <v>0.6297984937919805</v>
      </c>
      <c r="L170" s="20">
        <v>0.08</v>
      </c>
      <c r="M170" s="11">
        <f t="shared" si="83"/>
        <v>5.0383879503358438E-2</v>
      </c>
      <c r="N170" s="13">
        <f t="shared" si="84"/>
        <v>15.115163851007532</v>
      </c>
      <c r="O170" s="2">
        <v>0</v>
      </c>
      <c r="P170" s="15">
        <f t="shared" si="85"/>
        <v>0</v>
      </c>
      <c r="Q170" s="20">
        <v>0</v>
      </c>
      <c r="R170" s="11">
        <f t="shared" si="86"/>
        <v>0</v>
      </c>
      <c r="S170" s="12">
        <f t="shared" si="87"/>
        <v>5.0383879503358438E-2</v>
      </c>
    </row>
    <row r="171" spans="1:19" ht="15" thickBot="1" x14ac:dyDescent="0.4">
      <c r="A171" s="393"/>
      <c r="B171" s="391"/>
      <c r="C171" s="59" t="s">
        <v>137</v>
      </c>
      <c r="D171" s="377"/>
      <c r="E171" s="378"/>
      <c r="F171" s="367"/>
      <c r="G171" s="368"/>
      <c r="H171" s="14">
        <f t="shared" si="88"/>
        <v>15.115163851007532</v>
      </c>
      <c r="I171" s="15">
        <f>H171*(0.04)</f>
        <v>0.60460655404030128</v>
      </c>
      <c r="J171" s="2">
        <v>1</v>
      </c>
      <c r="K171" s="15">
        <f t="shared" si="82"/>
        <v>0.60460655404030128</v>
      </c>
      <c r="L171" s="20">
        <v>0.08</v>
      </c>
      <c r="M171" s="11">
        <f t="shared" si="83"/>
        <v>4.8368524323224103E-2</v>
      </c>
      <c r="N171" s="13">
        <f t="shared" si="84"/>
        <v>14.51055729696723</v>
      </c>
      <c r="O171" s="2">
        <v>0</v>
      </c>
      <c r="P171" s="15">
        <f t="shared" si="85"/>
        <v>0</v>
      </c>
      <c r="Q171" s="20">
        <v>0</v>
      </c>
      <c r="R171" s="11">
        <f t="shared" si="86"/>
        <v>0</v>
      </c>
      <c r="S171" s="12">
        <f t="shared" si="87"/>
        <v>4.8368524323224103E-2</v>
      </c>
    </row>
    <row r="172" spans="1:19" ht="15" thickBot="1" x14ac:dyDescent="0.4">
      <c r="A172" s="393"/>
      <c r="B172" s="391"/>
      <c r="C172" s="59" t="s">
        <v>138</v>
      </c>
      <c r="D172" s="379"/>
      <c r="E172" s="380"/>
      <c r="F172" s="369"/>
      <c r="G172" s="370"/>
      <c r="H172" s="14">
        <f t="shared" si="88"/>
        <v>14.51055729696723</v>
      </c>
      <c r="I172" s="15">
        <f>H172*(0.3/8.15)</f>
        <v>0.53413094344664647</v>
      </c>
      <c r="J172" s="2">
        <v>1</v>
      </c>
      <c r="K172" s="15">
        <f t="shared" si="82"/>
        <v>0.53413094344664647</v>
      </c>
      <c r="L172" s="20">
        <v>0.08</v>
      </c>
      <c r="M172" s="11">
        <f t="shared" si="83"/>
        <v>4.2730475475731715E-2</v>
      </c>
      <c r="N172" s="13">
        <f t="shared" si="84"/>
        <v>13.976426353520583</v>
      </c>
      <c r="O172" s="2">
        <v>1</v>
      </c>
      <c r="P172" s="15">
        <f t="shared" si="85"/>
        <v>13.976426353520583</v>
      </c>
      <c r="Q172" s="25">
        <v>0.02</v>
      </c>
      <c r="R172" s="11">
        <f t="shared" si="86"/>
        <v>0.2795285270704117</v>
      </c>
      <c r="S172" s="12">
        <f t="shared" si="87"/>
        <v>0.32225900254614342</v>
      </c>
    </row>
    <row r="173" spans="1:19" ht="15" thickBot="1" x14ac:dyDescent="0.4">
      <c r="A173" s="393"/>
      <c r="B173" s="391"/>
      <c r="C173" s="54" t="s">
        <v>72</v>
      </c>
      <c r="D173" s="381" t="str">
        <f>D90</f>
        <v>C16.a,</v>
      </c>
      <c r="E173" s="382"/>
      <c r="F173" s="365" t="str">
        <f>F90</f>
        <v>C16.b</v>
      </c>
      <c r="G173" s="366"/>
      <c r="H173" s="14">
        <f t="shared" si="88"/>
        <v>13.976426353520583</v>
      </c>
      <c r="I173" s="15">
        <f>H173*0.585</f>
        <v>8.1762094168095416</v>
      </c>
      <c r="J173" s="2">
        <v>1</v>
      </c>
      <c r="K173" s="15">
        <f t="shared" si="82"/>
        <v>8.1762094168095416</v>
      </c>
      <c r="L173" s="20">
        <v>0.08</v>
      </c>
      <c r="M173" s="11">
        <f t="shared" si="83"/>
        <v>0.65409675334476336</v>
      </c>
      <c r="N173" s="13">
        <f t="shared" si="84"/>
        <v>5.8002169367110419</v>
      </c>
      <c r="O173" s="2">
        <v>0</v>
      </c>
      <c r="P173" s="15">
        <f t="shared" si="85"/>
        <v>0</v>
      </c>
      <c r="Q173" s="20">
        <v>0</v>
      </c>
      <c r="R173" s="11">
        <f t="shared" si="86"/>
        <v>0</v>
      </c>
      <c r="S173" s="12">
        <f t="shared" si="87"/>
        <v>0.65409675334476336</v>
      </c>
    </row>
    <row r="174" spans="1:19" ht="15" thickBot="1" x14ac:dyDescent="0.4">
      <c r="A174" s="393"/>
      <c r="B174" s="391"/>
      <c r="C174" s="54" t="s">
        <v>73</v>
      </c>
      <c r="D174" s="383"/>
      <c r="E174" s="384"/>
      <c r="F174" s="369"/>
      <c r="G174" s="370"/>
      <c r="H174" s="14">
        <f t="shared" si="88"/>
        <v>5.8002169367110419</v>
      </c>
      <c r="I174" s="15">
        <f>H174*0.189</f>
        <v>1.096241001038387</v>
      </c>
      <c r="J174" s="2">
        <v>1</v>
      </c>
      <c r="K174" s="15">
        <f t="shared" si="82"/>
        <v>1.096241001038387</v>
      </c>
      <c r="L174" s="20">
        <v>0.08</v>
      </c>
      <c r="M174" s="11">
        <f t="shared" si="83"/>
        <v>8.7699280083070957E-2</v>
      </c>
      <c r="N174" s="13">
        <f t="shared" si="84"/>
        <v>4.7039759356726547</v>
      </c>
      <c r="O174" s="2">
        <v>0</v>
      </c>
      <c r="P174" s="15">
        <f t="shared" si="85"/>
        <v>0</v>
      </c>
      <c r="Q174" s="20">
        <v>0</v>
      </c>
      <c r="R174" s="11">
        <f t="shared" si="86"/>
        <v>0</v>
      </c>
      <c r="S174" s="12">
        <f t="shared" si="87"/>
        <v>8.7699280083070957E-2</v>
      </c>
    </row>
    <row r="175" spans="1:19" ht="18" customHeight="1" thickBot="1" x14ac:dyDescent="0.4">
      <c r="A175" s="393"/>
      <c r="B175" s="391"/>
      <c r="C175" s="61" t="s">
        <v>67</v>
      </c>
      <c r="D175" s="385" t="str">
        <f>D92</f>
        <v>C17.a,</v>
      </c>
      <c r="E175" s="386"/>
      <c r="F175" s="371" t="str">
        <f>F92</f>
        <v>C17.b</v>
      </c>
      <c r="G175" s="372"/>
      <c r="H175" s="14">
        <v>24</v>
      </c>
      <c r="I175" s="15">
        <f>H175*0.55</f>
        <v>13.200000000000001</v>
      </c>
      <c r="J175" s="2">
        <v>1</v>
      </c>
      <c r="K175" s="15">
        <f>I175*J175</f>
        <v>13.200000000000001</v>
      </c>
      <c r="L175" s="20">
        <v>0.02</v>
      </c>
      <c r="M175" s="11">
        <f t="shared" si="83"/>
        <v>0.26400000000000001</v>
      </c>
      <c r="N175" s="13">
        <f t="shared" si="84"/>
        <v>10.799999999999999</v>
      </c>
      <c r="O175" s="2">
        <v>1</v>
      </c>
      <c r="P175" s="15">
        <f t="shared" si="85"/>
        <v>10.799999999999999</v>
      </c>
      <c r="Q175" s="20">
        <v>0</v>
      </c>
      <c r="R175" s="11">
        <f t="shared" si="86"/>
        <v>0</v>
      </c>
      <c r="S175" s="12">
        <f t="shared" si="87"/>
        <v>0.26400000000000001</v>
      </c>
    </row>
    <row r="176" spans="1:19" ht="15" thickBot="1" x14ac:dyDescent="0.4">
      <c r="A176" s="393"/>
      <c r="B176" s="391"/>
      <c r="C176" s="57" t="s">
        <v>139</v>
      </c>
      <c r="D176" s="385" t="str">
        <f>D93</f>
        <v>C18.a,</v>
      </c>
      <c r="E176" s="386"/>
      <c r="F176" s="371" t="str">
        <f>F93</f>
        <v>C18.b</v>
      </c>
      <c r="G176" s="372"/>
      <c r="H176" s="14">
        <f>N175</f>
        <v>10.799999999999999</v>
      </c>
      <c r="I176" s="15">
        <f>H176*0.5</f>
        <v>5.3999999999999995</v>
      </c>
      <c r="J176" s="2">
        <v>1</v>
      </c>
      <c r="K176" s="15">
        <f t="shared" si="82"/>
        <v>5.3999999999999995</v>
      </c>
      <c r="L176" s="20">
        <v>0.08</v>
      </c>
      <c r="M176" s="11">
        <f t="shared" si="83"/>
        <v>0.43199999999999994</v>
      </c>
      <c r="N176" s="13">
        <f t="shared" si="84"/>
        <v>5.3999999999999995</v>
      </c>
      <c r="O176" s="2">
        <v>1</v>
      </c>
      <c r="P176" s="15">
        <f t="shared" si="85"/>
        <v>5.3999999999999995</v>
      </c>
      <c r="Q176" s="25">
        <v>0.02</v>
      </c>
      <c r="R176" s="11">
        <f t="shared" si="86"/>
        <v>0.10799999999999998</v>
      </c>
      <c r="S176" s="12">
        <f t="shared" si="87"/>
        <v>0.53999999999999992</v>
      </c>
    </row>
    <row r="177" spans="1:19" ht="15" thickBot="1" x14ac:dyDescent="0.4">
      <c r="A177" s="393"/>
      <c r="B177" s="391"/>
      <c r="C177" s="32" t="s">
        <v>44</v>
      </c>
      <c r="D177" s="361" t="str">
        <f>D94</f>
        <v>D8.a,</v>
      </c>
      <c r="E177" s="362"/>
      <c r="F177" s="371" t="str">
        <f>F94</f>
        <v>D8.b</v>
      </c>
      <c r="G177" s="372"/>
      <c r="H177" s="14">
        <v>24</v>
      </c>
      <c r="I177" s="2">
        <v>19</v>
      </c>
      <c r="J177" s="2">
        <v>1</v>
      </c>
      <c r="K177" s="15">
        <f>I177*J177</f>
        <v>19</v>
      </c>
      <c r="L177" s="20">
        <v>0.02</v>
      </c>
      <c r="M177" s="11">
        <f>L177*J177*I177</f>
        <v>0.38</v>
      </c>
      <c r="N177" s="13">
        <f>H177-I177</f>
        <v>5</v>
      </c>
      <c r="O177" s="2">
        <v>1</v>
      </c>
      <c r="P177" s="15">
        <f>O177*N177</f>
        <v>5</v>
      </c>
      <c r="Q177" s="25">
        <v>0.02</v>
      </c>
      <c r="R177" s="11">
        <f>Q177*O177*N177</f>
        <v>0.1</v>
      </c>
      <c r="S177" s="12">
        <f>R177+M177</f>
        <v>0.48</v>
      </c>
    </row>
    <row r="178" spans="1:19" ht="15" thickBot="1" x14ac:dyDescent="0.4">
      <c r="A178" s="394"/>
      <c r="B178" s="392"/>
      <c r="C178" s="72" t="str">
        <f>C140</f>
        <v>Participant Consent Form-Denied Applicant Survey</v>
      </c>
      <c r="D178" s="363" t="str">
        <f>D95</f>
        <v>D9.a,</v>
      </c>
      <c r="E178" s="364"/>
      <c r="F178" s="373" t="str">
        <f>F95</f>
        <v>D9.b</v>
      </c>
      <c r="G178" s="374"/>
      <c r="H178" s="49">
        <v>19</v>
      </c>
      <c r="I178" s="2">
        <v>19</v>
      </c>
      <c r="J178" s="2">
        <v>1</v>
      </c>
      <c r="K178" s="15">
        <f>I178*J178</f>
        <v>19</v>
      </c>
      <c r="L178" s="20">
        <v>0.1</v>
      </c>
      <c r="M178" s="11">
        <f>L178*J178*I178</f>
        <v>1.9000000000000001</v>
      </c>
      <c r="N178" s="25">
        <v>0</v>
      </c>
      <c r="O178" s="25">
        <v>0</v>
      </c>
      <c r="P178" s="25">
        <v>0</v>
      </c>
      <c r="Q178" s="55">
        <v>0</v>
      </c>
      <c r="R178" s="11">
        <f>Q178*O178*N178</f>
        <v>0</v>
      </c>
      <c r="S178" s="12">
        <f>R178+M178</f>
        <v>1.9000000000000001</v>
      </c>
    </row>
    <row r="179" spans="1:19" s="117" customFormat="1" ht="15" thickBot="1" x14ac:dyDescent="0.4">
      <c r="A179" s="390" t="s">
        <v>216</v>
      </c>
      <c r="B179" s="390"/>
      <c r="C179" s="390"/>
      <c r="D179" s="390"/>
      <c r="E179" s="390"/>
      <c r="F179" s="390"/>
      <c r="G179" s="390"/>
      <c r="H179" s="390"/>
      <c r="I179" s="76">
        <f>I165+I152</f>
        <v>169</v>
      </c>
      <c r="J179" s="76">
        <f>K179/I179</f>
        <v>5.2294684993155469</v>
      </c>
      <c r="K179" s="76">
        <f>SUM(K152:K178)</f>
        <v>883.78017638432743</v>
      </c>
      <c r="L179" s="77">
        <f>M179/K179</f>
        <v>0.14531144388220846</v>
      </c>
      <c r="M179" s="77">
        <f>SUM(M152:M178)</f>
        <v>128.42337350487949</v>
      </c>
      <c r="N179" s="158">
        <f>N165+N152</f>
        <v>35</v>
      </c>
      <c r="O179" s="76">
        <f>P179/N179</f>
        <v>13.204569693901581</v>
      </c>
      <c r="P179" s="76">
        <f>SUM(P152:P178)</f>
        <v>462.15993928655536</v>
      </c>
      <c r="Q179" s="77">
        <f>R179/P179</f>
        <v>1.9532629331020245E-2</v>
      </c>
      <c r="R179" s="77">
        <f>SUM(R152:R178)</f>
        <v>9.0271987857311071</v>
      </c>
      <c r="S179" s="77">
        <f>SUM(S152:S178)</f>
        <v>137.45057229061061</v>
      </c>
    </row>
    <row r="180" spans="1:19" s="117" customFormat="1" ht="15.75" customHeight="1" thickBot="1" x14ac:dyDescent="0.4">
      <c r="A180" s="387" t="s">
        <v>80</v>
      </c>
      <c r="B180" s="388"/>
      <c r="C180" s="388"/>
      <c r="D180" s="388"/>
      <c r="E180" s="388"/>
      <c r="F180" s="388"/>
      <c r="G180" s="388"/>
      <c r="H180" s="389"/>
      <c r="I180" s="76">
        <f>I179+I150</f>
        <v>178</v>
      </c>
      <c r="J180" s="76">
        <f>K180/I180</f>
        <v>5.0456751482265592</v>
      </c>
      <c r="K180" s="76">
        <f>K179+K150</f>
        <v>898.13017638432746</v>
      </c>
      <c r="L180" s="77">
        <f>M180/K180</f>
        <v>0.14702642999534757</v>
      </c>
      <c r="M180" s="77">
        <f>M179+M150</f>
        <v>132.04887350487948</v>
      </c>
      <c r="N180" s="309">
        <f>N179+N150</f>
        <v>35</v>
      </c>
      <c r="O180" s="76">
        <f>P180/N180</f>
        <v>13.314285714285715</v>
      </c>
      <c r="P180" s="76">
        <f>ROUNDDOWN(P179+P150,0)</f>
        <v>466</v>
      </c>
      <c r="Q180" s="77">
        <f>R180/P180</f>
        <v>1.9570815450643774E-2</v>
      </c>
      <c r="R180" s="77">
        <f>ROUNDUP(R179+R150,2)</f>
        <v>9.1199999999999992</v>
      </c>
      <c r="S180" s="77">
        <f>ROUNDUP(S179+S150,2)</f>
        <v>141.16999999999999</v>
      </c>
    </row>
    <row r="181" spans="1:19" s="260" customFormat="1" ht="15" thickBot="1" x14ac:dyDescent="0.4">
      <c r="A181" s="352" t="s">
        <v>458</v>
      </c>
      <c r="B181" s="353"/>
      <c r="C181" s="353"/>
      <c r="D181" s="353"/>
      <c r="E181" s="353"/>
      <c r="F181" s="353"/>
      <c r="G181" s="353"/>
      <c r="H181" s="353"/>
      <c r="I181" s="353"/>
      <c r="J181" s="353"/>
      <c r="K181" s="353"/>
      <c r="L181" s="353"/>
      <c r="M181" s="353"/>
      <c r="N181" s="353"/>
      <c r="O181" s="353"/>
      <c r="P181" s="353"/>
      <c r="Q181" s="353"/>
      <c r="R181" s="353"/>
      <c r="S181" s="354"/>
    </row>
    <row r="182" spans="1:19" s="260" customFormat="1" ht="15" thickBot="1" x14ac:dyDescent="0.4">
      <c r="A182" s="355" t="s">
        <v>75</v>
      </c>
      <c r="B182" s="356"/>
      <c r="C182" s="356"/>
      <c r="D182" s="356"/>
      <c r="E182" s="356"/>
      <c r="F182" s="356"/>
      <c r="G182" s="356"/>
      <c r="H182" s="356"/>
      <c r="I182" s="356"/>
      <c r="J182" s="356"/>
      <c r="K182" s="356"/>
      <c r="L182" s="356"/>
      <c r="M182" s="356"/>
      <c r="N182" s="356"/>
      <c r="O182" s="356"/>
      <c r="P182" s="356"/>
      <c r="Q182" s="356"/>
      <c r="R182" s="356"/>
      <c r="S182" s="357"/>
    </row>
    <row r="183" spans="1:19" s="279" customFormat="1" ht="24.5" thickBot="1" x14ac:dyDescent="0.4">
      <c r="A183" s="270" t="s">
        <v>19</v>
      </c>
      <c r="B183" s="270" t="s">
        <v>460</v>
      </c>
      <c r="C183" s="81" t="s">
        <v>459</v>
      </c>
      <c r="D183" s="358" t="str">
        <f>Appendices!E23</f>
        <v>B7</v>
      </c>
      <c r="E183" s="359"/>
      <c r="F183" s="359"/>
      <c r="G183" s="360"/>
      <c r="H183" s="270">
        <f>60/3</f>
        <v>20</v>
      </c>
      <c r="I183" s="270">
        <f>H183</f>
        <v>20</v>
      </c>
      <c r="J183" s="270">
        <v>1</v>
      </c>
      <c r="K183" s="270">
        <f>J183*I183</f>
        <v>20</v>
      </c>
      <c r="L183" s="280">
        <v>3</v>
      </c>
      <c r="M183" s="280">
        <f>L183*K183</f>
        <v>60</v>
      </c>
      <c r="N183" s="270">
        <f>H183-I183</f>
        <v>0</v>
      </c>
      <c r="O183" s="270">
        <v>0</v>
      </c>
      <c r="P183" s="270">
        <f>O183*N183</f>
        <v>0</v>
      </c>
      <c r="Q183" s="280">
        <v>0</v>
      </c>
      <c r="R183" s="280">
        <f>Q183*P183</f>
        <v>0</v>
      </c>
      <c r="S183" s="280">
        <f>R183+M183</f>
        <v>60</v>
      </c>
    </row>
    <row r="184" spans="1:19" ht="15" thickBot="1" x14ac:dyDescent="0.4">
      <c r="A184" s="351" t="s">
        <v>461</v>
      </c>
      <c r="B184" s="351"/>
      <c r="C184" s="351"/>
      <c r="D184" s="351"/>
      <c r="E184" s="351"/>
      <c r="F184" s="351"/>
      <c r="G184" s="351"/>
      <c r="H184" s="351"/>
      <c r="I184" s="31">
        <f>I180+I142+I104+I183</f>
        <v>4528</v>
      </c>
      <c r="J184" s="71">
        <f>K184/I184</f>
        <v>4.6437720848056534</v>
      </c>
      <c r="K184" s="31">
        <f>ROUNDUP(K180+K142+K104+K183,0)</f>
        <v>21027</v>
      </c>
      <c r="L184" s="5">
        <f>M184/K184</f>
        <v>0.1806220573548295</v>
      </c>
      <c r="M184" s="5">
        <f>ROUNDUP(M180+M142+M104+M183,2)</f>
        <v>3797.94</v>
      </c>
      <c r="N184" s="64">
        <f>N180+N142+N104+N183</f>
        <v>2200</v>
      </c>
      <c r="O184" s="71">
        <f>P184/N184</f>
        <v>7.012815360877477</v>
      </c>
      <c r="P184" s="64">
        <f>P180+P142+P104+P183</f>
        <v>15428.19379393045</v>
      </c>
      <c r="Q184" s="6">
        <f>R184/P184</f>
        <v>1.9861689844766633E-2</v>
      </c>
      <c r="R184" s="6">
        <f>ROUNDUP(R180+R142+R104+R183,2)</f>
        <v>306.43</v>
      </c>
      <c r="S184" s="6">
        <f>ROUNDUP(S180+S142+S104+S183,3)</f>
        <v>4104.3720000000003</v>
      </c>
    </row>
    <row r="185" spans="1:19" x14ac:dyDescent="0.35">
      <c r="A185" s="7"/>
      <c r="B185" s="7"/>
      <c r="C185" s="7"/>
      <c r="D185" s="7"/>
      <c r="E185" s="7"/>
      <c r="F185" s="7"/>
      <c r="G185" s="7"/>
      <c r="H185" s="7"/>
      <c r="I185" s="7"/>
      <c r="J185" s="7"/>
      <c r="K185" s="7"/>
      <c r="L185" s="7"/>
      <c r="M185" s="7"/>
      <c r="N185" s="7"/>
      <c r="O185" s="7"/>
      <c r="P185" s="7"/>
      <c r="Q185" s="7"/>
      <c r="R185" s="7"/>
      <c r="S185" s="7"/>
    </row>
    <row r="186" spans="1:19" x14ac:dyDescent="0.35">
      <c r="A186" s="7"/>
      <c r="B186" s="7" t="s">
        <v>21</v>
      </c>
      <c r="C186" s="7"/>
      <c r="D186" s="7"/>
      <c r="E186" s="7"/>
      <c r="F186" s="7"/>
      <c r="G186" s="7"/>
      <c r="H186" s="7"/>
      <c r="I186" s="62">
        <f>I184+N184</f>
        <v>6728</v>
      </c>
      <c r="J186" s="7"/>
      <c r="K186" s="7"/>
      <c r="L186" s="7"/>
      <c r="M186" s="7"/>
      <c r="N186" s="7"/>
      <c r="O186" s="7"/>
      <c r="P186" s="7"/>
      <c r="Q186" s="7"/>
      <c r="R186" s="7"/>
      <c r="S186" s="8"/>
    </row>
    <row r="187" spans="1:19" x14ac:dyDescent="0.35">
      <c r="A187" s="7"/>
      <c r="B187" s="7" t="s">
        <v>22</v>
      </c>
      <c r="C187" s="7"/>
      <c r="D187" s="7"/>
      <c r="E187" s="7"/>
      <c r="F187" s="7"/>
      <c r="G187" s="7"/>
      <c r="H187" s="7"/>
      <c r="I187" s="62">
        <f>K184+P184</f>
        <v>36455.193793930448</v>
      </c>
      <c r="J187" s="7"/>
      <c r="K187" s="7"/>
      <c r="L187" s="7"/>
      <c r="M187" s="7"/>
      <c r="N187" s="7"/>
      <c r="O187" s="7"/>
      <c r="P187" s="7"/>
      <c r="Q187" s="7"/>
      <c r="R187" s="7"/>
      <c r="S187" s="7"/>
    </row>
    <row r="188" spans="1:19" s="260" customFormat="1" x14ac:dyDescent="0.35">
      <c r="A188" s="7"/>
      <c r="B188" s="7" t="s">
        <v>586</v>
      </c>
      <c r="C188" s="7"/>
      <c r="D188" s="7"/>
      <c r="E188" s="7"/>
      <c r="F188" s="7"/>
      <c r="G188" s="7"/>
      <c r="H188" s="7"/>
      <c r="I188" s="8">
        <f>S104+S142+S180</f>
        <v>4044.3714427200021</v>
      </c>
      <c r="J188" s="8">
        <f>M104+M142+M180</f>
        <v>3737.933313851152</v>
      </c>
      <c r="K188" s="8">
        <f>R104+R142+R180</f>
        <v>306.43</v>
      </c>
      <c r="L188" s="7"/>
      <c r="M188" s="7"/>
      <c r="N188" s="7"/>
      <c r="O188" s="7"/>
      <c r="P188" s="7"/>
      <c r="Q188" s="7"/>
      <c r="R188" s="7"/>
      <c r="S188" s="7"/>
    </row>
    <row r="189" spans="1:19" x14ac:dyDescent="0.35">
      <c r="A189" s="7"/>
      <c r="B189" s="7" t="s">
        <v>585</v>
      </c>
      <c r="C189" s="7"/>
      <c r="D189" s="7"/>
      <c r="E189" s="7"/>
      <c r="F189" s="7"/>
      <c r="G189" s="7"/>
      <c r="H189" s="7"/>
      <c r="I189" s="8">
        <f>M184+R184</f>
        <v>4104.37</v>
      </c>
      <c r="J189" s="7" t="s">
        <v>550</v>
      </c>
      <c r="K189" s="7"/>
      <c r="L189" s="7"/>
      <c r="M189" s="68"/>
      <c r="N189" s="68"/>
      <c r="O189" s="69"/>
      <c r="P189" s="68"/>
      <c r="Q189" s="7"/>
      <c r="R189" s="7"/>
      <c r="S189" s="7"/>
    </row>
    <row r="190" spans="1:19" s="260" customFormat="1" x14ac:dyDescent="0.35">
      <c r="A190" s="7"/>
      <c r="B190" s="7" t="s">
        <v>588</v>
      </c>
      <c r="C190" s="7"/>
      <c r="D190" s="7"/>
      <c r="E190" s="7"/>
      <c r="F190" s="7"/>
      <c r="G190" s="7"/>
      <c r="H190" s="7"/>
      <c r="I190" s="8">
        <f>((K104+K142+K180)+(P104+P142+P180))/((I104+I142+I180)+N104+N142+N180)</f>
        <v>5.431540304632982</v>
      </c>
      <c r="J190" s="8">
        <f>(K104+K142+K180)/(I104+I142+I180)</f>
        <v>4.6598444031826958</v>
      </c>
      <c r="K190" s="8">
        <f>(P104+P142+P180)/(N104+N142+N180)</f>
        <v>7.012815360877477</v>
      </c>
      <c r="L190" s="7"/>
      <c r="M190" s="68"/>
      <c r="N190" s="68"/>
      <c r="O190" s="69"/>
      <c r="P190" s="68"/>
      <c r="Q190" s="7"/>
      <c r="R190" s="7"/>
      <c r="S190" s="7"/>
    </row>
    <row r="191" spans="1:19" x14ac:dyDescent="0.35">
      <c r="A191" s="7"/>
      <c r="B191" s="7" t="s">
        <v>587</v>
      </c>
      <c r="C191" s="7"/>
      <c r="D191" s="7"/>
      <c r="E191" s="7"/>
      <c r="F191" s="7"/>
      <c r="G191" s="7"/>
      <c r="H191" s="7"/>
      <c r="I191" s="269">
        <f>(K184+P184)/(I184+N184)</f>
        <v>5.418429517528307</v>
      </c>
      <c r="J191" s="8">
        <f>K184/I184</f>
        <v>4.6437720848056534</v>
      </c>
      <c r="K191" s="8">
        <f>P184/N184</f>
        <v>7.012815360877477</v>
      </c>
      <c r="L191" s="8"/>
      <c r="M191" s="68"/>
      <c r="N191" s="68"/>
      <c r="O191" s="69"/>
      <c r="P191" s="68"/>
      <c r="Q191" s="62"/>
      <c r="R191" s="7"/>
      <c r="S191" s="7"/>
    </row>
    <row r="192" spans="1:19" s="260" customFormat="1" x14ac:dyDescent="0.35">
      <c r="A192" s="7"/>
      <c r="B192" s="7" t="s">
        <v>584</v>
      </c>
      <c r="C192" s="7"/>
      <c r="D192" s="7"/>
      <c r="E192" s="7"/>
      <c r="F192" s="7"/>
      <c r="G192" s="7"/>
      <c r="H192" s="7"/>
      <c r="I192" s="269">
        <f>ROUNDDOWN(((M104+M142+M180)+(R104+R142+R180))/((K104+K142+K180)+(P104+P142+P180)),1)</f>
        <v>0.1</v>
      </c>
      <c r="J192" s="8">
        <f>(M104+M142+M180)/(K104+K142+K180)</f>
        <v>0.1779410817176047</v>
      </c>
      <c r="K192" s="8">
        <f>(R104+R142+R180)/(P104+P142+P180)</f>
        <v>1.9861689844766633E-2</v>
      </c>
      <c r="L192" s="8"/>
      <c r="M192" s="68"/>
      <c r="N192" s="68"/>
      <c r="O192" s="69"/>
      <c r="P192" s="68"/>
      <c r="Q192" s="62"/>
      <c r="R192" s="7"/>
      <c r="S192" s="7"/>
    </row>
    <row r="193" spans="1:19" x14ac:dyDescent="0.35">
      <c r="A193" s="7"/>
      <c r="B193" s="7" t="s">
        <v>583</v>
      </c>
      <c r="C193" s="7"/>
      <c r="D193" s="7"/>
      <c r="E193" s="7"/>
      <c r="F193" s="7"/>
      <c r="G193" s="7"/>
      <c r="H193" s="7"/>
      <c r="I193" s="8">
        <f>ROUNDDOWN((M184+R184)/(K184+P184),1)</f>
        <v>0.1</v>
      </c>
      <c r="J193" s="8">
        <f>M184/K184</f>
        <v>0.1806220573548295</v>
      </c>
      <c r="K193" s="8">
        <f>R184/P184</f>
        <v>1.9861689844766633E-2</v>
      </c>
      <c r="L193" s="7"/>
      <c r="M193" s="68"/>
      <c r="N193" s="68"/>
      <c r="O193" s="69"/>
      <c r="P193" s="68"/>
      <c r="Q193" s="62"/>
      <c r="R193" s="7"/>
      <c r="S193" s="7"/>
    </row>
    <row r="194" spans="1:19" x14ac:dyDescent="0.35">
      <c r="A194" s="7"/>
      <c r="B194" s="7"/>
      <c r="C194" s="7"/>
      <c r="D194" s="7"/>
      <c r="E194" s="7"/>
      <c r="F194" s="7"/>
      <c r="G194" s="7"/>
      <c r="H194" s="7"/>
      <c r="I194" s="7"/>
      <c r="J194" s="7"/>
      <c r="K194" s="7"/>
      <c r="L194" s="7"/>
      <c r="M194" s="68"/>
      <c r="N194" s="68"/>
      <c r="O194" s="69"/>
      <c r="P194" s="68"/>
      <c r="Q194" s="62"/>
      <c r="R194" s="7"/>
      <c r="S194" s="7"/>
    </row>
    <row r="195" spans="1:19" x14ac:dyDescent="0.35">
      <c r="A195" s="310" t="s">
        <v>29</v>
      </c>
      <c r="B195" s="310" t="s">
        <v>55</v>
      </c>
      <c r="C195" s="310" t="s">
        <v>25</v>
      </c>
      <c r="D195" s="310"/>
      <c r="E195" s="310"/>
      <c r="F195" s="310"/>
      <c r="G195" s="310"/>
      <c r="H195" s="310">
        <v>0.05</v>
      </c>
      <c r="M195" s="70"/>
      <c r="N195" s="70"/>
      <c r="O195" s="69"/>
      <c r="P195" s="70"/>
      <c r="Q195" s="52"/>
    </row>
    <row r="196" spans="1:19" x14ac:dyDescent="0.35">
      <c r="A196" s="310"/>
      <c r="B196" s="310" t="s">
        <v>56</v>
      </c>
      <c r="C196" s="310" t="s">
        <v>26</v>
      </c>
      <c r="D196" s="310"/>
      <c r="E196" s="310"/>
      <c r="F196" s="310"/>
      <c r="G196" s="310"/>
      <c r="H196" s="310">
        <v>0.02</v>
      </c>
      <c r="M196" s="70"/>
      <c r="N196" s="70"/>
      <c r="O196" s="69"/>
      <c r="P196" s="70"/>
      <c r="Q196" s="52"/>
    </row>
    <row r="197" spans="1:19" x14ac:dyDescent="0.35">
      <c r="A197" s="310"/>
      <c r="B197" s="310" t="s">
        <v>30</v>
      </c>
      <c r="C197" s="310" t="s">
        <v>28</v>
      </c>
      <c r="D197" s="310"/>
      <c r="E197" s="310"/>
      <c r="F197" s="310"/>
      <c r="G197" s="310"/>
      <c r="H197" s="310">
        <v>0.08</v>
      </c>
      <c r="M197" s="70"/>
      <c r="N197" s="70"/>
      <c r="O197" s="69"/>
      <c r="P197" s="70"/>
      <c r="Q197" s="52"/>
    </row>
    <row r="198" spans="1:19" x14ac:dyDescent="0.35">
      <c r="A198" s="310"/>
      <c r="B198" s="310" t="s">
        <v>27</v>
      </c>
      <c r="C198" s="310" t="s">
        <v>26</v>
      </c>
      <c r="D198" s="310"/>
      <c r="E198" s="310"/>
      <c r="F198" s="310"/>
      <c r="G198" s="310"/>
      <c r="H198" s="310">
        <v>0.02</v>
      </c>
      <c r="M198" s="70"/>
      <c r="N198" s="70"/>
      <c r="O198" s="70"/>
      <c r="P198" s="70"/>
      <c r="Q198" s="52"/>
    </row>
    <row r="199" spans="1:19" x14ac:dyDescent="0.35">
      <c r="A199" s="310"/>
      <c r="B199" s="310" t="s">
        <v>57</v>
      </c>
      <c r="C199" s="310" t="s">
        <v>26</v>
      </c>
      <c r="D199" s="310"/>
      <c r="E199" s="310"/>
      <c r="F199" s="310"/>
      <c r="G199" s="310"/>
      <c r="H199" s="310">
        <v>0.02</v>
      </c>
      <c r="M199" s="70"/>
      <c r="N199" s="70"/>
      <c r="O199" s="70"/>
      <c r="P199" s="70"/>
      <c r="Q199" s="52"/>
    </row>
    <row r="200" spans="1:19" x14ac:dyDescent="0.35">
      <c r="A200" s="310"/>
      <c r="B200" s="310" t="s">
        <v>58</v>
      </c>
      <c r="C200" s="310" t="s">
        <v>26</v>
      </c>
      <c r="D200" s="310"/>
      <c r="E200" s="310"/>
      <c r="F200" s="310"/>
      <c r="G200" s="310"/>
      <c r="H200" s="310">
        <v>0.02</v>
      </c>
      <c r="M200" s="70"/>
      <c r="N200" s="70"/>
      <c r="O200" s="70"/>
      <c r="P200" s="70"/>
    </row>
    <row r="201" spans="1:19" x14ac:dyDescent="0.35">
      <c r="A201" s="310"/>
      <c r="B201" s="310" t="s">
        <v>46</v>
      </c>
      <c r="C201" s="310" t="s">
        <v>26</v>
      </c>
      <c r="D201" s="310"/>
      <c r="E201" s="310"/>
      <c r="F201" s="310"/>
      <c r="G201" s="310"/>
      <c r="H201" s="310">
        <v>0.02</v>
      </c>
      <c r="M201" s="70"/>
      <c r="N201" s="70"/>
      <c r="O201" s="70"/>
      <c r="P201" s="70"/>
    </row>
    <row r="202" spans="1:19" x14ac:dyDescent="0.35">
      <c r="A202" s="310"/>
      <c r="B202" s="310" t="s">
        <v>59</v>
      </c>
      <c r="C202" s="310" t="s">
        <v>60</v>
      </c>
      <c r="D202" s="310"/>
      <c r="E202" s="310"/>
      <c r="F202" s="310"/>
      <c r="G202" s="310"/>
      <c r="H202" s="310">
        <v>0.03</v>
      </c>
    </row>
    <row r="203" spans="1:19" x14ac:dyDescent="0.35">
      <c r="A203" s="310"/>
      <c r="B203" s="310" t="s">
        <v>54</v>
      </c>
      <c r="C203" s="310" t="s">
        <v>25</v>
      </c>
      <c r="D203" s="310"/>
      <c r="E203" s="310"/>
      <c r="F203" s="310"/>
      <c r="G203" s="310"/>
      <c r="H203" s="310">
        <v>0.05</v>
      </c>
    </row>
    <row r="204" spans="1:19" x14ac:dyDescent="0.35">
      <c r="A204" s="310"/>
      <c r="B204" s="310" t="s">
        <v>64</v>
      </c>
      <c r="C204" s="310" t="s">
        <v>65</v>
      </c>
      <c r="D204" s="310"/>
      <c r="E204" s="310"/>
      <c r="F204" s="310"/>
      <c r="G204" s="310"/>
      <c r="H204" s="310">
        <v>0.1</v>
      </c>
    </row>
  </sheetData>
  <mergeCells count="164">
    <mergeCell ref="A4:S4"/>
    <mergeCell ref="A105:S105"/>
    <mergeCell ref="N1:R1"/>
    <mergeCell ref="S1:S2"/>
    <mergeCell ref="A5:S5"/>
    <mergeCell ref="B6:B26"/>
    <mergeCell ref="A1:A2"/>
    <mergeCell ref="B1:B2"/>
    <mergeCell ref="C1:C2"/>
    <mergeCell ref="H1:H2"/>
    <mergeCell ref="I1:M1"/>
    <mergeCell ref="A50:H50"/>
    <mergeCell ref="D1:G2"/>
    <mergeCell ref="D6:G6"/>
    <mergeCell ref="D7:G7"/>
    <mergeCell ref="D8:G8"/>
    <mergeCell ref="D9:G9"/>
    <mergeCell ref="A6:A49"/>
    <mergeCell ref="B27:B49"/>
    <mergeCell ref="A51:S51"/>
    <mergeCell ref="A52:A65"/>
    <mergeCell ref="A3:S3"/>
    <mergeCell ref="B52:B65"/>
    <mergeCell ref="D75:E75"/>
    <mergeCell ref="D145:G145"/>
    <mergeCell ref="D146:G146"/>
    <mergeCell ref="F122:G122"/>
    <mergeCell ref="F123:G123"/>
    <mergeCell ref="F124:G124"/>
    <mergeCell ref="F125:G125"/>
    <mergeCell ref="F126:G126"/>
    <mergeCell ref="D122:E122"/>
    <mergeCell ref="D123:E123"/>
    <mergeCell ref="D124:E124"/>
    <mergeCell ref="D125:E125"/>
    <mergeCell ref="D126:E126"/>
    <mergeCell ref="D138:E138"/>
    <mergeCell ref="D139:E139"/>
    <mergeCell ref="D140:E140"/>
    <mergeCell ref="F138:G138"/>
    <mergeCell ref="F137:G137"/>
    <mergeCell ref="F139:G139"/>
    <mergeCell ref="F140:G140"/>
    <mergeCell ref="D128:E134"/>
    <mergeCell ref="F128:G134"/>
    <mergeCell ref="D135:E136"/>
    <mergeCell ref="F135:G136"/>
    <mergeCell ref="D137:E137"/>
    <mergeCell ref="A142:H142"/>
    <mergeCell ref="A143:S143"/>
    <mergeCell ref="B114:B140"/>
    <mergeCell ref="A114:A140"/>
    <mergeCell ref="A141:H141"/>
    <mergeCell ref="B108:B111"/>
    <mergeCell ref="A107:A111"/>
    <mergeCell ref="A106:S106"/>
    <mergeCell ref="D77:E77"/>
    <mergeCell ref="D78:E78"/>
    <mergeCell ref="F77:G77"/>
    <mergeCell ref="F78:G78"/>
    <mergeCell ref="D108:G108"/>
    <mergeCell ref="D109:G111"/>
    <mergeCell ref="D115:E121"/>
    <mergeCell ref="F115:G121"/>
    <mergeCell ref="D102:E102"/>
    <mergeCell ref="D97:E101"/>
    <mergeCell ref="F97:G101"/>
    <mergeCell ref="F102:G102"/>
    <mergeCell ref="D107:G107"/>
    <mergeCell ref="A112:H112"/>
    <mergeCell ref="A113:S113"/>
    <mergeCell ref="A66:A102"/>
    <mergeCell ref="D67:E74"/>
    <mergeCell ref="F67:G74"/>
    <mergeCell ref="F75:G75"/>
    <mergeCell ref="F76:G76"/>
    <mergeCell ref="D76:E76"/>
    <mergeCell ref="D90:E91"/>
    <mergeCell ref="D10:G10"/>
    <mergeCell ref="D11:G17"/>
    <mergeCell ref="D18:G24"/>
    <mergeCell ref="D25:G25"/>
    <mergeCell ref="D53:E59"/>
    <mergeCell ref="F53:G59"/>
    <mergeCell ref="D60:E60"/>
    <mergeCell ref="D37:G43"/>
    <mergeCell ref="D44:G44"/>
    <mergeCell ref="D45:G45"/>
    <mergeCell ref="D46:G48"/>
    <mergeCell ref="D49:G49"/>
    <mergeCell ref="D26:G26"/>
    <mergeCell ref="D27:G27"/>
    <mergeCell ref="D28:G28"/>
    <mergeCell ref="D29:G29"/>
    <mergeCell ref="D30:G36"/>
    <mergeCell ref="F60:G60"/>
    <mergeCell ref="D94:E94"/>
    <mergeCell ref="D95:E95"/>
    <mergeCell ref="F92:G92"/>
    <mergeCell ref="F93:G93"/>
    <mergeCell ref="F94:G94"/>
    <mergeCell ref="F95:G95"/>
    <mergeCell ref="B82:B95"/>
    <mergeCell ref="D61:E61"/>
    <mergeCell ref="D62:E62"/>
    <mergeCell ref="D63:E63"/>
    <mergeCell ref="D64:E64"/>
    <mergeCell ref="F83:G89"/>
    <mergeCell ref="F90:G91"/>
    <mergeCell ref="D92:E92"/>
    <mergeCell ref="D93:E93"/>
    <mergeCell ref="D80:E80"/>
    <mergeCell ref="D81:E81"/>
    <mergeCell ref="F80:G80"/>
    <mergeCell ref="F81:G81"/>
    <mergeCell ref="D83:E89"/>
    <mergeCell ref="F61:G61"/>
    <mergeCell ref="F62:G62"/>
    <mergeCell ref="F63:G63"/>
    <mergeCell ref="F64:G64"/>
    <mergeCell ref="B66:B81"/>
    <mergeCell ref="D162:E162"/>
    <mergeCell ref="D163:E163"/>
    <mergeCell ref="D164:E164"/>
    <mergeCell ref="F160:G160"/>
    <mergeCell ref="F161:G161"/>
    <mergeCell ref="F162:G162"/>
    <mergeCell ref="F163:G163"/>
    <mergeCell ref="F164:G164"/>
    <mergeCell ref="D147:G149"/>
    <mergeCell ref="D153:E159"/>
    <mergeCell ref="F153:G159"/>
    <mergeCell ref="D160:E160"/>
    <mergeCell ref="D161:E161"/>
    <mergeCell ref="A151:S151"/>
    <mergeCell ref="A144:S144"/>
    <mergeCell ref="A150:H150"/>
    <mergeCell ref="A145:A149"/>
    <mergeCell ref="B146:B149"/>
    <mergeCell ref="A103:H103"/>
    <mergeCell ref="A104:H104"/>
    <mergeCell ref="B96:B102"/>
    <mergeCell ref="D96:E96"/>
    <mergeCell ref="F96:G96"/>
    <mergeCell ref="A184:H184"/>
    <mergeCell ref="A181:S181"/>
    <mergeCell ref="A182:S182"/>
    <mergeCell ref="D183:G183"/>
    <mergeCell ref="D177:E177"/>
    <mergeCell ref="D178:E178"/>
    <mergeCell ref="F166:G172"/>
    <mergeCell ref="F173:G174"/>
    <mergeCell ref="F175:G175"/>
    <mergeCell ref="F176:G176"/>
    <mergeCell ref="F177:G177"/>
    <mergeCell ref="F178:G178"/>
    <mergeCell ref="D166:E172"/>
    <mergeCell ref="D173:E174"/>
    <mergeCell ref="D175:E175"/>
    <mergeCell ref="D176:E176"/>
    <mergeCell ref="A180:H180"/>
    <mergeCell ref="A179:H179"/>
    <mergeCell ref="B152:B178"/>
    <mergeCell ref="A152:A178"/>
  </mergeCells>
  <pageMargins left="0.25" right="0.25" top="0.75" bottom="0.75" header="0.3" footer="0.3"/>
  <pageSetup scale="60" fitToHeight="3" orientation="landscape" horizontalDpi="4294967295" verticalDpi="4294967295" r:id="rId1"/>
  <ignoredErrors>
    <ignoredError sqref="H23:I23 N30 H18"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90"/>
  <sheetViews>
    <sheetView tabSelected="1" zoomScale="125" zoomScaleNormal="51" workbookViewId="0">
      <pane ySplit="3" topLeftCell="A4" activePane="bottomLeft" state="frozen"/>
      <selection pane="bottomLeft" activeCell="F192" sqref="F192"/>
    </sheetView>
  </sheetViews>
  <sheetFormatPr defaultColWidth="8.7265625" defaultRowHeight="14.5" x14ac:dyDescent="0.35"/>
  <cols>
    <col min="1" max="1" width="14.7265625" style="151" customWidth="1"/>
    <col min="2" max="5" width="3.7265625" style="70" customWidth="1"/>
    <col min="6" max="6" width="63.7265625" style="260" customWidth="1"/>
    <col min="7" max="7" width="10" style="260" customWidth="1"/>
    <col min="8" max="8" width="9.1796875" style="260" customWidth="1"/>
    <col min="9" max="9" width="16.1796875" style="260" customWidth="1"/>
    <col min="10" max="19" width="8.7265625" style="141"/>
    <col min="20" max="16384" width="8.7265625" style="260"/>
  </cols>
  <sheetData>
    <row r="1" spans="1:19" ht="15" thickBot="1" x14ac:dyDescent="0.4">
      <c r="A1" s="311" t="s">
        <v>589</v>
      </c>
    </row>
    <row r="2" spans="1:19" ht="15.75" customHeight="1" thickTop="1" thickBot="1" x14ac:dyDescent="0.4">
      <c r="A2" s="507" t="s">
        <v>23</v>
      </c>
      <c r="B2" s="509" t="s">
        <v>549</v>
      </c>
      <c r="C2" s="510"/>
      <c r="D2" s="510"/>
      <c r="E2" s="511"/>
      <c r="F2" s="515" t="s">
        <v>5</v>
      </c>
      <c r="G2" s="517" t="s">
        <v>9</v>
      </c>
      <c r="H2" s="519" t="s">
        <v>142</v>
      </c>
      <c r="I2" s="519" t="s">
        <v>201</v>
      </c>
    </row>
    <row r="3" spans="1:19" ht="47.25" customHeight="1" thickBot="1" x14ac:dyDescent="0.4">
      <c r="A3" s="508"/>
      <c r="B3" s="512"/>
      <c r="C3" s="513"/>
      <c r="D3" s="513"/>
      <c r="E3" s="514"/>
      <c r="F3" s="516"/>
      <c r="G3" s="518"/>
      <c r="H3" s="520"/>
      <c r="I3" s="520"/>
    </row>
    <row r="4" spans="1:19" ht="15" thickBot="1" x14ac:dyDescent="0.4">
      <c r="A4" s="500" t="s">
        <v>457</v>
      </c>
      <c r="B4" s="501"/>
      <c r="C4" s="501"/>
      <c r="D4" s="501"/>
      <c r="E4" s="501"/>
      <c r="F4" s="501"/>
      <c r="G4" s="501"/>
      <c r="H4" s="501"/>
      <c r="I4" s="502"/>
      <c r="J4" s="281"/>
      <c r="K4" s="281"/>
      <c r="L4" s="281"/>
      <c r="M4" s="281"/>
      <c r="N4" s="281"/>
      <c r="O4" s="281"/>
      <c r="P4" s="281"/>
      <c r="Q4" s="281"/>
      <c r="R4" s="281"/>
      <c r="S4" s="281"/>
    </row>
    <row r="5" spans="1:19" ht="15.75" customHeight="1" thickBot="1" x14ac:dyDescent="0.4">
      <c r="A5" s="503" t="s">
        <v>643</v>
      </c>
      <c r="B5" s="504"/>
      <c r="C5" s="504"/>
      <c r="D5" s="504"/>
      <c r="E5" s="504"/>
      <c r="F5" s="505"/>
      <c r="G5" s="505"/>
      <c r="H5" s="505"/>
      <c r="I5" s="506"/>
    </row>
    <row r="6" spans="1:19" ht="15" customHeight="1" thickTop="1" thickBot="1" x14ac:dyDescent="0.4">
      <c r="A6" s="484" t="s">
        <v>24</v>
      </c>
      <c r="B6" s="497" t="s">
        <v>590</v>
      </c>
      <c r="C6" s="498"/>
      <c r="D6" s="498"/>
      <c r="E6" s="499"/>
      <c r="F6" s="46" t="s">
        <v>302</v>
      </c>
      <c r="G6" s="331">
        <v>99.000000000000014</v>
      </c>
      <c r="H6" s="335">
        <v>46.86</v>
      </c>
      <c r="I6" s="339">
        <f>G6*H6</f>
        <v>4639.1400000000003</v>
      </c>
    </row>
    <row r="7" spans="1:19" ht="15.5" thickTop="1" thickBot="1" x14ac:dyDescent="0.4">
      <c r="A7" s="393"/>
      <c r="B7" s="456" t="str">
        <f>[1]Appendices!D26</f>
        <v>C2</v>
      </c>
      <c r="C7" s="457"/>
      <c r="D7" s="457"/>
      <c r="E7" s="458"/>
      <c r="F7" s="27" t="s">
        <v>98</v>
      </c>
      <c r="G7" s="328">
        <v>1.5</v>
      </c>
      <c r="H7" s="332">
        <v>46.86</v>
      </c>
      <c r="I7" s="340">
        <f t="shared" ref="I7:I71" si="0">G7*H7</f>
        <v>70.289999999999992</v>
      </c>
    </row>
    <row r="8" spans="1:19" ht="15.5" thickTop="1" thickBot="1" x14ac:dyDescent="0.4">
      <c r="A8" s="393"/>
      <c r="B8" s="456" t="str">
        <f>[1]Appendices!D27</f>
        <v>C3</v>
      </c>
      <c r="C8" s="457"/>
      <c r="D8" s="457"/>
      <c r="E8" s="458"/>
      <c r="F8" s="27" t="s">
        <v>32</v>
      </c>
      <c r="G8" s="328">
        <v>1.6859999999999999</v>
      </c>
      <c r="H8" s="332">
        <v>46.86</v>
      </c>
      <c r="I8" s="340">
        <f t="shared" si="0"/>
        <v>79.005960000000002</v>
      </c>
    </row>
    <row r="9" spans="1:19" ht="15.5" thickTop="1" thickBot="1" x14ac:dyDescent="0.4">
      <c r="A9" s="393"/>
      <c r="B9" s="456" t="str">
        <f>[1]Appendices!D28</f>
        <v>C4</v>
      </c>
      <c r="C9" s="457"/>
      <c r="D9" s="457"/>
      <c r="E9" s="458"/>
      <c r="F9" s="27" t="s">
        <v>33</v>
      </c>
      <c r="G9" s="328">
        <v>3.4740000000000002</v>
      </c>
      <c r="H9" s="332">
        <v>46.86</v>
      </c>
      <c r="I9" s="340">
        <f t="shared" si="0"/>
        <v>162.79164</v>
      </c>
    </row>
    <row r="10" spans="1:19" ht="15.5" thickTop="1" thickBot="1" x14ac:dyDescent="0.4">
      <c r="A10" s="393"/>
      <c r="B10" s="459" t="str">
        <f>[1]Appendices!D29</f>
        <v>C5</v>
      </c>
      <c r="C10" s="460"/>
      <c r="D10" s="460"/>
      <c r="E10" s="461"/>
      <c r="F10" s="27" t="s">
        <v>47</v>
      </c>
      <c r="G10" s="328">
        <v>0.64068000000000003</v>
      </c>
      <c r="H10" s="332">
        <v>46.86</v>
      </c>
      <c r="I10" s="340">
        <f t="shared" si="0"/>
        <v>30.022264800000002</v>
      </c>
    </row>
    <row r="11" spans="1:19" ht="15.5" thickTop="1" thickBot="1" x14ac:dyDescent="0.4">
      <c r="A11" s="393"/>
      <c r="B11" s="462"/>
      <c r="C11" s="463"/>
      <c r="D11" s="463"/>
      <c r="E11" s="464"/>
      <c r="F11" s="27" t="s">
        <v>48</v>
      </c>
      <c r="G11" s="328">
        <v>0.39722159999999995</v>
      </c>
      <c r="H11" s="332">
        <v>46.86</v>
      </c>
      <c r="I11" s="340">
        <f t="shared" si="0"/>
        <v>18.613804175999999</v>
      </c>
    </row>
    <row r="12" spans="1:19" ht="15.5" thickTop="1" thickBot="1" x14ac:dyDescent="0.4">
      <c r="A12" s="393"/>
      <c r="B12" s="462"/>
      <c r="C12" s="463"/>
      <c r="D12" s="463"/>
      <c r="E12" s="464"/>
      <c r="F12" s="27" t="s">
        <v>49</v>
      </c>
      <c r="G12" s="328">
        <v>0.24627739200000001</v>
      </c>
      <c r="H12" s="332">
        <v>46.86</v>
      </c>
      <c r="I12" s="340">
        <f t="shared" si="0"/>
        <v>11.54055858912</v>
      </c>
    </row>
    <row r="13" spans="1:19" ht="15.5" thickTop="1" thickBot="1" x14ac:dyDescent="0.4">
      <c r="A13" s="393"/>
      <c r="B13" s="462"/>
      <c r="C13" s="463"/>
      <c r="D13" s="463"/>
      <c r="E13" s="464"/>
      <c r="F13" s="27" t="s">
        <v>50</v>
      </c>
      <c r="G13" s="328">
        <v>0.15269198303999998</v>
      </c>
      <c r="H13" s="332">
        <v>46.86</v>
      </c>
      <c r="I13" s="340">
        <f t="shared" si="0"/>
        <v>7.1551463252543988</v>
      </c>
    </row>
    <row r="14" spans="1:19" ht="15.5" thickTop="1" thickBot="1" x14ac:dyDescent="0.4">
      <c r="A14" s="393"/>
      <c r="B14" s="462"/>
      <c r="C14" s="463"/>
      <c r="D14" s="463"/>
      <c r="E14" s="464"/>
      <c r="F14" s="27" t="s">
        <v>51</v>
      </c>
      <c r="G14" s="328">
        <v>9.4669029484799994E-2</v>
      </c>
      <c r="H14" s="332">
        <v>46.86</v>
      </c>
      <c r="I14" s="340">
        <f t="shared" si="0"/>
        <v>4.4361907216577272</v>
      </c>
    </row>
    <row r="15" spans="1:19" ht="15.5" thickTop="1" thickBot="1" x14ac:dyDescent="0.4">
      <c r="A15" s="393"/>
      <c r="B15" s="462"/>
      <c r="C15" s="463"/>
      <c r="D15" s="463"/>
      <c r="E15" s="464"/>
      <c r="F15" s="27" t="s">
        <v>52</v>
      </c>
      <c r="G15" s="328">
        <v>5.8694798280575999E-2</v>
      </c>
      <c r="H15" s="332">
        <v>46.86</v>
      </c>
      <c r="I15" s="340">
        <f t="shared" si="0"/>
        <v>2.7504382474277911</v>
      </c>
    </row>
    <row r="16" spans="1:19" ht="15.5" thickTop="1" thickBot="1" x14ac:dyDescent="0.4">
      <c r="A16" s="393"/>
      <c r="B16" s="465"/>
      <c r="C16" s="466"/>
      <c r="D16" s="466"/>
      <c r="E16" s="467"/>
      <c r="F16" s="27" t="s">
        <v>53</v>
      </c>
      <c r="G16" s="328">
        <v>3.2376134282879998E-2</v>
      </c>
      <c r="H16" s="332">
        <v>46.86</v>
      </c>
      <c r="I16" s="340">
        <f t="shared" si="0"/>
        <v>1.5171456524957567</v>
      </c>
    </row>
    <row r="17" spans="1:9" ht="15.5" thickTop="1" thickBot="1" x14ac:dyDescent="0.4">
      <c r="A17" s="393"/>
      <c r="B17" s="459" t="str">
        <f>[1]Appendices!D30</f>
        <v>C6</v>
      </c>
      <c r="C17" s="460"/>
      <c r="D17" s="460"/>
      <c r="E17" s="461"/>
      <c r="F17" s="27" t="s">
        <v>102</v>
      </c>
      <c r="G17" s="328">
        <v>1.8693</v>
      </c>
      <c r="H17" s="332">
        <v>46.86</v>
      </c>
      <c r="I17" s="340">
        <f t="shared" si="0"/>
        <v>87.595398000000003</v>
      </c>
    </row>
    <row r="18" spans="1:9" ht="15.5" thickTop="1" thickBot="1" x14ac:dyDescent="0.4">
      <c r="A18" s="393"/>
      <c r="B18" s="462"/>
      <c r="C18" s="463"/>
      <c r="D18" s="463"/>
      <c r="E18" s="464"/>
      <c r="F18" s="27" t="s">
        <v>103</v>
      </c>
      <c r="G18" s="328">
        <v>1.0281150000000001</v>
      </c>
      <c r="H18" s="332">
        <v>46.86</v>
      </c>
      <c r="I18" s="340">
        <f t="shared" si="0"/>
        <v>48.177468900000008</v>
      </c>
    </row>
    <row r="19" spans="1:9" ht="15.5" thickTop="1" thickBot="1" x14ac:dyDescent="0.4">
      <c r="A19" s="393"/>
      <c r="B19" s="462"/>
      <c r="C19" s="463"/>
      <c r="D19" s="463"/>
      <c r="E19" s="464"/>
      <c r="F19" s="27" t="s">
        <v>104</v>
      </c>
      <c r="G19" s="328">
        <v>0.56546325000000008</v>
      </c>
      <c r="H19" s="332">
        <v>46.86</v>
      </c>
      <c r="I19" s="340">
        <f t="shared" si="0"/>
        <v>26.497607895000005</v>
      </c>
    </row>
    <row r="20" spans="1:9" ht="15.5" thickTop="1" thickBot="1" x14ac:dyDescent="0.4">
      <c r="A20" s="393"/>
      <c r="B20" s="462"/>
      <c r="C20" s="463"/>
      <c r="D20" s="463"/>
      <c r="E20" s="464"/>
      <c r="F20" s="57" t="s">
        <v>105</v>
      </c>
      <c r="G20" s="328">
        <v>0.31100478750000005</v>
      </c>
      <c r="H20" s="332">
        <v>46.86</v>
      </c>
      <c r="I20" s="340">
        <f t="shared" si="0"/>
        <v>14.573684342250003</v>
      </c>
    </row>
    <row r="21" spans="1:9" ht="15.5" thickTop="1" thickBot="1" x14ac:dyDescent="0.4">
      <c r="A21" s="393"/>
      <c r="B21" s="462"/>
      <c r="C21" s="463"/>
      <c r="D21" s="463"/>
      <c r="E21" s="464"/>
      <c r="F21" s="57" t="s">
        <v>106</v>
      </c>
      <c r="G21" s="328">
        <v>0.17105263312500002</v>
      </c>
      <c r="H21" s="332">
        <v>46.86</v>
      </c>
      <c r="I21" s="340">
        <f t="shared" si="0"/>
        <v>8.0155263882375003</v>
      </c>
    </row>
    <row r="22" spans="1:9" ht="15.5" thickTop="1" thickBot="1" x14ac:dyDescent="0.4">
      <c r="A22" s="393"/>
      <c r="B22" s="462"/>
      <c r="C22" s="463"/>
      <c r="D22" s="463"/>
      <c r="E22" s="464"/>
      <c r="F22" s="57" t="s">
        <v>107</v>
      </c>
      <c r="G22" s="328">
        <v>9.4078948218750014E-2</v>
      </c>
      <c r="H22" s="332">
        <v>46.86</v>
      </c>
      <c r="I22" s="340">
        <f t="shared" si="0"/>
        <v>4.4085395135306253</v>
      </c>
    </row>
    <row r="23" spans="1:9" ht="15.5" thickTop="1" thickBot="1" x14ac:dyDescent="0.4">
      <c r="A23" s="393"/>
      <c r="B23" s="465"/>
      <c r="C23" s="466"/>
      <c r="D23" s="466"/>
      <c r="E23" s="467"/>
      <c r="F23" s="57" t="s">
        <v>108</v>
      </c>
      <c r="G23" s="328">
        <v>7.7228987343750014E-2</v>
      </c>
      <c r="H23" s="332">
        <v>46.86</v>
      </c>
      <c r="I23" s="340">
        <f t="shared" si="0"/>
        <v>3.6189503469281257</v>
      </c>
    </row>
    <row r="24" spans="1:9" ht="15.5" thickTop="1" thickBot="1" x14ac:dyDescent="0.4">
      <c r="A24" s="393"/>
      <c r="B24" s="456" t="str">
        <f>[1]Appendices!D62</f>
        <v>D1</v>
      </c>
      <c r="C24" s="457"/>
      <c r="D24" s="457"/>
      <c r="E24" s="458"/>
      <c r="F24" s="57" t="s">
        <v>38</v>
      </c>
      <c r="G24" s="328">
        <v>4.5</v>
      </c>
      <c r="H24" s="332">
        <v>46.86</v>
      </c>
      <c r="I24" s="340">
        <f t="shared" si="0"/>
        <v>210.87</v>
      </c>
    </row>
    <row r="25" spans="1:9" ht="15.5" thickTop="1" thickBot="1" x14ac:dyDescent="0.4">
      <c r="A25" s="393"/>
      <c r="B25" s="456" t="str">
        <f>[1]Appendices!D66</f>
        <v>D4</v>
      </c>
      <c r="C25" s="457"/>
      <c r="D25" s="457"/>
      <c r="E25" s="458"/>
      <c r="F25" s="78" t="s">
        <v>34</v>
      </c>
      <c r="G25" s="328">
        <v>1.5</v>
      </c>
      <c r="H25" s="332">
        <v>46.86</v>
      </c>
      <c r="I25" s="340">
        <f t="shared" si="0"/>
        <v>70.289999999999992</v>
      </c>
    </row>
    <row r="26" spans="1:9" ht="15.5" thickTop="1" thickBot="1" x14ac:dyDescent="0.4">
      <c r="A26" s="393"/>
      <c r="B26" s="497" t="s">
        <v>592</v>
      </c>
      <c r="C26" s="498"/>
      <c r="D26" s="498"/>
      <c r="E26" s="499"/>
      <c r="F26" s="46" t="s">
        <v>591</v>
      </c>
      <c r="G26" s="329">
        <v>20</v>
      </c>
      <c r="H26" s="335">
        <v>46.86</v>
      </c>
      <c r="I26" s="341">
        <f t="shared" si="0"/>
        <v>937.2</v>
      </c>
    </row>
    <row r="27" spans="1:9" ht="15.5" thickTop="1" thickBot="1" x14ac:dyDescent="0.4">
      <c r="A27" s="393"/>
      <c r="B27" s="456" t="s">
        <v>594</v>
      </c>
      <c r="C27" s="457"/>
      <c r="D27" s="457"/>
      <c r="E27" s="458"/>
      <c r="F27" s="78" t="s">
        <v>593</v>
      </c>
      <c r="G27" s="328">
        <v>1.6</v>
      </c>
      <c r="H27" s="332">
        <v>46.86</v>
      </c>
      <c r="I27" s="340">
        <f t="shared" si="0"/>
        <v>74.975999999999999</v>
      </c>
    </row>
    <row r="28" spans="1:9" ht="15.5" thickTop="1" thickBot="1" x14ac:dyDescent="0.4">
      <c r="A28" s="393"/>
      <c r="B28" s="459" t="s">
        <v>596</v>
      </c>
      <c r="C28" s="460"/>
      <c r="D28" s="460"/>
      <c r="E28" s="461"/>
      <c r="F28" s="78" t="s">
        <v>595</v>
      </c>
      <c r="G28" s="328">
        <v>0.36</v>
      </c>
      <c r="H28" s="332">
        <v>46.86</v>
      </c>
      <c r="I28" s="340">
        <f t="shared" si="0"/>
        <v>16.869599999999998</v>
      </c>
    </row>
    <row r="29" spans="1:9" ht="15.5" thickTop="1" thickBot="1" x14ac:dyDescent="0.4">
      <c r="A29" s="393"/>
      <c r="B29" s="462"/>
      <c r="C29" s="463"/>
      <c r="D29" s="463"/>
      <c r="E29" s="464"/>
      <c r="F29" s="78" t="s">
        <v>597</v>
      </c>
      <c r="G29" s="328">
        <v>0.30000000000000004</v>
      </c>
      <c r="H29" s="332">
        <v>46.86</v>
      </c>
      <c r="I29" s="340">
        <f t="shared" si="0"/>
        <v>14.058000000000002</v>
      </c>
    </row>
    <row r="30" spans="1:9" ht="15.5" thickTop="1" thickBot="1" x14ac:dyDescent="0.4">
      <c r="A30" s="393"/>
      <c r="B30" s="462"/>
      <c r="C30" s="463"/>
      <c r="D30" s="463"/>
      <c r="E30" s="464"/>
      <c r="F30" s="78" t="s">
        <v>598</v>
      </c>
      <c r="G30" s="328">
        <v>0.2</v>
      </c>
      <c r="H30" s="332">
        <v>46.86</v>
      </c>
      <c r="I30" s="340">
        <f t="shared" si="0"/>
        <v>9.3719999999999999</v>
      </c>
    </row>
    <row r="31" spans="1:9" ht="15.5" thickTop="1" thickBot="1" x14ac:dyDescent="0.4">
      <c r="A31" s="393"/>
      <c r="B31" s="462"/>
      <c r="C31" s="463"/>
      <c r="D31" s="463"/>
      <c r="E31" s="464"/>
      <c r="F31" s="78" t="s">
        <v>599</v>
      </c>
      <c r="G31" s="328">
        <v>0.12</v>
      </c>
      <c r="H31" s="332">
        <v>46.86</v>
      </c>
      <c r="I31" s="340">
        <f t="shared" si="0"/>
        <v>5.6231999999999998</v>
      </c>
    </row>
    <row r="32" spans="1:9" ht="15.5" thickTop="1" thickBot="1" x14ac:dyDescent="0.4">
      <c r="A32" s="393"/>
      <c r="B32" s="462"/>
      <c r="C32" s="463"/>
      <c r="D32" s="463"/>
      <c r="E32" s="464"/>
      <c r="F32" s="78" t="s">
        <v>600</v>
      </c>
      <c r="G32" s="328">
        <v>0.08</v>
      </c>
      <c r="H32" s="332">
        <v>46.86</v>
      </c>
      <c r="I32" s="340">
        <f t="shared" si="0"/>
        <v>3.7488000000000001</v>
      </c>
    </row>
    <row r="33" spans="1:9" ht="15.5" thickTop="1" thickBot="1" x14ac:dyDescent="0.4">
      <c r="A33" s="393"/>
      <c r="B33" s="462"/>
      <c r="C33" s="463"/>
      <c r="D33" s="463"/>
      <c r="E33" s="464"/>
      <c r="F33" s="78" t="s">
        <v>601</v>
      </c>
      <c r="G33" s="328">
        <v>0.04</v>
      </c>
      <c r="H33" s="332">
        <v>46.86</v>
      </c>
      <c r="I33" s="340">
        <f t="shared" si="0"/>
        <v>1.8744000000000001</v>
      </c>
    </row>
    <row r="34" spans="1:9" ht="15.5" thickTop="1" thickBot="1" x14ac:dyDescent="0.4">
      <c r="A34" s="393"/>
      <c r="B34" s="465"/>
      <c r="C34" s="466"/>
      <c r="D34" s="466"/>
      <c r="E34" s="467"/>
      <c r="F34" s="78" t="s">
        <v>602</v>
      </c>
      <c r="G34" s="328">
        <v>0.02</v>
      </c>
      <c r="H34" s="332">
        <v>46.86</v>
      </c>
      <c r="I34" s="340">
        <f t="shared" si="0"/>
        <v>0.93720000000000003</v>
      </c>
    </row>
    <row r="35" spans="1:9" ht="15.5" thickTop="1" thickBot="1" x14ac:dyDescent="0.4">
      <c r="A35" s="393"/>
      <c r="B35" s="459" t="s">
        <v>603</v>
      </c>
      <c r="C35" s="460"/>
      <c r="D35" s="460"/>
      <c r="E35" s="461"/>
      <c r="F35" s="78" t="s">
        <v>634</v>
      </c>
      <c r="G35" s="328">
        <v>0.45</v>
      </c>
      <c r="H35" s="332">
        <v>46.86</v>
      </c>
      <c r="I35" s="340">
        <f t="shared" si="0"/>
        <v>21.087</v>
      </c>
    </row>
    <row r="36" spans="1:9" ht="15.5" thickTop="1" thickBot="1" x14ac:dyDescent="0.4">
      <c r="A36" s="393"/>
      <c r="B36" s="462"/>
      <c r="C36" s="463"/>
      <c r="D36" s="463"/>
      <c r="E36" s="464"/>
      <c r="F36" s="78" t="s">
        <v>635</v>
      </c>
      <c r="G36" s="328">
        <v>0.45</v>
      </c>
      <c r="H36" s="332">
        <v>46.86</v>
      </c>
      <c r="I36" s="340">
        <f t="shared" si="0"/>
        <v>21.087</v>
      </c>
    </row>
    <row r="37" spans="1:9" ht="15.5" thickTop="1" thickBot="1" x14ac:dyDescent="0.4">
      <c r="A37" s="393"/>
      <c r="B37" s="462"/>
      <c r="C37" s="463"/>
      <c r="D37" s="463"/>
      <c r="E37" s="464"/>
      <c r="F37" s="78" t="s">
        <v>636</v>
      </c>
      <c r="G37" s="328">
        <v>0.32</v>
      </c>
      <c r="H37" s="332">
        <v>46.86</v>
      </c>
      <c r="I37" s="340">
        <f t="shared" si="0"/>
        <v>14.995200000000001</v>
      </c>
    </row>
    <row r="38" spans="1:9" ht="14.5" customHeight="1" thickTop="1" thickBot="1" x14ac:dyDescent="0.4">
      <c r="A38" s="393"/>
      <c r="B38" s="462"/>
      <c r="C38" s="463"/>
      <c r="D38" s="463"/>
      <c r="E38" s="464"/>
      <c r="F38" s="78" t="s">
        <v>637</v>
      </c>
      <c r="G38" s="328">
        <v>0.18</v>
      </c>
      <c r="H38" s="332">
        <v>46.86</v>
      </c>
      <c r="I38" s="340">
        <f t="shared" si="0"/>
        <v>8.4347999999999992</v>
      </c>
    </row>
    <row r="39" spans="1:9" ht="15.5" thickTop="1" thickBot="1" x14ac:dyDescent="0.4">
      <c r="A39" s="393"/>
      <c r="B39" s="462"/>
      <c r="C39" s="463"/>
      <c r="D39" s="463"/>
      <c r="E39" s="464"/>
      <c r="F39" s="78" t="s">
        <v>638</v>
      </c>
      <c r="G39" s="328">
        <v>0.14000000000000001</v>
      </c>
      <c r="H39" s="332">
        <v>46.86</v>
      </c>
      <c r="I39" s="340">
        <f t="shared" si="0"/>
        <v>6.5604000000000005</v>
      </c>
    </row>
    <row r="40" spans="1:9" ht="15.5" thickTop="1" thickBot="1" x14ac:dyDescent="0.4">
      <c r="A40" s="393"/>
      <c r="B40" s="462"/>
      <c r="C40" s="463"/>
      <c r="D40" s="463"/>
      <c r="E40" s="464"/>
      <c r="F40" s="78" t="s">
        <v>639</v>
      </c>
      <c r="G40" s="328">
        <v>7.0000000000000007E-2</v>
      </c>
      <c r="H40" s="332">
        <v>46.86</v>
      </c>
      <c r="I40" s="340">
        <f t="shared" si="0"/>
        <v>3.2802000000000002</v>
      </c>
    </row>
    <row r="41" spans="1:9" ht="15.5" thickTop="1" thickBot="1" x14ac:dyDescent="0.4">
      <c r="A41" s="393"/>
      <c r="B41" s="465"/>
      <c r="C41" s="466"/>
      <c r="D41" s="466"/>
      <c r="E41" s="467"/>
      <c r="F41" s="78" t="s">
        <v>604</v>
      </c>
      <c r="G41" s="328">
        <v>0.05</v>
      </c>
      <c r="H41" s="332">
        <v>46.86</v>
      </c>
      <c r="I41" s="340">
        <f t="shared" si="0"/>
        <v>2.343</v>
      </c>
    </row>
    <row r="42" spans="1:9" ht="14.5" customHeight="1" thickBot="1" x14ac:dyDescent="0.4">
      <c r="A42" s="484" t="s">
        <v>63</v>
      </c>
      <c r="B42" s="474" t="s">
        <v>605</v>
      </c>
      <c r="C42" s="475"/>
      <c r="D42" s="475"/>
      <c r="E42" s="476"/>
      <c r="F42" s="33" t="s">
        <v>93</v>
      </c>
      <c r="G42" s="329">
        <v>775.86</v>
      </c>
      <c r="H42" s="334">
        <v>26.93</v>
      </c>
      <c r="I42" s="341">
        <f t="shared" ref="I42:I68" si="1">G42*H42</f>
        <v>20893.909800000001</v>
      </c>
    </row>
    <row r="43" spans="1:9" ht="15" thickBot="1" x14ac:dyDescent="0.4">
      <c r="A43" s="393"/>
      <c r="B43" s="456" t="str">
        <f>[1]Appendices!D31</f>
        <v>C7</v>
      </c>
      <c r="C43" s="457"/>
      <c r="D43" s="457"/>
      <c r="E43" s="458"/>
      <c r="F43" s="27" t="s">
        <v>82</v>
      </c>
      <c r="G43" s="328">
        <v>18.174166666666665</v>
      </c>
      <c r="H43" s="333">
        <v>26.93</v>
      </c>
      <c r="I43" s="340">
        <f t="shared" si="1"/>
        <v>489.43030833333324</v>
      </c>
    </row>
    <row r="44" spans="1:9" ht="15" thickBot="1" x14ac:dyDescent="0.4">
      <c r="A44" s="393"/>
      <c r="B44" s="456" t="str">
        <f>[1]Appendices!D32</f>
        <v>C8</v>
      </c>
      <c r="C44" s="457"/>
      <c r="D44" s="457"/>
      <c r="E44" s="458"/>
      <c r="F44" s="27" t="s">
        <v>83</v>
      </c>
      <c r="G44" s="328">
        <v>48.25</v>
      </c>
      <c r="H44" s="333">
        <v>26.93</v>
      </c>
      <c r="I44" s="340">
        <f t="shared" si="1"/>
        <v>1299.3724999999999</v>
      </c>
    </row>
    <row r="45" spans="1:9" ht="15" thickBot="1" x14ac:dyDescent="0.4">
      <c r="A45" s="393"/>
      <c r="B45" s="459" t="str">
        <f>[1]Appendices!D33</f>
        <v>C9</v>
      </c>
      <c r="C45" s="460"/>
      <c r="D45" s="460"/>
      <c r="E45" s="461"/>
      <c r="F45" s="27" t="s">
        <v>84</v>
      </c>
      <c r="G45" s="328">
        <v>6.1383333333333336</v>
      </c>
      <c r="H45" s="333">
        <v>26.93</v>
      </c>
      <c r="I45" s="340">
        <f t="shared" si="1"/>
        <v>165.30531666666667</v>
      </c>
    </row>
    <row r="46" spans="1:9" ht="15" thickBot="1" x14ac:dyDescent="0.4">
      <c r="A46" s="393"/>
      <c r="B46" s="462"/>
      <c r="C46" s="463"/>
      <c r="D46" s="463"/>
      <c r="E46" s="464"/>
      <c r="F46" s="27" t="s">
        <v>85</v>
      </c>
      <c r="G46" s="328">
        <v>2.7613333333333334</v>
      </c>
      <c r="H46" s="333">
        <v>26.93</v>
      </c>
      <c r="I46" s="340">
        <f t="shared" si="1"/>
        <v>74.362706666666668</v>
      </c>
    </row>
    <row r="47" spans="1:9" ht="15" thickBot="1" x14ac:dyDescent="0.4">
      <c r="A47" s="393"/>
      <c r="B47" s="462"/>
      <c r="C47" s="463"/>
      <c r="D47" s="463"/>
      <c r="E47" s="464"/>
      <c r="F47" s="27" t="s">
        <v>86</v>
      </c>
      <c r="G47" s="328">
        <v>1.2414999999999998</v>
      </c>
      <c r="H47" s="333">
        <v>26.93</v>
      </c>
      <c r="I47" s="340">
        <f t="shared" si="1"/>
        <v>33.433594999999997</v>
      </c>
    </row>
    <row r="48" spans="1:9" ht="15" thickBot="1" x14ac:dyDescent="0.4">
      <c r="A48" s="393"/>
      <c r="B48" s="462"/>
      <c r="C48" s="463"/>
      <c r="D48" s="463"/>
      <c r="E48" s="464"/>
      <c r="F48" s="27" t="s">
        <v>87</v>
      </c>
      <c r="G48" s="328">
        <v>0.55418999999999974</v>
      </c>
      <c r="H48" s="333">
        <v>26.93</v>
      </c>
      <c r="I48" s="340">
        <f t="shared" si="1"/>
        <v>14.924336699999992</v>
      </c>
    </row>
    <row r="49" spans="1:9" ht="15" thickBot="1" x14ac:dyDescent="0.4">
      <c r="A49" s="393"/>
      <c r="B49" s="462"/>
      <c r="C49" s="463"/>
      <c r="D49" s="463"/>
      <c r="E49" s="464"/>
      <c r="F49" s="27" t="s">
        <v>88</v>
      </c>
      <c r="G49" s="328">
        <v>0.25313999999999987</v>
      </c>
      <c r="H49" s="333">
        <v>26.93</v>
      </c>
      <c r="I49" s="340">
        <f t="shared" si="1"/>
        <v>6.8170601999999967</v>
      </c>
    </row>
    <row r="50" spans="1:9" ht="15" thickBot="1" x14ac:dyDescent="0.4">
      <c r="A50" s="393"/>
      <c r="B50" s="462"/>
      <c r="C50" s="463"/>
      <c r="D50" s="463"/>
      <c r="E50" s="464"/>
      <c r="F50" s="27" t="s">
        <v>89</v>
      </c>
      <c r="G50" s="328">
        <v>0.10750739999999986</v>
      </c>
      <c r="H50" s="333">
        <v>26.93</v>
      </c>
      <c r="I50" s="340">
        <f t="shared" si="1"/>
        <v>2.8951742819999962</v>
      </c>
    </row>
    <row r="51" spans="1:9" ht="15" thickBot="1" x14ac:dyDescent="0.4">
      <c r="A51" s="393"/>
      <c r="B51" s="465"/>
      <c r="C51" s="466"/>
      <c r="D51" s="466"/>
      <c r="E51" s="467"/>
      <c r="F51" s="27" t="s">
        <v>90</v>
      </c>
      <c r="G51" s="328">
        <v>4.5286999999999945E-2</v>
      </c>
      <c r="H51" s="333">
        <v>26.93</v>
      </c>
      <c r="I51" s="340">
        <f t="shared" si="1"/>
        <v>1.2195789099999985</v>
      </c>
    </row>
    <row r="52" spans="1:9" ht="15" thickBot="1" x14ac:dyDescent="0.4">
      <c r="A52" s="393"/>
      <c r="B52" s="459" t="str">
        <f>[1]Appendices!D34</f>
        <v>C10</v>
      </c>
      <c r="C52" s="460"/>
      <c r="D52" s="460"/>
      <c r="E52" s="461"/>
      <c r="F52" s="27" t="s">
        <v>109</v>
      </c>
      <c r="G52" s="328">
        <v>15.459300000000002</v>
      </c>
      <c r="H52" s="333">
        <v>26.93</v>
      </c>
      <c r="I52" s="340">
        <f t="shared" si="1"/>
        <v>416.31894900000009</v>
      </c>
    </row>
    <row r="53" spans="1:9" ht="15" thickBot="1" x14ac:dyDescent="0.4">
      <c r="A53" s="393"/>
      <c r="B53" s="462"/>
      <c r="C53" s="463"/>
      <c r="D53" s="463"/>
      <c r="E53" s="464"/>
      <c r="F53" s="27" t="s">
        <v>110</v>
      </c>
      <c r="G53" s="328">
        <v>7.4204640000000008</v>
      </c>
      <c r="H53" s="333">
        <v>26.93</v>
      </c>
      <c r="I53" s="340">
        <f t="shared" si="1"/>
        <v>199.83309552000003</v>
      </c>
    </row>
    <row r="54" spans="1:9" ht="15" thickBot="1" x14ac:dyDescent="0.4">
      <c r="A54" s="393"/>
      <c r="B54" s="462"/>
      <c r="C54" s="463"/>
      <c r="D54" s="463"/>
      <c r="E54" s="464"/>
      <c r="F54" s="27" t="s">
        <v>111</v>
      </c>
      <c r="G54" s="328">
        <v>3.501792</v>
      </c>
      <c r="H54" s="333">
        <v>26.93</v>
      </c>
      <c r="I54" s="340">
        <f t="shared" si="1"/>
        <v>94.303258560000003</v>
      </c>
    </row>
    <row r="55" spans="1:9" ht="15" thickBot="1" x14ac:dyDescent="0.4">
      <c r="A55" s="393"/>
      <c r="B55" s="462"/>
      <c r="C55" s="463"/>
      <c r="D55" s="463"/>
      <c r="E55" s="464"/>
      <c r="F55" s="27" t="s">
        <v>112</v>
      </c>
      <c r="G55" s="328">
        <v>1.750896</v>
      </c>
      <c r="H55" s="333">
        <v>26.93</v>
      </c>
      <c r="I55" s="340">
        <f t="shared" si="1"/>
        <v>47.151629280000002</v>
      </c>
    </row>
    <row r="56" spans="1:9" ht="15" thickBot="1" x14ac:dyDescent="0.4">
      <c r="A56" s="393"/>
      <c r="B56" s="462"/>
      <c r="C56" s="463"/>
      <c r="D56" s="463"/>
      <c r="E56" s="464"/>
      <c r="F56" s="27" t="s">
        <v>113</v>
      </c>
      <c r="G56" s="328">
        <v>0.86794415999999996</v>
      </c>
      <c r="H56" s="333">
        <v>26.93</v>
      </c>
      <c r="I56" s="340">
        <f t="shared" si="1"/>
        <v>23.373736228799999</v>
      </c>
    </row>
    <row r="57" spans="1:9" ht="15" thickBot="1" x14ac:dyDescent="0.4">
      <c r="A57" s="393"/>
      <c r="B57" s="462"/>
      <c r="C57" s="463"/>
      <c r="D57" s="463"/>
      <c r="E57" s="464"/>
      <c r="F57" s="27" t="s">
        <v>114</v>
      </c>
      <c r="G57" s="328">
        <v>0.43882456319999996</v>
      </c>
      <c r="H57" s="333">
        <v>26.93</v>
      </c>
      <c r="I57" s="340">
        <f t="shared" si="1"/>
        <v>11.817545486975998</v>
      </c>
    </row>
    <row r="58" spans="1:9" ht="15" thickBot="1" x14ac:dyDescent="0.4">
      <c r="A58" s="393"/>
      <c r="B58" s="465"/>
      <c r="C58" s="466"/>
      <c r="D58" s="466"/>
      <c r="E58" s="467"/>
      <c r="F58" s="27" t="s">
        <v>115</v>
      </c>
      <c r="G58" s="328">
        <v>0.33166972800000005</v>
      </c>
      <c r="H58" s="333">
        <v>26.93</v>
      </c>
      <c r="I58" s="340">
        <f t="shared" si="1"/>
        <v>8.9318657750400021</v>
      </c>
    </row>
    <row r="59" spans="1:9" ht="15" thickBot="1" x14ac:dyDescent="0.4">
      <c r="A59" s="393"/>
      <c r="B59" s="456" t="str">
        <f>[1]Appendices!D62</f>
        <v>D1</v>
      </c>
      <c r="C59" s="457"/>
      <c r="D59" s="457"/>
      <c r="E59" s="458"/>
      <c r="F59" s="27" t="s">
        <v>38</v>
      </c>
      <c r="G59" s="328">
        <v>42.46</v>
      </c>
      <c r="H59" s="333">
        <v>26.93</v>
      </c>
      <c r="I59" s="340">
        <f t="shared" si="1"/>
        <v>1143.4477999999999</v>
      </c>
    </row>
    <row r="60" spans="1:9" ht="15" thickBot="1" x14ac:dyDescent="0.4">
      <c r="A60" s="393"/>
      <c r="B60" s="468" t="str">
        <f>[1]Appendices!D67</f>
        <v>D5</v>
      </c>
      <c r="C60" s="469"/>
      <c r="D60" s="469"/>
      <c r="E60" s="470"/>
      <c r="F60" s="27" t="s">
        <v>295</v>
      </c>
      <c r="G60" s="328">
        <v>2.1</v>
      </c>
      <c r="H60" s="333">
        <v>26.93</v>
      </c>
      <c r="I60" s="340">
        <f t="shared" si="1"/>
        <v>56.553000000000004</v>
      </c>
    </row>
    <row r="61" spans="1:9" ht="15" thickBot="1" x14ac:dyDescent="0.4">
      <c r="A61" s="393"/>
      <c r="B61" s="402" t="str">
        <f>[1]Appendices!D68</f>
        <v>D6</v>
      </c>
      <c r="C61" s="403"/>
      <c r="D61" s="403"/>
      <c r="E61" s="404"/>
      <c r="F61" s="27" t="s">
        <v>296</v>
      </c>
      <c r="G61" s="328">
        <v>23.04</v>
      </c>
      <c r="H61" s="333">
        <v>26.93</v>
      </c>
      <c r="I61" s="340">
        <f t="shared" si="1"/>
        <v>620.46719999999993</v>
      </c>
    </row>
    <row r="62" spans="1:9" ht="15" thickBot="1" x14ac:dyDescent="0.4">
      <c r="A62" s="393"/>
      <c r="B62" s="405"/>
      <c r="C62" s="406"/>
      <c r="D62" s="406"/>
      <c r="E62" s="407"/>
      <c r="F62" s="27" t="s">
        <v>297</v>
      </c>
      <c r="G62" s="328">
        <v>8.0640000000000001</v>
      </c>
      <c r="H62" s="333">
        <v>26.93</v>
      </c>
      <c r="I62" s="340">
        <f t="shared" si="1"/>
        <v>217.16352000000001</v>
      </c>
    </row>
    <row r="63" spans="1:9" ht="15" thickBot="1" x14ac:dyDescent="0.4">
      <c r="A63" s="393"/>
      <c r="B63" s="408"/>
      <c r="C63" s="409"/>
      <c r="D63" s="409"/>
      <c r="E63" s="410"/>
      <c r="F63" s="27" t="s">
        <v>298</v>
      </c>
      <c r="G63" s="328">
        <v>4.2629999999999999</v>
      </c>
      <c r="H63" s="333">
        <v>26.93</v>
      </c>
      <c r="I63" s="340">
        <f t="shared" si="1"/>
        <v>114.80259</v>
      </c>
    </row>
    <row r="64" spans="1:9" ht="15" thickBot="1" x14ac:dyDescent="0.4">
      <c r="A64" s="393"/>
      <c r="B64" s="471" t="str">
        <f>[1]Appendices!D69</f>
        <v>D7</v>
      </c>
      <c r="C64" s="472"/>
      <c r="D64" s="472"/>
      <c r="E64" s="473"/>
      <c r="F64" s="9" t="s">
        <v>91</v>
      </c>
      <c r="G64" s="328">
        <v>15.44</v>
      </c>
      <c r="H64" s="333">
        <v>26.93</v>
      </c>
      <c r="I64" s="340">
        <f t="shared" si="1"/>
        <v>415.79919999999998</v>
      </c>
    </row>
    <row r="65" spans="1:9" ht="15" thickBot="1" x14ac:dyDescent="0.4">
      <c r="A65" s="393"/>
      <c r="B65" s="529" t="s">
        <v>607</v>
      </c>
      <c r="C65" s="530"/>
      <c r="D65" s="530"/>
      <c r="E65" s="531"/>
      <c r="F65" s="9" t="s">
        <v>606</v>
      </c>
      <c r="G65" s="328">
        <v>0.4</v>
      </c>
      <c r="H65" s="333">
        <v>26.93</v>
      </c>
      <c r="I65" s="340">
        <f t="shared" si="1"/>
        <v>10.772</v>
      </c>
    </row>
    <row r="66" spans="1:9" ht="15" thickBot="1" x14ac:dyDescent="0.4">
      <c r="A66" s="393"/>
      <c r="B66" s="471" t="s">
        <v>608</v>
      </c>
      <c r="C66" s="472"/>
      <c r="D66" s="472"/>
      <c r="E66" s="473"/>
      <c r="F66" s="9" t="s">
        <v>459</v>
      </c>
      <c r="G66" s="328">
        <v>43.5</v>
      </c>
      <c r="H66" s="333">
        <v>26.93</v>
      </c>
      <c r="I66" s="340">
        <f t="shared" si="1"/>
        <v>1171.4549999999999</v>
      </c>
    </row>
    <row r="67" spans="1:9" ht="15" thickBot="1" x14ac:dyDescent="0.4">
      <c r="A67" s="393"/>
      <c r="B67" s="471" t="s">
        <v>609</v>
      </c>
      <c r="C67" s="472"/>
      <c r="D67" s="472"/>
      <c r="E67" s="473"/>
      <c r="F67" s="9" t="s">
        <v>640</v>
      </c>
      <c r="G67" s="330">
        <v>2</v>
      </c>
      <c r="H67" s="333">
        <v>26.93</v>
      </c>
      <c r="I67" s="340">
        <f t="shared" ref="I67" si="2">G67*H67</f>
        <v>53.86</v>
      </c>
    </row>
    <row r="68" spans="1:9" ht="15" thickBot="1" x14ac:dyDescent="0.4">
      <c r="A68" s="394"/>
      <c r="B68" s="471" t="s">
        <v>642</v>
      </c>
      <c r="C68" s="472"/>
      <c r="D68" s="472"/>
      <c r="E68" s="473"/>
      <c r="F68" s="9" t="s">
        <v>641</v>
      </c>
      <c r="G68" s="330">
        <v>14.5</v>
      </c>
      <c r="H68" s="333">
        <v>26.93</v>
      </c>
      <c r="I68" s="340">
        <f t="shared" si="1"/>
        <v>390.48500000000001</v>
      </c>
    </row>
    <row r="69" spans="1:9" ht="15" customHeight="1" thickTop="1" thickBot="1" x14ac:dyDescent="0.4">
      <c r="A69" s="395" t="s">
        <v>69</v>
      </c>
      <c r="B69" s="290" t="str">
        <f>[1]Appendices!$E$9&amp;","</f>
        <v>B3.a,</v>
      </c>
      <c r="C69" s="313" t="str">
        <f>[1]Appendices!$E$10&amp;","</f>
        <v>B3.b,</v>
      </c>
      <c r="D69" s="313" t="str">
        <f>[1]Appendices!$E$11&amp;","</f>
        <v>B3.c,</v>
      </c>
      <c r="E69" s="292" t="str">
        <f>[1]Appendices!$E$12</f>
        <v>B3.d</v>
      </c>
      <c r="F69" s="33" t="s">
        <v>97</v>
      </c>
      <c r="G69" s="331">
        <v>1120</v>
      </c>
      <c r="H69" s="334">
        <v>7.25</v>
      </c>
      <c r="I69" s="341">
        <f t="shared" si="0"/>
        <v>8120</v>
      </c>
    </row>
    <row r="70" spans="1:9" ht="15" customHeight="1" thickBot="1" x14ac:dyDescent="0.4">
      <c r="A70" s="395"/>
      <c r="B70" s="375" t="str">
        <f>[1]Appendices!$E$35&amp;","</f>
        <v>C11.a,</v>
      </c>
      <c r="C70" s="376"/>
      <c r="D70" s="438" t="str">
        <f>[1]Appendices!$E$36</f>
        <v>C11.b</v>
      </c>
      <c r="E70" s="439"/>
      <c r="F70" s="57" t="s">
        <v>116</v>
      </c>
      <c r="G70" s="328">
        <v>97.888000000000005</v>
      </c>
      <c r="H70" s="333">
        <v>7.25</v>
      </c>
      <c r="I70" s="340">
        <f t="shared" si="0"/>
        <v>709.68799999999999</v>
      </c>
    </row>
    <row r="71" spans="1:9" ht="15" thickBot="1" x14ac:dyDescent="0.4">
      <c r="A71" s="395"/>
      <c r="B71" s="377"/>
      <c r="C71" s="378"/>
      <c r="D71" s="440"/>
      <c r="E71" s="441"/>
      <c r="F71" s="57" t="s">
        <v>117</v>
      </c>
      <c r="G71" s="328">
        <v>80.176060800000002</v>
      </c>
      <c r="H71" s="333">
        <v>7.25</v>
      </c>
      <c r="I71" s="340">
        <f t="shared" si="0"/>
        <v>581.27644080000005</v>
      </c>
    </row>
    <row r="72" spans="1:9" ht="15" thickBot="1" x14ac:dyDescent="0.4">
      <c r="A72" s="395"/>
      <c r="B72" s="377"/>
      <c r="C72" s="378"/>
      <c r="D72" s="440"/>
      <c r="E72" s="441"/>
      <c r="F72" s="57" t="s">
        <v>118</v>
      </c>
      <c r="G72" s="328">
        <v>65.666794926439991</v>
      </c>
      <c r="H72" s="333">
        <v>7.25</v>
      </c>
      <c r="I72" s="340">
        <f t="shared" ref="I72:I119" si="3">G72*H72</f>
        <v>476.08426321668992</v>
      </c>
    </row>
    <row r="73" spans="1:9" ht="15" thickBot="1" x14ac:dyDescent="0.4">
      <c r="A73" s="395"/>
      <c r="B73" s="377"/>
      <c r="C73" s="378"/>
      <c r="D73" s="440"/>
      <c r="E73" s="441"/>
      <c r="F73" s="57" t="s">
        <v>631</v>
      </c>
      <c r="G73" s="328">
        <v>38.069360000000003</v>
      </c>
      <c r="H73" s="333">
        <v>7.25</v>
      </c>
      <c r="I73" s="340">
        <f t="shared" si="3"/>
        <v>276.00286</v>
      </c>
    </row>
    <row r="74" spans="1:9" ht="15" thickBot="1" x14ac:dyDescent="0.4">
      <c r="A74" s="395"/>
      <c r="B74" s="377"/>
      <c r="C74" s="378"/>
      <c r="D74" s="440"/>
      <c r="E74" s="441"/>
      <c r="F74" s="57" t="s">
        <v>120</v>
      </c>
      <c r="G74" s="328">
        <v>34.586013559999998</v>
      </c>
      <c r="H74" s="333">
        <v>7.25</v>
      </c>
      <c r="I74" s="340">
        <f t="shared" si="3"/>
        <v>250.74859830999998</v>
      </c>
    </row>
    <row r="75" spans="1:9" ht="15" thickBot="1" x14ac:dyDescent="0.4">
      <c r="A75" s="395"/>
      <c r="B75" s="377"/>
      <c r="C75" s="378"/>
      <c r="D75" s="440"/>
      <c r="E75" s="441"/>
      <c r="F75" s="57" t="s">
        <v>121</v>
      </c>
      <c r="G75" s="328">
        <v>31.421393319260002</v>
      </c>
      <c r="H75" s="333">
        <v>7.25</v>
      </c>
      <c r="I75" s="340">
        <f t="shared" si="3"/>
        <v>227.80510156463501</v>
      </c>
    </row>
    <row r="76" spans="1:9" ht="15" thickBot="1" x14ac:dyDescent="0.4">
      <c r="A76" s="395"/>
      <c r="B76" s="379"/>
      <c r="C76" s="380"/>
      <c r="D76" s="442"/>
      <c r="E76" s="443"/>
      <c r="F76" s="57" t="s">
        <v>633</v>
      </c>
      <c r="G76" s="328">
        <v>36.391633668504241</v>
      </c>
      <c r="H76" s="333">
        <v>7.25</v>
      </c>
      <c r="I76" s="340">
        <f t="shared" si="3"/>
        <v>263.83934409665574</v>
      </c>
    </row>
    <row r="77" spans="1:9" ht="15" customHeight="1" thickBot="1" x14ac:dyDescent="0.4">
      <c r="A77" s="395"/>
      <c r="B77" s="523" t="str">
        <f>[1]Appendices!$E$37&amp;","</f>
        <v>C12.a,</v>
      </c>
      <c r="C77" s="524"/>
      <c r="D77" s="525" t="str">
        <f>[1]Appendices!$E$38</f>
        <v>C12.b</v>
      </c>
      <c r="E77" s="526"/>
      <c r="F77" s="61" t="s">
        <v>630</v>
      </c>
      <c r="G77" s="328">
        <v>51.025396854256527</v>
      </c>
      <c r="H77" s="333">
        <v>7.25</v>
      </c>
      <c r="I77" s="340">
        <f t="shared" si="3"/>
        <v>369.93412719335981</v>
      </c>
    </row>
    <row r="78" spans="1:9" ht="15" customHeight="1" thickBot="1" x14ac:dyDescent="0.4">
      <c r="A78" s="395"/>
      <c r="B78" s="523" t="str">
        <f>[1]Appendices!$E$39&amp;","</f>
        <v>C13.a,</v>
      </c>
      <c r="C78" s="524"/>
      <c r="D78" s="521" t="str">
        <f>[1]Appendices!$E$40</f>
        <v>C13.b</v>
      </c>
      <c r="E78" s="522"/>
      <c r="F78" s="61" t="s">
        <v>68</v>
      </c>
      <c r="G78" s="328">
        <v>32</v>
      </c>
      <c r="H78" s="333">
        <v>7.25</v>
      </c>
      <c r="I78" s="340">
        <f t="shared" si="3"/>
        <v>232</v>
      </c>
    </row>
    <row r="79" spans="1:9" ht="15" customHeight="1" thickBot="1" x14ac:dyDescent="0.4">
      <c r="A79" s="395"/>
      <c r="B79" s="527" t="str">
        <f>[1]Appendices!$E$41&amp;","</f>
        <v>C14.a,</v>
      </c>
      <c r="C79" s="528"/>
      <c r="D79" s="521" t="str">
        <f>[1]Appendices!$E$42</f>
        <v>C14.b</v>
      </c>
      <c r="E79" s="522"/>
      <c r="F79" s="57" t="s">
        <v>123</v>
      </c>
      <c r="G79" s="328">
        <v>25.2</v>
      </c>
      <c r="H79" s="333">
        <v>7.25</v>
      </c>
      <c r="I79" s="340">
        <f t="shared" si="3"/>
        <v>182.7</v>
      </c>
    </row>
    <row r="80" spans="1:9" ht="15" customHeight="1" thickBot="1" x14ac:dyDescent="0.4">
      <c r="A80" s="395"/>
      <c r="B80" s="385" t="str">
        <f>[1]Appendices!$E$70&amp;","</f>
        <v>D6.a,</v>
      </c>
      <c r="C80" s="386"/>
      <c r="D80" s="446" t="str">
        <f>[1]Appendices!$E$71</f>
        <v>D6.b</v>
      </c>
      <c r="E80" s="447"/>
      <c r="F80" s="27" t="s">
        <v>45</v>
      </c>
      <c r="G80" s="328">
        <v>88</v>
      </c>
      <c r="H80" s="333">
        <v>7.25</v>
      </c>
      <c r="I80" s="340">
        <f t="shared" si="3"/>
        <v>638</v>
      </c>
    </row>
    <row r="81" spans="1:9" ht="15" thickBot="1" x14ac:dyDescent="0.4">
      <c r="A81" s="395"/>
      <c r="B81" s="363" t="str">
        <f>[1]Appendices!$E$72&amp;","</f>
        <v>D7.a,</v>
      </c>
      <c r="C81" s="364"/>
      <c r="D81" s="448" t="str">
        <f>[1]Appendices!$E$73</f>
        <v>D7.b</v>
      </c>
      <c r="E81" s="449"/>
      <c r="F81" s="72" t="s">
        <v>141</v>
      </c>
      <c r="G81" s="328">
        <v>133.33333333333331</v>
      </c>
      <c r="H81" s="333">
        <v>7.25</v>
      </c>
      <c r="I81" s="340">
        <f t="shared" si="3"/>
        <v>966.66666666666652</v>
      </c>
    </row>
    <row r="82" spans="1:9" ht="15" thickBot="1" x14ac:dyDescent="0.4">
      <c r="A82" s="395"/>
      <c r="B82" s="293" t="str">
        <f>[1]Appendices!$E$17&amp;","</f>
        <v>B5.a,</v>
      </c>
      <c r="C82" s="294" t="str">
        <f>[1]Appendices!$E$18&amp;","</f>
        <v>B5.b,</v>
      </c>
      <c r="D82" s="294" t="str">
        <f>[1]Appendices!$E$19&amp;","</f>
        <v>B5.c,</v>
      </c>
      <c r="E82" s="295" t="str">
        <f>[1]Appendices!$E$20</f>
        <v>B5.d</v>
      </c>
      <c r="F82" s="23" t="s">
        <v>101</v>
      </c>
      <c r="G82" s="328">
        <v>404</v>
      </c>
      <c r="H82" s="333">
        <v>7.25</v>
      </c>
      <c r="I82" s="340">
        <f t="shared" si="3"/>
        <v>2929</v>
      </c>
    </row>
    <row r="83" spans="1:9" ht="15" customHeight="1" thickBot="1" x14ac:dyDescent="0.4">
      <c r="A83" s="395" t="s">
        <v>69</v>
      </c>
      <c r="B83" s="293" t="str">
        <f>[1]Appendices!$E$17&amp;","</f>
        <v>B5.a,</v>
      </c>
      <c r="C83" s="294" t="str">
        <f>[1]Appendices!$E$18&amp;","</f>
        <v>B5.b,</v>
      </c>
      <c r="D83" s="294" t="str">
        <f>[1]Appendices!$E$19&amp;","</f>
        <v>B5.c,</v>
      </c>
      <c r="E83" s="295" t="str">
        <f>[1]Appendices!$E$20</f>
        <v>B5.d</v>
      </c>
      <c r="F83" s="33" t="s">
        <v>94</v>
      </c>
      <c r="G83" s="329">
        <v>390</v>
      </c>
      <c r="H83" s="334">
        <v>7.25</v>
      </c>
      <c r="I83" s="341">
        <f t="shared" si="3"/>
        <v>2827.5</v>
      </c>
    </row>
    <row r="84" spans="1:9" ht="15" customHeight="1" thickBot="1" x14ac:dyDescent="0.4">
      <c r="A84" s="395"/>
      <c r="B84" s="375" t="str">
        <f>[1]Appendices!$E$51&amp;","</f>
        <v>C19.a,</v>
      </c>
      <c r="C84" s="376"/>
      <c r="D84" s="450" t="str">
        <f>[1]Appendices!$E$52</f>
        <v>C19.b</v>
      </c>
      <c r="E84" s="451"/>
      <c r="F84" s="26" t="s">
        <v>124</v>
      </c>
      <c r="G84" s="328">
        <v>62.615000000000002</v>
      </c>
      <c r="H84" s="333">
        <v>7.25</v>
      </c>
      <c r="I84" s="340">
        <f t="shared" si="3"/>
        <v>453.95875000000001</v>
      </c>
    </row>
    <row r="85" spans="1:9" ht="15" thickBot="1" x14ac:dyDescent="0.4">
      <c r="A85" s="395"/>
      <c r="B85" s="377"/>
      <c r="C85" s="378"/>
      <c r="D85" s="452"/>
      <c r="E85" s="453"/>
      <c r="F85" s="26" t="s">
        <v>125</v>
      </c>
      <c r="G85" s="328">
        <v>40.088999999999999</v>
      </c>
      <c r="H85" s="333">
        <v>7.25</v>
      </c>
      <c r="I85" s="340">
        <f t="shared" si="3"/>
        <v>290.64524999999998</v>
      </c>
    </row>
    <row r="86" spans="1:9" ht="15" thickBot="1" x14ac:dyDescent="0.4">
      <c r="A86" s="395"/>
      <c r="B86" s="377"/>
      <c r="C86" s="378"/>
      <c r="D86" s="452"/>
      <c r="E86" s="453"/>
      <c r="F86" s="26" t="s">
        <v>126</v>
      </c>
      <c r="G86" s="328">
        <v>30.447498666666672</v>
      </c>
      <c r="H86" s="333">
        <v>7.25</v>
      </c>
      <c r="I86" s="340">
        <f t="shared" si="3"/>
        <v>220.74436533333338</v>
      </c>
    </row>
    <row r="87" spans="1:9" ht="15" thickBot="1" x14ac:dyDescent="0.4">
      <c r="A87" s="395"/>
      <c r="B87" s="377"/>
      <c r="C87" s="378"/>
      <c r="D87" s="452"/>
      <c r="E87" s="453"/>
      <c r="F87" s="26" t="s">
        <v>127</v>
      </c>
      <c r="G87" s="328">
        <v>21.780760400000005</v>
      </c>
      <c r="H87" s="333">
        <v>7.25</v>
      </c>
      <c r="I87" s="340">
        <f t="shared" si="3"/>
        <v>157.91051290000004</v>
      </c>
    </row>
    <row r="88" spans="1:9" ht="15" thickBot="1" x14ac:dyDescent="0.4">
      <c r="A88" s="395"/>
      <c r="B88" s="377"/>
      <c r="C88" s="378"/>
      <c r="D88" s="452"/>
      <c r="E88" s="453"/>
      <c r="F88" s="26" t="s">
        <v>128</v>
      </c>
      <c r="G88" s="328">
        <v>20.039308207240001</v>
      </c>
      <c r="H88" s="333">
        <v>7.25</v>
      </c>
      <c r="I88" s="340">
        <f t="shared" si="3"/>
        <v>145.28498450249</v>
      </c>
    </row>
    <row r="89" spans="1:9" ht="15" thickBot="1" x14ac:dyDescent="0.4">
      <c r="A89" s="395"/>
      <c r="B89" s="377"/>
      <c r="C89" s="378"/>
      <c r="D89" s="452"/>
      <c r="E89" s="453"/>
      <c r="F89" s="26" t="s">
        <v>129</v>
      </c>
      <c r="G89" s="328">
        <v>18.381657859953393</v>
      </c>
      <c r="H89" s="333">
        <v>7.25</v>
      </c>
      <c r="I89" s="340">
        <f t="shared" si="3"/>
        <v>133.26701948466209</v>
      </c>
    </row>
    <row r="90" spans="1:9" ht="15" thickBot="1" x14ac:dyDescent="0.4">
      <c r="A90" s="395"/>
      <c r="B90" s="377"/>
      <c r="C90" s="378"/>
      <c r="D90" s="452"/>
      <c r="E90" s="453"/>
      <c r="F90" s="26" t="s">
        <v>130</v>
      </c>
      <c r="G90" s="328">
        <v>16.812074447559411</v>
      </c>
      <c r="H90" s="333">
        <v>7.25</v>
      </c>
      <c r="I90" s="340">
        <f t="shared" si="3"/>
        <v>121.88753974480574</v>
      </c>
    </row>
    <row r="91" spans="1:9" ht="15" thickBot="1" x14ac:dyDescent="0.4">
      <c r="A91" s="395"/>
      <c r="B91" s="379"/>
      <c r="C91" s="380"/>
      <c r="D91" s="454"/>
      <c r="E91" s="455"/>
      <c r="F91" s="26" t="s">
        <v>131</v>
      </c>
      <c r="G91" s="328">
        <v>16.058093015182465</v>
      </c>
      <c r="H91" s="333">
        <v>7.25</v>
      </c>
      <c r="I91" s="340">
        <f t="shared" si="3"/>
        <v>116.42117436007287</v>
      </c>
    </row>
    <row r="92" spans="1:9" ht="15" customHeight="1" thickBot="1" x14ac:dyDescent="0.4">
      <c r="A92" s="395"/>
      <c r="B92" s="385" t="str">
        <f>[1]Appendices!$E$53&amp;","</f>
        <v>C20.a,</v>
      </c>
      <c r="C92" s="386"/>
      <c r="D92" s="398" t="str">
        <f>[1]Appendices!D$54</f>
        <v>C20.b</v>
      </c>
      <c r="E92" s="399"/>
      <c r="F92" s="26" t="s">
        <v>42</v>
      </c>
      <c r="G92" s="328">
        <v>15.008093015182466</v>
      </c>
      <c r="H92" s="333">
        <v>7.25</v>
      </c>
      <c r="I92" s="340">
        <f t="shared" si="3"/>
        <v>108.80867436007287</v>
      </c>
    </row>
    <row r="93" spans="1:9" ht="15" customHeight="1" thickBot="1" x14ac:dyDescent="0.4">
      <c r="A93" s="395"/>
      <c r="B93" s="385" t="str">
        <f>[1]Appendices!$E$55&amp;","</f>
        <v>C21.a,</v>
      </c>
      <c r="C93" s="386"/>
      <c r="D93" s="398" t="str">
        <f>[1]Appendices!D$56</f>
        <v>C21.b</v>
      </c>
      <c r="E93" s="399"/>
      <c r="F93" s="26" t="s">
        <v>43</v>
      </c>
      <c r="G93" s="328">
        <v>15.008093015182464</v>
      </c>
      <c r="H93" s="333">
        <v>7.25</v>
      </c>
      <c r="I93" s="340">
        <f t="shared" si="3"/>
        <v>108.80867436007286</v>
      </c>
    </row>
    <row r="94" spans="1:9" ht="15" customHeight="1" thickBot="1" x14ac:dyDescent="0.4">
      <c r="A94" s="395"/>
      <c r="B94" s="385" t="str">
        <f>[1]Appendices!$E$78&amp;","</f>
        <v>D10.a,</v>
      </c>
      <c r="C94" s="386"/>
      <c r="D94" s="480" t="str">
        <f>[1]Appendices!D$79</f>
        <v>D12.b</v>
      </c>
      <c r="E94" s="481"/>
      <c r="F94" s="26" t="s">
        <v>538</v>
      </c>
      <c r="G94" s="328">
        <v>15</v>
      </c>
      <c r="H94" s="333">
        <v>7.25</v>
      </c>
      <c r="I94" s="340">
        <f t="shared" si="3"/>
        <v>108.75</v>
      </c>
    </row>
    <row r="95" spans="1:9" ht="15" customHeight="1" thickBot="1" x14ac:dyDescent="0.4">
      <c r="A95" s="395"/>
      <c r="B95" s="361" t="str">
        <f>[1]Appendices!$E$82&amp;","</f>
        <v>D12.a,</v>
      </c>
      <c r="C95" s="362"/>
      <c r="D95" s="482" t="str">
        <f>[1]Appendices!D$83</f>
        <v>D14.b</v>
      </c>
      <c r="E95" s="483"/>
      <c r="F95" s="80" t="s">
        <v>41</v>
      </c>
      <c r="G95" s="328">
        <v>15</v>
      </c>
      <c r="H95" s="333">
        <v>7.25</v>
      </c>
      <c r="I95" s="340">
        <f t="shared" si="3"/>
        <v>108.75</v>
      </c>
    </row>
    <row r="96" spans="1:9" ht="15" thickBot="1" x14ac:dyDescent="0.4">
      <c r="A96" s="395"/>
      <c r="B96" s="290" t="str">
        <f>[1]Appendices!D15&amp;","</f>
        <v>B4.c,</v>
      </c>
      <c r="C96" s="313" t="str">
        <f>[1]Appendices!D16&amp;","</f>
        <v>B4.d,</v>
      </c>
      <c r="D96" s="313" t="str">
        <f>[1]Appendices!D17&amp;","</f>
        <v>B5.a,</v>
      </c>
      <c r="E96" s="292" t="str">
        <f>[1]Appendices!D$20</f>
        <v>B5.d</v>
      </c>
      <c r="F96" s="33" t="s">
        <v>96</v>
      </c>
      <c r="G96" s="329">
        <v>225</v>
      </c>
      <c r="H96" s="334">
        <v>7.25</v>
      </c>
      <c r="I96" s="341">
        <f t="shared" si="3"/>
        <v>1631.25</v>
      </c>
    </row>
    <row r="97" spans="1:9" ht="15" customHeight="1" thickBot="1" x14ac:dyDescent="0.4">
      <c r="A97" s="395"/>
      <c r="B97" s="385" t="str">
        <f>[1]Appendices!$E$57&amp;","</f>
        <v>C22.a,</v>
      </c>
      <c r="C97" s="386"/>
      <c r="D97" s="371" t="str">
        <f>[1]Appendices!D$58</f>
        <v>C22.b</v>
      </c>
      <c r="E97" s="372"/>
      <c r="F97" s="79" t="s">
        <v>71</v>
      </c>
      <c r="G97" s="328">
        <v>36</v>
      </c>
      <c r="H97" s="333">
        <v>7.25</v>
      </c>
      <c r="I97" s="340">
        <f t="shared" si="3"/>
        <v>261</v>
      </c>
    </row>
    <row r="98" spans="1:9" ht="15" thickBot="1" x14ac:dyDescent="0.4">
      <c r="A98" s="395"/>
      <c r="B98" s="363" t="str">
        <f>[1]Appendices!$E$80&amp;","</f>
        <v>D11.a,</v>
      </c>
      <c r="C98" s="364"/>
      <c r="D98" s="444" t="str">
        <f>[1]Appendices!D79</f>
        <v>D12.b</v>
      </c>
      <c r="E98" s="445"/>
      <c r="F98" s="66" t="s">
        <v>544</v>
      </c>
      <c r="G98" s="328">
        <v>15</v>
      </c>
      <c r="H98" s="333">
        <v>7.25</v>
      </c>
      <c r="I98" s="340">
        <f t="shared" si="3"/>
        <v>108.75</v>
      </c>
    </row>
    <row r="99" spans="1:9" ht="15" thickBot="1" x14ac:dyDescent="0.4">
      <c r="A99" s="395" t="s">
        <v>40</v>
      </c>
      <c r="B99" s="300" t="str">
        <f>[1]Appendices!D$13&amp;","</f>
        <v>B4.a,</v>
      </c>
      <c r="C99" s="301" t="str">
        <f>[1]Appendices!$E$14&amp;","</f>
        <v>B4.b,</v>
      </c>
      <c r="D99" s="301" t="str">
        <f>[1]Appendices!$E$15&amp;","</f>
        <v>B4.c,</v>
      </c>
      <c r="E99" s="302" t="str">
        <f>[1]Appendices!$E$16</f>
        <v>B4.d</v>
      </c>
      <c r="F99" s="33" t="s">
        <v>95</v>
      </c>
      <c r="G99" s="329">
        <v>124.80000000000001</v>
      </c>
      <c r="H99" s="334">
        <v>7.25</v>
      </c>
      <c r="I99" s="341">
        <f t="shared" si="3"/>
        <v>904.80000000000007</v>
      </c>
    </row>
    <row r="100" spans="1:9" ht="15" customHeight="1" thickBot="1" x14ac:dyDescent="0.4">
      <c r="A100" s="395"/>
      <c r="B100" s="532" t="str">
        <f>[1]Appendices!$E$43&amp;","</f>
        <v>C15.a,</v>
      </c>
      <c r="C100" s="533"/>
      <c r="D100" s="438" t="str">
        <f>[1]Appendices!$E$44</f>
        <v>C15.b</v>
      </c>
      <c r="E100" s="439"/>
      <c r="F100" s="59" t="s">
        <v>132</v>
      </c>
      <c r="G100" s="328">
        <v>7.9058823529411768</v>
      </c>
      <c r="H100" s="333">
        <v>7.25</v>
      </c>
      <c r="I100" s="340">
        <f t="shared" si="3"/>
        <v>57.317647058823532</v>
      </c>
    </row>
    <row r="101" spans="1:9" ht="15" thickBot="1" x14ac:dyDescent="0.4">
      <c r="A101" s="395"/>
      <c r="B101" s="534"/>
      <c r="C101" s="535"/>
      <c r="D101" s="440"/>
      <c r="E101" s="441"/>
      <c r="F101" s="59" t="s">
        <v>133</v>
      </c>
      <c r="G101" s="328">
        <v>6.9757785467128022</v>
      </c>
      <c r="H101" s="333">
        <v>7.25</v>
      </c>
      <c r="I101" s="340">
        <f t="shared" si="3"/>
        <v>50.574394463667815</v>
      </c>
    </row>
    <row r="102" spans="1:9" ht="15" thickBot="1" x14ac:dyDescent="0.4">
      <c r="A102" s="395"/>
      <c r="B102" s="534"/>
      <c r="C102" s="535"/>
      <c r="D102" s="440"/>
      <c r="E102" s="441"/>
      <c r="F102" s="59" t="s">
        <v>134</v>
      </c>
      <c r="G102" s="328">
        <v>6.1550987176877658</v>
      </c>
      <c r="H102" s="333">
        <v>7.25</v>
      </c>
      <c r="I102" s="340">
        <f t="shared" si="3"/>
        <v>44.624465703236304</v>
      </c>
    </row>
    <row r="103" spans="1:9" ht="15" thickBot="1" x14ac:dyDescent="0.4">
      <c r="A103" s="395"/>
      <c r="B103" s="534"/>
      <c r="C103" s="535"/>
      <c r="D103" s="440"/>
      <c r="E103" s="441"/>
      <c r="F103" s="59" t="s">
        <v>135</v>
      </c>
      <c r="G103" s="328">
        <v>4.124481986566253</v>
      </c>
      <c r="H103" s="333">
        <v>7.25</v>
      </c>
      <c r="I103" s="340">
        <f t="shared" si="3"/>
        <v>29.902494402605335</v>
      </c>
    </row>
    <row r="104" spans="1:9" ht="15" thickBot="1" x14ac:dyDescent="0.4">
      <c r="A104" s="395"/>
      <c r="B104" s="534"/>
      <c r="C104" s="535"/>
      <c r="D104" s="440"/>
      <c r="E104" s="441"/>
      <c r="F104" s="59" t="s">
        <v>136</v>
      </c>
      <c r="G104" s="328">
        <v>3.8552000000000004</v>
      </c>
      <c r="H104" s="333">
        <v>7.25</v>
      </c>
      <c r="I104" s="340">
        <f t="shared" si="3"/>
        <v>27.950200000000002</v>
      </c>
    </row>
    <row r="105" spans="1:9" ht="15" thickBot="1" x14ac:dyDescent="0.4">
      <c r="A105" s="395"/>
      <c r="B105" s="534"/>
      <c r="C105" s="535"/>
      <c r="D105" s="440"/>
      <c r="E105" s="441"/>
      <c r="F105" s="59" t="s">
        <v>137</v>
      </c>
      <c r="G105" s="328">
        <v>3.7009919999999998</v>
      </c>
      <c r="H105" s="333">
        <v>7.25</v>
      </c>
      <c r="I105" s="340">
        <f t="shared" si="3"/>
        <v>26.832191999999999</v>
      </c>
    </row>
    <row r="106" spans="1:9" ht="15" thickBot="1" x14ac:dyDescent="0.4">
      <c r="A106" s="395"/>
      <c r="B106" s="536"/>
      <c r="C106" s="537"/>
      <c r="D106" s="442"/>
      <c r="E106" s="443"/>
      <c r="F106" s="59" t="s">
        <v>138</v>
      </c>
      <c r="G106" s="328">
        <v>3.5167974478527606</v>
      </c>
      <c r="H106" s="333">
        <v>7.25</v>
      </c>
      <c r="I106" s="340">
        <f t="shared" si="3"/>
        <v>25.496781496932513</v>
      </c>
    </row>
    <row r="107" spans="1:9" ht="15" customHeight="1" thickBot="1" x14ac:dyDescent="0.4">
      <c r="A107" s="395"/>
      <c r="B107" s="538" t="str">
        <f>[1]Appendices!$E$45&amp;","</f>
        <v>C16.a,</v>
      </c>
      <c r="C107" s="539"/>
      <c r="D107" s="365" t="str">
        <f>[1]Appendices!$E$46</f>
        <v>C16.b</v>
      </c>
      <c r="E107" s="366"/>
      <c r="F107" s="54" t="s">
        <v>628</v>
      </c>
      <c r="G107" s="328">
        <v>14.022450000000001</v>
      </c>
      <c r="H107" s="333">
        <v>7.25</v>
      </c>
      <c r="I107" s="340">
        <f t="shared" si="3"/>
        <v>101.66276250000001</v>
      </c>
    </row>
    <row r="108" spans="1:9" ht="15" thickBot="1" x14ac:dyDescent="0.4">
      <c r="A108" s="395"/>
      <c r="B108" s="540"/>
      <c r="C108" s="541"/>
      <c r="D108" s="369"/>
      <c r="E108" s="370"/>
      <c r="F108" s="54" t="s">
        <v>73</v>
      </c>
      <c r="G108" s="328">
        <v>1.8800869500000004</v>
      </c>
      <c r="H108" s="333">
        <v>7.25</v>
      </c>
      <c r="I108" s="340">
        <f t="shared" si="3"/>
        <v>13.630630387500002</v>
      </c>
    </row>
    <row r="109" spans="1:9" ht="15" customHeight="1" thickBot="1" x14ac:dyDescent="0.4">
      <c r="A109" s="395"/>
      <c r="B109" s="436" t="str">
        <f>[1]Appendices!$E$47&amp;","</f>
        <v>C17.a,</v>
      </c>
      <c r="C109" s="437"/>
      <c r="D109" s="371" t="str">
        <f>[1]Appendices!$E$48</f>
        <v>C17.b</v>
      </c>
      <c r="E109" s="372"/>
      <c r="F109" s="61" t="s">
        <v>67</v>
      </c>
      <c r="G109" s="328">
        <v>3.84</v>
      </c>
      <c r="H109" s="333">
        <v>7.25</v>
      </c>
      <c r="I109" s="340">
        <f t="shared" si="3"/>
        <v>27.84</v>
      </c>
    </row>
    <row r="110" spans="1:9" ht="15" customHeight="1" thickBot="1" x14ac:dyDescent="0.4">
      <c r="A110" s="395"/>
      <c r="B110" s="385" t="str">
        <f>[1]Appendices!$E$49&amp;","</f>
        <v>C18.a,</v>
      </c>
      <c r="C110" s="386"/>
      <c r="D110" s="371" t="str">
        <f>[1]Appendices!$E$50</f>
        <v>C18.b</v>
      </c>
      <c r="E110" s="372"/>
      <c r="F110" s="57" t="s">
        <v>139</v>
      </c>
      <c r="G110" s="328">
        <v>5.1839999999999993</v>
      </c>
      <c r="H110" s="333">
        <v>7.25</v>
      </c>
      <c r="I110" s="340">
        <f t="shared" si="3"/>
        <v>37.583999999999996</v>
      </c>
    </row>
    <row r="111" spans="1:9" ht="15" customHeight="1" thickBot="1" x14ac:dyDescent="0.4">
      <c r="A111" s="395"/>
      <c r="B111" s="361" t="str">
        <f>[1]Appendices!$E$74&amp;","</f>
        <v>D8.a,</v>
      </c>
      <c r="C111" s="362"/>
      <c r="D111" s="371" t="str">
        <f>[1]Appendices!$E$75</f>
        <v>D8.b</v>
      </c>
      <c r="E111" s="372"/>
      <c r="F111" s="32" t="s">
        <v>44</v>
      </c>
      <c r="G111" s="328">
        <v>4.8</v>
      </c>
      <c r="H111" s="333">
        <v>7.25</v>
      </c>
      <c r="I111" s="340">
        <f t="shared" si="3"/>
        <v>34.799999999999997</v>
      </c>
    </row>
    <row r="112" spans="1:9" ht="15" thickBot="1" x14ac:dyDescent="0.4">
      <c r="A112" s="395"/>
      <c r="B112" s="363" t="str">
        <f>[1]Appendices!$E$76&amp;","</f>
        <v>D9.a,</v>
      </c>
      <c r="C112" s="364"/>
      <c r="D112" s="373" t="str">
        <f>[1]Appendices!$E$77</f>
        <v>D9.b</v>
      </c>
      <c r="E112" s="374"/>
      <c r="F112" s="72" t="s">
        <v>140</v>
      </c>
      <c r="G112" s="328">
        <v>19.200000000000003</v>
      </c>
      <c r="H112" s="333">
        <v>7.25</v>
      </c>
      <c r="I112" s="340">
        <f t="shared" si="3"/>
        <v>139.20000000000002</v>
      </c>
    </row>
    <row r="113" spans="1:9" ht="15" thickBot="1" x14ac:dyDescent="0.4">
      <c r="A113" s="431" t="s">
        <v>31</v>
      </c>
      <c r="B113" s="432" t="str">
        <f>[1]Appendices!$E$21&amp;","</f>
        <v>B6.a,</v>
      </c>
      <c r="C113" s="433"/>
      <c r="D113" s="434" t="str">
        <f>[1]Appendices!$E$22</f>
        <v>B6.b</v>
      </c>
      <c r="E113" s="435"/>
      <c r="F113" s="39" t="s">
        <v>206</v>
      </c>
      <c r="G113" s="329">
        <v>70.400000000000006</v>
      </c>
      <c r="H113" s="334">
        <v>7.25</v>
      </c>
      <c r="I113" s="341">
        <f t="shared" si="3"/>
        <v>510.40000000000003</v>
      </c>
    </row>
    <row r="114" spans="1:9" ht="15" thickBot="1" x14ac:dyDescent="0.4">
      <c r="A114" s="391"/>
      <c r="B114" s="411" t="str">
        <f>[1]Appendices!$E$59&amp;","</f>
        <v>C23.a,</v>
      </c>
      <c r="C114" s="412"/>
      <c r="D114" s="450" t="str">
        <f>[1]Appendices!$E$60</f>
        <v>C23.b</v>
      </c>
      <c r="E114" s="451"/>
      <c r="F114" s="24" t="s">
        <v>207</v>
      </c>
      <c r="G114" s="328">
        <v>20.149999999999999</v>
      </c>
      <c r="H114" s="333">
        <v>7.25</v>
      </c>
      <c r="I114" s="340">
        <f t="shared" si="3"/>
        <v>146.08749999999998</v>
      </c>
    </row>
    <row r="115" spans="1:9" ht="15" thickBot="1" x14ac:dyDescent="0.4">
      <c r="A115" s="391"/>
      <c r="B115" s="413"/>
      <c r="C115" s="414"/>
      <c r="D115" s="452"/>
      <c r="E115" s="453"/>
      <c r="F115" s="24" t="s">
        <v>208</v>
      </c>
      <c r="G115" s="328">
        <v>14.21875</v>
      </c>
      <c r="H115" s="333">
        <v>7.25</v>
      </c>
      <c r="I115" s="340">
        <f t="shared" si="3"/>
        <v>103.0859375</v>
      </c>
    </row>
    <row r="116" spans="1:9" ht="15" thickBot="1" x14ac:dyDescent="0.4">
      <c r="A116" s="391"/>
      <c r="B116" s="413"/>
      <c r="C116" s="414"/>
      <c r="D116" s="452"/>
      <c r="E116" s="453"/>
      <c r="F116" s="24" t="s">
        <v>209</v>
      </c>
      <c r="G116" s="328">
        <v>10.816487500000001</v>
      </c>
      <c r="H116" s="333">
        <v>7.25</v>
      </c>
      <c r="I116" s="340">
        <f t="shared" si="3"/>
        <v>78.419534375000012</v>
      </c>
    </row>
    <row r="117" spans="1:9" ht="15" thickBot="1" x14ac:dyDescent="0.4">
      <c r="A117" s="391"/>
      <c r="B117" s="413"/>
      <c r="C117" s="414"/>
      <c r="D117" s="452"/>
      <c r="E117" s="453"/>
      <c r="F117" s="24" t="s">
        <v>210</v>
      </c>
      <c r="G117" s="328">
        <v>9.0086189374999996</v>
      </c>
      <c r="H117" s="333">
        <v>7.25</v>
      </c>
      <c r="I117" s="340">
        <f t="shared" si="3"/>
        <v>65.312487296874991</v>
      </c>
    </row>
    <row r="118" spans="1:9" ht="15" thickBot="1" x14ac:dyDescent="0.4">
      <c r="A118" s="391"/>
      <c r="B118" s="415"/>
      <c r="C118" s="416"/>
      <c r="D118" s="454"/>
      <c r="E118" s="455"/>
      <c r="F118" s="24" t="s">
        <v>211</v>
      </c>
      <c r="G118" s="328">
        <v>8.5743832606249999</v>
      </c>
      <c r="H118" s="333">
        <v>7.25</v>
      </c>
      <c r="I118" s="340">
        <f t="shared" si="3"/>
        <v>62.164278639531247</v>
      </c>
    </row>
    <row r="119" spans="1:9" ht="15" thickBot="1" x14ac:dyDescent="0.4">
      <c r="A119" s="392"/>
      <c r="B119" s="396" t="str">
        <f>[1]Appendices!$E$84&amp;","</f>
        <v>D13.a,</v>
      </c>
      <c r="C119" s="397"/>
      <c r="D119" s="482" t="str">
        <f>[1]Appendices!$E$85</f>
        <v>D13.b</v>
      </c>
      <c r="E119" s="483"/>
      <c r="F119" s="82" t="s">
        <v>205</v>
      </c>
      <c r="G119" s="342">
        <v>2.5</v>
      </c>
      <c r="H119" s="333">
        <v>7.25</v>
      </c>
      <c r="I119" s="340">
        <f t="shared" si="3"/>
        <v>18.125</v>
      </c>
    </row>
    <row r="120" spans="1:9" ht="15" thickBot="1" x14ac:dyDescent="0.4">
      <c r="A120" s="554" t="s">
        <v>644</v>
      </c>
      <c r="B120" s="555"/>
      <c r="C120" s="555"/>
      <c r="D120" s="555"/>
      <c r="E120" s="555"/>
      <c r="F120" s="555"/>
      <c r="G120" s="343">
        <v>4716.43</v>
      </c>
      <c r="H120" s="282"/>
      <c r="I120" s="338">
        <f t="shared" ref="I120" si="4">SUM(I6:I119)</f>
        <v>60255.255543225081</v>
      </c>
    </row>
    <row r="121" spans="1:9" ht="15" thickBot="1" x14ac:dyDescent="0.4">
      <c r="A121" s="503" t="s">
        <v>645</v>
      </c>
      <c r="B121" s="505"/>
      <c r="C121" s="505"/>
      <c r="D121" s="505"/>
      <c r="E121" s="505"/>
      <c r="F121" s="505"/>
      <c r="G121" s="505"/>
      <c r="H121" s="505"/>
      <c r="I121" s="506"/>
    </row>
    <row r="122" spans="1:9" ht="25" customHeight="1" thickTop="1" thickBot="1" x14ac:dyDescent="0.4">
      <c r="A122" s="312" t="s">
        <v>24</v>
      </c>
      <c r="B122" s="542" t="s">
        <v>524</v>
      </c>
      <c r="C122" s="543"/>
      <c r="D122" s="543"/>
      <c r="E122" s="544"/>
      <c r="F122" s="57" t="s">
        <v>38</v>
      </c>
      <c r="G122" s="325">
        <v>0.15000000000000002</v>
      </c>
      <c r="H122" s="332">
        <v>46.86</v>
      </c>
      <c r="I122" s="344">
        <f>G122*H122</f>
        <v>7.0290000000000008</v>
      </c>
    </row>
    <row r="123" spans="1:9" ht="15" thickBot="1" x14ac:dyDescent="0.4">
      <c r="A123" s="425" t="s">
        <v>63</v>
      </c>
      <c r="B123" s="529" t="s">
        <v>527</v>
      </c>
      <c r="C123" s="530"/>
      <c r="D123" s="530"/>
      <c r="E123" s="531"/>
      <c r="F123" s="27" t="s">
        <v>295</v>
      </c>
      <c r="G123" s="326">
        <v>0.30000000000000004</v>
      </c>
      <c r="H123" s="333">
        <v>26.93</v>
      </c>
      <c r="I123" s="345">
        <f t="shared" ref="I123:I126" si="5">G123*H123</f>
        <v>8.0790000000000006</v>
      </c>
    </row>
    <row r="124" spans="1:9" ht="15" thickBot="1" x14ac:dyDescent="0.4">
      <c r="A124" s="426"/>
      <c r="B124" s="545" t="s">
        <v>528</v>
      </c>
      <c r="C124" s="546"/>
      <c r="D124" s="546"/>
      <c r="E124" s="547"/>
      <c r="F124" s="27" t="s">
        <v>296</v>
      </c>
      <c r="G124" s="326">
        <v>1.6320000000000001</v>
      </c>
      <c r="H124" s="333">
        <v>26.93</v>
      </c>
      <c r="I124" s="345">
        <f t="shared" si="5"/>
        <v>43.949760000000005</v>
      </c>
    </row>
    <row r="125" spans="1:9" ht="15" thickBot="1" x14ac:dyDescent="0.4">
      <c r="A125" s="426"/>
      <c r="B125" s="548"/>
      <c r="C125" s="549"/>
      <c r="D125" s="549"/>
      <c r="E125" s="550"/>
      <c r="F125" s="27" t="s">
        <v>297</v>
      </c>
      <c r="G125" s="326">
        <v>0.97699999999999987</v>
      </c>
      <c r="H125" s="333">
        <v>26.93</v>
      </c>
      <c r="I125" s="345">
        <f t="shared" si="5"/>
        <v>26.310609999999997</v>
      </c>
    </row>
    <row r="126" spans="1:9" ht="15" thickBot="1" x14ac:dyDescent="0.4">
      <c r="A126" s="427"/>
      <c r="B126" s="551"/>
      <c r="C126" s="552"/>
      <c r="D126" s="552"/>
      <c r="E126" s="553"/>
      <c r="F126" s="27" t="s">
        <v>298</v>
      </c>
      <c r="G126" s="326">
        <v>0.57999999999999996</v>
      </c>
      <c r="H126" s="333">
        <v>26.93</v>
      </c>
      <c r="I126" s="345">
        <f t="shared" si="5"/>
        <v>15.619399999999999</v>
      </c>
    </row>
    <row r="127" spans="1:9" ht="15" thickBot="1" x14ac:dyDescent="0.4">
      <c r="A127" s="391" t="s">
        <v>212</v>
      </c>
      <c r="B127" s="315" t="s">
        <v>610</v>
      </c>
      <c r="C127" s="316" t="s">
        <v>611</v>
      </c>
      <c r="D127" s="316" t="s">
        <v>612</v>
      </c>
      <c r="E127" s="317" t="s">
        <v>470</v>
      </c>
      <c r="F127" s="160" t="s">
        <v>97</v>
      </c>
      <c r="G127" s="336">
        <v>112</v>
      </c>
      <c r="H127" s="334">
        <v>7.25</v>
      </c>
      <c r="I127" s="341">
        <f>H127*G127</f>
        <v>812</v>
      </c>
    </row>
    <row r="128" spans="1:9" ht="15" thickBot="1" x14ac:dyDescent="0.4">
      <c r="A128" s="391"/>
      <c r="B128" s="564" t="s">
        <v>626</v>
      </c>
      <c r="C128" s="565"/>
      <c r="D128" s="565"/>
      <c r="E128" s="566"/>
      <c r="F128" s="24" t="s">
        <v>116</v>
      </c>
      <c r="G128" s="326">
        <v>10.399999999999999</v>
      </c>
      <c r="H128" s="333">
        <v>7.25</v>
      </c>
      <c r="I128" s="345">
        <f>H128*G128</f>
        <v>75.399999999999991</v>
      </c>
    </row>
    <row r="129" spans="1:9" ht="15" thickBot="1" x14ac:dyDescent="0.4">
      <c r="A129" s="391"/>
      <c r="B129" s="564"/>
      <c r="C129" s="565"/>
      <c r="D129" s="565"/>
      <c r="E129" s="566"/>
      <c r="F129" s="24" t="s">
        <v>117</v>
      </c>
      <c r="G129" s="326">
        <v>8.32</v>
      </c>
      <c r="H129" s="333">
        <v>7.25</v>
      </c>
      <c r="I129" s="345">
        <f t="shared" ref="I129:I153" si="6">H129*G129</f>
        <v>60.32</v>
      </c>
    </row>
    <row r="130" spans="1:9" ht="15" thickBot="1" x14ac:dyDescent="0.4">
      <c r="A130" s="391"/>
      <c r="B130" s="564"/>
      <c r="C130" s="565"/>
      <c r="D130" s="565"/>
      <c r="E130" s="566"/>
      <c r="F130" s="24" t="s">
        <v>118</v>
      </c>
      <c r="G130" s="326">
        <v>6.6479999999999997</v>
      </c>
      <c r="H130" s="333">
        <v>7.25</v>
      </c>
      <c r="I130" s="345">
        <f t="shared" si="6"/>
        <v>48.198</v>
      </c>
    </row>
    <row r="131" spans="1:9" ht="15" thickBot="1" x14ac:dyDescent="0.4">
      <c r="A131" s="391"/>
      <c r="B131" s="564"/>
      <c r="C131" s="565"/>
      <c r="D131" s="565"/>
      <c r="E131" s="566"/>
      <c r="F131" s="24" t="s">
        <v>631</v>
      </c>
      <c r="G131" s="326">
        <v>5.3040000000000003</v>
      </c>
      <c r="H131" s="333">
        <v>7.25</v>
      </c>
      <c r="I131" s="345">
        <f t="shared" si="6"/>
        <v>38.454000000000001</v>
      </c>
    </row>
    <row r="132" spans="1:9" ht="15" thickBot="1" x14ac:dyDescent="0.4">
      <c r="A132" s="391"/>
      <c r="B132" s="564"/>
      <c r="C132" s="565"/>
      <c r="D132" s="565"/>
      <c r="E132" s="566"/>
      <c r="F132" s="24" t="s">
        <v>120</v>
      </c>
      <c r="G132" s="326">
        <v>3.1987199999999998</v>
      </c>
      <c r="H132" s="333">
        <v>7.25</v>
      </c>
      <c r="I132" s="345">
        <f t="shared" si="6"/>
        <v>23.190719999999999</v>
      </c>
    </row>
    <row r="133" spans="1:9" ht="15" thickBot="1" x14ac:dyDescent="0.4">
      <c r="A133" s="391"/>
      <c r="B133" s="564"/>
      <c r="C133" s="565"/>
      <c r="D133" s="565"/>
      <c r="E133" s="566"/>
      <c r="F133" s="24" t="s">
        <v>121</v>
      </c>
      <c r="G133" s="326">
        <v>2.56</v>
      </c>
      <c r="H133" s="333">
        <v>7.25</v>
      </c>
      <c r="I133" s="345">
        <f t="shared" si="6"/>
        <v>18.559999999999999</v>
      </c>
    </row>
    <row r="134" spans="1:9" ht="15" thickBot="1" x14ac:dyDescent="0.4">
      <c r="A134" s="391"/>
      <c r="B134" s="564"/>
      <c r="C134" s="565"/>
      <c r="D134" s="565"/>
      <c r="E134" s="566"/>
      <c r="F134" s="24" t="s">
        <v>633</v>
      </c>
      <c r="G134" s="326">
        <v>2.3200000000000003</v>
      </c>
      <c r="H134" s="333">
        <v>7.25</v>
      </c>
      <c r="I134" s="345">
        <f t="shared" si="6"/>
        <v>16.82</v>
      </c>
    </row>
    <row r="135" spans="1:9" ht="15" thickBot="1" x14ac:dyDescent="0.4">
      <c r="A135" s="391"/>
      <c r="B135" s="577" t="s">
        <v>613</v>
      </c>
      <c r="C135" s="578"/>
      <c r="D135" s="318" t="s">
        <v>484</v>
      </c>
      <c r="E135" s="319"/>
      <c r="F135" s="24" t="s">
        <v>630</v>
      </c>
      <c r="G135" s="326">
        <v>3.8652899999999999</v>
      </c>
      <c r="H135" s="333">
        <v>7.25</v>
      </c>
      <c r="I135" s="345">
        <f t="shared" si="6"/>
        <v>28.023352499999998</v>
      </c>
    </row>
    <row r="136" spans="1:9" ht="15" thickBot="1" x14ac:dyDescent="0.4">
      <c r="A136" s="391"/>
      <c r="B136" s="573" t="s">
        <v>614</v>
      </c>
      <c r="C136" s="574"/>
      <c r="D136" s="314" t="s">
        <v>486</v>
      </c>
      <c r="E136" s="320"/>
      <c r="F136" s="24" t="s">
        <v>68</v>
      </c>
      <c r="G136" s="326">
        <v>1.9800000000000004</v>
      </c>
      <c r="H136" s="333">
        <v>7.25</v>
      </c>
      <c r="I136" s="345">
        <f t="shared" si="6"/>
        <v>14.355000000000004</v>
      </c>
    </row>
    <row r="137" spans="1:9" ht="15" thickBot="1" x14ac:dyDescent="0.4">
      <c r="A137" s="391"/>
      <c r="B137" s="573" t="s">
        <v>615</v>
      </c>
      <c r="C137" s="574"/>
      <c r="D137" s="314" t="s">
        <v>488</v>
      </c>
      <c r="E137" s="320"/>
      <c r="F137" s="24" t="s">
        <v>123</v>
      </c>
      <c r="G137" s="326">
        <v>6.3</v>
      </c>
      <c r="H137" s="333">
        <v>7.25</v>
      </c>
      <c r="I137" s="345">
        <f t="shared" si="6"/>
        <v>45.674999999999997</v>
      </c>
    </row>
    <row r="138" spans="1:9" ht="15" thickBot="1" x14ac:dyDescent="0.4">
      <c r="A138" s="391"/>
      <c r="B138" s="573" t="s">
        <v>616</v>
      </c>
      <c r="C138" s="574"/>
      <c r="D138" s="314" t="s">
        <v>578</v>
      </c>
      <c r="E138" s="320"/>
      <c r="F138" s="24" t="s">
        <v>45</v>
      </c>
      <c r="G138" s="326">
        <v>8.1</v>
      </c>
      <c r="H138" s="333">
        <v>7.25</v>
      </c>
      <c r="I138" s="345">
        <f t="shared" si="6"/>
        <v>58.724999999999994</v>
      </c>
    </row>
    <row r="139" spans="1:9" ht="15" thickBot="1" x14ac:dyDescent="0.4">
      <c r="A139" s="391"/>
      <c r="B139" s="575" t="s">
        <v>617</v>
      </c>
      <c r="C139" s="576"/>
      <c r="D139" s="321" t="s">
        <v>580</v>
      </c>
      <c r="E139" s="322"/>
      <c r="F139" s="24" t="s">
        <v>632</v>
      </c>
      <c r="G139" s="326">
        <v>12</v>
      </c>
      <c r="H139" s="333">
        <v>7.25</v>
      </c>
      <c r="I139" s="345">
        <f t="shared" si="6"/>
        <v>87</v>
      </c>
    </row>
    <row r="140" spans="1:9" ht="15" thickBot="1" x14ac:dyDescent="0.4">
      <c r="A140" s="391"/>
      <c r="B140" s="315" t="s">
        <v>618</v>
      </c>
      <c r="C140" s="316" t="s">
        <v>619</v>
      </c>
      <c r="D140" s="316" t="s">
        <v>620</v>
      </c>
      <c r="E140" s="317" t="s">
        <v>474</v>
      </c>
      <c r="F140" s="33" t="s">
        <v>95</v>
      </c>
      <c r="G140" s="336">
        <v>12.35</v>
      </c>
      <c r="H140" s="334">
        <v>7.25</v>
      </c>
      <c r="I140" s="341">
        <f t="shared" si="6"/>
        <v>89.537499999999994</v>
      </c>
    </row>
    <row r="141" spans="1:9" ht="15" customHeight="1" thickBot="1" x14ac:dyDescent="0.4">
      <c r="A141" s="391"/>
      <c r="B141" s="567" t="s">
        <v>625</v>
      </c>
      <c r="C141" s="568"/>
      <c r="D141" s="568"/>
      <c r="E141" s="569"/>
      <c r="F141" s="59" t="s">
        <v>132</v>
      </c>
      <c r="G141" s="326">
        <v>0.79058823529411759</v>
      </c>
      <c r="H141" s="333">
        <v>7.25</v>
      </c>
      <c r="I141" s="345">
        <f t="shared" si="6"/>
        <v>5.7317647058823527</v>
      </c>
    </row>
    <row r="142" spans="1:9" ht="15" thickBot="1" x14ac:dyDescent="0.4">
      <c r="A142" s="391"/>
      <c r="B142" s="564"/>
      <c r="C142" s="565"/>
      <c r="D142" s="565"/>
      <c r="E142" s="566"/>
      <c r="F142" s="59" t="s">
        <v>133</v>
      </c>
      <c r="G142" s="326">
        <v>0.64352941176470591</v>
      </c>
      <c r="H142" s="333">
        <v>7.25</v>
      </c>
      <c r="I142" s="345">
        <f t="shared" si="6"/>
        <v>4.665588235294118</v>
      </c>
    </row>
    <row r="143" spans="1:9" ht="15" thickBot="1" x14ac:dyDescent="0.4">
      <c r="A143" s="391"/>
      <c r="B143" s="564"/>
      <c r="C143" s="565"/>
      <c r="D143" s="565"/>
      <c r="E143" s="566"/>
      <c r="F143" s="61" t="s">
        <v>134</v>
      </c>
      <c r="G143" s="326">
        <v>0.60000000000000009</v>
      </c>
      <c r="H143" s="333">
        <v>7.25</v>
      </c>
      <c r="I143" s="345">
        <f t="shared" si="6"/>
        <v>4.3500000000000005</v>
      </c>
    </row>
    <row r="144" spans="1:9" ht="15" thickBot="1" x14ac:dyDescent="0.4">
      <c r="A144" s="391"/>
      <c r="B144" s="564"/>
      <c r="C144" s="565"/>
      <c r="D144" s="565"/>
      <c r="E144" s="566"/>
      <c r="F144" s="59" t="s">
        <v>135</v>
      </c>
      <c r="G144" s="326">
        <v>0.45</v>
      </c>
      <c r="H144" s="333">
        <v>7.25</v>
      </c>
      <c r="I144" s="345">
        <f t="shared" si="6"/>
        <v>3.2625000000000002</v>
      </c>
    </row>
    <row r="145" spans="1:9" ht="15" thickBot="1" x14ac:dyDescent="0.4">
      <c r="A145" s="391"/>
      <c r="B145" s="564"/>
      <c r="C145" s="565"/>
      <c r="D145" s="565"/>
      <c r="E145" s="566"/>
      <c r="F145" s="59" t="s">
        <v>136</v>
      </c>
      <c r="G145" s="326">
        <v>0.43</v>
      </c>
      <c r="H145" s="333">
        <v>7.25</v>
      </c>
      <c r="I145" s="345">
        <f t="shared" si="6"/>
        <v>3.1175000000000002</v>
      </c>
    </row>
    <row r="146" spans="1:9" ht="15" thickBot="1" x14ac:dyDescent="0.4">
      <c r="A146" s="391"/>
      <c r="B146" s="564"/>
      <c r="C146" s="565"/>
      <c r="D146" s="565"/>
      <c r="E146" s="566"/>
      <c r="F146" s="59" t="s">
        <v>137</v>
      </c>
      <c r="G146" s="326">
        <v>0.41000000000000003</v>
      </c>
      <c r="H146" s="333">
        <v>7.25</v>
      </c>
      <c r="I146" s="345">
        <f t="shared" si="6"/>
        <v>2.9725000000000001</v>
      </c>
    </row>
    <row r="147" spans="1:9" ht="15" thickBot="1" x14ac:dyDescent="0.4">
      <c r="A147" s="391"/>
      <c r="B147" s="570"/>
      <c r="C147" s="571"/>
      <c r="D147" s="571"/>
      <c r="E147" s="572"/>
      <c r="F147" s="59" t="s">
        <v>138</v>
      </c>
      <c r="G147" s="326">
        <v>0.39</v>
      </c>
      <c r="H147" s="333">
        <v>7.25</v>
      </c>
      <c r="I147" s="345">
        <f t="shared" si="6"/>
        <v>2.8275000000000001</v>
      </c>
    </row>
    <row r="148" spans="1:9" ht="15" thickBot="1" x14ac:dyDescent="0.4">
      <c r="A148" s="391"/>
      <c r="B148" s="567" t="s">
        <v>627</v>
      </c>
      <c r="C148" s="568"/>
      <c r="D148" s="568"/>
      <c r="E148" s="569"/>
      <c r="F148" s="54" t="s">
        <v>628</v>
      </c>
      <c r="G148" s="326">
        <v>1.2928500000000001</v>
      </c>
      <c r="H148" s="333">
        <v>7.25</v>
      </c>
      <c r="I148" s="345">
        <f t="shared" si="6"/>
        <v>9.3731625000000012</v>
      </c>
    </row>
    <row r="149" spans="1:9" ht="15" thickBot="1" x14ac:dyDescent="0.4">
      <c r="A149" s="391"/>
      <c r="B149" s="570"/>
      <c r="C149" s="571"/>
      <c r="D149" s="571"/>
      <c r="E149" s="572"/>
      <c r="F149" s="54" t="s">
        <v>73</v>
      </c>
      <c r="G149" s="326">
        <v>0.17334135000000003</v>
      </c>
      <c r="H149" s="333">
        <v>7.25</v>
      </c>
      <c r="I149" s="345">
        <f t="shared" si="6"/>
        <v>1.2567247875000003</v>
      </c>
    </row>
    <row r="150" spans="1:9" ht="15" thickBot="1" x14ac:dyDescent="0.4">
      <c r="A150" s="391"/>
      <c r="B150" s="562" t="s">
        <v>621</v>
      </c>
      <c r="C150" s="563"/>
      <c r="D150" s="323" t="s">
        <v>494</v>
      </c>
      <c r="E150" s="324"/>
      <c r="F150" s="61" t="s">
        <v>67</v>
      </c>
      <c r="G150" s="326">
        <v>0.48</v>
      </c>
      <c r="H150" s="333">
        <v>7.25</v>
      </c>
      <c r="I150" s="345">
        <f t="shared" si="6"/>
        <v>3.48</v>
      </c>
    </row>
    <row r="151" spans="1:9" ht="15" thickBot="1" x14ac:dyDescent="0.4">
      <c r="A151" s="391"/>
      <c r="B151" s="562" t="s">
        <v>622</v>
      </c>
      <c r="C151" s="563"/>
      <c r="D151" s="323" t="s">
        <v>496</v>
      </c>
      <c r="E151" s="324"/>
      <c r="F151" s="57" t="s">
        <v>139</v>
      </c>
      <c r="G151" s="326">
        <v>0.65999999999999992</v>
      </c>
      <c r="H151" s="333">
        <v>7.25</v>
      </c>
      <c r="I151" s="345">
        <f t="shared" si="6"/>
        <v>4.7849999999999993</v>
      </c>
    </row>
    <row r="152" spans="1:9" ht="15" customHeight="1" thickBot="1" x14ac:dyDescent="0.4">
      <c r="A152" s="391"/>
      <c r="B152" s="562" t="s">
        <v>623</v>
      </c>
      <c r="C152" s="563"/>
      <c r="D152" s="323" t="s">
        <v>552</v>
      </c>
      <c r="E152" s="324"/>
      <c r="F152" s="32" t="s">
        <v>44</v>
      </c>
      <c r="G152" s="326">
        <v>0.48</v>
      </c>
      <c r="H152" s="333">
        <v>7.25</v>
      </c>
      <c r="I152" s="345">
        <f t="shared" si="6"/>
        <v>3.48</v>
      </c>
    </row>
    <row r="153" spans="1:9" ht="15" thickBot="1" x14ac:dyDescent="0.4">
      <c r="A153" s="392"/>
      <c r="B153" s="562" t="s">
        <v>624</v>
      </c>
      <c r="C153" s="563"/>
      <c r="D153" s="323" t="s">
        <v>508</v>
      </c>
      <c r="E153" s="324"/>
      <c r="F153" s="72" t="s">
        <v>629</v>
      </c>
      <c r="G153" s="327">
        <v>1.9000000000000001</v>
      </c>
      <c r="H153" s="337">
        <v>7.25</v>
      </c>
      <c r="I153" s="346">
        <f t="shared" si="6"/>
        <v>13.775</v>
      </c>
    </row>
    <row r="154" spans="1:9" ht="15.75" customHeight="1" thickTop="1" thickBot="1" x14ac:dyDescent="0.4">
      <c r="A154" s="556" t="s">
        <v>646</v>
      </c>
      <c r="B154" s="557"/>
      <c r="C154" s="557"/>
      <c r="D154" s="557"/>
      <c r="E154" s="557"/>
      <c r="F154" s="558"/>
      <c r="G154" s="159">
        <f>SUM(G122:G153)</f>
        <v>207.68531899705872</v>
      </c>
      <c r="H154" s="152"/>
      <c r="I154" s="153">
        <f>SUM(I140:I153)</f>
        <v>152.61474022867648</v>
      </c>
    </row>
    <row r="155" spans="1:9" ht="15.75" customHeight="1" thickTop="1" thickBot="1" x14ac:dyDescent="0.4">
      <c r="A155" s="559" t="s">
        <v>647</v>
      </c>
      <c r="B155" s="560"/>
      <c r="C155" s="560"/>
      <c r="D155" s="560"/>
      <c r="E155" s="560"/>
      <c r="F155" s="560"/>
      <c r="G155" s="560"/>
      <c r="H155" s="560"/>
      <c r="I155" s="561"/>
    </row>
    <row r="156" spans="1:9" ht="25" thickTop="1" thickBot="1" x14ac:dyDescent="0.4">
      <c r="A156" s="312" t="s">
        <v>24</v>
      </c>
      <c r="B156" s="542" t="s">
        <v>524</v>
      </c>
      <c r="C156" s="543"/>
      <c r="D156" s="543"/>
      <c r="E156" s="544"/>
      <c r="F156" s="57" t="s">
        <v>38</v>
      </c>
      <c r="G156" s="325">
        <v>0.15000000000000002</v>
      </c>
      <c r="H156" s="332">
        <v>46.86</v>
      </c>
      <c r="I156" s="344">
        <f>G156*H156</f>
        <v>7.0290000000000008</v>
      </c>
    </row>
    <row r="157" spans="1:9" ht="15" thickBot="1" x14ac:dyDescent="0.4">
      <c r="A157" s="425" t="s">
        <v>63</v>
      </c>
      <c r="B157" s="529" t="s">
        <v>527</v>
      </c>
      <c r="C157" s="530"/>
      <c r="D157" s="530"/>
      <c r="E157" s="531"/>
      <c r="F157" s="27" t="s">
        <v>295</v>
      </c>
      <c r="G157" s="326">
        <v>0.30000000000000004</v>
      </c>
      <c r="H157" s="333">
        <v>26.93</v>
      </c>
      <c r="I157" s="345">
        <f t="shared" ref="I157:I187" si="7">G157*H157</f>
        <v>8.0790000000000006</v>
      </c>
    </row>
    <row r="158" spans="1:9" ht="15" thickBot="1" x14ac:dyDescent="0.4">
      <c r="A158" s="426"/>
      <c r="B158" s="545" t="s">
        <v>528</v>
      </c>
      <c r="C158" s="546"/>
      <c r="D158" s="546"/>
      <c r="E158" s="547"/>
      <c r="F158" s="27" t="s">
        <v>296</v>
      </c>
      <c r="G158" s="326">
        <v>1.6320000000000001</v>
      </c>
      <c r="H158" s="333">
        <v>26.93</v>
      </c>
      <c r="I158" s="345">
        <f t="shared" si="7"/>
        <v>43.949760000000005</v>
      </c>
    </row>
    <row r="159" spans="1:9" ht="15" thickBot="1" x14ac:dyDescent="0.4">
      <c r="A159" s="426"/>
      <c r="B159" s="548"/>
      <c r="C159" s="549"/>
      <c r="D159" s="549"/>
      <c r="E159" s="550"/>
      <c r="F159" s="27" t="s">
        <v>297</v>
      </c>
      <c r="G159" s="326">
        <v>0.97699999999999987</v>
      </c>
      <c r="H159" s="333">
        <v>26.93</v>
      </c>
      <c r="I159" s="345">
        <f t="shared" si="7"/>
        <v>26.310609999999997</v>
      </c>
    </row>
    <row r="160" spans="1:9" ht="15" thickBot="1" x14ac:dyDescent="0.4">
      <c r="A160" s="427"/>
      <c r="B160" s="551"/>
      <c r="C160" s="552"/>
      <c r="D160" s="552"/>
      <c r="E160" s="553"/>
      <c r="F160" s="27" t="s">
        <v>298</v>
      </c>
      <c r="G160" s="326">
        <v>0.57999999999999996</v>
      </c>
      <c r="H160" s="333">
        <v>26.93</v>
      </c>
      <c r="I160" s="345">
        <f t="shared" si="7"/>
        <v>15.619399999999999</v>
      </c>
    </row>
    <row r="161" spans="1:9" ht="15" thickBot="1" x14ac:dyDescent="0.4">
      <c r="A161" s="391" t="s">
        <v>213</v>
      </c>
      <c r="B161" s="315" t="s">
        <v>610</v>
      </c>
      <c r="C161" s="316" t="s">
        <v>611</v>
      </c>
      <c r="D161" s="316" t="s">
        <v>612</v>
      </c>
      <c r="E161" s="317" t="s">
        <v>470</v>
      </c>
      <c r="F161" s="160" t="s">
        <v>97</v>
      </c>
      <c r="G161" s="336">
        <v>112</v>
      </c>
      <c r="H161" s="334">
        <v>7.25</v>
      </c>
      <c r="I161" s="341">
        <f t="shared" si="7"/>
        <v>812</v>
      </c>
    </row>
    <row r="162" spans="1:9" ht="15" thickBot="1" x14ac:dyDescent="0.4">
      <c r="A162" s="391"/>
      <c r="B162" s="564" t="s">
        <v>626</v>
      </c>
      <c r="C162" s="565"/>
      <c r="D162" s="565"/>
      <c r="E162" s="566"/>
      <c r="F162" s="24" t="s">
        <v>116</v>
      </c>
      <c r="G162" s="326">
        <v>10.399999999999999</v>
      </c>
      <c r="H162" s="333">
        <v>7.25</v>
      </c>
      <c r="I162" s="345">
        <f t="shared" si="7"/>
        <v>75.399999999999991</v>
      </c>
    </row>
    <row r="163" spans="1:9" ht="15" thickBot="1" x14ac:dyDescent="0.4">
      <c r="A163" s="391"/>
      <c r="B163" s="564"/>
      <c r="C163" s="565"/>
      <c r="D163" s="565"/>
      <c r="E163" s="566"/>
      <c r="F163" s="24" t="s">
        <v>117</v>
      </c>
      <c r="G163" s="326">
        <v>8.32</v>
      </c>
      <c r="H163" s="333">
        <v>7.25</v>
      </c>
      <c r="I163" s="345">
        <f t="shared" si="7"/>
        <v>60.32</v>
      </c>
    </row>
    <row r="164" spans="1:9" ht="15" thickBot="1" x14ac:dyDescent="0.4">
      <c r="A164" s="391"/>
      <c r="B164" s="564"/>
      <c r="C164" s="565"/>
      <c r="D164" s="565"/>
      <c r="E164" s="566"/>
      <c r="F164" s="24" t="s">
        <v>118</v>
      </c>
      <c r="G164" s="326">
        <v>6.6479999999999997</v>
      </c>
      <c r="H164" s="333">
        <v>7.25</v>
      </c>
      <c r="I164" s="345">
        <f t="shared" si="7"/>
        <v>48.198</v>
      </c>
    </row>
    <row r="165" spans="1:9" ht="15" thickBot="1" x14ac:dyDescent="0.4">
      <c r="A165" s="391"/>
      <c r="B165" s="564"/>
      <c r="C165" s="565"/>
      <c r="D165" s="565"/>
      <c r="E165" s="566"/>
      <c r="F165" s="24" t="s">
        <v>631</v>
      </c>
      <c r="G165" s="326">
        <v>5.3040000000000003</v>
      </c>
      <c r="H165" s="333">
        <v>7.25</v>
      </c>
      <c r="I165" s="345">
        <f t="shared" si="7"/>
        <v>38.454000000000001</v>
      </c>
    </row>
    <row r="166" spans="1:9" ht="15" thickBot="1" x14ac:dyDescent="0.4">
      <c r="A166" s="391"/>
      <c r="B166" s="564"/>
      <c r="C166" s="565"/>
      <c r="D166" s="565"/>
      <c r="E166" s="566"/>
      <c r="F166" s="24" t="s">
        <v>120</v>
      </c>
      <c r="G166" s="326">
        <v>3.1987199999999998</v>
      </c>
      <c r="H166" s="333">
        <v>7.25</v>
      </c>
      <c r="I166" s="345">
        <f t="shared" si="7"/>
        <v>23.190719999999999</v>
      </c>
    </row>
    <row r="167" spans="1:9" ht="15" thickBot="1" x14ac:dyDescent="0.4">
      <c r="A167" s="391"/>
      <c r="B167" s="564"/>
      <c r="C167" s="565"/>
      <c r="D167" s="565"/>
      <c r="E167" s="566"/>
      <c r="F167" s="24" t="s">
        <v>121</v>
      </c>
      <c r="G167" s="326">
        <v>2.56</v>
      </c>
      <c r="H167" s="333">
        <v>7.25</v>
      </c>
      <c r="I167" s="345">
        <f t="shared" si="7"/>
        <v>18.559999999999999</v>
      </c>
    </row>
    <row r="168" spans="1:9" ht="15" thickBot="1" x14ac:dyDescent="0.4">
      <c r="A168" s="391"/>
      <c r="B168" s="564"/>
      <c r="C168" s="565"/>
      <c r="D168" s="565"/>
      <c r="E168" s="566"/>
      <c r="F168" s="24" t="s">
        <v>633</v>
      </c>
      <c r="G168" s="326">
        <v>2.3200000000000003</v>
      </c>
      <c r="H168" s="333">
        <v>7.25</v>
      </c>
      <c r="I168" s="345">
        <f t="shared" si="7"/>
        <v>16.82</v>
      </c>
    </row>
    <row r="169" spans="1:9" ht="15" thickBot="1" x14ac:dyDescent="0.4">
      <c r="A169" s="391"/>
      <c r="B169" s="577" t="s">
        <v>613</v>
      </c>
      <c r="C169" s="578"/>
      <c r="D169" s="318" t="s">
        <v>484</v>
      </c>
      <c r="E169" s="319"/>
      <c r="F169" s="24" t="s">
        <v>630</v>
      </c>
      <c r="G169" s="326">
        <v>3.8652899999999999</v>
      </c>
      <c r="H169" s="333">
        <v>7.25</v>
      </c>
      <c r="I169" s="345">
        <f t="shared" si="7"/>
        <v>28.023352499999998</v>
      </c>
    </row>
    <row r="170" spans="1:9" ht="15" thickBot="1" x14ac:dyDescent="0.4">
      <c r="A170" s="391"/>
      <c r="B170" s="573" t="s">
        <v>614</v>
      </c>
      <c r="C170" s="574"/>
      <c r="D170" s="314" t="s">
        <v>486</v>
      </c>
      <c r="E170" s="320"/>
      <c r="F170" s="24" t="s">
        <v>68</v>
      </c>
      <c r="G170" s="326">
        <v>1.9800000000000004</v>
      </c>
      <c r="H170" s="333">
        <v>7.25</v>
      </c>
      <c r="I170" s="345">
        <f t="shared" si="7"/>
        <v>14.355000000000004</v>
      </c>
    </row>
    <row r="171" spans="1:9" ht="15" thickBot="1" x14ac:dyDescent="0.4">
      <c r="A171" s="391"/>
      <c r="B171" s="573" t="s">
        <v>615</v>
      </c>
      <c r="C171" s="574"/>
      <c r="D171" s="314" t="s">
        <v>488</v>
      </c>
      <c r="E171" s="320"/>
      <c r="F171" s="24" t="s">
        <v>123</v>
      </c>
      <c r="G171" s="326">
        <v>6.3</v>
      </c>
      <c r="H171" s="333">
        <v>7.25</v>
      </c>
      <c r="I171" s="345">
        <f t="shared" si="7"/>
        <v>45.674999999999997</v>
      </c>
    </row>
    <row r="172" spans="1:9" ht="15" thickBot="1" x14ac:dyDescent="0.4">
      <c r="A172" s="391"/>
      <c r="B172" s="573" t="s">
        <v>616</v>
      </c>
      <c r="C172" s="574"/>
      <c r="D172" s="314" t="s">
        <v>578</v>
      </c>
      <c r="E172" s="320"/>
      <c r="F172" s="24" t="s">
        <v>45</v>
      </c>
      <c r="G172" s="326">
        <v>8.1</v>
      </c>
      <c r="H172" s="333">
        <v>7.25</v>
      </c>
      <c r="I172" s="345">
        <f t="shared" si="7"/>
        <v>58.724999999999994</v>
      </c>
    </row>
    <row r="173" spans="1:9" ht="15" thickBot="1" x14ac:dyDescent="0.4">
      <c r="A173" s="391"/>
      <c r="B173" s="575" t="s">
        <v>617</v>
      </c>
      <c r="C173" s="576"/>
      <c r="D173" s="321" t="s">
        <v>580</v>
      </c>
      <c r="E173" s="322"/>
      <c r="F173" s="24" t="s">
        <v>632</v>
      </c>
      <c r="G173" s="326">
        <v>12</v>
      </c>
      <c r="H173" s="333">
        <v>7.25</v>
      </c>
      <c r="I173" s="345">
        <f t="shared" si="7"/>
        <v>87</v>
      </c>
    </row>
    <row r="174" spans="1:9" ht="15" thickBot="1" x14ac:dyDescent="0.4">
      <c r="A174" s="391"/>
      <c r="B174" s="315" t="s">
        <v>618</v>
      </c>
      <c r="C174" s="316" t="s">
        <v>619</v>
      </c>
      <c r="D174" s="316" t="s">
        <v>620</v>
      </c>
      <c r="E174" s="317" t="s">
        <v>474</v>
      </c>
      <c r="F174" s="33" t="s">
        <v>95</v>
      </c>
      <c r="G174" s="336">
        <v>12.35</v>
      </c>
      <c r="H174" s="334">
        <v>7.25</v>
      </c>
      <c r="I174" s="341">
        <f t="shared" si="7"/>
        <v>89.537499999999994</v>
      </c>
    </row>
    <row r="175" spans="1:9" ht="15" thickBot="1" x14ac:dyDescent="0.4">
      <c r="A175" s="391"/>
      <c r="B175" s="567" t="s">
        <v>625</v>
      </c>
      <c r="C175" s="568"/>
      <c r="D175" s="568"/>
      <c r="E175" s="569"/>
      <c r="F175" s="59" t="s">
        <v>132</v>
      </c>
      <c r="G175" s="326">
        <v>0.79058823529411759</v>
      </c>
      <c r="H175" s="333">
        <v>7.25</v>
      </c>
      <c r="I175" s="345">
        <f t="shared" si="7"/>
        <v>5.7317647058823527</v>
      </c>
    </row>
    <row r="176" spans="1:9" ht="15" thickBot="1" x14ac:dyDescent="0.4">
      <c r="A176" s="391"/>
      <c r="B176" s="564"/>
      <c r="C176" s="565"/>
      <c r="D176" s="565"/>
      <c r="E176" s="566"/>
      <c r="F176" s="59" t="s">
        <v>133</v>
      </c>
      <c r="G176" s="326">
        <v>0.64352941176470591</v>
      </c>
      <c r="H176" s="333">
        <v>7.25</v>
      </c>
      <c r="I176" s="345">
        <f t="shared" si="7"/>
        <v>4.665588235294118</v>
      </c>
    </row>
    <row r="177" spans="1:9" ht="15" thickBot="1" x14ac:dyDescent="0.4">
      <c r="A177" s="391"/>
      <c r="B177" s="564"/>
      <c r="C177" s="565"/>
      <c r="D177" s="565"/>
      <c r="E177" s="566"/>
      <c r="F177" s="61" t="s">
        <v>134</v>
      </c>
      <c r="G177" s="326">
        <v>0.60000000000000009</v>
      </c>
      <c r="H177" s="333">
        <v>7.25</v>
      </c>
      <c r="I177" s="345">
        <f t="shared" si="7"/>
        <v>4.3500000000000005</v>
      </c>
    </row>
    <row r="178" spans="1:9" ht="15" thickBot="1" x14ac:dyDescent="0.4">
      <c r="A178" s="391"/>
      <c r="B178" s="564"/>
      <c r="C178" s="565"/>
      <c r="D178" s="565"/>
      <c r="E178" s="566"/>
      <c r="F178" s="59" t="s">
        <v>135</v>
      </c>
      <c r="G178" s="326">
        <v>0.45</v>
      </c>
      <c r="H178" s="333">
        <v>7.25</v>
      </c>
      <c r="I178" s="345">
        <f t="shared" si="7"/>
        <v>3.2625000000000002</v>
      </c>
    </row>
    <row r="179" spans="1:9" ht="15" thickBot="1" x14ac:dyDescent="0.4">
      <c r="A179" s="391"/>
      <c r="B179" s="564"/>
      <c r="C179" s="565"/>
      <c r="D179" s="565"/>
      <c r="E179" s="566"/>
      <c r="F179" s="59" t="s">
        <v>136</v>
      </c>
      <c r="G179" s="326">
        <v>0.43</v>
      </c>
      <c r="H179" s="333">
        <v>7.25</v>
      </c>
      <c r="I179" s="345">
        <f t="shared" si="7"/>
        <v>3.1175000000000002</v>
      </c>
    </row>
    <row r="180" spans="1:9" ht="15" thickBot="1" x14ac:dyDescent="0.4">
      <c r="A180" s="391"/>
      <c r="B180" s="564"/>
      <c r="C180" s="565"/>
      <c r="D180" s="565"/>
      <c r="E180" s="566"/>
      <c r="F180" s="59" t="s">
        <v>137</v>
      </c>
      <c r="G180" s="326">
        <v>0.41000000000000003</v>
      </c>
      <c r="H180" s="333">
        <v>7.25</v>
      </c>
      <c r="I180" s="345">
        <f t="shared" si="7"/>
        <v>2.9725000000000001</v>
      </c>
    </row>
    <row r="181" spans="1:9" ht="15" thickBot="1" x14ac:dyDescent="0.4">
      <c r="A181" s="391"/>
      <c r="B181" s="570"/>
      <c r="C181" s="571"/>
      <c r="D181" s="571"/>
      <c r="E181" s="572"/>
      <c r="F181" s="59" t="s">
        <v>138</v>
      </c>
      <c r="G181" s="326">
        <v>0.39</v>
      </c>
      <c r="H181" s="333">
        <v>7.25</v>
      </c>
      <c r="I181" s="345">
        <f t="shared" si="7"/>
        <v>2.8275000000000001</v>
      </c>
    </row>
    <row r="182" spans="1:9" ht="15" thickBot="1" x14ac:dyDescent="0.4">
      <c r="A182" s="391"/>
      <c r="B182" s="567" t="s">
        <v>627</v>
      </c>
      <c r="C182" s="568"/>
      <c r="D182" s="568"/>
      <c r="E182" s="569"/>
      <c r="F182" s="54" t="s">
        <v>628</v>
      </c>
      <c r="G182" s="326">
        <v>1.2928500000000001</v>
      </c>
      <c r="H182" s="333">
        <v>7.25</v>
      </c>
      <c r="I182" s="345">
        <f t="shared" si="7"/>
        <v>9.3731625000000012</v>
      </c>
    </row>
    <row r="183" spans="1:9" ht="15" thickBot="1" x14ac:dyDescent="0.4">
      <c r="A183" s="391"/>
      <c r="B183" s="570"/>
      <c r="C183" s="571"/>
      <c r="D183" s="571"/>
      <c r="E183" s="572"/>
      <c r="F183" s="54" t="s">
        <v>73</v>
      </c>
      <c r="G183" s="326">
        <v>0.17334135000000003</v>
      </c>
      <c r="H183" s="333">
        <v>7.25</v>
      </c>
      <c r="I183" s="345">
        <f t="shared" si="7"/>
        <v>1.2567247875000003</v>
      </c>
    </row>
    <row r="184" spans="1:9" ht="15" thickBot="1" x14ac:dyDescent="0.4">
      <c r="A184" s="391"/>
      <c r="B184" s="562" t="s">
        <v>621</v>
      </c>
      <c r="C184" s="563"/>
      <c r="D184" s="323" t="s">
        <v>494</v>
      </c>
      <c r="E184" s="324"/>
      <c r="F184" s="61" t="s">
        <v>67</v>
      </c>
      <c r="G184" s="326">
        <v>0.48</v>
      </c>
      <c r="H184" s="333">
        <v>7.25</v>
      </c>
      <c r="I184" s="345">
        <f t="shared" si="7"/>
        <v>3.48</v>
      </c>
    </row>
    <row r="185" spans="1:9" ht="15" thickBot="1" x14ac:dyDescent="0.4">
      <c r="A185" s="391"/>
      <c r="B185" s="562" t="s">
        <v>622</v>
      </c>
      <c r="C185" s="563"/>
      <c r="D185" s="323" t="s">
        <v>496</v>
      </c>
      <c r="E185" s="324"/>
      <c r="F185" s="57" t="s">
        <v>139</v>
      </c>
      <c r="G185" s="326">
        <v>0.65999999999999992</v>
      </c>
      <c r="H185" s="333">
        <v>7.25</v>
      </c>
      <c r="I185" s="345">
        <f t="shared" si="7"/>
        <v>4.7849999999999993</v>
      </c>
    </row>
    <row r="186" spans="1:9" ht="15" thickBot="1" x14ac:dyDescent="0.4">
      <c r="A186" s="391"/>
      <c r="B186" s="562" t="s">
        <v>623</v>
      </c>
      <c r="C186" s="563"/>
      <c r="D186" s="323" t="s">
        <v>552</v>
      </c>
      <c r="E186" s="324"/>
      <c r="F186" s="32" t="s">
        <v>44</v>
      </c>
      <c r="G186" s="326">
        <v>0.48</v>
      </c>
      <c r="H186" s="333">
        <v>7.25</v>
      </c>
      <c r="I186" s="345">
        <f t="shared" si="7"/>
        <v>3.48</v>
      </c>
    </row>
    <row r="187" spans="1:9" ht="15" thickBot="1" x14ac:dyDescent="0.4">
      <c r="A187" s="392"/>
      <c r="B187" s="562" t="s">
        <v>624</v>
      </c>
      <c r="C187" s="563"/>
      <c r="D187" s="323" t="s">
        <v>508</v>
      </c>
      <c r="E187" s="324"/>
      <c r="F187" s="72" t="s">
        <v>629</v>
      </c>
      <c r="G187" s="327">
        <v>1.9000000000000001</v>
      </c>
      <c r="H187" s="337">
        <v>7.25</v>
      </c>
      <c r="I187" s="346">
        <f t="shared" si="7"/>
        <v>13.775</v>
      </c>
    </row>
    <row r="188" spans="1:9" ht="15.5" thickTop="1" thickBot="1" x14ac:dyDescent="0.4">
      <c r="A188" s="579" t="s">
        <v>648</v>
      </c>
      <c r="B188" s="557"/>
      <c r="C188" s="557"/>
      <c r="D188" s="557"/>
      <c r="E188" s="557"/>
      <c r="F188" s="580"/>
      <c r="G188" s="159">
        <f>SUM(G156:G187)</f>
        <v>207.68531899705872</v>
      </c>
      <c r="H188" s="347"/>
      <c r="I188" s="350">
        <f>SUM(I156:I187)</f>
        <v>1580.3235827286767</v>
      </c>
    </row>
    <row r="189" spans="1:9" ht="15.5" thickTop="1" thickBot="1" x14ac:dyDescent="0.4">
      <c r="A189" s="581" t="s">
        <v>649</v>
      </c>
      <c r="B189" s="582"/>
      <c r="C189" s="582"/>
      <c r="D189" s="582"/>
      <c r="E189" s="582"/>
      <c r="F189" s="583"/>
      <c r="G189" s="284">
        <f>SUM(G188+G154+G120)</f>
        <v>5131.800637994118</v>
      </c>
      <c r="H189" s="348"/>
      <c r="I189" s="349">
        <f t="shared" ref="I189" si="8">SUM(I188+I154+I120)</f>
        <v>61988.193866182432</v>
      </c>
    </row>
    <row r="190" spans="1:9" ht="15" thickTop="1" x14ac:dyDescent="0.35"/>
  </sheetData>
  <mergeCells count="123">
    <mergeCell ref="B185:C185"/>
    <mergeCell ref="B186:C186"/>
    <mergeCell ref="B187:C187"/>
    <mergeCell ref="A188:F188"/>
    <mergeCell ref="A189:F189"/>
    <mergeCell ref="A161:A187"/>
    <mergeCell ref="B162:E168"/>
    <mergeCell ref="B169:C169"/>
    <mergeCell ref="B170:C170"/>
    <mergeCell ref="B171:C171"/>
    <mergeCell ref="B172:C172"/>
    <mergeCell ref="B173:C173"/>
    <mergeCell ref="B175:E181"/>
    <mergeCell ref="B182:E183"/>
    <mergeCell ref="B184:C184"/>
    <mergeCell ref="A154:F154"/>
    <mergeCell ref="A155:I155"/>
    <mergeCell ref="B156:E156"/>
    <mergeCell ref="A157:A160"/>
    <mergeCell ref="B157:E157"/>
    <mergeCell ref="B158:E160"/>
    <mergeCell ref="B152:C152"/>
    <mergeCell ref="B153:C153"/>
    <mergeCell ref="B128:E134"/>
    <mergeCell ref="B141:E147"/>
    <mergeCell ref="B148:E149"/>
    <mergeCell ref="B150:C150"/>
    <mergeCell ref="B151:C151"/>
    <mergeCell ref="B138:C138"/>
    <mergeCell ref="B139:C139"/>
    <mergeCell ref="B135:C135"/>
    <mergeCell ref="B136:C136"/>
    <mergeCell ref="B137:C137"/>
    <mergeCell ref="A123:A126"/>
    <mergeCell ref="A127:A153"/>
    <mergeCell ref="B122:E122"/>
    <mergeCell ref="B123:E123"/>
    <mergeCell ref="B124:E126"/>
    <mergeCell ref="B114:C118"/>
    <mergeCell ref="D114:E118"/>
    <mergeCell ref="B119:C119"/>
    <mergeCell ref="D119:E119"/>
    <mergeCell ref="A120:F120"/>
    <mergeCell ref="A121:I121"/>
    <mergeCell ref="D111:E111"/>
    <mergeCell ref="B112:C112"/>
    <mergeCell ref="D112:E112"/>
    <mergeCell ref="B113:C113"/>
    <mergeCell ref="D113:E113"/>
    <mergeCell ref="B107:C108"/>
    <mergeCell ref="D107:E108"/>
    <mergeCell ref="B109:C109"/>
    <mergeCell ref="D109:E109"/>
    <mergeCell ref="B110:C110"/>
    <mergeCell ref="D110:E110"/>
    <mergeCell ref="A83:A98"/>
    <mergeCell ref="A99:A112"/>
    <mergeCell ref="A113:A119"/>
    <mergeCell ref="B70:C76"/>
    <mergeCell ref="D70:E76"/>
    <mergeCell ref="B81:C81"/>
    <mergeCell ref="D81:E81"/>
    <mergeCell ref="B84:C91"/>
    <mergeCell ref="D84:E91"/>
    <mergeCell ref="B92:C92"/>
    <mergeCell ref="B97:C97"/>
    <mergeCell ref="D97:E97"/>
    <mergeCell ref="B98:C98"/>
    <mergeCell ref="D98:E98"/>
    <mergeCell ref="B100:C106"/>
    <mergeCell ref="D100:E106"/>
    <mergeCell ref="D92:E92"/>
    <mergeCell ref="B93:C93"/>
    <mergeCell ref="D93:E93"/>
    <mergeCell ref="B94:C94"/>
    <mergeCell ref="D94:E94"/>
    <mergeCell ref="B95:C95"/>
    <mergeCell ref="D95:E95"/>
    <mergeCell ref="B111:C111"/>
    <mergeCell ref="B65:E65"/>
    <mergeCell ref="B66:E66"/>
    <mergeCell ref="B68:E68"/>
    <mergeCell ref="A42:A68"/>
    <mergeCell ref="B42:E42"/>
    <mergeCell ref="B43:E43"/>
    <mergeCell ref="B44:E44"/>
    <mergeCell ref="B35:E41"/>
    <mergeCell ref="B28:E34"/>
    <mergeCell ref="B45:E51"/>
    <mergeCell ref="B52:E58"/>
    <mergeCell ref="B59:E59"/>
    <mergeCell ref="B60:E60"/>
    <mergeCell ref="B61:E63"/>
    <mergeCell ref="B64:E64"/>
    <mergeCell ref="B67:E67"/>
    <mergeCell ref="D79:E79"/>
    <mergeCell ref="B80:C80"/>
    <mergeCell ref="D80:E80"/>
    <mergeCell ref="B77:C77"/>
    <mergeCell ref="D77:E77"/>
    <mergeCell ref="B78:C78"/>
    <mergeCell ref="D78:E78"/>
    <mergeCell ref="B79:C79"/>
    <mergeCell ref="A69:A82"/>
    <mergeCell ref="A4:I4"/>
    <mergeCell ref="A5:I5"/>
    <mergeCell ref="A2:A3"/>
    <mergeCell ref="B2:E3"/>
    <mergeCell ref="F2:F3"/>
    <mergeCell ref="G2:G3"/>
    <mergeCell ref="H2:H3"/>
    <mergeCell ref="I2:I3"/>
    <mergeCell ref="A6:A41"/>
    <mergeCell ref="B6:E6"/>
    <mergeCell ref="B7:E7"/>
    <mergeCell ref="B8:E8"/>
    <mergeCell ref="B9:E9"/>
    <mergeCell ref="B10:E16"/>
    <mergeCell ref="B17:E23"/>
    <mergeCell ref="B24:E24"/>
    <mergeCell ref="B25:E25"/>
    <mergeCell ref="B26:E26"/>
    <mergeCell ref="B27:E27"/>
  </mergeCells>
  <pageMargins left="0.7" right="0.7" top="0.75" bottom="0.75" header="0.3" footer="0.3"/>
  <pageSetup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4"/>
  <sheetViews>
    <sheetView topLeftCell="E55" workbookViewId="0">
      <selection activeCell="M29" sqref="M29"/>
    </sheetView>
  </sheetViews>
  <sheetFormatPr defaultColWidth="9" defaultRowHeight="14" x14ac:dyDescent="0.3"/>
  <cols>
    <col min="1" max="1" width="11" style="277" hidden="1" customWidth="1"/>
    <col min="2" max="2" width="11.26953125" style="278" hidden="1" customWidth="1"/>
    <col min="3" max="4" width="7.54296875" style="278" hidden="1" customWidth="1"/>
    <col min="5" max="5" width="7.54296875" style="278" customWidth="1"/>
    <col min="6" max="16384" width="9" style="277"/>
  </cols>
  <sheetData>
    <row r="1" spans="1:7" s="273" customFormat="1" x14ac:dyDescent="0.3">
      <c r="A1" s="271" t="s">
        <v>303</v>
      </c>
      <c r="B1" s="273" t="s">
        <v>539</v>
      </c>
      <c r="C1" s="272" t="s">
        <v>564</v>
      </c>
      <c r="D1" s="272" t="s">
        <v>565</v>
      </c>
      <c r="E1" s="272" t="s">
        <v>565</v>
      </c>
    </row>
    <row r="2" spans="1:7" s="273" customFormat="1" x14ac:dyDescent="0.3">
      <c r="A2" s="271"/>
      <c r="B2" s="274"/>
      <c r="C2" s="274"/>
      <c r="D2" s="274"/>
      <c r="E2" s="274"/>
    </row>
    <row r="3" spans="1:7" s="273" customFormat="1" x14ac:dyDescent="0.3">
      <c r="A3" s="275" t="s">
        <v>304</v>
      </c>
      <c r="B3" s="276" t="s">
        <v>466</v>
      </c>
      <c r="C3" s="276" t="s">
        <v>92</v>
      </c>
      <c r="D3" s="276" t="s">
        <v>92</v>
      </c>
      <c r="E3" s="276" t="s">
        <v>92</v>
      </c>
      <c r="F3" s="277" t="s">
        <v>305</v>
      </c>
      <c r="G3" s="277"/>
    </row>
    <row r="4" spans="1:7" x14ac:dyDescent="0.3">
      <c r="A4" s="276" t="s">
        <v>309</v>
      </c>
      <c r="B4" s="276" t="s">
        <v>466</v>
      </c>
      <c r="C4" s="276" t="s">
        <v>35</v>
      </c>
      <c r="D4" s="276" t="s">
        <v>35</v>
      </c>
      <c r="E4" s="276" t="s">
        <v>35</v>
      </c>
      <c r="F4" s="277" t="s">
        <v>310</v>
      </c>
    </row>
    <row r="5" spans="1:7" s="273" customFormat="1" x14ac:dyDescent="0.3">
      <c r="A5" s="275" t="s">
        <v>306</v>
      </c>
      <c r="B5" s="276" t="s">
        <v>466</v>
      </c>
      <c r="C5" s="276" t="s">
        <v>523</v>
      </c>
      <c r="D5" s="276" t="s">
        <v>523</v>
      </c>
      <c r="E5" s="276" t="s">
        <v>523</v>
      </c>
      <c r="F5" s="277" t="s">
        <v>308</v>
      </c>
      <c r="G5" s="277"/>
    </row>
    <row r="6" spans="1:7" s="278" customFormat="1" x14ac:dyDescent="0.3">
      <c r="A6" s="276"/>
      <c r="B6" s="276"/>
      <c r="C6" s="276"/>
      <c r="D6" s="276"/>
      <c r="E6" s="276"/>
    </row>
    <row r="7" spans="1:7" x14ac:dyDescent="0.3">
      <c r="A7" s="275" t="s">
        <v>311</v>
      </c>
      <c r="B7" s="276" t="s">
        <v>466</v>
      </c>
      <c r="C7" s="276" t="s">
        <v>36</v>
      </c>
      <c r="D7" s="276" t="s">
        <v>36</v>
      </c>
      <c r="E7" s="276" t="s">
        <v>36</v>
      </c>
      <c r="F7" s="277" t="s">
        <v>313</v>
      </c>
    </row>
    <row r="8" spans="1:7" x14ac:dyDescent="0.3">
      <c r="A8" s="275" t="s">
        <v>307</v>
      </c>
      <c r="B8" s="276" t="s">
        <v>466</v>
      </c>
      <c r="C8" s="276" t="s">
        <v>37</v>
      </c>
      <c r="D8" s="276" t="s">
        <v>37</v>
      </c>
      <c r="E8" s="276" t="s">
        <v>37</v>
      </c>
      <c r="F8" s="277" t="s">
        <v>202</v>
      </c>
    </row>
    <row r="9" spans="1:7" x14ac:dyDescent="0.3">
      <c r="A9" s="275" t="s">
        <v>315</v>
      </c>
      <c r="B9" s="276" t="s">
        <v>466</v>
      </c>
      <c r="C9" s="276" t="s">
        <v>467</v>
      </c>
      <c r="D9" s="276" t="s">
        <v>467</v>
      </c>
      <c r="E9" s="276" t="s">
        <v>467</v>
      </c>
      <c r="F9" s="277" t="s">
        <v>316</v>
      </c>
    </row>
    <row r="10" spans="1:7" x14ac:dyDescent="0.3">
      <c r="A10" s="275" t="s">
        <v>317</v>
      </c>
      <c r="B10" s="276" t="s">
        <v>466</v>
      </c>
      <c r="C10" s="276" t="s">
        <v>468</v>
      </c>
      <c r="D10" s="276" t="s">
        <v>468</v>
      </c>
      <c r="E10" s="276" t="s">
        <v>468</v>
      </c>
      <c r="F10" s="277" t="s">
        <v>318</v>
      </c>
    </row>
    <row r="11" spans="1:7" x14ac:dyDescent="0.3">
      <c r="A11" s="275" t="s">
        <v>319</v>
      </c>
      <c r="B11" s="276" t="s">
        <v>466</v>
      </c>
      <c r="C11" s="276" t="s">
        <v>469</v>
      </c>
      <c r="D11" s="276" t="s">
        <v>469</v>
      </c>
      <c r="E11" s="276" t="s">
        <v>469</v>
      </c>
      <c r="F11" s="277" t="s">
        <v>320</v>
      </c>
    </row>
    <row r="12" spans="1:7" x14ac:dyDescent="0.3">
      <c r="A12" s="275" t="s">
        <v>321</v>
      </c>
      <c r="B12" s="276" t="s">
        <v>466</v>
      </c>
      <c r="C12" s="276" t="s">
        <v>470</v>
      </c>
      <c r="D12" s="276" t="s">
        <v>470</v>
      </c>
      <c r="E12" s="276" t="s">
        <v>470</v>
      </c>
      <c r="F12" s="277" t="s">
        <v>322</v>
      </c>
    </row>
    <row r="13" spans="1:7" x14ac:dyDescent="0.3">
      <c r="A13" s="275" t="s">
        <v>323</v>
      </c>
      <c r="B13" s="276" t="s">
        <v>466</v>
      </c>
      <c r="C13" s="276" t="s">
        <v>471</v>
      </c>
      <c r="D13" s="276" t="s">
        <v>471</v>
      </c>
      <c r="E13" s="276" t="s">
        <v>471</v>
      </c>
      <c r="F13" s="277" t="s">
        <v>324</v>
      </c>
    </row>
    <row r="14" spans="1:7" x14ac:dyDescent="0.3">
      <c r="A14" s="275" t="s">
        <v>325</v>
      </c>
      <c r="B14" s="276" t="s">
        <v>466</v>
      </c>
      <c r="C14" s="276" t="s">
        <v>472</v>
      </c>
      <c r="D14" s="276" t="s">
        <v>472</v>
      </c>
      <c r="E14" s="276" t="s">
        <v>472</v>
      </c>
      <c r="F14" s="277" t="s">
        <v>326</v>
      </c>
    </row>
    <row r="15" spans="1:7" x14ac:dyDescent="0.3">
      <c r="A15" s="275" t="s">
        <v>327</v>
      </c>
      <c r="B15" s="276" t="s">
        <v>466</v>
      </c>
      <c r="C15" s="276" t="s">
        <v>473</v>
      </c>
      <c r="D15" s="276" t="s">
        <v>473</v>
      </c>
      <c r="E15" s="276" t="s">
        <v>473</v>
      </c>
      <c r="F15" s="277" t="s">
        <v>328</v>
      </c>
    </row>
    <row r="16" spans="1:7" x14ac:dyDescent="0.3">
      <c r="A16" s="275" t="s">
        <v>329</v>
      </c>
      <c r="B16" s="276" t="s">
        <v>466</v>
      </c>
      <c r="C16" s="276" t="s">
        <v>474</v>
      </c>
      <c r="D16" s="276" t="s">
        <v>474</v>
      </c>
      <c r="E16" s="276" t="s">
        <v>474</v>
      </c>
      <c r="F16" s="277" t="s">
        <v>330</v>
      </c>
    </row>
    <row r="17" spans="1:6" x14ac:dyDescent="0.3">
      <c r="A17" s="275" t="s">
        <v>331</v>
      </c>
      <c r="B17" s="276" t="s">
        <v>466</v>
      </c>
      <c r="C17" s="276" t="s">
        <v>475</v>
      </c>
      <c r="D17" s="276" t="s">
        <v>475</v>
      </c>
      <c r="E17" s="276" t="s">
        <v>475</v>
      </c>
      <c r="F17" s="277" t="s">
        <v>332</v>
      </c>
    </row>
    <row r="18" spans="1:6" x14ac:dyDescent="0.3">
      <c r="A18" s="275" t="s">
        <v>333</v>
      </c>
      <c r="B18" s="276" t="s">
        <v>466</v>
      </c>
      <c r="C18" s="276" t="s">
        <v>476</v>
      </c>
      <c r="D18" s="276" t="s">
        <v>476</v>
      </c>
      <c r="E18" s="276" t="s">
        <v>476</v>
      </c>
      <c r="F18" s="277" t="s">
        <v>334</v>
      </c>
    </row>
    <row r="19" spans="1:6" x14ac:dyDescent="0.3">
      <c r="A19" s="275" t="s">
        <v>335</v>
      </c>
      <c r="B19" s="276" t="s">
        <v>466</v>
      </c>
      <c r="C19" s="276" t="s">
        <v>477</v>
      </c>
      <c r="D19" s="276" t="s">
        <v>477</v>
      </c>
      <c r="E19" s="276" t="s">
        <v>477</v>
      </c>
      <c r="F19" s="277" t="s">
        <v>336</v>
      </c>
    </row>
    <row r="20" spans="1:6" x14ac:dyDescent="0.3">
      <c r="A20" s="275" t="s">
        <v>337</v>
      </c>
      <c r="B20" s="276" t="s">
        <v>466</v>
      </c>
      <c r="C20" s="276" t="s">
        <v>478</v>
      </c>
      <c r="D20" s="276" t="s">
        <v>478</v>
      </c>
      <c r="E20" s="276" t="s">
        <v>478</v>
      </c>
      <c r="F20" s="277" t="s">
        <v>338</v>
      </c>
    </row>
    <row r="21" spans="1:6" x14ac:dyDescent="0.3">
      <c r="A21" s="275" t="s">
        <v>339</v>
      </c>
      <c r="B21" s="276" t="s">
        <v>466</v>
      </c>
      <c r="C21" s="276" t="s">
        <v>479</v>
      </c>
      <c r="D21" s="276" t="s">
        <v>479</v>
      </c>
      <c r="E21" s="276" t="s">
        <v>479</v>
      </c>
      <c r="F21" s="277" t="s">
        <v>340</v>
      </c>
    </row>
    <row r="22" spans="1:6" x14ac:dyDescent="0.3">
      <c r="A22" s="275" t="s">
        <v>341</v>
      </c>
      <c r="B22" s="276" t="s">
        <v>466</v>
      </c>
      <c r="C22" s="276" t="s">
        <v>480</v>
      </c>
      <c r="D22" s="276" t="s">
        <v>480</v>
      </c>
      <c r="E22" s="276" t="s">
        <v>480</v>
      </c>
      <c r="F22" s="277" t="s">
        <v>342</v>
      </c>
    </row>
    <row r="23" spans="1:6" x14ac:dyDescent="0.3">
      <c r="A23" s="275"/>
      <c r="B23" s="276" t="s">
        <v>466</v>
      </c>
      <c r="C23" s="276" t="s">
        <v>100</v>
      </c>
      <c r="D23" s="276" t="s">
        <v>100</v>
      </c>
      <c r="E23" s="276" t="s">
        <v>100</v>
      </c>
      <c r="F23" s="277" t="s">
        <v>462</v>
      </c>
    </row>
    <row r="24" spans="1:6" x14ac:dyDescent="0.3">
      <c r="A24" s="275"/>
      <c r="B24" s="276"/>
      <c r="C24" s="276"/>
      <c r="D24" s="276"/>
      <c r="E24" s="276"/>
    </row>
    <row r="25" spans="1:6" x14ac:dyDescent="0.3">
      <c r="A25" s="275" t="s">
        <v>312</v>
      </c>
      <c r="B25" s="276" t="s">
        <v>466</v>
      </c>
      <c r="C25" s="276" t="s">
        <v>1</v>
      </c>
      <c r="D25" s="276" t="s">
        <v>1</v>
      </c>
      <c r="E25" s="276" t="s">
        <v>1</v>
      </c>
      <c r="F25" s="277" t="s">
        <v>99</v>
      </c>
    </row>
    <row r="26" spans="1:6" x14ac:dyDescent="0.3">
      <c r="A26" s="275" t="s">
        <v>314</v>
      </c>
      <c r="B26" s="276" t="s">
        <v>466</v>
      </c>
      <c r="C26" s="276" t="s">
        <v>2</v>
      </c>
      <c r="D26" s="276" t="s">
        <v>2</v>
      </c>
      <c r="E26" s="276" t="s">
        <v>2</v>
      </c>
      <c r="F26" s="277" t="s">
        <v>98</v>
      </c>
    </row>
    <row r="27" spans="1:6" x14ac:dyDescent="0.3">
      <c r="A27" s="275" t="s">
        <v>345</v>
      </c>
      <c r="B27" s="276" t="s">
        <v>466</v>
      </c>
      <c r="C27" s="276" t="s">
        <v>3</v>
      </c>
      <c r="D27" s="276" t="s">
        <v>3</v>
      </c>
      <c r="E27" s="276" t="s">
        <v>3</v>
      </c>
      <c r="F27" s="277" t="s">
        <v>32</v>
      </c>
    </row>
    <row r="28" spans="1:6" x14ac:dyDescent="0.3">
      <c r="A28" s="275" t="s">
        <v>346</v>
      </c>
      <c r="B28" s="276" t="s">
        <v>466</v>
      </c>
      <c r="C28" s="276" t="s">
        <v>4</v>
      </c>
      <c r="D28" s="276" t="s">
        <v>4</v>
      </c>
      <c r="E28" s="276" t="s">
        <v>4</v>
      </c>
      <c r="F28" s="277" t="s">
        <v>33</v>
      </c>
    </row>
    <row r="29" spans="1:6" x14ac:dyDescent="0.3">
      <c r="A29" s="275" t="s">
        <v>348</v>
      </c>
      <c r="B29" s="276" t="s">
        <v>466</v>
      </c>
      <c r="C29" s="276" t="s">
        <v>66</v>
      </c>
      <c r="D29" s="276" t="s">
        <v>66</v>
      </c>
      <c r="E29" s="276" t="s">
        <v>66</v>
      </c>
      <c r="F29" s="277" t="s">
        <v>143</v>
      </c>
    </row>
    <row r="30" spans="1:6" x14ac:dyDescent="0.3">
      <c r="A30" s="275" t="s">
        <v>350</v>
      </c>
      <c r="B30" s="276" t="s">
        <v>466</v>
      </c>
      <c r="C30" s="276" t="s">
        <v>61</v>
      </c>
      <c r="D30" s="276" t="s">
        <v>61</v>
      </c>
      <c r="E30" s="276" t="s">
        <v>61</v>
      </c>
      <c r="F30" s="277" t="s">
        <v>144</v>
      </c>
    </row>
    <row r="31" spans="1:6" x14ac:dyDescent="0.3">
      <c r="A31" s="275" t="s">
        <v>352</v>
      </c>
      <c r="B31" s="276" t="s">
        <v>466</v>
      </c>
      <c r="C31" s="276" t="s">
        <v>62</v>
      </c>
      <c r="D31" s="276" t="s">
        <v>62</v>
      </c>
      <c r="E31" s="276" t="s">
        <v>62</v>
      </c>
      <c r="F31" s="277" t="s">
        <v>82</v>
      </c>
    </row>
    <row r="32" spans="1:6" x14ac:dyDescent="0.3">
      <c r="A32" s="275" t="s">
        <v>354</v>
      </c>
      <c r="B32" s="276" t="s">
        <v>466</v>
      </c>
      <c r="C32" s="276" t="s">
        <v>301</v>
      </c>
      <c r="D32" s="276" t="s">
        <v>301</v>
      </c>
      <c r="E32" s="276" t="s">
        <v>301</v>
      </c>
      <c r="F32" s="277" t="s">
        <v>83</v>
      </c>
    </row>
    <row r="33" spans="1:6" x14ac:dyDescent="0.3">
      <c r="A33" s="275" t="s">
        <v>356</v>
      </c>
      <c r="B33" s="276" t="s">
        <v>466</v>
      </c>
      <c r="C33" s="276" t="s">
        <v>525</v>
      </c>
      <c r="D33" s="276" t="s">
        <v>525</v>
      </c>
      <c r="E33" s="276" t="s">
        <v>525</v>
      </c>
      <c r="F33" s="277" t="s">
        <v>203</v>
      </c>
    </row>
    <row r="34" spans="1:6" x14ac:dyDescent="0.3">
      <c r="A34" s="275" t="s">
        <v>357</v>
      </c>
      <c r="B34" s="276" t="s">
        <v>466</v>
      </c>
      <c r="C34" s="276" t="s">
        <v>537</v>
      </c>
      <c r="D34" s="276" t="s">
        <v>537</v>
      </c>
      <c r="E34" s="276" t="s">
        <v>537</v>
      </c>
      <c r="F34" s="277" t="s">
        <v>204</v>
      </c>
    </row>
    <row r="35" spans="1:6" x14ac:dyDescent="0.3">
      <c r="A35" s="275" t="s">
        <v>358</v>
      </c>
      <c r="B35" s="276" t="s">
        <v>466</v>
      </c>
      <c r="C35" s="276" t="s">
        <v>481</v>
      </c>
      <c r="D35" s="276" t="s">
        <v>481</v>
      </c>
      <c r="E35" s="276" t="s">
        <v>481</v>
      </c>
      <c r="F35" s="277" t="s">
        <v>360</v>
      </c>
    </row>
    <row r="36" spans="1:6" x14ac:dyDescent="0.3">
      <c r="A36" s="275" t="s">
        <v>361</v>
      </c>
      <c r="B36" s="276" t="s">
        <v>466</v>
      </c>
      <c r="C36" s="276" t="s">
        <v>482</v>
      </c>
      <c r="D36" s="276" t="s">
        <v>482</v>
      </c>
      <c r="E36" s="276" t="s">
        <v>482</v>
      </c>
      <c r="F36" s="277" t="s">
        <v>363</v>
      </c>
    </row>
    <row r="37" spans="1:6" x14ac:dyDescent="0.3">
      <c r="A37" s="275" t="s">
        <v>364</v>
      </c>
      <c r="B37" s="276" t="s">
        <v>466</v>
      </c>
      <c r="C37" s="276" t="s">
        <v>483</v>
      </c>
      <c r="D37" s="276" t="s">
        <v>483</v>
      </c>
      <c r="E37" s="276" t="s">
        <v>483</v>
      </c>
      <c r="F37" s="277" t="s">
        <v>366</v>
      </c>
    </row>
    <row r="38" spans="1:6" x14ac:dyDescent="0.3">
      <c r="A38" s="275" t="s">
        <v>367</v>
      </c>
      <c r="B38" s="276" t="s">
        <v>466</v>
      </c>
      <c r="C38" s="276" t="s">
        <v>484</v>
      </c>
      <c r="D38" s="276" t="s">
        <v>484</v>
      </c>
      <c r="E38" s="276" t="s">
        <v>484</v>
      </c>
      <c r="F38" s="277" t="s">
        <v>369</v>
      </c>
    </row>
    <row r="39" spans="1:6" x14ac:dyDescent="0.3">
      <c r="A39" s="275" t="s">
        <v>370</v>
      </c>
      <c r="B39" s="276" t="s">
        <v>466</v>
      </c>
      <c r="C39" s="276" t="s">
        <v>485</v>
      </c>
      <c r="D39" s="276" t="s">
        <v>485</v>
      </c>
      <c r="E39" s="276" t="s">
        <v>485</v>
      </c>
      <c r="F39" s="277" t="s">
        <v>372</v>
      </c>
    </row>
    <row r="40" spans="1:6" x14ac:dyDescent="0.3">
      <c r="A40" s="275" t="s">
        <v>373</v>
      </c>
      <c r="B40" s="276" t="s">
        <v>466</v>
      </c>
      <c r="C40" s="276" t="s">
        <v>486</v>
      </c>
      <c r="D40" s="276" t="s">
        <v>486</v>
      </c>
      <c r="E40" s="276" t="s">
        <v>486</v>
      </c>
      <c r="F40" s="277" t="s">
        <v>375</v>
      </c>
    </row>
    <row r="41" spans="1:6" x14ac:dyDescent="0.3">
      <c r="A41" s="275" t="s">
        <v>376</v>
      </c>
      <c r="B41" s="276" t="s">
        <v>466</v>
      </c>
      <c r="C41" s="276" t="s">
        <v>487</v>
      </c>
      <c r="D41" s="276" t="s">
        <v>487</v>
      </c>
      <c r="E41" s="276" t="s">
        <v>487</v>
      </c>
      <c r="F41" s="277" t="s">
        <v>378</v>
      </c>
    </row>
    <row r="42" spans="1:6" x14ac:dyDescent="0.3">
      <c r="A42" s="275" t="s">
        <v>379</v>
      </c>
      <c r="B42" s="276" t="s">
        <v>466</v>
      </c>
      <c r="C42" s="276" t="s">
        <v>488</v>
      </c>
      <c r="D42" s="276" t="s">
        <v>488</v>
      </c>
      <c r="E42" s="276" t="s">
        <v>488</v>
      </c>
      <c r="F42" s="277" t="s">
        <v>381</v>
      </c>
    </row>
    <row r="43" spans="1:6" x14ac:dyDescent="0.3">
      <c r="A43" s="275" t="s">
        <v>382</v>
      </c>
      <c r="B43" s="276" t="s">
        <v>466</v>
      </c>
      <c r="C43" s="276" t="s">
        <v>489</v>
      </c>
      <c r="D43" s="276" t="s">
        <v>489</v>
      </c>
      <c r="E43" s="276" t="s">
        <v>489</v>
      </c>
      <c r="F43" s="277" t="s">
        <v>384</v>
      </c>
    </row>
    <row r="44" spans="1:6" x14ac:dyDescent="0.3">
      <c r="A44" s="275" t="s">
        <v>385</v>
      </c>
      <c r="B44" s="276" t="s">
        <v>466</v>
      </c>
      <c r="C44" s="276" t="s">
        <v>490</v>
      </c>
      <c r="D44" s="276" t="s">
        <v>490</v>
      </c>
      <c r="E44" s="276" t="s">
        <v>490</v>
      </c>
      <c r="F44" s="277" t="s">
        <v>387</v>
      </c>
    </row>
    <row r="45" spans="1:6" x14ac:dyDescent="0.3">
      <c r="A45" s="275" t="s">
        <v>388</v>
      </c>
      <c r="B45" s="276" t="s">
        <v>466</v>
      </c>
      <c r="C45" s="276" t="s">
        <v>491</v>
      </c>
      <c r="D45" s="276" t="s">
        <v>491</v>
      </c>
      <c r="E45" s="276" t="s">
        <v>491</v>
      </c>
      <c r="F45" s="277" t="s">
        <v>390</v>
      </c>
    </row>
    <row r="46" spans="1:6" x14ac:dyDescent="0.3">
      <c r="A46" s="275" t="s">
        <v>391</v>
      </c>
      <c r="B46" s="276" t="s">
        <v>466</v>
      </c>
      <c r="C46" s="276" t="s">
        <v>492</v>
      </c>
      <c r="D46" s="276" t="s">
        <v>492</v>
      </c>
      <c r="E46" s="276" t="s">
        <v>492</v>
      </c>
      <c r="F46" s="277" t="s">
        <v>393</v>
      </c>
    </row>
    <row r="47" spans="1:6" x14ac:dyDescent="0.3">
      <c r="A47" s="275" t="s">
        <v>394</v>
      </c>
      <c r="B47" s="276" t="s">
        <v>466</v>
      </c>
      <c r="C47" s="276" t="s">
        <v>493</v>
      </c>
      <c r="D47" s="276" t="s">
        <v>493</v>
      </c>
      <c r="E47" s="276" t="s">
        <v>493</v>
      </c>
      <c r="F47" s="277" t="s">
        <v>395</v>
      </c>
    </row>
    <row r="48" spans="1:6" x14ac:dyDescent="0.3">
      <c r="A48" s="275" t="s">
        <v>396</v>
      </c>
      <c r="B48" s="276" t="s">
        <v>466</v>
      </c>
      <c r="C48" s="276" t="s">
        <v>494</v>
      </c>
      <c r="D48" s="276" t="s">
        <v>494</v>
      </c>
      <c r="E48" s="276" t="s">
        <v>494</v>
      </c>
      <c r="F48" s="277" t="s">
        <v>397</v>
      </c>
    </row>
    <row r="49" spans="1:14" x14ac:dyDescent="0.3">
      <c r="A49" s="275" t="s">
        <v>398</v>
      </c>
      <c r="B49" s="276" t="s">
        <v>466</v>
      </c>
      <c r="C49" s="276" t="s">
        <v>495</v>
      </c>
      <c r="D49" s="276" t="s">
        <v>495</v>
      </c>
      <c r="E49" s="276" t="s">
        <v>495</v>
      </c>
      <c r="F49" s="277" t="s">
        <v>399</v>
      </c>
    </row>
    <row r="50" spans="1:14" x14ac:dyDescent="0.3">
      <c r="A50" s="275" t="s">
        <v>400</v>
      </c>
      <c r="B50" s="276" t="s">
        <v>466</v>
      </c>
      <c r="C50" s="276" t="s">
        <v>496</v>
      </c>
      <c r="D50" s="276" t="s">
        <v>496</v>
      </c>
      <c r="E50" s="276" t="s">
        <v>496</v>
      </c>
      <c r="F50" s="277" t="s">
        <v>401</v>
      </c>
    </row>
    <row r="51" spans="1:14" x14ac:dyDescent="0.3">
      <c r="A51" s="275" t="s">
        <v>402</v>
      </c>
      <c r="B51" s="276" t="s">
        <v>466</v>
      </c>
      <c r="C51" s="276" t="s">
        <v>497</v>
      </c>
      <c r="D51" s="276" t="s">
        <v>497</v>
      </c>
      <c r="E51" s="276" t="s">
        <v>497</v>
      </c>
      <c r="F51" s="277" t="s">
        <v>403</v>
      </c>
    </row>
    <row r="52" spans="1:14" x14ac:dyDescent="0.3">
      <c r="A52" s="275" t="s">
        <v>404</v>
      </c>
      <c r="B52" s="276" t="s">
        <v>466</v>
      </c>
      <c r="C52" s="276" t="s">
        <v>498</v>
      </c>
      <c r="D52" s="276" t="s">
        <v>498</v>
      </c>
      <c r="E52" s="276" t="s">
        <v>498</v>
      </c>
      <c r="F52" s="277" t="s">
        <v>405</v>
      </c>
    </row>
    <row r="53" spans="1:14" x14ac:dyDescent="0.3">
      <c r="A53" s="275" t="s">
        <v>406</v>
      </c>
      <c r="B53" s="276" t="s">
        <v>466</v>
      </c>
      <c r="C53" s="276" t="s">
        <v>499</v>
      </c>
      <c r="D53" s="276" t="s">
        <v>499</v>
      </c>
      <c r="E53" s="276" t="s">
        <v>499</v>
      </c>
      <c r="F53" s="277" t="s">
        <v>407</v>
      </c>
    </row>
    <row r="54" spans="1:14" x14ac:dyDescent="0.3">
      <c r="A54" s="275" t="s">
        <v>408</v>
      </c>
      <c r="B54" s="276" t="s">
        <v>466</v>
      </c>
      <c r="C54" s="276" t="s">
        <v>500</v>
      </c>
      <c r="D54" s="276" t="s">
        <v>500</v>
      </c>
      <c r="E54" s="276" t="s">
        <v>500</v>
      </c>
      <c r="F54" s="277" t="s">
        <v>409</v>
      </c>
    </row>
    <row r="55" spans="1:14" x14ac:dyDescent="0.3">
      <c r="A55" s="275" t="s">
        <v>410</v>
      </c>
      <c r="B55" s="276" t="s">
        <v>466</v>
      </c>
      <c r="C55" s="276" t="s">
        <v>501</v>
      </c>
      <c r="D55" s="276" t="s">
        <v>501</v>
      </c>
      <c r="E55" s="276" t="s">
        <v>501</v>
      </c>
      <c r="F55" s="277" t="s">
        <v>411</v>
      </c>
    </row>
    <row r="56" spans="1:14" x14ac:dyDescent="0.3">
      <c r="A56" s="275" t="s">
        <v>412</v>
      </c>
      <c r="B56" s="276" t="s">
        <v>466</v>
      </c>
      <c r="C56" s="276" t="s">
        <v>502</v>
      </c>
      <c r="D56" s="276" t="s">
        <v>502</v>
      </c>
      <c r="E56" s="276" t="s">
        <v>502</v>
      </c>
      <c r="F56" s="277" t="s">
        <v>413</v>
      </c>
    </row>
    <row r="57" spans="1:14" x14ac:dyDescent="0.3">
      <c r="A57" s="275" t="s">
        <v>414</v>
      </c>
      <c r="B57" s="276" t="s">
        <v>466</v>
      </c>
      <c r="C57" s="276" t="s">
        <v>503</v>
      </c>
      <c r="D57" s="276" t="s">
        <v>503</v>
      </c>
      <c r="E57" s="276" t="s">
        <v>503</v>
      </c>
      <c r="F57" s="277" t="s">
        <v>415</v>
      </c>
    </row>
    <row r="58" spans="1:14" x14ac:dyDescent="0.3">
      <c r="A58" s="275" t="s">
        <v>416</v>
      </c>
      <c r="B58" s="276" t="s">
        <v>466</v>
      </c>
      <c r="C58" s="276" t="s">
        <v>504</v>
      </c>
      <c r="D58" s="276" t="s">
        <v>504</v>
      </c>
      <c r="E58" s="276" t="s">
        <v>504</v>
      </c>
      <c r="F58" s="277" t="s">
        <v>417</v>
      </c>
    </row>
    <row r="59" spans="1:14" x14ac:dyDescent="0.3">
      <c r="A59" s="275" t="s">
        <v>418</v>
      </c>
      <c r="B59" s="276" t="s">
        <v>466</v>
      </c>
      <c r="C59" s="276" t="s">
        <v>505</v>
      </c>
      <c r="D59" s="276" t="s">
        <v>505</v>
      </c>
      <c r="E59" s="276" t="s">
        <v>505</v>
      </c>
      <c r="F59" s="277" t="s">
        <v>419</v>
      </c>
    </row>
    <row r="60" spans="1:14" x14ac:dyDescent="0.3">
      <c r="A60" s="275" t="s">
        <v>420</v>
      </c>
      <c r="B60" s="276" t="s">
        <v>466</v>
      </c>
      <c r="C60" s="276" t="s">
        <v>506</v>
      </c>
      <c r="D60" s="276" t="s">
        <v>506</v>
      </c>
      <c r="E60" s="276" t="s">
        <v>506</v>
      </c>
      <c r="F60" s="277" t="s">
        <v>421</v>
      </c>
    </row>
    <row r="61" spans="1:14" x14ac:dyDescent="0.3">
      <c r="A61" s="275"/>
      <c r="B61" s="276"/>
      <c r="C61" s="276"/>
      <c r="D61" s="276"/>
      <c r="E61" s="276"/>
    </row>
    <row r="62" spans="1:14" x14ac:dyDescent="0.3">
      <c r="A62" s="275" t="s">
        <v>343</v>
      </c>
      <c r="B62" s="276" t="s">
        <v>466</v>
      </c>
      <c r="C62" s="276" t="s">
        <v>524</v>
      </c>
      <c r="D62" s="276" t="s">
        <v>524</v>
      </c>
      <c r="E62" s="276" t="s">
        <v>524</v>
      </c>
      <c r="F62" s="277" t="s">
        <v>38</v>
      </c>
    </row>
    <row r="63" spans="1:14" s="287" customFormat="1" ht="14.5" hidden="1" x14ac:dyDescent="0.35">
      <c r="A63" s="286" t="s">
        <v>344</v>
      </c>
      <c r="B63" s="286" t="s">
        <v>466</v>
      </c>
      <c r="C63" s="286" t="s">
        <v>526</v>
      </c>
      <c r="D63" s="286" t="s">
        <v>526</v>
      </c>
      <c r="E63" s="286" t="s">
        <v>526</v>
      </c>
      <c r="F63" s="287" t="s">
        <v>145</v>
      </c>
      <c r="M63" s="287" t="s">
        <v>553</v>
      </c>
      <c r="N63" s="150" t="s">
        <v>554</v>
      </c>
    </row>
    <row r="64" spans="1:14" s="287" customFormat="1" ht="14.5" hidden="1" x14ac:dyDescent="0.35">
      <c r="A64" s="286" t="s">
        <v>563</v>
      </c>
      <c r="B64" s="286" t="s">
        <v>466</v>
      </c>
      <c r="C64" s="286" t="s">
        <v>527</v>
      </c>
      <c r="D64" s="286"/>
      <c r="E64" s="286"/>
      <c r="F64" s="287" t="s">
        <v>39</v>
      </c>
      <c r="M64" s="287" t="s">
        <v>553</v>
      </c>
      <c r="N64" s="150" t="s">
        <v>554</v>
      </c>
    </row>
    <row r="65" spans="1:14" s="287" customFormat="1" ht="14.5" hidden="1" x14ac:dyDescent="0.35">
      <c r="A65" s="286" t="s">
        <v>347</v>
      </c>
      <c r="B65" s="286" t="s">
        <v>466</v>
      </c>
      <c r="C65" s="286" t="s">
        <v>528</v>
      </c>
      <c r="D65" s="286" t="s">
        <v>527</v>
      </c>
      <c r="E65" s="286" t="s">
        <v>527</v>
      </c>
      <c r="F65" s="287" t="s">
        <v>423</v>
      </c>
      <c r="M65" s="287" t="s">
        <v>553</v>
      </c>
      <c r="N65" s="150" t="s">
        <v>554</v>
      </c>
    </row>
    <row r="66" spans="1:14" x14ac:dyDescent="0.3">
      <c r="A66" s="275" t="s">
        <v>349</v>
      </c>
      <c r="B66" s="276" t="s">
        <v>466</v>
      </c>
      <c r="C66" s="276" t="s">
        <v>529</v>
      </c>
      <c r="D66" s="276" t="s">
        <v>528</v>
      </c>
      <c r="E66" s="276" t="s">
        <v>526</v>
      </c>
      <c r="F66" s="277" t="s">
        <v>34</v>
      </c>
    </row>
    <row r="67" spans="1:14" s="278" customFormat="1" x14ac:dyDescent="0.3">
      <c r="A67" s="276" t="s">
        <v>351</v>
      </c>
      <c r="B67" s="276" t="s">
        <v>466</v>
      </c>
      <c r="C67" s="299" t="s">
        <v>530</v>
      </c>
      <c r="D67" s="276" t="s">
        <v>529</v>
      </c>
      <c r="E67" s="276" t="s">
        <v>527</v>
      </c>
      <c r="F67" s="278" t="s">
        <v>299</v>
      </c>
    </row>
    <row r="68" spans="1:14" s="278" customFormat="1" x14ac:dyDescent="0.3">
      <c r="A68" s="276" t="s">
        <v>353</v>
      </c>
      <c r="B68" s="276" t="s">
        <v>466</v>
      </c>
      <c r="C68" s="299" t="s">
        <v>531</v>
      </c>
      <c r="D68" s="276" t="s">
        <v>530</v>
      </c>
      <c r="E68" s="276" t="s">
        <v>528</v>
      </c>
      <c r="F68" s="278" t="s">
        <v>300</v>
      </c>
    </row>
    <row r="69" spans="1:14" x14ac:dyDescent="0.3">
      <c r="A69" s="275" t="s">
        <v>355</v>
      </c>
      <c r="B69" s="276" t="s">
        <v>466</v>
      </c>
      <c r="C69" s="276" t="s">
        <v>566</v>
      </c>
      <c r="D69" s="276" t="s">
        <v>531</v>
      </c>
      <c r="E69" s="276" t="s">
        <v>529</v>
      </c>
      <c r="F69" s="277" t="s">
        <v>91</v>
      </c>
    </row>
    <row r="70" spans="1:14" x14ac:dyDescent="0.3">
      <c r="A70" s="275" t="s">
        <v>425</v>
      </c>
      <c r="B70" s="276" t="s">
        <v>466</v>
      </c>
      <c r="C70" s="276" t="s">
        <v>507</v>
      </c>
      <c r="D70" s="276" t="s">
        <v>551</v>
      </c>
      <c r="E70" s="276" t="s">
        <v>577</v>
      </c>
      <c r="F70" s="277" t="s">
        <v>426</v>
      </c>
    </row>
    <row r="71" spans="1:14" x14ac:dyDescent="0.3">
      <c r="A71" s="275" t="s">
        <v>427</v>
      </c>
      <c r="B71" s="276" t="s">
        <v>466</v>
      </c>
      <c r="C71" s="276" t="s">
        <v>508</v>
      </c>
      <c r="D71" s="276" t="s">
        <v>552</v>
      </c>
      <c r="E71" s="276" t="s">
        <v>578</v>
      </c>
      <c r="F71" s="277" t="s">
        <v>428</v>
      </c>
    </row>
    <row r="72" spans="1:14" x14ac:dyDescent="0.3">
      <c r="A72" s="275" t="s">
        <v>429</v>
      </c>
      <c r="B72" s="276" t="s">
        <v>466</v>
      </c>
      <c r="C72" s="276" t="s">
        <v>509</v>
      </c>
      <c r="D72" s="276" t="s">
        <v>507</v>
      </c>
      <c r="E72" s="276" t="s">
        <v>579</v>
      </c>
      <c r="F72" s="277" t="s">
        <v>430</v>
      </c>
    </row>
    <row r="73" spans="1:14" x14ac:dyDescent="0.3">
      <c r="A73" s="275" t="s">
        <v>431</v>
      </c>
      <c r="B73" s="276" t="s">
        <v>466</v>
      </c>
      <c r="C73" s="276" t="s">
        <v>510</v>
      </c>
      <c r="D73" s="276" t="s">
        <v>508</v>
      </c>
      <c r="E73" s="276" t="s">
        <v>580</v>
      </c>
      <c r="F73" s="277" t="s">
        <v>432</v>
      </c>
    </row>
    <row r="74" spans="1:14" x14ac:dyDescent="0.3">
      <c r="A74" s="275" t="s">
        <v>359</v>
      </c>
      <c r="B74" s="276" t="s">
        <v>466</v>
      </c>
      <c r="C74" s="276" t="s">
        <v>511</v>
      </c>
      <c r="D74" s="276" t="s">
        <v>509</v>
      </c>
      <c r="E74" s="276" t="s">
        <v>551</v>
      </c>
      <c r="F74" s="277" t="s">
        <v>433</v>
      </c>
    </row>
    <row r="75" spans="1:14" x14ac:dyDescent="0.3">
      <c r="A75" s="275" t="s">
        <v>362</v>
      </c>
      <c r="B75" s="276" t="s">
        <v>466</v>
      </c>
      <c r="C75" s="276" t="s">
        <v>512</v>
      </c>
      <c r="D75" s="276" t="s">
        <v>510</v>
      </c>
      <c r="E75" s="276" t="s">
        <v>552</v>
      </c>
      <c r="F75" s="277" t="s">
        <v>434</v>
      </c>
    </row>
    <row r="76" spans="1:14" x14ac:dyDescent="0.3">
      <c r="A76" s="275" t="s">
        <v>365</v>
      </c>
      <c r="B76" s="276" t="s">
        <v>466</v>
      </c>
      <c r="C76" s="276" t="s">
        <v>513</v>
      </c>
      <c r="D76" s="276" t="s">
        <v>511</v>
      </c>
      <c r="E76" s="276" t="s">
        <v>507</v>
      </c>
      <c r="F76" s="277" t="s">
        <v>581</v>
      </c>
    </row>
    <row r="77" spans="1:14" x14ac:dyDescent="0.3">
      <c r="A77" s="275" t="s">
        <v>368</v>
      </c>
      <c r="B77" s="276" t="s">
        <v>466</v>
      </c>
      <c r="C77" s="276" t="s">
        <v>514</v>
      </c>
      <c r="D77" s="276" t="s">
        <v>512</v>
      </c>
      <c r="E77" s="276" t="s">
        <v>508</v>
      </c>
      <c r="F77" s="277" t="s">
        <v>582</v>
      </c>
    </row>
    <row r="78" spans="1:14" x14ac:dyDescent="0.3">
      <c r="A78" s="275" t="s">
        <v>371</v>
      </c>
      <c r="B78" s="276" t="s">
        <v>466</v>
      </c>
      <c r="C78" s="276" t="s">
        <v>515</v>
      </c>
      <c r="D78" s="276" t="s">
        <v>513</v>
      </c>
      <c r="E78" s="276" t="s">
        <v>509</v>
      </c>
      <c r="F78" s="277" t="s">
        <v>435</v>
      </c>
    </row>
    <row r="79" spans="1:14" x14ac:dyDescent="0.3">
      <c r="A79" s="275" t="s">
        <v>374</v>
      </c>
      <c r="B79" s="276" t="s">
        <v>466</v>
      </c>
      <c r="C79" s="276" t="s">
        <v>516</v>
      </c>
      <c r="D79" s="276" t="s">
        <v>514</v>
      </c>
      <c r="E79" s="276" t="s">
        <v>510</v>
      </c>
      <c r="F79" s="277" t="s">
        <v>436</v>
      </c>
    </row>
    <row r="80" spans="1:14" x14ac:dyDescent="0.3">
      <c r="A80" s="275" t="s">
        <v>383</v>
      </c>
      <c r="B80" s="276" t="s">
        <v>466</v>
      </c>
      <c r="C80" s="276" t="s">
        <v>517</v>
      </c>
      <c r="D80" s="276" t="s">
        <v>515</v>
      </c>
      <c r="E80" s="276" t="s">
        <v>511</v>
      </c>
      <c r="F80" s="277" t="s">
        <v>463</v>
      </c>
    </row>
    <row r="81" spans="1:6" x14ac:dyDescent="0.3">
      <c r="A81" s="275" t="s">
        <v>386</v>
      </c>
      <c r="B81" s="276" t="s">
        <v>466</v>
      </c>
      <c r="C81" s="276" t="s">
        <v>518</v>
      </c>
      <c r="D81" s="276" t="s">
        <v>516</v>
      </c>
      <c r="E81" s="276" t="s">
        <v>512</v>
      </c>
      <c r="F81" s="277" t="s">
        <v>464</v>
      </c>
    </row>
    <row r="82" spans="1:6" x14ac:dyDescent="0.3">
      <c r="A82" s="275" t="s">
        <v>377</v>
      </c>
      <c r="B82" s="276" t="s">
        <v>466</v>
      </c>
      <c r="C82" s="276" t="s">
        <v>519</v>
      </c>
      <c r="D82" s="276" t="s">
        <v>517</v>
      </c>
      <c r="E82" s="276" t="s">
        <v>513</v>
      </c>
      <c r="F82" s="277" t="s">
        <v>437</v>
      </c>
    </row>
    <row r="83" spans="1:6" x14ac:dyDescent="0.3">
      <c r="A83" s="275" t="s">
        <v>380</v>
      </c>
      <c r="B83" s="276" t="s">
        <v>466</v>
      </c>
      <c r="C83" s="276" t="s">
        <v>520</v>
      </c>
      <c r="D83" s="276" t="s">
        <v>518</v>
      </c>
      <c r="E83" s="276" t="s">
        <v>514</v>
      </c>
      <c r="F83" s="277" t="s">
        <v>438</v>
      </c>
    </row>
    <row r="84" spans="1:6" x14ac:dyDescent="0.3">
      <c r="A84" s="275" t="s">
        <v>389</v>
      </c>
      <c r="B84" s="276" t="s">
        <v>466</v>
      </c>
      <c r="C84" s="276" t="s">
        <v>567</v>
      </c>
      <c r="D84" s="276" t="s">
        <v>519</v>
      </c>
      <c r="E84" s="276" t="s">
        <v>515</v>
      </c>
      <c r="F84" s="277" t="s">
        <v>439</v>
      </c>
    </row>
    <row r="85" spans="1:6" x14ac:dyDescent="0.3">
      <c r="A85" s="275" t="s">
        <v>392</v>
      </c>
      <c r="B85" s="276" t="s">
        <v>466</v>
      </c>
      <c r="C85" s="276" t="s">
        <v>568</v>
      </c>
      <c r="D85" s="276" t="s">
        <v>520</v>
      </c>
      <c r="E85" s="276" t="s">
        <v>516</v>
      </c>
      <c r="F85" s="277" t="s">
        <v>440</v>
      </c>
    </row>
    <row r="86" spans="1:6" x14ac:dyDescent="0.3">
      <c r="A86" s="275"/>
      <c r="B86" s="276"/>
      <c r="C86" s="276"/>
      <c r="D86" s="276"/>
      <c r="E86" s="276"/>
    </row>
    <row r="87" spans="1:6" x14ac:dyDescent="0.3">
      <c r="A87" s="275" t="s">
        <v>422</v>
      </c>
      <c r="B87" s="276" t="s">
        <v>466</v>
      </c>
      <c r="C87" s="276" t="s">
        <v>532</v>
      </c>
      <c r="D87" s="276" t="s">
        <v>532</v>
      </c>
      <c r="E87" s="276" t="s">
        <v>532</v>
      </c>
      <c r="F87" s="277" t="s">
        <v>441</v>
      </c>
    </row>
    <row r="88" spans="1:6" x14ac:dyDescent="0.3">
      <c r="A88" s="275"/>
      <c r="B88" s="276" t="s">
        <v>466</v>
      </c>
      <c r="C88" s="276" t="s">
        <v>533</v>
      </c>
      <c r="D88" s="276" t="s">
        <v>533</v>
      </c>
      <c r="E88" s="276" t="s">
        <v>533</v>
      </c>
      <c r="F88" s="277" t="s">
        <v>456</v>
      </c>
    </row>
    <row r="89" spans="1:6" x14ac:dyDescent="0.3">
      <c r="A89" s="275" t="s">
        <v>442</v>
      </c>
      <c r="B89" s="276" t="s">
        <v>466</v>
      </c>
      <c r="C89" s="276" t="s">
        <v>521</v>
      </c>
      <c r="D89" s="276" t="s">
        <v>521</v>
      </c>
      <c r="E89" s="276" t="s">
        <v>521</v>
      </c>
      <c r="F89" s="277" t="s">
        <v>443</v>
      </c>
    </row>
    <row r="90" spans="1:6" x14ac:dyDescent="0.3">
      <c r="A90" s="275" t="s">
        <v>444</v>
      </c>
      <c r="B90" s="276" t="s">
        <v>466</v>
      </c>
      <c r="C90" s="276" t="s">
        <v>522</v>
      </c>
      <c r="D90" s="276" t="s">
        <v>522</v>
      </c>
      <c r="E90" s="276" t="s">
        <v>522</v>
      </c>
      <c r="F90" s="277" t="s">
        <v>445</v>
      </c>
    </row>
    <row r="91" spans="1:6" x14ac:dyDescent="0.3">
      <c r="A91" s="275" t="s">
        <v>424</v>
      </c>
      <c r="B91" s="276" t="s">
        <v>466</v>
      </c>
      <c r="C91" s="276" t="s">
        <v>534</v>
      </c>
      <c r="D91" s="276" t="s">
        <v>534</v>
      </c>
      <c r="E91" s="276" t="s">
        <v>534</v>
      </c>
      <c r="F91" s="277" t="s">
        <v>446</v>
      </c>
    </row>
    <row r="94" spans="1:6" s="288" customFormat="1" x14ac:dyDescent="0.3">
      <c r="A94" s="288" t="s">
        <v>447</v>
      </c>
      <c r="B94" s="289"/>
      <c r="C94" s="289"/>
      <c r="D94" s="289"/>
      <c r="E94" s="289"/>
    </row>
    <row r="95" spans="1:6" x14ac:dyDescent="0.3">
      <c r="A95" s="277" t="s">
        <v>448</v>
      </c>
      <c r="B95" s="278" t="s">
        <v>466</v>
      </c>
      <c r="C95" s="278" t="s">
        <v>535</v>
      </c>
      <c r="D95" s="278" t="s">
        <v>535</v>
      </c>
      <c r="E95" s="278" t="s">
        <v>535</v>
      </c>
      <c r="F95" s="277" t="s">
        <v>449</v>
      </c>
    </row>
    <row r="96" spans="1:6" x14ac:dyDescent="0.3">
      <c r="A96" s="277" t="s">
        <v>450</v>
      </c>
      <c r="B96" s="278" t="s">
        <v>466</v>
      </c>
      <c r="C96" s="278" t="s">
        <v>536</v>
      </c>
      <c r="D96" s="278" t="s">
        <v>536</v>
      </c>
      <c r="E96" s="278" t="s">
        <v>536</v>
      </c>
      <c r="F96" s="277" t="s">
        <v>451</v>
      </c>
    </row>
    <row r="97" spans="1:6" x14ac:dyDescent="0.3">
      <c r="A97" s="277" t="s">
        <v>452</v>
      </c>
      <c r="B97" s="278" t="s">
        <v>466</v>
      </c>
      <c r="C97" s="278" t="s">
        <v>542</v>
      </c>
      <c r="D97" s="278" t="s">
        <v>569</v>
      </c>
      <c r="E97" s="278" t="s">
        <v>569</v>
      </c>
      <c r="F97" s="277" t="s">
        <v>555</v>
      </c>
    </row>
    <row r="98" spans="1:6" x14ac:dyDescent="0.3">
      <c r="B98" s="278" t="s">
        <v>466</v>
      </c>
      <c r="C98" s="278" t="s">
        <v>543</v>
      </c>
      <c r="D98" s="278" t="s">
        <v>570</v>
      </c>
      <c r="E98" s="278" t="s">
        <v>570</v>
      </c>
      <c r="F98" s="277" t="s">
        <v>559</v>
      </c>
    </row>
    <row r="99" spans="1:6" x14ac:dyDescent="0.3">
      <c r="A99" s="277" t="s">
        <v>453</v>
      </c>
      <c r="B99" s="278" t="s">
        <v>466</v>
      </c>
      <c r="C99" s="278" t="s">
        <v>540</v>
      </c>
      <c r="D99" s="278" t="s">
        <v>571</v>
      </c>
      <c r="E99" s="278" t="s">
        <v>571</v>
      </c>
      <c r="F99" s="277" t="s">
        <v>556</v>
      </c>
    </row>
    <row r="100" spans="1:6" x14ac:dyDescent="0.3">
      <c r="B100" s="278" t="s">
        <v>466</v>
      </c>
      <c r="C100" s="278" t="s">
        <v>541</v>
      </c>
      <c r="D100" s="278" t="s">
        <v>572</v>
      </c>
      <c r="E100" s="278" t="s">
        <v>572</v>
      </c>
      <c r="F100" s="277" t="s">
        <v>560</v>
      </c>
    </row>
    <row r="101" spans="1:6" x14ac:dyDescent="0.3">
      <c r="A101" s="277" t="s">
        <v>454</v>
      </c>
      <c r="B101" s="278" t="s">
        <v>466</v>
      </c>
      <c r="C101" s="278" t="s">
        <v>545</v>
      </c>
      <c r="D101" s="278" t="s">
        <v>573</v>
      </c>
      <c r="E101" s="278" t="s">
        <v>573</v>
      </c>
      <c r="F101" s="277" t="s">
        <v>557</v>
      </c>
    </row>
    <row r="102" spans="1:6" x14ac:dyDescent="0.3">
      <c r="B102" s="278" t="s">
        <v>466</v>
      </c>
      <c r="C102" s="278" t="s">
        <v>546</v>
      </c>
      <c r="D102" s="278" t="s">
        <v>574</v>
      </c>
      <c r="E102" s="278" t="s">
        <v>574</v>
      </c>
      <c r="F102" s="277" t="s">
        <v>561</v>
      </c>
    </row>
    <row r="103" spans="1:6" ht="15.75" customHeight="1" x14ac:dyDescent="0.3">
      <c r="A103" s="277" t="s">
        <v>455</v>
      </c>
      <c r="B103" s="278" t="s">
        <v>466</v>
      </c>
      <c r="C103" s="278" t="s">
        <v>547</v>
      </c>
      <c r="D103" s="278" t="s">
        <v>575</v>
      </c>
      <c r="E103" s="278" t="s">
        <v>575</v>
      </c>
      <c r="F103" s="277" t="s">
        <v>558</v>
      </c>
    </row>
    <row r="104" spans="1:6" x14ac:dyDescent="0.3">
      <c r="B104" s="278" t="s">
        <v>466</v>
      </c>
      <c r="C104" s="278" t="s">
        <v>548</v>
      </c>
      <c r="D104" s="278" t="s">
        <v>576</v>
      </c>
      <c r="E104" s="278" t="s">
        <v>576</v>
      </c>
      <c r="F104" s="277" t="s">
        <v>562</v>
      </c>
    </row>
  </sheetData>
  <pageMargins left="0.7" right="0.7" top="0.75" bottom="0.75" header="0.3" footer="0.3"/>
  <pageSetup orientation="portrait"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19"/>
  <sheetViews>
    <sheetView topLeftCell="A22" workbookViewId="0">
      <selection activeCell="G49" sqref="G49"/>
    </sheetView>
  </sheetViews>
  <sheetFormatPr defaultRowHeight="14.5" x14ac:dyDescent="0.35"/>
  <cols>
    <col min="1" max="1" width="16" customWidth="1"/>
    <col min="2" max="2" width="16" style="97" customWidth="1"/>
    <col min="4" max="4" width="39" customWidth="1"/>
    <col min="5" max="5" width="12.7265625" customWidth="1"/>
    <col min="7" max="7" width="22.54296875" customWidth="1"/>
  </cols>
  <sheetData>
    <row r="1" spans="1:22" ht="15.75" customHeight="1" thickBot="1" x14ac:dyDescent="0.4">
      <c r="B1" s="141"/>
      <c r="Q1" s="83" t="s">
        <v>74</v>
      </c>
    </row>
    <row r="2" spans="1:22" ht="15" thickBot="1" x14ac:dyDescent="0.4">
      <c r="A2" s="486" t="s">
        <v>23</v>
      </c>
      <c r="B2" s="142"/>
    </row>
    <row r="3" spans="1:22" ht="15" thickBot="1" x14ac:dyDescent="0.4">
      <c r="A3" s="486"/>
      <c r="B3" s="142" t="s">
        <v>168</v>
      </c>
      <c r="C3" s="91" t="s">
        <v>148</v>
      </c>
      <c r="D3" s="90" t="s">
        <v>149</v>
      </c>
      <c r="E3" s="91" t="s">
        <v>150</v>
      </c>
      <c r="F3" s="92" t="s">
        <v>151</v>
      </c>
      <c r="G3" s="94" t="s">
        <v>152</v>
      </c>
      <c r="H3" s="89" t="s">
        <v>153</v>
      </c>
      <c r="I3" s="92" t="s">
        <v>154</v>
      </c>
      <c r="J3" s="94" t="s">
        <v>155</v>
      </c>
      <c r="K3" s="93" t="s">
        <v>156</v>
      </c>
      <c r="L3" s="93" t="s">
        <v>157</v>
      </c>
      <c r="M3" s="93" t="s">
        <v>158</v>
      </c>
      <c r="N3" s="93" t="s">
        <v>159</v>
      </c>
      <c r="O3" s="93" t="s">
        <v>160</v>
      </c>
      <c r="P3" s="92" t="s">
        <v>161</v>
      </c>
      <c r="Q3" s="92" t="s">
        <v>162</v>
      </c>
      <c r="R3" s="92" t="s">
        <v>163</v>
      </c>
      <c r="S3" s="92" t="s">
        <v>164</v>
      </c>
      <c r="T3" s="92" t="s">
        <v>165</v>
      </c>
      <c r="U3" s="91" t="s">
        <v>166</v>
      </c>
      <c r="V3" s="91" t="s">
        <v>167</v>
      </c>
    </row>
    <row r="4" spans="1:22" ht="15" thickBot="1" x14ac:dyDescent="0.4">
      <c r="A4" s="487" t="s">
        <v>199</v>
      </c>
      <c r="B4" s="96" t="s">
        <v>169</v>
      </c>
      <c r="C4" s="100" t="s">
        <v>170</v>
      </c>
      <c r="D4" s="99" t="s">
        <v>171</v>
      </c>
      <c r="E4" s="100" t="s">
        <v>146</v>
      </c>
      <c r="F4" s="101">
        <v>2145140</v>
      </c>
      <c r="G4" s="103">
        <v>0.3</v>
      </c>
      <c r="H4" s="89">
        <v>57.44</v>
      </c>
      <c r="I4" s="101">
        <v>119460</v>
      </c>
      <c r="J4" s="103">
        <v>0.2</v>
      </c>
      <c r="K4" s="102">
        <v>21.24</v>
      </c>
      <c r="L4" s="102">
        <v>31.13</v>
      </c>
      <c r="M4" s="102">
        <v>46.99</v>
      </c>
      <c r="N4" s="102">
        <v>73.209999999999994</v>
      </c>
      <c r="O4" s="102" t="s">
        <v>172</v>
      </c>
      <c r="P4" s="101">
        <v>44190</v>
      </c>
      <c r="Q4" s="101">
        <v>64750</v>
      </c>
      <c r="R4" s="101">
        <v>97730</v>
      </c>
      <c r="S4" s="101">
        <v>152270</v>
      </c>
      <c r="T4" s="101" t="s">
        <v>172</v>
      </c>
      <c r="U4" s="98"/>
      <c r="V4" s="98"/>
    </row>
    <row r="5" spans="1:22" ht="15" thickBot="1" x14ac:dyDescent="0.4">
      <c r="A5" s="487"/>
      <c r="B5" s="96" t="s">
        <v>169</v>
      </c>
      <c r="C5" s="100" t="s">
        <v>173</v>
      </c>
      <c r="D5" s="99" t="s">
        <v>171</v>
      </c>
      <c r="E5" s="100" t="s">
        <v>147</v>
      </c>
      <c r="F5" s="101">
        <v>2145140</v>
      </c>
      <c r="G5" s="103">
        <v>0.3</v>
      </c>
      <c r="H5" s="89">
        <v>57.44</v>
      </c>
      <c r="I5" s="101">
        <v>119460</v>
      </c>
      <c r="J5" s="103">
        <v>0.2</v>
      </c>
      <c r="K5" s="102">
        <v>21.24</v>
      </c>
      <c r="L5" s="102">
        <v>31.13</v>
      </c>
      <c r="M5" s="102">
        <v>46.99</v>
      </c>
      <c r="N5" s="102">
        <v>73.209999999999994</v>
      </c>
      <c r="O5" s="102" t="s">
        <v>172</v>
      </c>
      <c r="P5" s="101">
        <v>44190</v>
      </c>
      <c r="Q5" s="101">
        <v>64750</v>
      </c>
      <c r="R5" s="101">
        <v>97730</v>
      </c>
      <c r="S5" s="101">
        <v>152270</v>
      </c>
      <c r="T5" s="101" t="s">
        <v>172</v>
      </c>
      <c r="U5" s="98"/>
      <c r="V5" s="98"/>
    </row>
    <row r="6" spans="1:22" s="104" customFormat="1" ht="15" thickBot="1" x14ac:dyDescent="0.4">
      <c r="A6" s="487"/>
      <c r="B6" s="96" t="s">
        <v>169</v>
      </c>
      <c r="C6" s="107" t="s">
        <v>174</v>
      </c>
      <c r="D6" s="106" t="s">
        <v>175</v>
      </c>
      <c r="E6" s="107" t="s">
        <v>176</v>
      </c>
      <c r="F6" s="108">
        <v>2185950</v>
      </c>
      <c r="G6" s="110">
        <v>0.3</v>
      </c>
      <c r="H6" s="89">
        <v>45.85</v>
      </c>
      <c r="I6" s="108">
        <v>95360</v>
      </c>
      <c r="J6" s="110">
        <v>0.2</v>
      </c>
      <c r="K6" s="109">
        <v>20</v>
      </c>
      <c r="L6" s="109">
        <v>28.47</v>
      </c>
      <c r="M6" s="109">
        <v>41.29</v>
      </c>
      <c r="N6" s="109">
        <v>57.51</v>
      </c>
      <c r="O6" s="109">
        <v>76.290000000000006</v>
      </c>
      <c r="P6" s="108">
        <v>41600</v>
      </c>
      <c r="Q6" s="108">
        <v>59210</v>
      </c>
      <c r="R6" s="108">
        <v>85880</v>
      </c>
      <c r="S6" s="108">
        <v>119620</v>
      </c>
      <c r="T6" s="108">
        <v>158690</v>
      </c>
      <c r="U6" s="105"/>
    </row>
    <row r="7" spans="1:22" s="105" customFormat="1" ht="15" thickBot="1" x14ac:dyDescent="0.4">
      <c r="A7" s="487"/>
      <c r="B7" s="96" t="s">
        <v>169</v>
      </c>
      <c r="C7" s="113" t="s">
        <v>177</v>
      </c>
      <c r="D7" s="112" t="s">
        <v>178</v>
      </c>
      <c r="E7" s="113" t="s">
        <v>146</v>
      </c>
      <c r="F7" s="114">
        <v>119770</v>
      </c>
      <c r="G7" s="116">
        <v>0.8</v>
      </c>
      <c r="H7" s="89">
        <v>33.380000000000003</v>
      </c>
      <c r="I7" s="114">
        <v>69430</v>
      </c>
      <c r="J7" s="116">
        <v>0.4</v>
      </c>
      <c r="K7" s="115">
        <v>18.64</v>
      </c>
      <c r="L7" s="115">
        <v>23.52</v>
      </c>
      <c r="M7" s="115">
        <v>30.54</v>
      </c>
      <c r="N7" s="115">
        <v>40.47</v>
      </c>
      <c r="O7" s="115">
        <v>52.39</v>
      </c>
      <c r="P7" s="114">
        <v>38770</v>
      </c>
      <c r="Q7" s="114">
        <v>48920</v>
      </c>
      <c r="R7" s="114">
        <v>63530</v>
      </c>
      <c r="S7" s="114">
        <v>84180</v>
      </c>
      <c r="T7" s="114">
        <v>108960</v>
      </c>
    </row>
    <row r="8" spans="1:22" s="105" customFormat="1" ht="15" thickBot="1" x14ac:dyDescent="0.4">
      <c r="A8" s="487"/>
      <c r="B8" s="96" t="s">
        <v>169</v>
      </c>
      <c r="C8" s="113" t="s">
        <v>179</v>
      </c>
      <c r="D8" s="112" t="s">
        <v>178</v>
      </c>
      <c r="E8" s="113" t="s">
        <v>147</v>
      </c>
      <c r="F8" s="114">
        <v>119770</v>
      </c>
      <c r="G8" s="116">
        <v>0.8</v>
      </c>
      <c r="H8" s="89">
        <v>33.380000000000003</v>
      </c>
      <c r="I8" s="114">
        <v>69430</v>
      </c>
      <c r="J8" s="116">
        <v>0.4</v>
      </c>
      <c r="K8" s="115">
        <v>18.64</v>
      </c>
      <c r="L8" s="115">
        <v>23.52</v>
      </c>
      <c r="M8" s="115">
        <v>30.54</v>
      </c>
      <c r="N8" s="115">
        <v>40.47</v>
      </c>
      <c r="O8" s="115">
        <v>52.39</v>
      </c>
      <c r="P8" s="114">
        <v>38770</v>
      </c>
      <c r="Q8" s="114">
        <v>48920</v>
      </c>
      <c r="R8" s="114">
        <v>63530</v>
      </c>
      <c r="S8" s="114">
        <v>84180</v>
      </c>
      <c r="T8" s="114">
        <v>108960</v>
      </c>
    </row>
    <row r="9" spans="1:22" s="111" customFormat="1" ht="15" thickBot="1" x14ac:dyDescent="0.4">
      <c r="A9" s="487"/>
      <c r="B9" s="96" t="s">
        <v>169</v>
      </c>
      <c r="C9" s="119" t="s">
        <v>180</v>
      </c>
      <c r="D9" s="118" t="s">
        <v>181</v>
      </c>
      <c r="E9" s="119" t="s">
        <v>146</v>
      </c>
      <c r="F9" s="120">
        <v>376440</v>
      </c>
      <c r="G9" s="122">
        <v>0.6</v>
      </c>
      <c r="H9" s="89">
        <v>53.47</v>
      </c>
      <c r="I9" s="120">
        <v>111230</v>
      </c>
      <c r="J9" s="122">
        <v>0.4</v>
      </c>
      <c r="K9" s="121">
        <v>25.89</v>
      </c>
      <c r="L9" s="121">
        <v>36.79</v>
      </c>
      <c r="M9" s="121">
        <v>50.41</v>
      </c>
      <c r="N9" s="121">
        <v>65.349999999999994</v>
      </c>
      <c r="O9" s="121">
        <v>81.7</v>
      </c>
      <c r="P9" s="120">
        <v>53850</v>
      </c>
      <c r="Q9" s="120">
        <v>76530</v>
      </c>
      <c r="R9" s="120">
        <v>104850</v>
      </c>
      <c r="S9" s="120">
        <v>135930</v>
      </c>
      <c r="T9" s="120">
        <v>169940</v>
      </c>
    </row>
    <row r="10" spans="1:22" s="150" customFormat="1" ht="15" thickBot="1" x14ac:dyDescent="0.4">
      <c r="A10" s="487"/>
      <c r="B10" s="144" t="s">
        <v>169</v>
      </c>
      <c r="C10" s="145" t="s">
        <v>182</v>
      </c>
      <c r="D10" s="146" t="s">
        <v>183</v>
      </c>
      <c r="E10" s="145" t="s">
        <v>147</v>
      </c>
      <c r="F10" s="147">
        <v>376440</v>
      </c>
      <c r="G10" s="148">
        <v>0.6</v>
      </c>
      <c r="H10" s="143">
        <v>53.47</v>
      </c>
      <c r="I10" s="147">
        <v>111230</v>
      </c>
      <c r="J10" s="148">
        <v>0.4</v>
      </c>
      <c r="K10" s="149">
        <v>25.89</v>
      </c>
      <c r="L10" s="149">
        <v>36.79</v>
      </c>
      <c r="M10" s="149">
        <v>50.41</v>
      </c>
      <c r="N10" s="149">
        <v>65.349999999999994</v>
      </c>
      <c r="O10" s="149">
        <v>81.7</v>
      </c>
      <c r="P10" s="147">
        <v>53850</v>
      </c>
      <c r="Q10" s="147">
        <v>76530</v>
      </c>
      <c r="R10" s="147">
        <v>104850</v>
      </c>
      <c r="S10" s="147">
        <v>135930</v>
      </c>
      <c r="T10" s="147">
        <v>169940</v>
      </c>
    </row>
    <row r="11" spans="1:22" s="117" customFormat="1" ht="15" thickBot="1" x14ac:dyDescent="0.4">
      <c r="A11" s="487"/>
      <c r="B11" s="96"/>
      <c r="C11" s="119"/>
      <c r="D11" s="118"/>
      <c r="E11" s="119"/>
      <c r="F11" s="120"/>
      <c r="G11" s="122"/>
      <c r="H11" s="89"/>
      <c r="I11" s="120"/>
      <c r="J11" s="122"/>
      <c r="K11" s="121"/>
      <c r="L11" s="121"/>
      <c r="M11" s="121"/>
      <c r="N11" s="121"/>
      <c r="O11" s="121"/>
      <c r="P11" s="120"/>
      <c r="Q11" s="120"/>
      <c r="R11" s="120"/>
      <c r="S11" s="120"/>
      <c r="T11" s="120"/>
    </row>
    <row r="12" spans="1:22" ht="15" thickBot="1" x14ac:dyDescent="0.4">
      <c r="A12" s="487"/>
      <c r="B12" s="96"/>
    </row>
    <row r="13" spans="1:22" ht="15" thickBot="1" x14ac:dyDescent="0.4">
      <c r="A13" s="487" t="s">
        <v>200</v>
      </c>
      <c r="B13" s="96" t="s">
        <v>169</v>
      </c>
      <c r="C13" s="100" t="s">
        <v>170</v>
      </c>
      <c r="D13" s="99" t="s">
        <v>171</v>
      </c>
      <c r="E13" s="100" t="s">
        <v>146</v>
      </c>
      <c r="F13" s="101">
        <v>2145140</v>
      </c>
      <c r="G13" s="103">
        <v>0.3</v>
      </c>
      <c r="H13" s="89">
        <v>57.44</v>
      </c>
      <c r="I13" s="101">
        <v>119460</v>
      </c>
      <c r="J13" s="103">
        <v>0.2</v>
      </c>
      <c r="K13" s="102">
        <v>21.24</v>
      </c>
      <c r="L13" s="102">
        <v>31.13</v>
      </c>
      <c r="M13" s="102">
        <v>46.99</v>
      </c>
      <c r="N13" s="102">
        <v>73.209999999999994</v>
      </c>
      <c r="O13" s="102" t="s">
        <v>172</v>
      </c>
      <c r="P13" s="101">
        <v>44190</v>
      </c>
      <c r="Q13" s="101">
        <v>64750</v>
      </c>
      <c r="R13" s="101">
        <v>97730</v>
      </c>
      <c r="S13" s="101">
        <v>152270</v>
      </c>
      <c r="T13" s="101" t="s">
        <v>172</v>
      </c>
    </row>
    <row r="14" spans="1:22" ht="15" thickBot="1" x14ac:dyDescent="0.4">
      <c r="A14" s="487"/>
      <c r="B14" s="96" t="s">
        <v>169</v>
      </c>
      <c r="C14" s="100" t="s">
        <v>173</v>
      </c>
      <c r="D14" s="99" t="s">
        <v>171</v>
      </c>
      <c r="E14" s="100" t="s">
        <v>147</v>
      </c>
      <c r="F14" s="101">
        <v>2145140</v>
      </c>
      <c r="G14" s="103">
        <v>0.3</v>
      </c>
      <c r="H14" s="89">
        <v>57.44</v>
      </c>
      <c r="I14" s="101">
        <v>119460</v>
      </c>
      <c r="J14" s="103">
        <v>0.2</v>
      </c>
      <c r="K14" s="102">
        <v>21.24</v>
      </c>
      <c r="L14" s="102">
        <v>31.13</v>
      </c>
      <c r="M14" s="102">
        <v>46.99</v>
      </c>
      <c r="N14" s="102">
        <v>73.209999999999994</v>
      </c>
      <c r="O14" s="102" t="s">
        <v>172</v>
      </c>
      <c r="P14" s="101">
        <v>44190</v>
      </c>
      <c r="Q14" s="101">
        <v>64750</v>
      </c>
      <c r="R14" s="101">
        <v>97730</v>
      </c>
      <c r="S14" s="101">
        <v>152270</v>
      </c>
      <c r="T14" s="101" t="s">
        <v>172</v>
      </c>
    </row>
    <row r="15" spans="1:22" s="150" customFormat="1" ht="15" thickBot="1" x14ac:dyDescent="0.4">
      <c r="A15" s="487"/>
      <c r="B15" s="144" t="s">
        <v>169</v>
      </c>
      <c r="C15" s="145" t="s">
        <v>174</v>
      </c>
      <c r="D15" s="146" t="s">
        <v>175</v>
      </c>
      <c r="E15" s="145" t="s">
        <v>176</v>
      </c>
      <c r="F15" s="147">
        <v>2185950</v>
      </c>
      <c r="G15" s="148">
        <v>0.3</v>
      </c>
      <c r="H15" s="143">
        <v>45.85</v>
      </c>
      <c r="I15" s="147">
        <v>95360</v>
      </c>
      <c r="J15" s="148">
        <v>0.2</v>
      </c>
      <c r="K15" s="149">
        <v>20</v>
      </c>
      <c r="L15" s="149">
        <v>28.47</v>
      </c>
      <c r="M15" s="149">
        <v>41.29</v>
      </c>
      <c r="N15" s="149">
        <v>57.51</v>
      </c>
      <c r="O15" s="149">
        <v>76.290000000000006</v>
      </c>
      <c r="P15" s="147">
        <v>41600</v>
      </c>
      <c r="Q15" s="147">
        <v>59210</v>
      </c>
      <c r="R15" s="147">
        <v>85880</v>
      </c>
      <c r="S15" s="147">
        <v>119620</v>
      </c>
      <c r="T15" s="147">
        <v>158690</v>
      </c>
    </row>
    <row r="16" spans="1:22" ht="15" thickBot="1" x14ac:dyDescent="0.4">
      <c r="A16" s="395" t="s">
        <v>69</v>
      </c>
      <c r="B16" s="95"/>
      <c r="C16" s="98"/>
      <c r="D16" s="117"/>
      <c r="F16" s="98"/>
      <c r="G16" s="98"/>
      <c r="H16" s="98"/>
      <c r="I16" s="98"/>
      <c r="J16" s="98"/>
      <c r="K16" s="98"/>
      <c r="L16" s="98"/>
      <c r="M16" s="98"/>
      <c r="N16" s="98"/>
      <c r="O16" s="98"/>
      <c r="P16" s="98"/>
      <c r="Q16" s="98"/>
      <c r="R16" s="98"/>
      <c r="S16" s="98"/>
      <c r="T16" s="98"/>
      <c r="U16" s="98"/>
      <c r="V16" s="98"/>
    </row>
    <row r="17" spans="1:25" s="117" customFormat="1" ht="15" thickBot="1" x14ac:dyDescent="0.4">
      <c r="A17" s="395"/>
      <c r="B17" s="95"/>
      <c r="D17" s="170" t="s">
        <v>225</v>
      </c>
    </row>
    <row r="18" spans="1:25" s="117" customFormat="1" ht="15" thickBot="1" x14ac:dyDescent="0.4">
      <c r="A18" s="395"/>
      <c r="B18" s="95"/>
      <c r="D18" s="171" t="s">
        <v>245</v>
      </c>
    </row>
    <row r="19" spans="1:25" s="117" customFormat="1" ht="15" thickBot="1" x14ac:dyDescent="0.4">
      <c r="A19" s="395"/>
      <c r="B19" s="95"/>
      <c r="D19" s="171"/>
    </row>
    <row r="20" spans="1:25" s="117" customFormat="1" ht="32.25" customHeight="1" thickBot="1" x14ac:dyDescent="0.4">
      <c r="A20" s="395"/>
      <c r="B20" s="95"/>
      <c r="D20" s="585" t="s">
        <v>243</v>
      </c>
      <c r="E20" s="585"/>
      <c r="F20" s="83" t="s">
        <v>74</v>
      </c>
      <c r="J20" s="117" t="s">
        <v>263</v>
      </c>
      <c r="L20" s="83" t="s">
        <v>262</v>
      </c>
    </row>
    <row r="21" spans="1:25" s="117" customFormat="1" ht="15" thickBot="1" x14ac:dyDescent="0.4">
      <c r="A21" s="395"/>
      <c r="B21" s="95"/>
      <c r="D21" s="117" t="s">
        <v>244</v>
      </c>
      <c r="E21" s="117" t="s">
        <v>227</v>
      </c>
      <c r="F21" s="178" t="s">
        <v>148</v>
      </c>
      <c r="G21" s="177" t="s">
        <v>149</v>
      </c>
      <c r="H21" s="178" t="s">
        <v>150</v>
      </c>
      <c r="I21" s="179" t="s">
        <v>151</v>
      </c>
      <c r="J21" s="181" t="s">
        <v>152</v>
      </c>
      <c r="K21" s="89" t="s">
        <v>153</v>
      </c>
      <c r="L21" s="179" t="s">
        <v>154</v>
      </c>
      <c r="M21" s="181" t="s">
        <v>155</v>
      </c>
      <c r="N21" s="180" t="s">
        <v>156</v>
      </c>
      <c r="O21" s="180" t="s">
        <v>157</v>
      </c>
      <c r="P21" s="180" t="s">
        <v>158</v>
      </c>
      <c r="Q21" s="180" t="s">
        <v>159</v>
      </c>
      <c r="R21" s="180" t="s">
        <v>160</v>
      </c>
      <c r="S21" s="179" t="s">
        <v>161</v>
      </c>
      <c r="T21" s="179" t="s">
        <v>162</v>
      </c>
      <c r="U21" s="179" t="s">
        <v>163</v>
      </c>
      <c r="V21" s="179" t="s">
        <v>164</v>
      </c>
      <c r="W21" s="179" t="s">
        <v>165</v>
      </c>
      <c r="X21" s="178"/>
      <c r="Y21" s="178" t="s">
        <v>286</v>
      </c>
    </row>
    <row r="22" spans="1:25" ht="15" thickBot="1" x14ac:dyDescent="0.4">
      <c r="A22" s="395"/>
      <c r="D22" s="174" t="s">
        <v>228</v>
      </c>
      <c r="F22" s="178" t="s">
        <v>247</v>
      </c>
      <c r="G22" s="177" t="s">
        <v>246</v>
      </c>
      <c r="H22" s="178" t="s">
        <v>146</v>
      </c>
      <c r="I22" s="179">
        <v>2363400</v>
      </c>
      <c r="J22" s="181">
        <v>0.5</v>
      </c>
      <c r="K22" s="172">
        <v>12.26</v>
      </c>
      <c r="L22" s="179">
        <v>25500</v>
      </c>
      <c r="M22" s="181">
        <v>0.3</v>
      </c>
      <c r="N22" s="180">
        <v>8.8000000000000007</v>
      </c>
      <c r="O22" s="180">
        <v>9.93</v>
      </c>
      <c r="P22" s="180">
        <v>11.56</v>
      </c>
      <c r="Q22" s="180">
        <v>14.07</v>
      </c>
      <c r="R22" s="180">
        <v>17.100000000000001</v>
      </c>
      <c r="S22" s="179">
        <v>18300</v>
      </c>
      <c r="T22" s="179">
        <v>20660</v>
      </c>
      <c r="U22" s="179">
        <v>24040</v>
      </c>
      <c r="V22" s="179">
        <v>29260</v>
      </c>
      <c r="W22" s="179">
        <v>35580</v>
      </c>
      <c r="X22" s="176"/>
      <c r="Y22" s="175"/>
    </row>
    <row r="23" spans="1:25" s="176" customFormat="1" ht="15" thickBot="1" x14ac:dyDescent="0.4">
      <c r="A23" s="395"/>
      <c r="D23" s="174" t="s">
        <v>228</v>
      </c>
      <c r="F23" s="178" t="s">
        <v>248</v>
      </c>
      <c r="G23" s="177" t="s">
        <v>249</v>
      </c>
      <c r="H23" s="178" t="s">
        <v>147</v>
      </c>
      <c r="I23" s="179">
        <v>820630</v>
      </c>
      <c r="J23" s="181">
        <v>1.4</v>
      </c>
      <c r="K23" s="172">
        <v>11</v>
      </c>
      <c r="L23" s="179">
        <v>22870</v>
      </c>
      <c r="M23" s="181">
        <v>0.4</v>
      </c>
      <c r="N23" s="180">
        <v>8.4</v>
      </c>
      <c r="O23" s="180">
        <v>9.23</v>
      </c>
      <c r="P23" s="180">
        <v>10.54</v>
      </c>
      <c r="Q23" s="180">
        <v>11.96</v>
      </c>
      <c r="R23" s="180">
        <v>14.4</v>
      </c>
      <c r="S23" s="179">
        <v>17480</v>
      </c>
      <c r="T23" s="179">
        <v>19190</v>
      </c>
      <c r="U23" s="179">
        <v>21920</v>
      </c>
      <c r="V23" s="179">
        <v>24870</v>
      </c>
      <c r="W23" s="179">
        <v>29950</v>
      </c>
      <c r="Y23" s="175"/>
    </row>
    <row r="24" spans="1:25" s="176" customFormat="1" ht="15" thickBot="1" x14ac:dyDescent="0.4">
      <c r="A24" s="395"/>
      <c r="D24" s="174" t="s">
        <v>228</v>
      </c>
      <c r="F24" s="178" t="s">
        <v>250</v>
      </c>
      <c r="G24" s="177" t="s">
        <v>251</v>
      </c>
      <c r="H24" s="178" t="s">
        <v>147</v>
      </c>
      <c r="I24" s="179">
        <v>1420570</v>
      </c>
      <c r="J24" s="181">
        <v>0.6</v>
      </c>
      <c r="K24" s="172">
        <v>12.89</v>
      </c>
      <c r="L24" s="179">
        <v>26820</v>
      </c>
      <c r="M24" s="181">
        <v>0.2</v>
      </c>
      <c r="N24" s="180">
        <v>9.32</v>
      </c>
      <c r="O24" s="180">
        <v>10.47</v>
      </c>
      <c r="P24" s="180">
        <v>12.36</v>
      </c>
      <c r="Q24" s="180">
        <v>14.68</v>
      </c>
      <c r="R24" s="180">
        <v>17.739999999999998</v>
      </c>
      <c r="S24" s="179">
        <v>19390</v>
      </c>
      <c r="T24" s="179">
        <v>21780</v>
      </c>
      <c r="U24" s="179">
        <v>25710</v>
      </c>
      <c r="V24" s="179">
        <v>30530</v>
      </c>
      <c r="W24" s="179">
        <v>36890</v>
      </c>
      <c r="Y24" s="175"/>
    </row>
    <row r="25" spans="1:25" s="260" customFormat="1" ht="15" thickBot="1" x14ac:dyDescent="0.4">
      <c r="A25" s="395"/>
      <c r="D25" s="173" t="s">
        <v>228</v>
      </c>
      <c r="E25" s="117">
        <v>7.4</v>
      </c>
      <c r="F25" s="262"/>
      <c r="G25" s="261"/>
      <c r="H25" s="262"/>
      <c r="I25" s="263"/>
      <c r="J25" s="265" t="s">
        <v>287</v>
      </c>
      <c r="K25" s="89">
        <f>SUM(K22:K24)/3</f>
        <v>12.049999999999999</v>
      </c>
      <c r="L25" s="263"/>
      <c r="M25" s="265"/>
      <c r="N25" s="264"/>
      <c r="O25" s="264"/>
      <c r="P25" s="264"/>
      <c r="Q25" s="264"/>
      <c r="R25" s="264"/>
      <c r="S25" s="263"/>
      <c r="T25" s="263"/>
      <c r="U25" s="263"/>
      <c r="V25" s="263"/>
      <c r="W25" s="263"/>
      <c r="Y25" s="175">
        <f>K25*E25</f>
        <v>89.17</v>
      </c>
    </row>
    <row r="26" spans="1:25" ht="15" thickBot="1" x14ac:dyDescent="0.4">
      <c r="A26" s="395"/>
      <c r="C26" s="117"/>
      <c r="D26" s="182" t="s">
        <v>229</v>
      </c>
      <c r="E26" s="117">
        <v>5.3</v>
      </c>
      <c r="F26" s="185" t="s">
        <v>252</v>
      </c>
      <c r="G26" s="184" t="s">
        <v>253</v>
      </c>
      <c r="H26" s="185" t="s">
        <v>146</v>
      </c>
      <c r="I26" s="186">
        <v>3501210</v>
      </c>
      <c r="J26" s="188">
        <v>0.4</v>
      </c>
      <c r="K26" s="89">
        <v>10.1</v>
      </c>
      <c r="L26" s="186">
        <v>21010</v>
      </c>
      <c r="M26" s="188">
        <v>0.3</v>
      </c>
      <c r="N26" s="187">
        <v>8.09</v>
      </c>
      <c r="O26" s="187">
        <v>8.66</v>
      </c>
      <c r="P26" s="187">
        <v>9.2899999999999991</v>
      </c>
      <c r="Q26" s="187">
        <v>10.95</v>
      </c>
      <c r="R26" s="187">
        <v>13.55</v>
      </c>
      <c r="S26" s="186">
        <v>16830</v>
      </c>
      <c r="T26" s="186">
        <v>18010</v>
      </c>
      <c r="U26" s="186">
        <v>19320</v>
      </c>
      <c r="V26" s="186">
        <v>22780</v>
      </c>
      <c r="W26" s="186">
        <v>28190</v>
      </c>
      <c r="X26" s="176"/>
      <c r="Y26" s="175">
        <f>K26*E26</f>
        <v>53.529999999999994</v>
      </c>
    </row>
    <row r="27" spans="1:25" s="183" customFormat="1" ht="15" thickBot="1" x14ac:dyDescent="0.4">
      <c r="A27" s="395"/>
      <c r="D27" s="182" t="s">
        <v>230</v>
      </c>
      <c r="E27" s="117">
        <v>5</v>
      </c>
      <c r="F27" s="191" t="s">
        <v>256</v>
      </c>
      <c r="G27" s="190" t="s">
        <v>257</v>
      </c>
      <c r="H27" s="191" t="s">
        <v>147</v>
      </c>
      <c r="I27" s="192">
        <v>926240</v>
      </c>
      <c r="J27" s="194">
        <v>0.8</v>
      </c>
      <c r="K27" s="89">
        <v>11.05</v>
      </c>
      <c r="L27" s="192">
        <v>22990</v>
      </c>
      <c r="M27" s="194">
        <v>0.4</v>
      </c>
      <c r="N27" s="193">
        <v>8.18</v>
      </c>
      <c r="O27" s="193">
        <v>8.8699999999999992</v>
      </c>
      <c r="P27" s="193">
        <v>9.9700000000000006</v>
      </c>
      <c r="Q27" s="193">
        <v>12.07</v>
      </c>
      <c r="R27" s="193">
        <v>16.05</v>
      </c>
      <c r="S27" s="192">
        <v>17020</v>
      </c>
      <c r="T27" s="192">
        <v>18450</v>
      </c>
      <c r="U27" s="192">
        <v>20740</v>
      </c>
      <c r="V27" s="192">
        <v>25100</v>
      </c>
      <c r="W27" s="192">
        <v>33380</v>
      </c>
      <c r="Y27" s="175">
        <f t="shared" ref="Y27:Y42" si="0">K27*E27</f>
        <v>55.25</v>
      </c>
    </row>
    <row r="28" spans="1:25" ht="15" thickBot="1" x14ac:dyDescent="0.4">
      <c r="A28" s="395"/>
      <c r="D28" s="182" t="s">
        <v>231</v>
      </c>
      <c r="E28" s="260">
        <v>3.5</v>
      </c>
      <c r="F28" s="197" t="s">
        <v>259</v>
      </c>
      <c r="G28" s="196" t="s">
        <v>258</v>
      </c>
      <c r="H28" s="197" t="s">
        <v>147</v>
      </c>
      <c r="I28" s="198">
        <v>2505630</v>
      </c>
      <c r="J28" s="200">
        <v>0.5</v>
      </c>
      <c r="K28" s="89">
        <v>11.07</v>
      </c>
      <c r="L28" s="198">
        <v>23020</v>
      </c>
      <c r="M28" s="200">
        <v>0.4</v>
      </c>
      <c r="N28" s="199">
        <v>8.08</v>
      </c>
      <c r="O28" s="199">
        <v>8.6199999999999992</v>
      </c>
      <c r="P28" s="199">
        <v>9.25</v>
      </c>
      <c r="Q28" s="199">
        <v>11.65</v>
      </c>
      <c r="R28" s="199">
        <v>17.14</v>
      </c>
      <c r="S28" s="198">
        <v>16810</v>
      </c>
      <c r="T28" s="198">
        <v>17920</v>
      </c>
      <c r="U28" s="198">
        <v>19250</v>
      </c>
      <c r="V28" s="198">
        <v>24220</v>
      </c>
      <c r="W28" s="198">
        <v>35640</v>
      </c>
      <c r="X28" s="189"/>
      <c r="Y28" s="175">
        <f t="shared" si="0"/>
        <v>38.745000000000005</v>
      </c>
    </row>
    <row r="29" spans="1:25" ht="15" thickBot="1" x14ac:dyDescent="0.4">
      <c r="A29" s="395" t="s">
        <v>40</v>
      </c>
      <c r="D29" s="182" t="s">
        <v>232</v>
      </c>
      <c r="E29" s="117">
        <v>3.5</v>
      </c>
      <c r="F29" s="203" t="s">
        <v>261</v>
      </c>
      <c r="G29" s="202" t="s">
        <v>260</v>
      </c>
      <c r="H29" s="203" t="s">
        <v>147</v>
      </c>
      <c r="I29" s="204">
        <v>2595990</v>
      </c>
      <c r="J29" s="206">
        <v>0.5</v>
      </c>
      <c r="K29" s="89">
        <v>16.62</v>
      </c>
      <c r="L29" s="204">
        <v>34560</v>
      </c>
      <c r="M29" s="206">
        <v>0.2</v>
      </c>
      <c r="N29" s="205">
        <v>9.74</v>
      </c>
      <c r="O29" s="205">
        <v>12.04</v>
      </c>
      <c r="P29" s="205">
        <v>15.25</v>
      </c>
      <c r="Q29" s="205">
        <v>19.63</v>
      </c>
      <c r="R29" s="205">
        <v>25.49</v>
      </c>
      <c r="S29" s="204">
        <v>20250</v>
      </c>
      <c r="T29" s="204">
        <v>25040</v>
      </c>
      <c r="U29" s="204">
        <v>31720</v>
      </c>
      <c r="V29" s="204">
        <v>40830</v>
      </c>
      <c r="W29" s="204">
        <v>53030</v>
      </c>
      <c r="X29" s="195"/>
      <c r="Y29" s="175">
        <f t="shared" si="0"/>
        <v>58.17</v>
      </c>
    </row>
    <row r="30" spans="1:25" ht="15" thickBot="1" x14ac:dyDescent="0.4">
      <c r="A30" s="395"/>
      <c r="D30" s="182" t="s">
        <v>233</v>
      </c>
      <c r="E30" s="117">
        <v>3.3</v>
      </c>
      <c r="F30" s="226" t="s">
        <v>270</v>
      </c>
      <c r="G30" s="225" t="s">
        <v>271</v>
      </c>
      <c r="H30" s="226" t="s">
        <v>147</v>
      </c>
      <c r="I30" s="227">
        <v>1369230</v>
      </c>
      <c r="J30" s="229">
        <v>0.8</v>
      </c>
      <c r="K30" s="89">
        <v>10.48</v>
      </c>
      <c r="L30" s="227">
        <v>21790</v>
      </c>
      <c r="M30" s="229">
        <v>0.3</v>
      </c>
      <c r="N30" s="228">
        <v>8.1300000000000008</v>
      </c>
      <c r="O30" s="228">
        <v>8.93</v>
      </c>
      <c r="P30" s="228">
        <v>10.09</v>
      </c>
      <c r="Q30" s="228">
        <v>11.52</v>
      </c>
      <c r="R30" s="228">
        <v>13.76</v>
      </c>
      <c r="S30" s="227">
        <v>16910</v>
      </c>
      <c r="T30" s="227">
        <v>18580</v>
      </c>
      <c r="U30" s="227">
        <v>20980</v>
      </c>
      <c r="V30" s="227">
        <v>23960</v>
      </c>
      <c r="W30" s="227">
        <v>28620</v>
      </c>
      <c r="X30" s="218"/>
      <c r="Y30" s="175">
        <f t="shared" si="0"/>
        <v>34.583999999999996</v>
      </c>
    </row>
    <row r="31" spans="1:25" ht="15" thickBot="1" x14ac:dyDescent="0.4">
      <c r="A31" s="395"/>
      <c r="D31" s="174" t="s">
        <v>294</v>
      </c>
      <c r="F31" s="250" t="s">
        <v>278</v>
      </c>
      <c r="G31" s="249" t="s">
        <v>279</v>
      </c>
      <c r="H31" s="250" t="s">
        <v>146</v>
      </c>
      <c r="I31" s="251">
        <v>3680630</v>
      </c>
      <c r="J31" s="253">
        <v>0.3</v>
      </c>
      <c r="K31" s="172">
        <v>18.93</v>
      </c>
      <c r="L31" s="251">
        <v>39360</v>
      </c>
      <c r="M31" s="253">
        <v>0.1</v>
      </c>
      <c r="N31" s="252">
        <v>10.76</v>
      </c>
      <c r="O31" s="252">
        <v>13.63</v>
      </c>
      <c r="P31" s="252">
        <v>17.55</v>
      </c>
      <c r="Q31" s="252">
        <v>22.92</v>
      </c>
      <c r="R31" s="252">
        <v>29.15</v>
      </c>
      <c r="S31" s="251">
        <v>22390</v>
      </c>
      <c r="T31" s="251">
        <v>28340</v>
      </c>
      <c r="U31" s="251">
        <v>36500</v>
      </c>
      <c r="V31" s="251">
        <v>47670</v>
      </c>
      <c r="W31" s="251">
        <v>60640</v>
      </c>
      <c r="X31" s="247"/>
      <c r="Y31" s="175"/>
    </row>
    <row r="32" spans="1:25" s="248" customFormat="1" ht="15" thickBot="1" x14ac:dyDescent="0.4">
      <c r="A32" s="395"/>
      <c r="D32" s="174" t="s">
        <v>294</v>
      </c>
      <c r="F32" s="256" t="s">
        <v>280</v>
      </c>
      <c r="G32" s="255" t="s">
        <v>281</v>
      </c>
      <c r="H32" s="256" t="s">
        <v>147</v>
      </c>
      <c r="I32" s="257">
        <v>239630</v>
      </c>
      <c r="J32" s="259">
        <v>1.3</v>
      </c>
      <c r="K32" s="172">
        <v>16.7</v>
      </c>
      <c r="L32" s="257">
        <v>34730</v>
      </c>
      <c r="M32" s="259">
        <v>0.9</v>
      </c>
      <c r="N32" s="258">
        <v>9.25</v>
      </c>
      <c r="O32" s="258">
        <v>11.06</v>
      </c>
      <c r="P32" s="258">
        <v>15.67</v>
      </c>
      <c r="Q32" s="258">
        <v>20.36</v>
      </c>
      <c r="R32" s="258">
        <v>26.25</v>
      </c>
      <c r="S32" s="257">
        <v>19240</v>
      </c>
      <c r="T32" s="257">
        <v>23000</v>
      </c>
      <c r="U32" s="257">
        <v>32590</v>
      </c>
      <c r="V32" s="257">
        <v>42350</v>
      </c>
      <c r="W32" s="257">
        <v>54600</v>
      </c>
      <c r="Y32" s="175"/>
    </row>
    <row r="33" spans="1:25" s="260" customFormat="1" ht="15" thickBot="1" x14ac:dyDescent="0.4">
      <c r="A33" s="395"/>
      <c r="D33" s="173" t="s">
        <v>294</v>
      </c>
      <c r="E33" s="117">
        <v>3.3</v>
      </c>
      <c r="F33" s="262"/>
      <c r="G33" s="261"/>
      <c r="H33" s="262"/>
      <c r="I33" s="263"/>
      <c r="J33" s="265" t="s">
        <v>287</v>
      </c>
      <c r="K33" s="89">
        <f>SUM(K31:K32)/2</f>
        <v>17.814999999999998</v>
      </c>
      <c r="L33" s="263"/>
      <c r="M33" s="265"/>
      <c r="N33" s="264"/>
      <c r="O33" s="264"/>
      <c r="P33" s="264"/>
      <c r="Q33" s="264"/>
      <c r="R33" s="264"/>
      <c r="S33" s="263"/>
      <c r="T33" s="263"/>
      <c r="U33" s="263"/>
      <c r="V33" s="263"/>
      <c r="W33" s="263"/>
      <c r="Y33" s="175">
        <f t="shared" si="0"/>
        <v>58.78949999999999</v>
      </c>
    </row>
    <row r="34" spans="1:25" ht="15" thickBot="1" x14ac:dyDescent="0.4">
      <c r="A34" s="395"/>
      <c r="D34" s="182" t="s">
        <v>234</v>
      </c>
      <c r="E34" s="117">
        <v>2.8</v>
      </c>
      <c r="F34" s="209" t="s">
        <v>264</v>
      </c>
      <c r="G34" s="208" t="s">
        <v>234</v>
      </c>
      <c r="H34" s="209" t="s">
        <v>146</v>
      </c>
      <c r="I34" s="210">
        <v>2284470</v>
      </c>
      <c r="J34" s="212">
        <v>0.5</v>
      </c>
      <c r="K34" s="89">
        <v>11.23</v>
      </c>
      <c r="L34" s="210">
        <v>23350</v>
      </c>
      <c r="M34" s="212">
        <v>0.2</v>
      </c>
      <c r="N34" s="211">
        <v>8.26</v>
      </c>
      <c r="O34" s="211">
        <v>9.07</v>
      </c>
      <c r="P34" s="211">
        <v>10.44</v>
      </c>
      <c r="Q34" s="211">
        <v>12.84</v>
      </c>
      <c r="R34" s="211">
        <v>15.38</v>
      </c>
      <c r="S34" s="210">
        <v>17180</v>
      </c>
      <c r="T34" s="210">
        <v>18860</v>
      </c>
      <c r="U34" s="210">
        <v>21720</v>
      </c>
      <c r="V34" s="210">
        <v>26700</v>
      </c>
      <c r="W34" s="210">
        <v>32000</v>
      </c>
      <c r="X34" s="201"/>
      <c r="Y34" s="175">
        <f t="shared" si="0"/>
        <v>31.443999999999999</v>
      </c>
    </row>
    <row r="35" spans="1:25" ht="15" thickBot="1" x14ac:dyDescent="0.4">
      <c r="A35" s="395"/>
      <c r="D35" s="182" t="s">
        <v>235</v>
      </c>
      <c r="E35" s="117">
        <v>2.7</v>
      </c>
      <c r="F35" s="243" t="s">
        <v>276</v>
      </c>
      <c r="G35" s="242" t="s">
        <v>277</v>
      </c>
      <c r="H35" s="243" t="s">
        <v>147</v>
      </c>
      <c r="I35" s="244">
        <v>573440</v>
      </c>
      <c r="J35" s="246">
        <v>1.1000000000000001</v>
      </c>
      <c r="K35" s="89">
        <v>10.72</v>
      </c>
      <c r="L35" s="244">
        <v>22310</v>
      </c>
      <c r="M35" s="246">
        <v>0.4</v>
      </c>
      <c r="N35" s="245">
        <v>8.1199999999999992</v>
      </c>
      <c r="O35" s="245">
        <v>8.7899999999999991</v>
      </c>
      <c r="P35" s="245">
        <v>9.77</v>
      </c>
      <c r="Q35" s="245">
        <v>11.89</v>
      </c>
      <c r="R35" s="245">
        <v>14.78</v>
      </c>
      <c r="S35" s="244">
        <v>16900</v>
      </c>
      <c r="T35" s="244">
        <v>18290</v>
      </c>
      <c r="U35" s="244">
        <v>20320</v>
      </c>
      <c r="V35" s="244">
        <v>24730</v>
      </c>
      <c r="W35" s="244">
        <v>30750</v>
      </c>
      <c r="X35" s="236"/>
      <c r="Y35" s="175">
        <f t="shared" si="0"/>
        <v>28.944000000000003</v>
      </c>
    </row>
    <row r="36" spans="1:25" s="117" customFormat="1" ht="15" thickBot="1" x14ac:dyDescent="0.4">
      <c r="A36" s="74"/>
      <c r="D36" s="182" t="s">
        <v>236</v>
      </c>
      <c r="E36" s="117">
        <v>2.4</v>
      </c>
      <c r="F36" s="262" t="s">
        <v>282</v>
      </c>
      <c r="G36" s="261" t="s">
        <v>283</v>
      </c>
      <c r="H36" s="262" t="s">
        <v>147</v>
      </c>
      <c r="I36" s="263">
        <v>1193850</v>
      </c>
      <c r="J36" s="265">
        <v>0.4</v>
      </c>
      <c r="K36" s="89">
        <v>20.63</v>
      </c>
      <c r="L36" s="263">
        <v>42900</v>
      </c>
      <c r="M36" s="265">
        <v>0.2</v>
      </c>
      <c r="N36" s="264">
        <v>11.43</v>
      </c>
      <c r="O36" s="264">
        <v>14.28</v>
      </c>
      <c r="P36" s="264">
        <v>18.420000000000002</v>
      </c>
      <c r="Q36" s="264">
        <v>23.98</v>
      </c>
      <c r="R36" s="264">
        <v>31.08</v>
      </c>
      <c r="S36" s="263">
        <v>23770</v>
      </c>
      <c r="T36" s="263">
        <v>29700</v>
      </c>
      <c r="U36" s="263">
        <v>38310</v>
      </c>
      <c r="V36" s="263">
        <v>49870</v>
      </c>
      <c r="W36" s="263">
        <v>64640</v>
      </c>
      <c r="X36" s="254"/>
      <c r="Y36" s="175">
        <f t="shared" si="0"/>
        <v>49.511999999999993</v>
      </c>
    </row>
    <row r="37" spans="1:25" x14ac:dyDescent="0.35">
      <c r="A37" s="431" t="s">
        <v>31</v>
      </c>
      <c r="D37" s="173" t="s">
        <v>237</v>
      </c>
      <c r="E37" s="117">
        <v>2.2000000000000002</v>
      </c>
      <c r="F37" s="262" t="s">
        <v>284</v>
      </c>
      <c r="G37" s="261" t="s">
        <v>285</v>
      </c>
      <c r="H37" s="262" t="s">
        <v>147</v>
      </c>
      <c r="I37" s="263">
        <v>4612510</v>
      </c>
      <c r="J37" s="265">
        <v>0.3</v>
      </c>
      <c r="K37" s="89">
        <v>12.67</v>
      </c>
      <c r="L37" s="263">
        <v>26340</v>
      </c>
      <c r="M37" s="265">
        <v>0.2</v>
      </c>
      <c r="N37" s="264">
        <v>8.35</v>
      </c>
      <c r="O37" s="264">
        <v>9.06</v>
      </c>
      <c r="P37" s="264">
        <v>10.47</v>
      </c>
      <c r="Q37" s="264">
        <v>13.77</v>
      </c>
      <c r="R37" s="264">
        <v>19.329999999999998</v>
      </c>
      <c r="S37" s="263">
        <v>17360</v>
      </c>
      <c r="T37" s="263">
        <v>18840</v>
      </c>
      <c r="U37" s="263">
        <v>21780</v>
      </c>
      <c r="V37" s="263">
        <v>28640</v>
      </c>
      <c r="W37" s="263">
        <v>40200</v>
      </c>
      <c r="Y37" s="175">
        <f t="shared" si="0"/>
        <v>27.874000000000002</v>
      </c>
    </row>
    <row r="38" spans="1:25" x14ac:dyDescent="0.35">
      <c r="A38" s="391"/>
      <c r="D38" s="182" t="s">
        <v>238</v>
      </c>
      <c r="E38" s="117">
        <v>2.1</v>
      </c>
      <c r="F38" s="191" t="s">
        <v>254</v>
      </c>
      <c r="G38" s="190" t="s">
        <v>255</v>
      </c>
      <c r="H38" s="191" t="s">
        <v>147</v>
      </c>
      <c r="I38" s="192">
        <v>2146880</v>
      </c>
      <c r="J38" s="194">
        <v>0.5</v>
      </c>
      <c r="K38" s="89">
        <v>12.59</v>
      </c>
      <c r="L38" s="192">
        <v>26180</v>
      </c>
      <c r="M38" s="194">
        <v>0.3</v>
      </c>
      <c r="N38" s="193">
        <v>8.44</v>
      </c>
      <c r="O38" s="193">
        <v>9.26</v>
      </c>
      <c r="P38" s="193">
        <v>11.27</v>
      </c>
      <c r="Q38" s="193">
        <v>14.72</v>
      </c>
      <c r="R38" s="193">
        <v>18.91</v>
      </c>
      <c r="S38" s="192">
        <v>17550</v>
      </c>
      <c r="T38" s="192">
        <v>19270</v>
      </c>
      <c r="U38" s="192">
        <v>23440</v>
      </c>
      <c r="V38" s="192">
        <v>30610</v>
      </c>
      <c r="W38" s="192">
        <v>39320</v>
      </c>
      <c r="Y38" s="175">
        <f t="shared" si="0"/>
        <v>26.439</v>
      </c>
    </row>
    <row r="39" spans="1:25" x14ac:dyDescent="0.35">
      <c r="A39" s="391"/>
      <c r="D39" s="182" t="s">
        <v>239</v>
      </c>
      <c r="E39" s="117">
        <v>1.9</v>
      </c>
      <c r="F39" s="232" t="s">
        <v>272</v>
      </c>
      <c r="G39" s="231" t="s">
        <v>273</v>
      </c>
      <c r="H39" s="232" t="s">
        <v>147</v>
      </c>
      <c r="I39" s="233">
        <v>975890</v>
      </c>
      <c r="J39" s="235">
        <v>0.5</v>
      </c>
      <c r="K39" s="89">
        <v>13.67</v>
      </c>
      <c r="L39" s="233">
        <v>28430</v>
      </c>
      <c r="M39" s="235">
        <v>0.2</v>
      </c>
      <c r="N39" s="234">
        <v>9.17</v>
      </c>
      <c r="O39" s="234">
        <v>10.64</v>
      </c>
      <c r="P39" s="234">
        <v>13.12</v>
      </c>
      <c r="Q39" s="234">
        <v>16.059999999999999</v>
      </c>
      <c r="R39" s="234">
        <v>18.920000000000002</v>
      </c>
      <c r="S39" s="233">
        <v>19070</v>
      </c>
      <c r="T39" s="233">
        <v>22140</v>
      </c>
      <c r="U39" s="233">
        <v>27300</v>
      </c>
      <c r="V39" s="233">
        <v>33400</v>
      </c>
      <c r="W39" s="233">
        <v>39350</v>
      </c>
      <c r="X39" s="224"/>
      <c r="Y39" s="175">
        <f t="shared" si="0"/>
        <v>25.972999999999999</v>
      </c>
    </row>
    <row r="40" spans="1:25" x14ac:dyDescent="0.35">
      <c r="A40" s="391"/>
      <c r="D40" s="182" t="s">
        <v>240</v>
      </c>
      <c r="E40" s="117">
        <v>1.7</v>
      </c>
      <c r="F40" s="214" t="s">
        <v>265</v>
      </c>
      <c r="G40" s="213" t="s">
        <v>266</v>
      </c>
      <c r="H40" s="214" t="s">
        <v>147</v>
      </c>
      <c r="I40" s="215">
        <v>348010</v>
      </c>
      <c r="J40" s="217">
        <v>1.1000000000000001</v>
      </c>
      <c r="K40" s="89">
        <v>13.83</v>
      </c>
      <c r="L40" s="215">
        <v>28770</v>
      </c>
      <c r="M40" s="217">
        <v>0.7</v>
      </c>
      <c r="N40" s="216">
        <v>8.4700000000000006</v>
      </c>
      <c r="O40" s="216">
        <v>9.2100000000000009</v>
      </c>
      <c r="P40" s="216">
        <v>11.38</v>
      </c>
      <c r="Q40" s="216">
        <v>15.95</v>
      </c>
      <c r="R40" s="216">
        <v>22.79</v>
      </c>
      <c r="S40" s="215">
        <v>17620</v>
      </c>
      <c r="T40" s="215">
        <v>19150</v>
      </c>
      <c r="U40" s="215">
        <v>23660</v>
      </c>
      <c r="V40" s="215">
        <v>33170</v>
      </c>
      <c r="W40" s="215">
        <v>47410</v>
      </c>
      <c r="X40" s="207"/>
      <c r="Y40" s="175">
        <f t="shared" si="0"/>
        <v>23.510999999999999</v>
      </c>
    </row>
    <row r="41" spans="1:25" ht="15" thickBot="1" x14ac:dyDescent="0.4">
      <c r="A41" s="392"/>
      <c r="D41" s="182" t="s">
        <v>241</v>
      </c>
      <c r="E41" s="117">
        <v>1.5</v>
      </c>
      <c r="F41" s="220" t="s">
        <v>267</v>
      </c>
      <c r="G41" s="219" t="s">
        <v>268</v>
      </c>
      <c r="H41" s="220" t="s">
        <v>147</v>
      </c>
      <c r="I41" s="221">
        <v>1228440</v>
      </c>
      <c r="J41" s="223">
        <v>0.6</v>
      </c>
      <c r="K41" s="143">
        <v>10.42</v>
      </c>
      <c r="L41" s="221">
        <v>26550</v>
      </c>
      <c r="M41" s="223">
        <v>0.4</v>
      </c>
      <c r="N41" s="222" t="s">
        <v>269</v>
      </c>
      <c r="O41" s="222" t="s">
        <v>269</v>
      </c>
      <c r="P41" s="222" t="s">
        <v>269</v>
      </c>
      <c r="Q41" s="222" t="s">
        <v>269</v>
      </c>
      <c r="R41" s="222" t="s">
        <v>269</v>
      </c>
      <c r="S41" s="221">
        <v>17920</v>
      </c>
      <c r="T41" s="221">
        <v>19920</v>
      </c>
      <c r="U41" s="221">
        <v>24900</v>
      </c>
      <c r="V41" s="221">
        <v>31220</v>
      </c>
      <c r="W41" s="221">
        <v>38000</v>
      </c>
      <c r="X41" s="220"/>
      <c r="Y41" s="175">
        <f t="shared" si="0"/>
        <v>15.629999999999999</v>
      </c>
    </row>
    <row r="42" spans="1:25" x14ac:dyDescent="0.35">
      <c r="A42" s="48"/>
      <c r="D42" s="182" t="s">
        <v>242</v>
      </c>
      <c r="E42" s="117">
        <v>1.2</v>
      </c>
      <c r="F42" s="238" t="s">
        <v>274</v>
      </c>
      <c r="G42" s="237" t="s">
        <v>275</v>
      </c>
      <c r="H42" s="238" t="s">
        <v>147</v>
      </c>
      <c r="I42" s="239">
        <v>2944420</v>
      </c>
      <c r="J42" s="241">
        <v>0.5</v>
      </c>
      <c r="K42" s="89">
        <v>15.33</v>
      </c>
      <c r="L42" s="239">
        <v>31890</v>
      </c>
      <c r="M42" s="241">
        <v>0.2</v>
      </c>
      <c r="N42" s="240">
        <v>9.06</v>
      </c>
      <c r="O42" s="240">
        <v>10.83</v>
      </c>
      <c r="P42" s="240">
        <v>14.22</v>
      </c>
      <c r="Q42" s="240">
        <v>18.39</v>
      </c>
      <c r="R42" s="240">
        <v>23.34</v>
      </c>
      <c r="S42" s="239">
        <v>18840</v>
      </c>
      <c r="T42" s="239">
        <v>22540</v>
      </c>
      <c r="U42" s="239">
        <v>29580</v>
      </c>
      <c r="V42" s="239">
        <v>38250</v>
      </c>
      <c r="W42" s="239">
        <v>48540</v>
      </c>
      <c r="X42" s="230"/>
      <c r="Y42" s="175">
        <f t="shared" si="0"/>
        <v>18.396000000000001</v>
      </c>
    </row>
    <row r="43" spans="1:25" x14ac:dyDescent="0.35">
      <c r="A43" s="48"/>
      <c r="D43" s="117"/>
      <c r="E43" s="171">
        <f>SUM(E23:E42)</f>
        <v>49.800000000000011</v>
      </c>
      <c r="Y43" s="266">
        <f>SUM(Y22:Y42)/E43</f>
        <v>12.770311244979915</v>
      </c>
    </row>
    <row r="44" spans="1:25" s="117" customFormat="1" ht="15" thickBot="1" x14ac:dyDescent="0.4">
      <c r="A44" s="48"/>
    </row>
    <row r="45" spans="1:25" s="260" customFormat="1" ht="15" thickBot="1" x14ac:dyDescent="0.4">
      <c r="A45" s="283" t="s">
        <v>460</v>
      </c>
    </row>
    <row r="46" spans="1:25" s="260" customFormat="1" x14ac:dyDescent="0.35">
      <c r="A46" s="48"/>
      <c r="D46" s="174" t="s">
        <v>294</v>
      </c>
      <c r="F46" s="262" t="s">
        <v>280</v>
      </c>
      <c r="G46" s="261" t="s">
        <v>281</v>
      </c>
      <c r="H46" s="262" t="s">
        <v>147</v>
      </c>
      <c r="I46" s="263">
        <v>239630</v>
      </c>
      <c r="J46" s="265">
        <v>1.3</v>
      </c>
      <c r="K46" s="143">
        <v>16.7</v>
      </c>
      <c r="L46" s="263">
        <v>34730</v>
      </c>
      <c r="M46" s="265">
        <v>0.9</v>
      </c>
      <c r="N46" s="264">
        <v>9.25</v>
      </c>
      <c r="O46" s="264">
        <v>11.06</v>
      </c>
      <c r="P46" s="264">
        <v>15.67</v>
      </c>
      <c r="Q46" s="264">
        <v>20.36</v>
      </c>
      <c r="R46" s="264">
        <v>26.25</v>
      </c>
      <c r="S46" s="263">
        <v>19240</v>
      </c>
      <c r="T46" s="263">
        <v>23000</v>
      </c>
      <c r="U46" s="263">
        <v>32590</v>
      </c>
      <c r="V46" s="263">
        <v>42350</v>
      </c>
      <c r="W46" s="263">
        <v>54600</v>
      </c>
      <c r="Y46" s="175"/>
    </row>
    <row r="47" spans="1:25" s="260" customFormat="1" x14ac:dyDescent="0.35">
      <c r="A47" s="48"/>
    </row>
    <row r="48" spans="1:25" s="117" customFormat="1" x14ac:dyDescent="0.35">
      <c r="A48" s="48"/>
    </row>
    <row r="49" spans="1:9" x14ac:dyDescent="0.35">
      <c r="A49" s="169" t="s">
        <v>218</v>
      </c>
    </row>
    <row r="50" spans="1:9" x14ac:dyDescent="0.35">
      <c r="A50" s="169"/>
    </row>
    <row r="51" spans="1:9" x14ac:dyDescent="0.35">
      <c r="A51" s="170" t="s">
        <v>219</v>
      </c>
    </row>
    <row r="52" spans="1:9" x14ac:dyDescent="0.35">
      <c r="A52" s="169"/>
    </row>
    <row r="53" spans="1:9" s="86" customFormat="1" x14ac:dyDescent="0.35">
      <c r="A53" s="170" t="s">
        <v>220</v>
      </c>
    </row>
    <row r="54" spans="1:9" x14ac:dyDescent="0.35">
      <c r="A54" s="169"/>
    </row>
    <row r="55" spans="1:9" x14ac:dyDescent="0.35">
      <c r="A55" s="170" t="s">
        <v>225</v>
      </c>
      <c r="I55" s="117" t="s">
        <v>226</v>
      </c>
    </row>
    <row r="56" spans="1:9" x14ac:dyDescent="0.35">
      <c r="A56" s="169"/>
    </row>
    <row r="57" spans="1:9" x14ac:dyDescent="0.35">
      <c r="A57" s="170" t="s">
        <v>221</v>
      </c>
    </row>
    <row r="58" spans="1:9" x14ac:dyDescent="0.35">
      <c r="A58" s="169"/>
    </row>
    <row r="59" spans="1:9" x14ac:dyDescent="0.35">
      <c r="A59" s="170" t="s">
        <v>222</v>
      </c>
      <c r="B59" s="87"/>
    </row>
    <row r="60" spans="1:9" x14ac:dyDescent="0.35">
      <c r="A60" s="169"/>
      <c r="B60" s="87"/>
    </row>
    <row r="61" spans="1:9" s="117" customFormat="1" x14ac:dyDescent="0.35">
      <c r="A61" s="170" t="s">
        <v>223</v>
      </c>
    </row>
    <row r="62" spans="1:9" x14ac:dyDescent="0.35">
      <c r="A62" s="169"/>
    </row>
    <row r="63" spans="1:9" x14ac:dyDescent="0.35">
      <c r="A63" s="170" t="s">
        <v>224</v>
      </c>
    </row>
    <row r="64" spans="1:9" x14ac:dyDescent="0.35">
      <c r="A64" s="169"/>
    </row>
    <row r="65" s="260" customFormat="1" x14ac:dyDescent="0.35"/>
    <row r="66" s="260" customFormat="1" x14ac:dyDescent="0.35"/>
    <row r="67" s="260" customFormat="1" x14ac:dyDescent="0.35"/>
    <row r="68" s="260" customFormat="1" x14ac:dyDescent="0.35"/>
    <row r="69" s="260" customFormat="1" x14ac:dyDescent="0.35"/>
    <row r="70" s="260" customFormat="1" x14ac:dyDescent="0.35"/>
    <row r="71" s="260" customFormat="1" x14ac:dyDescent="0.35"/>
    <row r="72" s="260" customFormat="1" x14ac:dyDescent="0.35"/>
    <row r="73" s="260" customFormat="1" x14ac:dyDescent="0.35"/>
    <row r="74" s="260" customFormat="1" x14ac:dyDescent="0.35"/>
    <row r="75" s="260" customFormat="1" x14ac:dyDescent="0.35"/>
    <row r="76" s="260" customFormat="1" x14ac:dyDescent="0.35"/>
    <row r="77" s="260" customFormat="1" x14ac:dyDescent="0.35"/>
    <row r="78" s="260" customFormat="1" x14ac:dyDescent="0.35"/>
    <row r="79" s="260" customFormat="1" x14ac:dyDescent="0.35"/>
    <row r="80" s="260" customFormat="1" x14ac:dyDescent="0.35"/>
    <row r="81" spans="1:20" s="260" customFormat="1" x14ac:dyDescent="0.35">
      <c r="C81" s="260" t="s">
        <v>288</v>
      </c>
      <c r="G81" s="260">
        <v>719</v>
      </c>
    </row>
    <row r="82" spans="1:20" s="260" customFormat="1" x14ac:dyDescent="0.35">
      <c r="C82" s="260" t="s">
        <v>293</v>
      </c>
      <c r="G82" s="260">
        <v>683</v>
      </c>
      <c r="H82" s="267">
        <f>G82/G81</f>
        <v>0.94993045897079276</v>
      </c>
      <c r="I82" s="260" t="s">
        <v>289</v>
      </c>
    </row>
    <row r="83" spans="1:20" s="260" customFormat="1" x14ac:dyDescent="0.35"/>
    <row r="84" spans="1:20" s="260" customFormat="1" x14ac:dyDescent="0.35"/>
    <row r="85" spans="1:20" s="260" customFormat="1" x14ac:dyDescent="0.35"/>
    <row r="86" spans="1:20" s="260" customFormat="1" x14ac:dyDescent="0.35">
      <c r="H86" s="260" t="s">
        <v>290</v>
      </c>
      <c r="R86" s="175">
        <v>12.18</v>
      </c>
    </row>
    <row r="87" spans="1:20" s="260" customFormat="1" x14ac:dyDescent="0.35">
      <c r="Q87" s="268">
        <v>0.95</v>
      </c>
      <c r="R87" s="175">
        <f>R86*Q87</f>
        <v>11.571</v>
      </c>
      <c r="S87" s="260" t="s">
        <v>291</v>
      </c>
    </row>
    <row r="92" spans="1:20" x14ac:dyDescent="0.35">
      <c r="A92" t="s">
        <v>292</v>
      </c>
    </row>
    <row r="93" spans="1:20" ht="49" x14ac:dyDescent="0.35">
      <c r="B93" s="123" t="s">
        <v>193</v>
      </c>
      <c r="D93" s="584" t="s">
        <v>198</v>
      </c>
      <c r="E93" s="584"/>
      <c r="F93" s="584"/>
      <c r="G93" s="584"/>
      <c r="H93" s="584"/>
      <c r="I93" s="584"/>
      <c r="J93" s="584"/>
      <c r="K93" s="584"/>
      <c r="L93" s="584"/>
      <c r="M93" s="584"/>
      <c r="N93" s="584"/>
      <c r="O93" s="584"/>
      <c r="P93" s="584"/>
      <c r="Q93" s="584"/>
      <c r="R93" s="584"/>
      <c r="S93" s="584"/>
      <c r="T93" s="584"/>
    </row>
    <row r="94" spans="1:20" ht="15" thickBot="1" x14ac:dyDescent="0.4">
      <c r="B94" s="124"/>
    </row>
    <row r="95" spans="1:20" ht="48.5" thickBot="1" x14ac:dyDescent="0.4">
      <c r="B95" s="75" t="s">
        <v>184</v>
      </c>
      <c r="C95" s="126" t="s">
        <v>185</v>
      </c>
      <c r="D95" s="75" t="s">
        <v>187</v>
      </c>
    </row>
    <row r="96" spans="1:20" ht="15" thickBot="1" x14ac:dyDescent="0.4">
      <c r="B96" s="135">
        <v>1</v>
      </c>
      <c r="C96" s="136">
        <v>21978</v>
      </c>
      <c r="D96" s="137">
        <v>1.4E-2</v>
      </c>
      <c r="E96" s="131"/>
    </row>
    <row r="97" spans="2:20" ht="15" thickBot="1" x14ac:dyDescent="0.4">
      <c r="B97" s="135">
        <v>2</v>
      </c>
      <c r="C97" s="139">
        <v>29637</v>
      </c>
      <c r="D97" s="137">
        <v>0.115</v>
      </c>
      <c r="E97" s="131"/>
      <c r="F97" s="131">
        <f>E97/52/40</f>
        <v>0</v>
      </c>
    </row>
    <row r="98" spans="2:20" ht="15" thickBot="1" x14ac:dyDescent="0.4">
      <c r="B98" s="125">
        <v>3</v>
      </c>
      <c r="C98" s="140">
        <v>37296</v>
      </c>
      <c r="D98" s="127">
        <v>0.247</v>
      </c>
      <c r="E98" s="131">
        <f>D98*C98</f>
        <v>9212.1119999999992</v>
      </c>
    </row>
    <row r="99" spans="2:20" ht="15" thickBot="1" x14ac:dyDescent="0.4">
      <c r="B99" s="125">
        <v>4</v>
      </c>
      <c r="C99" s="140">
        <v>44955</v>
      </c>
      <c r="D99" s="127">
        <v>0.27200000000000002</v>
      </c>
      <c r="E99" s="131">
        <f>D99*C99</f>
        <v>12227.76</v>
      </c>
      <c r="F99" s="131">
        <f>E99/52/40</f>
        <v>5.8787307692307689</v>
      </c>
    </row>
    <row r="100" spans="2:20" ht="15" thickBot="1" x14ac:dyDescent="0.4">
      <c r="B100" s="125">
        <v>5</v>
      </c>
      <c r="C100" s="140">
        <v>52614</v>
      </c>
      <c r="D100" s="127">
        <v>0.184</v>
      </c>
      <c r="E100" s="131">
        <f>D100*C100</f>
        <v>9680.9760000000006</v>
      </c>
    </row>
    <row r="101" spans="2:20" ht="15" thickBot="1" x14ac:dyDescent="0.4">
      <c r="B101" s="138" t="s">
        <v>186</v>
      </c>
      <c r="C101" s="139">
        <v>60273</v>
      </c>
      <c r="D101" s="137">
        <v>0.16200000000000001</v>
      </c>
      <c r="E101" s="131"/>
    </row>
    <row r="102" spans="2:20" x14ac:dyDescent="0.35">
      <c r="B102" s="132"/>
      <c r="C102" s="133"/>
      <c r="D102" s="134"/>
      <c r="E102" s="131">
        <f>SUM(E96:E101)</f>
        <v>31120.847999999998</v>
      </c>
      <c r="F102" s="131">
        <f>E102/52/40</f>
        <v>14.961946153846153</v>
      </c>
      <c r="G102" s="131">
        <f>F102/2</f>
        <v>7.4809730769230764</v>
      </c>
      <c r="H102" s="117"/>
      <c r="I102" s="117"/>
      <c r="J102" s="117"/>
      <c r="K102" s="117"/>
      <c r="L102" s="117"/>
      <c r="M102" s="117"/>
      <c r="N102" s="117"/>
      <c r="O102" s="117"/>
      <c r="P102" s="117"/>
      <c r="Q102" s="117"/>
      <c r="R102" s="117"/>
      <c r="S102" s="117"/>
      <c r="T102" s="117"/>
    </row>
    <row r="103" spans="2:20" x14ac:dyDescent="0.35">
      <c r="B103" s="95"/>
    </row>
    <row r="104" spans="2:20" x14ac:dyDescent="0.35">
      <c r="B104" s="128" t="s">
        <v>192</v>
      </c>
      <c r="C104" s="7"/>
      <c r="D104" s="7"/>
    </row>
    <row r="105" spans="2:20" x14ac:dyDescent="0.35">
      <c r="B105" s="7" t="s">
        <v>188</v>
      </c>
      <c r="C105" s="7"/>
      <c r="D105" s="7"/>
    </row>
    <row r="106" spans="2:20" x14ac:dyDescent="0.35">
      <c r="B106" s="7" t="s">
        <v>189</v>
      </c>
      <c r="C106" s="7"/>
      <c r="D106" s="7"/>
    </row>
    <row r="107" spans="2:20" x14ac:dyDescent="0.35">
      <c r="B107" s="7"/>
      <c r="C107" s="7"/>
      <c r="D107" s="7"/>
    </row>
    <row r="108" spans="2:20" x14ac:dyDescent="0.35">
      <c r="B108" s="129" t="s">
        <v>195</v>
      </c>
      <c r="C108" s="7"/>
      <c r="D108" s="7"/>
    </row>
    <row r="109" spans="2:20" x14ac:dyDescent="0.35">
      <c r="B109" s="7"/>
      <c r="C109" s="7"/>
      <c r="D109" s="7"/>
    </row>
    <row r="110" spans="2:20" x14ac:dyDescent="0.35">
      <c r="B110" s="130" t="s">
        <v>194</v>
      </c>
    </row>
    <row r="111" spans="2:20" x14ac:dyDescent="0.35">
      <c r="B111" s="85"/>
    </row>
    <row r="112" spans="2:20" x14ac:dyDescent="0.35">
      <c r="B112" s="84"/>
    </row>
    <row r="113" spans="2:20" x14ac:dyDescent="0.35">
      <c r="B113" t="s">
        <v>196</v>
      </c>
    </row>
    <row r="114" spans="2:20" x14ac:dyDescent="0.35">
      <c r="B114" t="s">
        <v>197</v>
      </c>
      <c r="C114" s="86"/>
      <c r="D114" s="86"/>
      <c r="E114" s="86"/>
      <c r="F114" s="86"/>
      <c r="G114" s="86"/>
      <c r="H114" s="86"/>
      <c r="I114" s="86"/>
      <c r="J114" s="86"/>
      <c r="K114" s="86"/>
      <c r="L114" s="86"/>
      <c r="M114" s="86">
        <f>17372/4.1</f>
        <v>4237.0731707317073</v>
      </c>
      <c r="N114" s="131">
        <f>M114/52/40</f>
        <v>2.0370544090056284</v>
      </c>
      <c r="O114" s="86"/>
      <c r="P114" s="86"/>
      <c r="Q114" s="86"/>
      <c r="R114" s="86"/>
      <c r="S114" s="86"/>
      <c r="T114" s="86"/>
    </row>
    <row r="116" spans="2:20" x14ac:dyDescent="0.35">
      <c r="B116" s="87"/>
    </row>
    <row r="117" spans="2:20" ht="15.5" x14ac:dyDescent="0.35">
      <c r="B117" s="87"/>
      <c r="H117" s="88" t="s">
        <v>190</v>
      </c>
    </row>
    <row r="118" spans="2:20" ht="15.5" x14ac:dyDescent="0.35">
      <c r="B118" s="87"/>
      <c r="H118" s="88" t="s">
        <v>191</v>
      </c>
    </row>
    <row r="119" spans="2:20" x14ac:dyDescent="0.35">
      <c r="B119" s="87"/>
    </row>
  </sheetData>
  <mergeCells count="8">
    <mergeCell ref="A37:A41"/>
    <mergeCell ref="D93:T93"/>
    <mergeCell ref="A2:A3"/>
    <mergeCell ref="A4:A12"/>
    <mergeCell ref="A13:A15"/>
    <mergeCell ref="A16:A28"/>
    <mergeCell ref="A29:A35"/>
    <mergeCell ref="D20:E20"/>
  </mergeCells>
  <hyperlinks>
    <hyperlink ref="Q1" r:id="rId1" xr:uid="{00000000-0004-0000-0300-000000000000}"/>
    <hyperlink ref="A51" r:id="rId2" xr:uid="{00000000-0004-0000-0300-000001000000}"/>
    <hyperlink ref="A53" r:id="rId3" xr:uid="{00000000-0004-0000-0300-000002000000}"/>
    <hyperlink ref="A55" r:id="rId4" xr:uid="{00000000-0004-0000-0300-000003000000}"/>
    <hyperlink ref="A57" r:id="rId5" xr:uid="{00000000-0004-0000-0300-000004000000}"/>
    <hyperlink ref="A59" r:id="rId6" xr:uid="{00000000-0004-0000-0300-000005000000}"/>
    <hyperlink ref="A61" r:id="rId7" xr:uid="{00000000-0004-0000-0300-000006000000}"/>
    <hyperlink ref="A63" r:id="rId8" xr:uid="{00000000-0004-0000-0300-000007000000}"/>
    <hyperlink ref="D17" r:id="rId9" xr:uid="{00000000-0004-0000-0300-000008000000}"/>
    <hyperlink ref="F20" r:id="rId10" xr:uid="{00000000-0004-0000-0300-000009000000}"/>
    <hyperlink ref="L20" r:id="rId11" xr:uid="{00000000-0004-0000-0300-00000A000000}"/>
  </hyperlinks>
  <pageMargins left="0.7" right="0.7" top="0.75" bottom="0.75" header="0.3" footer="0.3"/>
  <pageSetup orientation="portrait" horizontalDpi="4294967295" verticalDpi="4294967295" r:id="rId12"/>
  <drawing r:id="rId13"/>
  <legacy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Rank xmlns="9dbcbb5a-2d39-43bd-b6c7-d27f844c7fb7">6</Rank>
    <Description0 xmlns="9dbcbb5a-2d39-43bd-b6c7-d27f844c7fb7">Complex Burden Table Template - for Studies</Description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153BEC61D80344AC147B80D934BDFD" ma:contentTypeVersion="2" ma:contentTypeDescription="Create a new document." ma:contentTypeScope="" ma:versionID="14a5e6ad631fcf04b74043bfb0c12f9f">
  <xsd:schema xmlns:xsd="http://www.w3.org/2001/XMLSchema" xmlns:p="http://schemas.microsoft.com/office/2006/metadata/properties" xmlns:ns2="9dbcbb5a-2d39-43bd-b6c7-d27f844c7fb7" targetNamespace="http://schemas.microsoft.com/office/2006/metadata/properties" ma:root="true" ma:fieldsID="41d8cef941c44b07acba7b2f1d173e7b" ns2:_="">
    <xsd:import namespace="9dbcbb5a-2d39-43bd-b6c7-d27f844c7fb7"/>
    <xsd:element name="properties">
      <xsd:complexType>
        <xsd:sequence>
          <xsd:element name="documentManagement">
            <xsd:complexType>
              <xsd:all>
                <xsd:element ref="ns2:Rank" minOccurs="0"/>
                <xsd:element ref="ns2:Description0" minOccurs="0"/>
              </xsd:all>
            </xsd:complexType>
          </xsd:element>
        </xsd:sequence>
      </xsd:complexType>
    </xsd:element>
  </xsd:schema>
  <xsd:schema xmlns:xsd="http://www.w3.org/2001/XMLSchema" xmlns:dms="http://schemas.microsoft.com/office/2006/documentManagement/types" targetNamespace="9dbcbb5a-2d39-43bd-b6c7-d27f844c7fb7" elementFormDefault="qualified">
    <xsd:import namespace="http://schemas.microsoft.com/office/2006/documentManagement/types"/>
    <xsd:element name="Rank" ma:index="8" nillable="true" ma:displayName="Rank" ma:internalName="Rank">
      <xsd:simpleType>
        <xsd:restriction base="dms:Number"/>
      </xsd:simpleType>
    </xsd:element>
    <xsd:element name="Description0" ma:index="9" nillable="true" ma:displayName="Description" ma:internalName="Description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AB616761-173A-4729-ABE6-18C63678866D}">
  <ds:schemaRefs>
    <ds:schemaRef ds:uri="http://schemas.microsoft.com/sharepoint/v3/contenttype/forms"/>
  </ds:schemaRefs>
</ds:datastoreItem>
</file>

<file path=customXml/itemProps2.xml><?xml version="1.0" encoding="utf-8"?>
<ds:datastoreItem xmlns:ds="http://schemas.openxmlformats.org/officeDocument/2006/customXml" ds:itemID="{01EC02A8-0ED5-4103-B250-F4592D9E333E}">
  <ds:schemaRefs>
    <ds:schemaRef ds:uri="9dbcbb5a-2d39-43bd-b6c7-d27f844c7fb7"/>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4E27527-1B61-4C6E-9B61-FAD668AE4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bcbb5a-2d39-43bd-b6c7-d27f844c7fb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E9DC8363-D6E4-4B61-85E9-7C246BF9B1F2}">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NSWP-III Burden Table OMB </vt:lpstr>
      <vt:lpstr>Annualized Cost to Respondents</vt:lpstr>
      <vt:lpstr>Appendices</vt:lpstr>
      <vt:lpstr>BLS Wages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lywilliams</dc:creator>
  <cp:lastModifiedBy>Allison Magness</cp:lastModifiedBy>
  <cp:lastPrinted>2017-09-19T20:15:03Z</cp:lastPrinted>
  <dcterms:created xsi:type="dcterms:W3CDTF">2013-01-08T21:49:18Z</dcterms:created>
  <dcterms:modified xsi:type="dcterms:W3CDTF">2018-08-01T18:44:53Z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0x010100E9153BEC61D80344AC147B80D934BDFD</vt:lpwstr>
  </property>
  <property fmtid="{D5CDD505-2E9C-101B-9397-08002B2CF9AE}" pid="3" name="Order">
    <vt:r8>300</vt:r8>
  </property>
</Properties>
</file>